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andeep.gundapuneni\Desktop\MIS Reports\June 2026\MIS Reports till 30th June 2026\"/>
    </mc:Choice>
  </mc:AlternateContent>
  <xr:revisionPtr revIDLastSave="0" documentId="13_ncr:1_{FD6E88F1-BC46-4E04-A71A-0B068033049E}" xr6:coauthVersionLast="47" xr6:coauthVersionMax="47" xr10:uidLastSave="{00000000-0000-0000-0000-000000000000}"/>
  <bookViews>
    <workbookView xWindow="-108" yWindow="-108" windowWidth="23256" windowHeight="12456" tabRatio="742" xr2:uid="{00000000-000D-0000-FFFF-FFFF00000000}"/>
  </bookViews>
  <sheets>
    <sheet name="Summary" sheetId="5" r:id="rId1"/>
    <sheet name="Details" sheetId="4" r:id="rId2"/>
    <sheet name="Recon Items" sheetId="80" r:id="rId3"/>
    <sheet name="Supplier Metrics" sheetId="97" r:id="rId4"/>
    <sheet name="Buyer Metrics" sheetId="95" r:id="rId5"/>
    <sheet name="POC" sheetId="102" r:id="rId6"/>
    <sheet name="AP &amp; AR" sheetId="103" r:id="rId7"/>
    <sheet name="Last year's" sheetId="81" state="hidden" r:id="rId8"/>
    <sheet name="Revenue - Reco" sheetId="84" state="hidden" r:id="rId9"/>
  </sheets>
  <definedNames>
    <definedName name="_xlnm._FilterDatabase" localSheetId="6" hidden="1">'AP &amp; AR'!#REF!</definedName>
    <definedName name="_xlnm._FilterDatabase" localSheetId="4" hidden="1">'Buyer Metrics'!$A$4:$U$12</definedName>
    <definedName name="_xlnm._FilterDatabase" localSheetId="1" hidden="1">Details!$B$4:$CW$4</definedName>
    <definedName name="_xlnm._FilterDatabase" localSheetId="7" hidden="1">'Last year''s'!$B$13:$F$34</definedName>
    <definedName name="_xlnm._FilterDatabase" localSheetId="0" hidden="1">Summary!$C$3:$S$49</definedName>
    <definedName name="_xlnm._FilterDatabase" localSheetId="3" hidden="1">'Supplier Metrics'!$B$3:$D$6</definedName>
    <definedName name="_xlcn.WorksheetConnection_DetailsB4BN19801" hidden="1">Details!$D$4:$BT$160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02" l="1"/>
  <c r="B29" i="97"/>
  <c r="D29" i="97"/>
  <c r="B30" i="97"/>
  <c r="D30" i="97"/>
  <c r="B31" i="97"/>
  <c r="D31" i="97"/>
  <c r="B32" i="97"/>
  <c r="D32" i="97"/>
  <c r="AY148" i="4"/>
  <c r="AZ148" i="4"/>
  <c r="BB148" i="4"/>
  <c r="BN148" i="4"/>
  <c r="BO148" i="4"/>
  <c r="BP148" i="4"/>
  <c r="BQ148" i="4"/>
  <c r="BS148" i="4"/>
  <c r="BT148" i="4"/>
  <c r="BU148" i="4"/>
  <c r="BV148" i="4"/>
  <c r="BW148" i="4"/>
  <c r="BX148" i="4"/>
  <c r="BY148" i="4"/>
  <c r="BZ148" i="4"/>
  <c r="CA148" i="4"/>
  <c r="CB148" i="4"/>
  <c r="CE148" i="4"/>
  <c r="CF148" i="4"/>
  <c r="CG148" i="4"/>
  <c r="CJ148" i="4"/>
  <c r="CK148" i="4"/>
  <c r="CL148" i="4"/>
  <c r="CM148" i="4"/>
  <c r="CN148" i="4"/>
  <c r="CO148" i="4"/>
  <c r="CP148" i="4"/>
  <c r="CQ148" i="4"/>
  <c r="CR148" i="4"/>
  <c r="CU148" i="4"/>
  <c r="CV148" i="4"/>
  <c r="AY149" i="4"/>
  <c r="AZ149" i="4"/>
  <c r="BB149" i="4"/>
  <c r="BN149" i="4"/>
  <c r="BO149" i="4"/>
  <c r="BP149" i="4"/>
  <c r="BQ149" i="4"/>
  <c r="BS149" i="4"/>
  <c r="BT149" i="4"/>
  <c r="BU149" i="4"/>
  <c r="BV149" i="4"/>
  <c r="BW149" i="4"/>
  <c r="BX149" i="4"/>
  <c r="BY149" i="4"/>
  <c r="BZ149" i="4"/>
  <c r="CA149" i="4"/>
  <c r="CB149" i="4"/>
  <c r="CE149" i="4"/>
  <c r="CF149" i="4"/>
  <c r="CG149" i="4"/>
  <c r="CJ149" i="4"/>
  <c r="CK149" i="4"/>
  <c r="CL149" i="4"/>
  <c r="CM149" i="4"/>
  <c r="CN149" i="4"/>
  <c r="CO149" i="4"/>
  <c r="CP149" i="4"/>
  <c r="CQ149" i="4"/>
  <c r="CR149" i="4"/>
  <c r="CU149" i="4"/>
  <c r="CV149" i="4"/>
  <c r="AY150" i="4"/>
  <c r="AZ150" i="4"/>
  <c r="BB150" i="4"/>
  <c r="BN150" i="4"/>
  <c r="BS150" i="4"/>
  <c r="BT150" i="4"/>
  <c r="BW150" i="4"/>
  <c r="BX150" i="4"/>
  <c r="BZ150" i="4"/>
  <c r="CA150" i="4"/>
  <c r="CE150" i="4"/>
  <c r="CG150" i="4"/>
  <c r="CJ150" i="4"/>
  <c r="CK150" i="4"/>
  <c r="CL150" i="4"/>
  <c r="CN150" i="4"/>
  <c r="CO150" i="4"/>
  <c r="CP150" i="4"/>
  <c r="CQ150" i="4"/>
  <c r="CR150" i="4"/>
  <c r="CU150" i="4"/>
  <c r="CV150" i="4"/>
  <c r="AY151" i="4"/>
  <c r="AZ151" i="4"/>
  <c r="BB151" i="4"/>
  <c r="BN151" i="4"/>
  <c r="BO151" i="4"/>
  <c r="BP151" i="4"/>
  <c r="BQ151" i="4"/>
  <c r="BS151" i="4"/>
  <c r="BU151" i="4"/>
  <c r="BW151" i="4"/>
  <c r="BX151" i="4"/>
  <c r="BY151" i="4"/>
  <c r="BZ151" i="4"/>
  <c r="CA151" i="4"/>
  <c r="CB151" i="4"/>
  <c r="CE151" i="4"/>
  <c r="CF151" i="4"/>
  <c r="CG151" i="4"/>
  <c r="CJ151" i="4"/>
  <c r="CK151" i="4"/>
  <c r="CL151" i="4"/>
  <c r="CM151" i="4"/>
  <c r="CN151" i="4"/>
  <c r="CO151" i="4"/>
  <c r="CP151" i="4"/>
  <c r="CQ151" i="4"/>
  <c r="CR151" i="4"/>
  <c r="CU151" i="4"/>
  <c r="CV151" i="4"/>
  <c r="AY152" i="4"/>
  <c r="AZ152" i="4"/>
  <c r="BB152" i="4"/>
  <c r="BN152" i="4"/>
  <c r="BO152" i="4"/>
  <c r="BP152" i="4"/>
  <c r="BQ152" i="4"/>
  <c r="BS152" i="4"/>
  <c r="BT152" i="4"/>
  <c r="BU152" i="4"/>
  <c r="BV152" i="4"/>
  <c r="BW152" i="4"/>
  <c r="BX152" i="4"/>
  <c r="BY152" i="4"/>
  <c r="BZ152" i="4"/>
  <c r="CA152" i="4"/>
  <c r="CB152" i="4"/>
  <c r="CE152" i="4"/>
  <c r="CF152" i="4"/>
  <c r="CG152" i="4"/>
  <c r="CJ152" i="4"/>
  <c r="CK152" i="4"/>
  <c r="CL152" i="4"/>
  <c r="CM152" i="4"/>
  <c r="CN152" i="4"/>
  <c r="CO152" i="4"/>
  <c r="CP152" i="4"/>
  <c r="CQ152" i="4"/>
  <c r="CR152" i="4"/>
  <c r="CU152" i="4"/>
  <c r="CV152" i="4"/>
  <c r="AY153" i="4"/>
  <c r="AZ153" i="4"/>
  <c r="BB153" i="4"/>
  <c r="BN153" i="4"/>
  <c r="BO153" i="4"/>
  <c r="BP153" i="4"/>
  <c r="BQ153" i="4"/>
  <c r="BS153" i="4"/>
  <c r="BT153" i="4"/>
  <c r="BU153" i="4"/>
  <c r="BV153" i="4"/>
  <c r="BW153" i="4"/>
  <c r="BX153" i="4"/>
  <c r="BY153" i="4"/>
  <c r="BZ153" i="4"/>
  <c r="CA153" i="4"/>
  <c r="CB153" i="4"/>
  <c r="CE153" i="4"/>
  <c r="CF153" i="4"/>
  <c r="CG153" i="4"/>
  <c r="CJ153" i="4"/>
  <c r="CK153" i="4"/>
  <c r="CL153" i="4"/>
  <c r="CM153" i="4"/>
  <c r="CN153" i="4"/>
  <c r="CO153" i="4"/>
  <c r="CP153" i="4"/>
  <c r="CQ153" i="4"/>
  <c r="CR153" i="4"/>
  <c r="CU153" i="4"/>
  <c r="CV153" i="4"/>
  <c r="AY154" i="4"/>
  <c r="AZ154" i="4"/>
  <c r="BB154" i="4"/>
  <c r="BN154" i="4"/>
  <c r="BO154" i="4"/>
  <c r="BP154" i="4"/>
  <c r="BQ154" i="4"/>
  <c r="BS154" i="4"/>
  <c r="BT154" i="4"/>
  <c r="BU154" i="4"/>
  <c r="BV154" i="4"/>
  <c r="BW154" i="4"/>
  <c r="BX154" i="4"/>
  <c r="BY154" i="4"/>
  <c r="BZ154" i="4"/>
  <c r="CA154" i="4"/>
  <c r="CB154" i="4"/>
  <c r="CE154" i="4"/>
  <c r="CF154" i="4"/>
  <c r="CG154" i="4"/>
  <c r="CJ154" i="4"/>
  <c r="CK154" i="4"/>
  <c r="CL154" i="4"/>
  <c r="CM154" i="4"/>
  <c r="CN154" i="4"/>
  <c r="CO154" i="4"/>
  <c r="CP154" i="4"/>
  <c r="CQ154" i="4"/>
  <c r="CR154" i="4"/>
  <c r="CU154" i="4"/>
  <c r="CV154" i="4"/>
  <c r="AY155" i="4"/>
  <c r="AZ155" i="4"/>
  <c r="BB155" i="4"/>
  <c r="BN155" i="4"/>
  <c r="BO155" i="4"/>
  <c r="BP155" i="4"/>
  <c r="BQ155" i="4"/>
  <c r="BS155" i="4"/>
  <c r="BT155" i="4"/>
  <c r="BU155" i="4"/>
  <c r="BV155" i="4"/>
  <c r="BW155" i="4"/>
  <c r="BX155" i="4"/>
  <c r="BY155" i="4"/>
  <c r="BZ155" i="4"/>
  <c r="CA155" i="4"/>
  <c r="CB155" i="4"/>
  <c r="CE155" i="4"/>
  <c r="CF155" i="4"/>
  <c r="CG155" i="4"/>
  <c r="CJ155" i="4"/>
  <c r="CK155" i="4"/>
  <c r="CL155" i="4"/>
  <c r="CM155" i="4"/>
  <c r="CN155" i="4"/>
  <c r="CO155" i="4"/>
  <c r="CP155" i="4"/>
  <c r="CQ155" i="4"/>
  <c r="CR155" i="4"/>
  <c r="CU155" i="4"/>
  <c r="CV155" i="4"/>
  <c r="AY156" i="4"/>
  <c r="AZ156" i="4"/>
  <c r="BB156" i="4"/>
  <c r="BN156" i="4"/>
  <c r="BO156" i="4"/>
  <c r="BP156" i="4"/>
  <c r="BQ156" i="4"/>
  <c r="BS156" i="4"/>
  <c r="BT156" i="4"/>
  <c r="BU156" i="4"/>
  <c r="BV156" i="4"/>
  <c r="BW156" i="4"/>
  <c r="BX156" i="4"/>
  <c r="BY156" i="4"/>
  <c r="BZ156" i="4"/>
  <c r="CA156" i="4"/>
  <c r="CB156" i="4"/>
  <c r="CE156" i="4"/>
  <c r="CF156" i="4"/>
  <c r="CG156" i="4"/>
  <c r="CJ156" i="4"/>
  <c r="CK156" i="4"/>
  <c r="CL156" i="4"/>
  <c r="CM156" i="4"/>
  <c r="CN156" i="4"/>
  <c r="CO156" i="4"/>
  <c r="CP156" i="4"/>
  <c r="CQ156" i="4"/>
  <c r="CR156" i="4"/>
  <c r="CU156" i="4"/>
  <c r="CV156" i="4"/>
  <c r="AY157" i="4"/>
  <c r="AZ157" i="4"/>
  <c r="BB157" i="4"/>
  <c r="BN157" i="4"/>
  <c r="BO157" i="4"/>
  <c r="BP157" i="4"/>
  <c r="BQ157" i="4"/>
  <c r="BS157" i="4"/>
  <c r="BT157" i="4"/>
  <c r="BU157" i="4"/>
  <c r="BV157" i="4"/>
  <c r="BW157" i="4"/>
  <c r="BX157" i="4"/>
  <c r="BY157" i="4"/>
  <c r="BZ157" i="4"/>
  <c r="CA157" i="4"/>
  <c r="CB157" i="4"/>
  <c r="CE157" i="4"/>
  <c r="CF157" i="4"/>
  <c r="CG157" i="4"/>
  <c r="CJ157" i="4"/>
  <c r="CK157" i="4"/>
  <c r="CL157" i="4"/>
  <c r="CM157" i="4"/>
  <c r="CN157" i="4"/>
  <c r="CO157" i="4"/>
  <c r="CP157" i="4"/>
  <c r="CQ157" i="4"/>
  <c r="CR157" i="4"/>
  <c r="CU157" i="4"/>
  <c r="CV157" i="4"/>
  <c r="AY158" i="4"/>
  <c r="AZ158" i="4"/>
  <c r="BB158" i="4"/>
  <c r="BN158" i="4"/>
  <c r="BO158" i="4"/>
  <c r="BP158" i="4"/>
  <c r="BQ158" i="4"/>
  <c r="BS158" i="4"/>
  <c r="BT158" i="4"/>
  <c r="BU158" i="4"/>
  <c r="BV158" i="4"/>
  <c r="BW158" i="4"/>
  <c r="BX158" i="4"/>
  <c r="BY158" i="4"/>
  <c r="BZ158" i="4"/>
  <c r="CA158" i="4"/>
  <c r="CB158" i="4"/>
  <c r="CE158" i="4"/>
  <c r="CF158" i="4"/>
  <c r="CG158" i="4"/>
  <c r="CJ158" i="4"/>
  <c r="CK158" i="4"/>
  <c r="CL158" i="4"/>
  <c r="CM158" i="4"/>
  <c r="CN158" i="4"/>
  <c r="CO158" i="4"/>
  <c r="CP158" i="4"/>
  <c r="CQ158" i="4"/>
  <c r="CR158" i="4"/>
  <c r="CU158" i="4"/>
  <c r="CV158" i="4"/>
  <c r="AY159" i="4"/>
  <c r="AZ159" i="4"/>
  <c r="BB159" i="4"/>
  <c r="BN159" i="4"/>
  <c r="BO159" i="4"/>
  <c r="BP159" i="4"/>
  <c r="BQ159" i="4"/>
  <c r="BS159" i="4"/>
  <c r="BT159" i="4"/>
  <c r="BU159" i="4"/>
  <c r="BV159" i="4"/>
  <c r="BW159" i="4"/>
  <c r="BX159" i="4"/>
  <c r="BY159" i="4"/>
  <c r="BZ159" i="4"/>
  <c r="CA159" i="4"/>
  <c r="CB159" i="4"/>
  <c r="CE159" i="4"/>
  <c r="CF159" i="4"/>
  <c r="CG159" i="4"/>
  <c r="CJ159" i="4"/>
  <c r="CK159" i="4"/>
  <c r="CL159" i="4"/>
  <c r="CM159" i="4"/>
  <c r="CN159" i="4"/>
  <c r="CO159" i="4"/>
  <c r="CP159" i="4"/>
  <c r="CQ159" i="4"/>
  <c r="CR159" i="4"/>
  <c r="CU159" i="4"/>
  <c r="CV159" i="4"/>
  <c r="AB148" i="4"/>
  <c r="AM148" i="4"/>
  <c r="AB149" i="4"/>
  <c r="AM149" i="4"/>
  <c r="AB150" i="4"/>
  <c r="AM150" i="4"/>
  <c r="AB151" i="4"/>
  <c r="AM151" i="4"/>
  <c r="AB152" i="4"/>
  <c r="AM152" i="4"/>
  <c r="AB153" i="4"/>
  <c r="AM153" i="4"/>
  <c r="AB154" i="4"/>
  <c r="AM154" i="4"/>
  <c r="AB155" i="4"/>
  <c r="AB156" i="4"/>
  <c r="AM156" i="4"/>
  <c r="AB157" i="4"/>
  <c r="AB158" i="4"/>
  <c r="AM158" i="4"/>
  <c r="AB159" i="4"/>
  <c r="AM159" i="4"/>
  <c r="Q157" i="4"/>
  <c r="S157" i="4"/>
  <c r="Q158" i="4"/>
  <c r="S158" i="4"/>
  <c r="Q159" i="4"/>
  <c r="S159" i="4"/>
  <c r="B157" i="4"/>
  <c r="C157" i="4"/>
  <c r="B158" i="4"/>
  <c r="C158" i="4"/>
  <c r="B159" i="4"/>
  <c r="C159" i="4"/>
  <c r="S148" i="4"/>
  <c r="S149" i="4"/>
  <c r="S150" i="4"/>
  <c r="S151" i="4"/>
  <c r="S152" i="4"/>
  <c r="S153" i="4"/>
  <c r="S154" i="4"/>
  <c r="S155" i="4"/>
  <c r="S156" i="4"/>
  <c r="Q148" i="4"/>
  <c r="Q149" i="4"/>
  <c r="Q150" i="4"/>
  <c r="Q151" i="4"/>
  <c r="Q152" i="4"/>
  <c r="Q153" i="4"/>
  <c r="Q154" i="4"/>
  <c r="Q155" i="4"/>
  <c r="Q156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X144" i="4"/>
  <c r="BZ144" i="4"/>
  <c r="CA144" i="4"/>
  <c r="CG144" i="4"/>
  <c r="CP144" i="4"/>
  <c r="CQ144" i="4"/>
  <c r="CU144" i="4"/>
  <c r="CV144" i="4"/>
  <c r="BX145" i="4"/>
  <c r="BZ145" i="4"/>
  <c r="CA145" i="4"/>
  <c r="CB145" i="4"/>
  <c r="CG145" i="4"/>
  <c r="CP145" i="4"/>
  <c r="CQ145" i="4"/>
  <c r="CU145" i="4"/>
  <c r="CV145" i="4"/>
  <c r="BX146" i="4"/>
  <c r="BZ146" i="4"/>
  <c r="CA146" i="4"/>
  <c r="CB146" i="4"/>
  <c r="CG146" i="4"/>
  <c r="CP146" i="4"/>
  <c r="CQ146" i="4"/>
  <c r="CU146" i="4"/>
  <c r="CV146" i="4"/>
  <c r="BX147" i="4"/>
  <c r="BZ147" i="4"/>
  <c r="CA147" i="4"/>
  <c r="CB147" i="4"/>
  <c r="CG147" i="4"/>
  <c r="CP147" i="4"/>
  <c r="CQ147" i="4"/>
  <c r="CU147" i="4"/>
  <c r="CV147" i="4"/>
  <c r="AY144" i="4"/>
  <c r="AZ144" i="4"/>
  <c r="BB144" i="4"/>
  <c r="BN144" i="4"/>
  <c r="AY145" i="4"/>
  <c r="AZ145" i="4"/>
  <c r="BB145" i="4"/>
  <c r="BN145" i="4"/>
  <c r="AY146" i="4"/>
  <c r="AZ146" i="4"/>
  <c r="BB146" i="4"/>
  <c r="BN146" i="4"/>
  <c r="BO146" i="4"/>
  <c r="AY147" i="4"/>
  <c r="AZ147" i="4"/>
  <c r="BB147" i="4"/>
  <c r="BN147" i="4"/>
  <c r="BO147" i="4"/>
  <c r="Q144" i="4"/>
  <c r="S144" i="4"/>
  <c r="AB144" i="4"/>
  <c r="AM144" i="4"/>
  <c r="Q145" i="4"/>
  <c r="S145" i="4"/>
  <c r="AB145" i="4"/>
  <c r="Q146" i="4"/>
  <c r="S146" i="4"/>
  <c r="AB146" i="4"/>
  <c r="AM146" i="4"/>
  <c r="Q147" i="4"/>
  <c r="S147" i="4"/>
  <c r="AB147" i="4"/>
  <c r="B144" i="4"/>
  <c r="C144" i="4"/>
  <c r="B145" i="4"/>
  <c r="C145" i="4"/>
  <c r="B146" i="4"/>
  <c r="C146" i="4"/>
  <c r="B147" i="4"/>
  <c r="C147" i="4"/>
  <c r="BB119" i="4"/>
  <c r="BX119" i="4"/>
  <c r="BZ119" i="4"/>
  <c r="CA119" i="4"/>
  <c r="CG119" i="4"/>
  <c r="CP119" i="4"/>
  <c r="CQ119" i="4"/>
  <c r="CU119" i="4"/>
  <c r="CV119" i="4"/>
  <c r="BB120" i="4"/>
  <c r="BX120" i="4"/>
  <c r="BZ120" i="4"/>
  <c r="CA120" i="4"/>
  <c r="CB120" i="4"/>
  <c r="CG120" i="4"/>
  <c r="CP120" i="4"/>
  <c r="CQ120" i="4"/>
  <c r="CU120" i="4"/>
  <c r="CV120" i="4"/>
  <c r="BB121" i="4"/>
  <c r="BX121" i="4"/>
  <c r="BZ121" i="4"/>
  <c r="CA121" i="4"/>
  <c r="CB121" i="4"/>
  <c r="CG121" i="4"/>
  <c r="CP121" i="4"/>
  <c r="CQ121" i="4"/>
  <c r="CU121" i="4"/>
  <c r="CV121" i="4"/>
  <c r="BB122" i="4"/>
  <c r="BX122" i="4"/>
  <c r="BZ122" i="4"/>
  <c r="CA122" i="4"/>
  <c r="CB122" i="4"/>
  <c r="CG122" i="4"/>
  <c r="CP122" i="4"/>
  <c r="CQ122" i="4"/>
  <c r="CU122" i="4"/>
  <c r="CV122" i="4"/>
  <c r="BB123" i="4"/>
  <c r="BX123" i="4"/>
  <c r="BZ123" i="4"/>
  <c r="CA123" i="4"/>
  <c r="CB123" i="4"/>
  <c r="CG123" i="4"/>
  <c r="CP123" i="4"/>
  <c r="CQ123" i="4"/>
  <c r="CU123" i="4"/>
  <c r="CV123" i="4"/>
  <c r="BB124" i="4"/>
  <c r="BX124" i="4"/>
  <c r="BZ124" i="4"/>
  <c r="CA124" i="4"/>
  <c r="CB124" i="4"/>
  <c r="CG124" i="4"/>
  <c r="CP124" i="4"/>
  <c r="CQ124" i="4"/>
  <c r="CU124" i="4"/>
  <c r="CV124" i="4"/>
  <c r="BB125" i="4"/>
  <c r="BX125" i="4"/>
  <c r="BZ125" i="4"/>
  <c r="CA125" i="4"/>
  <c r="CB125" i="4"/>
  <c r="CG125" i="4"/>
  <c r="CP125" i="4"/>
  <c r="CQ125" i="4"/>
  <c r="CU125" i="4"/>
  <c r="CV125" i="4"/>
  <c r="BB126" i="4"/>
  <c r="BX126" i="4"/>
  <c r="BZ126" i="4"/>
  <c r="CA126" i="4"/>
  <c r="CG126" i="4"/>
  <c r="CP126" i="4"/>
  <c r="CQ126" i="4"/>
  <c r="CU126" i="4"/>
  <c r="CV126" i="4"/>
  <c r="BB127" i="4"/>
  <c r="BX127" i="4"/>
  <c r="BZ127" i="4"/>
  <c r="CA127" i="4"/>
  <c r="CG127" i="4"/>
  <c r="CP127" i="4"/>
  <c r="CQ127" i="4"/>
  <c r="CU127" i="4"/>
  <c r="CV127" i="4"/>
  <c r="BB128" i="4"/>
  <c r="BX128" i="4"/>
  <c r="BZ128" i="4"/>
  <c r="CA128" i="4"/>
  <c r="CG128" i="4"/>
  <c r="CP128" i="4"/>
  <c r="CQ128" i="4"/>
  <c r="CU128" i="4"/>
  <c r="CV128" i="4"/>
  <c r="BB129" i="4"/>
  <c r="BX129" i="4"/>
  <c r="BZ129" i="4"/>
  <c r="CA129" i="4"/>
  <c r="CB129" i="4"/>
  <c r="CG129" i="4"/>
  <c r="CP129" i="4"/>
  <c r="CQ129" i="4"/>
  <c r="CU129" i="4"/>
  <c r="CV129" i="4"/>
  <c r="BB130" i="4"/>
  <c r="BX130" i="4"/>
  <c r="BZ130" i="4"/>
  <c r="CA130" i="4"/>
  <c r="CG130" i="4"/>
  <c r="CP130" i="4"/>
  <c r="CQ130" i="4"/>
  <c r="CU130" i="4"/>
  <c r="CV130" i="4"/>
  <c r="BB131" i="4"/>
  <c r="BX131" i="4"/>
  <c r="BZ131" i="4"/>
  <c r="CA131" i="4"/>
  <c r="CG131" i="4"/>
  <c r="CP131" i="4"/>
  <c r="CQ131" i="4"/>
  <c r="CU131" i="4"/>
  <c r="CV131" i="4"/>
  <c r="BB132" i="4"/>
  <c r="BX132" i="4"/>
  <c r="BZ132" i="4"/>
  <c r="CA132" i="4"/>
  <c r="CB132" i="4"/>
  <c r="CG132" i="4"/>
  <c r="CP132" i="4"/>
  <c r="CQ132" i="4"/>
  <c r="CU132" i="4"/>
  <c r="CV132" i="4"/>
  <c r="BB133" i="4"/>
  <c r="BX133" i="4"/>
  <c r="BZ133" i="4"/>
  <c r="CA133" i="4"/>
  <c r="CB133" i="4"/>
  <c r="CG133" i="4"/>
  <c r="CP133" i="4"/>
  <c r="CQ133" i="4"/>
  <c r="CU133" i="4"/>
  <c r="CV133" i="4"/>
  <c r="BB134" i="4"/>
  <c r="BX134" i="4"/>
  <c r="BZ134" i="4"/>
  <c r="CA134" i="4"/>
  <c r="CB134" i="4"/>
  <c r="CG134" i="4"/>
  <c r="CP134" i="4"/>
  <c r="CQ134" i="4"/>
  <c r="CU134" i="4"/>
  <c r="CV134" i="4"/>
  <c r="BB135" i="4"/>
  <c r="BX135" i="4"/>
  <c r="BZ135" i="4"/>
  <c r="CA135" i="4"/>
  <c r="CB135" i="4"/>
  <c r="CG135" i="4"/>
  <c r="CP135" i="4"/>
  <c r="CQ135" i="4"/>
  <c r="CU135" i="4"/>
  <c r="CV135" i="4"/>
  <c r="BB136" i="4"/>
  <c r="BX136" i="4"/>
  <c r="BZ136" i="4"/>
  <c r="CA136" i="4"/>
  <c r="CG136" i="4"/>
  <c r="CP136" i="4"/>
  <c r="CQ136" i="4"/>
  <c r="CU136" i="4"/>
  <c r="CV136" i="4"/>
  <c r="BB137" i="4"/>
  <c r="BX137" i="4"/>
  <c r="BZ137" i="4"/>
  <c r="CA137" i="4"/>
  <c r="CG137" i="4"/>
  <c r="CQ137" i="4"/>
  <c r="CU137" i="4"/>
  <c r="CV137" i="4"/>
  <c r="BB138" i="4"/>
  <c r="BX138" i="4"/>
  <c r="BZ138" i="4"/>
  <c r="CA138" i="4"/>
  <c r="CG138" i="4"/>
  <c r="CP138" i="4"/>
  <c r="CQ138" i="4"/>
  <c r="CU138" i="4"/>
  <c r="CV138" i="4"/>
  <c r="BB139" i="4"/>
  <c r="BX139" i="4"/>
  <c r="BZ139" i="4"/>
  <c r="CA139" i="4"/>
  <c r="CB139" i="4"/>
  <c r="CG139" i="4"/>
  <c r="CP139" i="4"/>
  <c r="CQ139" i="4"/>
  <c r="CU139" i="4"/>
  <c r="CV139" i="4"/>
  <c r="BB140" i="4"/>
  <c r="BX140" i="4"/>
  <c r="BZ140" i="4"/>
  <c r="CA140" i="4"/>
  <c r="CG140" i="4"/>
  <c r="CP140" i="4"/>
  <c r="CQ140" i="4"/>
  <c r="CU140" i="4"/>
  <c r="CV140" i="4"/>
  <c r="BB141" i="4"/>
  <c r="BX141" i="4"/>
  <c r="BZ141" i="4"/>
  <c r="CA141" i="4"/>
  <c r="CG141" i="4"/>
  <c r="CP141" i="4"/>
  <c r="CQ141" i="4"/>
  <c r="CU141" i="4"/>
  <c r="CV141" i="4"/>
  <c r="BB142" i="4"/>
  <c r="BX142" i="4"/>
  <c r="BZ142" i="4"/>
  <c r="CA142" i="4"/>
  <c r="CG142" i="4"/>
  <c r="CP142" i="4"/>
  <c r="CQ142" i="4"/>
  <c r="CU142" i="4"/>
  <c r="CV142" i="4"/>
  <c r="BB143" i="4"/>
  <c r="BX143" i="4"/>
  <c r="BZ143" i="4"/>
  <c r="CA143" i="4"/>
  <c r="CB143" i="4"/>
  <c r="CG143" i="4"/>
  <c r="CP143" i="4"/>
  <c r="CQ143" i="4"/>
  <c r="CU143" i="4"/>
  <c r="CV143" i="4"/>
  <c r="AY119" i="4"/>
  <c r="AZ119" i="4"/>
  <c r="AY120" i="4"/>
  <c r="AZ120" i="4"/>
  <c r="AY121" i="4"/>
  <c r="AZ121" i="4"/>
  <c r="AY122" i="4"/>
  <c r="AZ122" i="4"/>
  <c r="AY123" i="4"/>
  <c r="AZ123" i="4"/>
  <c r="AY124" i="4"/>
  <c r="AZ124" i="4"/>
  <c r="AY125" i="4"/>
  <c r="AZ125" i="4"/>
  <c r="AY126" i="4"/>
  <c r="AZ126" i="4"/>
  <c r="AY127" i="4"/>
  <c r="AZ127" i="4"/>
  <c r="AY128" i="4"/>
  <c r="AZ128" i="4"/>
  <c r="AY129" i="4"/>
  <c r="AZ129" i="4"/>
  <c r="AY130" i="4"/>
  <c r="AZ130" i="4"/>
  <c r="AY131" i="4"/>
  <c r="AZ131" i="4"/>
  <c r="AY132" i="4"/>
  <c r="AZ132" i="4"/>
  <c r="AY133" i="4"/>
  <c r="AZ133" i="4"/>
  <c r="AY134" i="4"/>
  <c r="AZ134" i="4"/>
  <c r="AY135" i="4"/>
  <c r="AZ135" i="4"/>
  <c r="AY136" i="4"/>
  <c r="AZ136" i="4"/>
  <c r="AY137" i="4"/>
  <c r="AZ137" i="4"/>
  <c r="AY138" i="4"/>
  <c r="AZ138" i="4"/>
  <c r="AY139" i="4"/>
  <c r="AZ139" i="4"/>
  <c r="AY140" i="4"/>
  <c r="AZ140" i="4"/>
  <c r="AY141" i="4"/>
  <c r="AZ141" i="4"/>
  <c r="AY142" i="4"/>
  <c r="AZ142" i="4"/>
  <c r="AY143" i="4"/>
  <c r="AZ143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Q119" i="4"/>
  <c r="S119" i="4"/>
  <c r="Q120" i="4"/>
  <c r="S120" i="4"/>
  <c r="Q121" i="4"/>
  <c r="S121" i="4"/>
  <c r="Q122" i="4"/>
  <c r="S122" i="4"/>
  <c r="Q123" i="4"/>
  <c r="S123" i="4"/>
  <c r="Q124" i="4"/>
  <c r="S124" i="4"/>
  <c r="Q125" i="4"/>
  <c r="S125" i="4"/>
  <c r="Q126" i="4"/>
  <c r="S126" i="4"/>
  <c r="Q127" i="4"/>
  <c r="S127" i="4"/>
  <c r="Q128" i="4"/>
  <c r="S128" i="4"/>
  <c r="Q129" i="4"/>
  <c r="S129" i="4"/>
  <c r="Q130" i="4"/>
  <c r="S130" i="4"/>
  <c r="Q131" i="4"/>
  <c r="S131" i="4"/>
  <c r="Q132" i="4"/>
  <c r="S132" i="4"/>
  <c r="Q133" i="4"/>
  <c r="S133" i="4"/>
  <c r="Q134" i="4"/>
  <c r="S134" i="4"/>
  <c r="Q135" i="4"/>
  <c r="S135" i="4"/>
  <c r="Q136" i="4"/>
  <c r="S136" i="4"/>
  <c r="Q137" i="4"/>
  <c r="S137" i="4"/>
  <c r="Q138" i="4"/>
  <c r="S138" i="4"/>
  <c r="Q139" i="4"/>
  <c r="S139" i="4"/>
  <c r="Q140" i="4"/>
  <c r="S140" i="4"/>
  <c r="Q141" i="4"/>
  <c r="S141" i="4"/>
  <c r="Q142" i="4"/>
  <c r="S142" i="4"/>
  <c r="Q143" i="4"/>
  <c r="S143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AY117" i="4"/>
  <c r="AZ117" i="4"/>
  <c r="BB117" i="4"/>
  <c r="BX117" i="4"/>
  <c r="BZ117" i="4"/>
  <c r="CA117" i="4"/>
  <c r="CG117" i="4"/>
  <c r="CP117" i="4"/>
  <c r="CQ117" i="4"/>
  <c r="CU117" i="4"/>
  <c r="CV117" i="4"/>
  <c r="AY118" i="4"/>
  <c r="AZ118" i="4"/>
  <c r="BB118" i="4"/>
  <c r="BN118" i="4"/>
  <c r="BX118" i="4"/>
  <c r="BZ118" i="4"/>
  <c r="CA118" i="4"/>
  <c r="CG118" i="4"/>
  <c r="CN118" i="4"/>
  <c r="CP118" i="4"/>
  <c r="CQ118" i="4"/>
  <c r="CU118" i="4"/>
  <c r="CV118" i="4"/>
  <c r="Q117" i="4"/>
  <c r="S117" i="4"/>
  <c r="AB117" i="4"/>
  <c r="Q118" i="4"/>
  <c r="S118" i="4"/>
  <c r="AB118" i="4"/>
  <c r="AM118" i="4"/>
  <c r="B117" i="4"/>
  <c r="C117" i="4"/>
  <c r="B118" i="4"/>
  <c r="C118" i="4"/>
  <c r="P23" i="5"/>
  <c r="P25" i="5"/>
  <c r="BX114" i="4"/>
  <c r="BZ114" i="4"/>
  <c r="CA114" i="4"/>
  <c r="CG114" i="4"/>
  <c r="CP114" i="4"/>
  <c r="CQ114" i="4"/>
  <c r="CU114" i="4"/>
  <c r="CV114" i="4"/>
  <c r="BX115" i="4"/>
  <c r="BZ115" i="4"/>
  <c r="CA115" i="4"/>
  <c r="CG115" i="4"/>
  <c r="CP115" i="4"/>
  <c r="CQ115" i="4"/>
  <c r="CU115" i="4"/>
  <c r="CV115" i="4"/>
  <c r="BX116" i="4"/>
  <c r="BZ116" i="4"/>
  <c r="CA116" i="4"/>
  <c r="CG116" i="4"/>
  <c r="CP116" i="4"/>
  <c r="CQ116" i="4"/>
  <c r="CU116" i="4"/>
  <c r="CV116" i="4"/>
  <c r="BB114" i="4"/>
  <c r="BB115" i="4"/>
  <c r="BB116" i="4"/>
  <c r="AY114" i="4"/>
  <c r="AZ114" i="4"/>
  <c r="AY115" i="4"/>
  <c r="AZ115" i="4"/>
  <c r="AY116" i="4"/>
  <c r="AZ116" i="4"/>
  <c r="Q114" i="4"/>
  <c r="S114" i="4"/>
  <c r="AB114" i="4"/>
  <c r="Q115" i="4"/>
  <c r="S115" i="4"/>
  <c r="AB115" i="4"/>
  <c r="Q116" i="4"/>
  <c r="S116" i="4"/>
  <c r="AB116" i="4"/>
  <c r="B114" i="4"/>
  <c r="C114" i="4"/>
  <c r="B115" i="4"/>
  <c r="C115" i="4"/>
  <c r="B116" i="4"/>
  <c r="C116" i="4"/>
  <c r="V3" i="103"/>
  <c r="BX113" i="4"/>
  <c r="BZ113" i="4"/>
  <c r="CA113" i="4"/>
  <c r="CB113" i="4"/>
  <c r="CG113" i="4"/>
  <c r="CP113" i="4"/>
  <c r="CQ113" i="4"/>
  <c r="CU113" i="4"/>
  <c r="CV113" i="4"/>
  <c r="BB113" i="4"/>
  <c r="AY113" i="4"/>
  <c r="AZ113" i="4"/>
  <c r="Q113" i="4"/>
  <c r="S113" i="4"/>
  <c r="AB113" i="4"/>
  <c r="B113" i="4"/>
  <c r="C113" i="4"/>
  <c r="BB111" i="4"/>
  <c r="BX111" i="4"/>
  <c r="BZ111" i="4"/>
  <c r="CA111" i="4"/>
  <c r="CG111" i="4"/>
  <c r="CP111" i="4"/>
  <c r="CQ111" i="4"/>
  <c r="CU111" i="4"/>
  <c r="CV111" i="4"/>
  <c r="BB112" i="4"/>
  <c r="BX112" i="4"/>
  <c r="BZ112" i="4"/>
  <c r="CA112" i="4"/>
  <c r="CG112" i="4"/>
  <c r="CP112" i="4"/>
  <c r="CQ112" i="4"/>
  <c r="CU112" i="4"/>
  <c r="CV112" i="4"/>
  <c r="AY111" i="4"/>
  <c r="AZ111" i="4"/>
  <c r="AY112" i="4"/>
  <c r="AZ112" i="4"/>
  <c r="S111" i="4"/>
  <c r="AB111" i="4"/>
  <c r="S112" i="4"/>
  <c r="AB112" i="4"/>
  <c r="Q111" i="4"/>
  <c r="Q112" i="4"/>
  <c r="B111" i="4"/>
  <c r="C111" i="4"/>
  <c r="B112" i="4"/>
  <c r="C112" i="4"/>
  <c r="AA3" i="103"/>
  <c r="BB110" i="4"/>
  <c r="BX110" i="4"/>
  <c r="BZ110" i="4"/>
  <c r="CA110" i="4"/>
  <c r="CG110" i="4"/>
  <c r="CP110" i="4"/>
  <c r="CQ110" i="4"/>
  <c r="CU110" i="4"/>
  <c r="CV110" i="4"/>
  <c r="AY110" i="4"/>
  <c r="AZ110" i="4"/>
  <c r="AB110" i="4"/>
  <c r="Q110" i="4"/>
  <c r="CO110" i="4" s="1"/>
  <c r="S110" i="4"/>
  <c r="B110" i="4"/>
  <c r="C110" i="4"/>
  <c r="I3" i="103"/>
  <c r="AY60" i="4"/>
  <c r="AZ60" i="4"/>
  <c r="BB60" i="4"/>
  <c r="BN60" i="4"/>
  <c r="BO60" i="4"/>
  <c r="BW60" i="4"/>
  <c r="BX60" i="4"/>
  <c r="BZ60" i="4"/>
  <c r="CA60" i="4"/>
  <c r="CG60" i="4"/>
  <c r="CN60" i="4"/>
  <c r="CQ60" i="4"/>
  <c r="CU60" i="4"/>
  <c r="CV60" i="4"/>
  <c r="AY61" i="4"/>
  <c r="AZ61" i="4"/>
  <c r="BB61" i="4"/>
  <c r="BX61" i="4"/>
  <c r="BZ61" i="4"/>
  <c r="CA61" i="4"/>
  <c r="CG61" i="4"/>
  <c r="CQ61" i="4"/>
  <c r="CU61" i="4"/>
  <c r="CV61" i="4"/>
  <c r="AY62" i="4"/>
  <c r="AZ62" i="4"/>
  <c r="BB62" i="4"/>
  <c r="BN62" i="4"/>
  <c r="BX62" i="4"/>
  <c r="BZ62" i="4"/>
  <c r="CA62" i="4"/>
  <c r="CG62" i="4"/>
  <c r="CN62" i="4"/>
  <c r="CP62" i="4"/>
  <c r="CQ62" i="4"/>
  <c r="CU62" i="4"/>
  <c r="CV62" i="4"/>
  <c r="AY63" i="4"/>
  <c r="BN63" i="4" s="1"/>
  <c r="BW63" i="4" s="1"/>
  <c r="AZ63" i="4"/>
  <c r="BB63" i="4"/>
  <c r="BX63" i="4"/>
  <c r="BZ63" i="4"/>
  <c r="CA63" i="4"/>
  <c r="CG63" i="4"/>
  <c r="CN63" i="4"/>
  <c r="CP63" i="4"/>
  <c r="CQ63" i="4"/>
  <c r="CU63" i="4"/>
  <c r="CV63" i="4"/>
  <c r="AY64" i="4"/>
  <c r="AZ64" i="4"/>
  <c r="BB64" i="4"/>
  <c r="BX64" i="4"/>
  <c r="BZ64" i="4"/>
  <c r="CA64" i="4"/>
  <c r="CG64" i="4"/>
  <c r="CP64" i="4"/>
  <c r="CQ64" i="4"/>
  <c r="CU64" i="4"/>
  <c r="CV64" i="4"/>
  <c r="AY65" i="4"/>
  <c r="BN65" i="4" s="1"/>
  <c r="AZ65" i="4"/>
  <c r="BB65" i="4"/>
  <c r="BX65" i="4"/>
  <c r="BZ65" i="4"/>
  <c r="CA65" i="4"/>
  <c r="CG65" i="4"/>
  <c r="CU65" i="4"/>
  <c r="CV65" i="4"/>
  <c r="AY66" i="4"/>
  <c r="AZ66" i="4"/>
  <c r="BB66" i="4"/>
  <c r="BX66" i="4"/>
  <c r="BZ66" i="4"/>
  <c r="CA66" i="4"/>
  <c r="CB66" i="4"/>
  <c r="CG66" i="4"/>
  <c r="CP66" i="4"/>
  <c r="CQ66" i="4"/>
  <c r="CU66" i="4"/>
  <c r="CV66" i="4"/>
  <c r="AY67" i="4"/>
  <c r="AZ67" i="4"/>
  <c r="BB67" i="4"/>
  <c r="BX67" i="4"/>
  <c r="BZ67" i="4"/>
  <c r="CA67" i="4"/>
  <c r="CG67" i="4"/>
  <c r="CP67" i="4"/>
  <c r="CQ67" i="4"/>
  <c r="CU67" i="4"/>
  <c r="CV67" i="4"/>
  <c r="AY68" i="4"/>
  <c r="AZ68" i="4"/>
  <c r="BB68" i="4"/>
  <c r="BX68" i="4"/>
  <c r="BZ68" i="4"/>
  <c r="CA68" i="4"/>
  <c r="CG68" i="4"/>
  <c r="CP68" i="4"/>
  <c r="CQ68" i="4"/>
  <c r="CU68" i="4"/>
  <c r="CV68" i="4"/>
  <c r="AY69" i="4"/>
  <c r="AZ69" i="4"/>
  <c r="BB69" i="4"/>
  <c r="BX69" i="4"/>
  <c r="BZ69" i="4"/>
  <c r="CA69" i="4"/>
  <c r="CB69" i="4"/>
  <c r="CG69" i="4"/>
  <c r="CN69" i="4"/>
  <c r="CP69" i="4"/>
  <c r="CQ69" i="4"/>
  <c r="CU69" i="4"/>
  <c r="CV69" i="4"/>
  <c r="AY70" i="4"/>
  <c r="BN70" i="4" s="1"/>
  <c r="BW70" i="4" s="1"/>
  <c r="AZ70" i="4"/>
  <c r="BB70" i="4"/>
  <c r="BX70" i="4"/>
  <c r="BZ70" i="4"/>
  <c r="CP70" i="4" s="1"/>
  <c r="CA70" i="4"/>
  <c r="CQ70" i="4" s="1"/>
  <c r="CB70" i="4"/>
  <c r="CG70" i="4"/>
  <c r="CN70" i="4"/>
  <c r="CU70" i="4"/>
  <c r="CV70" i="4"/>
  <c r="AY71" i="4"/>
  <c r="CN71" i="4" s="1"/>
  <c r="AZ71" i="4"/>
  <c r="BB71" i="4"/>
  <c r="BN71" i="4"/>
  <c r="BW71" i="4" s="1"/>
  <c r="BO71" i="4"/>
  <c r="BX71" i="4"/>
  <c r="BZ71" i="4"/>
  <c r="CA71" i="4"/>
  <c r="CQ71" i="4" s="1"/>
  <c r="CG71" i="4"/>
  <c r="CU71" i="4"/>
  <c r="CV71" i="4"/>
  <c r="AY72" i="4"/>
  <c r="CN72" i="4" s="1"/>
  <c r="AZ72" i="4"/>
  <c r="BB72" i="4"/>
  <c r="BN72" i="4"/>
  <c r="BO72" i="4" s="1"/>
  <c r="BX72" i="4"/>
  <c r="BZ72" i="4"/>
  <c r="CP72" i="4" s="1"/>
  <c r="CA72" i="4"/>
  <c r="CG72" i="4"/>
  <c r="CU72" i="4"/>
  <c r="CV72" i="4"/>
  <c r="AY73" i="4"/>
  <c r="AZ73" i="4"/>
  <c r="BB73" i="4"/>
  <c r="BN73" i="4"/>
  <c r="BW73" i="4" s="1"/>
  <c r="BX73" i="4"/>
  <c r="BZ73" i="4"/>
  <c r="CA73" i="4"/>
  <c r="CG73" i="4"/>
  <c r="CN73" i="4"/>
  <c r="CP73" i="4"/>
  <c r="CQ73" i="4"/>
  <c r="CU73" i="4"/>
  <c r="CV73" i="4"/>
  <c r="AY74" i="4"/>
  <c r="AZ74" i="4"/>
  <c r="BB74" i="4"/>
  <c r="BN74" i="4"/>
  <c r="BW74" i="4" s="1"/>
  <c r="BO74" i="4"/>
  <c r="BX74" i="4"/>
  <c r="BY74" i="4"/>
  <c r="BZ74" i="4"/>
  <c r="CA74" i="4"/>
  <c r="CB74" i="4"/>
  <c r="CF74" i="4"/>
  <c r="CG74" i="4"/>
  <c r="CN74" i="4"/>
  <c r="CP74" i="4"/>
  <c r="CQ74" i="4"/>
  <c r="CU74" i="4"/>
  <c r="CV74" i="4"/>
  <c r="AY75" i="4"/>
  <c r="BN75" i="4" s="1"/>
  <c r="BW75" i="4" s="1"/>
  <c r="AZ75" i="4"/>
  <c r="BB75" i="4"/>
  <c r="BX75" i="4"/>
  <c r="BY75" i="4"/>
  <c r="BZ75" i="4"/>
  <c r="CA75" i="4"/>
  <c r="CG75" i="4"/>
  <c r="CN75" i="4"/>
  <c r="CU75" i="4"/>
  <c r="CV75" i="4"/>
  <c r="AY76" i="4"/>
  <c r="CN76" i="4" s="1"/>
  <c r="AZ76" i="4"/>
  <c r="BB76" i="4"/>
  <c r="BN76" i="4"/>
  <c r="BX76" i="4"/>
  <c r="BZ76" i="4"/>
  <c r="CP76" i="4" s="1"/>
  <c r="CA76" i="4"/>
  <c r="CQ76" i="4" s="1"/>
  <c r="CB76" i="4"/>
  <c r="CG76" i="4"/>
  <c r="CU76" i="4"/>
  <c r="CV76" i="4"/>
  <c r="AY77" i="4"/>
  <c r="BN77" i="4" s="1"/>
  <c r="AZ77" i="4"/>
  <c r="BB77" i="4"/>
  <c r="BX77" i="4"/>
  <c r="BZ77" i="4"/>
  <c r="CA77" i="4"/>
  <c r="CB77" i="4"/>
  <c r="CG77" i="4"/>
  <c r="CN77" i="4"/>
  <c r="CP77" i="4"/>
  <c r="CQ77" i="4"/>
  <c r="CU77" i="4"/>
  <c r="CV77" i="4"/>
  <c r="AY78" i="4"/>
  <c r="AZ78" i="4"/>
  <c r="BB78" i="4"/>
  <c r="BN78" i="4"/>
  <c r="BW78" i="4" s="1"/>
  <c r="BO78" i="4"/>
  <c r="BX78" i="4"/>
  <c r="BZ78" i="4"/>
  <c r="CA78" i="4"/>
  <c r="CG78" i="4"/>
  <c r="CN78" i="4"/>
  <c r="CP78" i="4"/>
  <c r="CQ78" i="4"/>
  <c r="CU78" i="4"/>
  <c r="CV78" i="4"/>
  <c r="AY79" i="4"/>
  <c r="AZ79" i="4"/>
  <c r="BB79" i="4"/>
  <c r="BX79" i="4"/>
  <c r="BZ79" i="4"/>
  <c r="CA79" i="4"/>
  <c r="CG79" i="4"/>
  <c r="CQ79" i="4"/>
  <c r="CU79" i="4"/>
  <c r="CV79" i="4"/>
  <c r="AY80" i="4"/>
  <c r="AZ80" i="4"/>
  <c r="BB80" i="4"/>
  <c r="BN80" i="4"/>
  <c r="BX80" i="4"/>
  <c r="BZ80" i="4"/>
  <c r="CA80" i="4"/>
  <c r="CG80" i="4"/>
  <c r="CN80" i="4"/>
  <c r="CQ80" i="4"/>
  <c r="CU80" i="4"/>
  <c r="CV80" i="4"/>
  <c r="AY81" i="4"/>
  <c r="AZ81" i="4"/>
  <c r="BB81" i="4"/>
  <c r="BX81" i="4"/>
  <c r="BZ81" i="4"/>
  <c r="CA81" i="4"/>
  <c r="CB81" i="4"/>
  <c r="CG81" i="4"/>
  <c r="CN81" i="4"/>
  <c r="CP81" i="4"/>
  <c r="CQ81" i="4"/>
  <c r="CU81" i="4"/>
  <c r="CV81" i="4"/>
  <c r="AY82" i="4"/>
  <c r="AZ82" i="4"/>
  <c r="BB82" i="4"/>
  <c r="BX82" i="4"/>
  <c r="BZ82" i="4"/>
  <c r="CA82" i="4"/>
  <c r="CB82" i="4"/>
  <c r="CG82" i="4"/>
  <c r="CP82" i="4"/>
  <c r="CQ82" i="4"/>
  <c r="CU82" i="4"/>
  <c r="CV82" i="4"/>
  <c r="AY83" i="4"/>
  <c r="AZ83" i="4"/>
  <c r="BB83" i="4"/>
  <c r="BN83" i="4"/>
  <c r="BW83" i="4" s="1"/>
  <c r="BO83" i="4"/>
  <c r="BX83" i="4"/>
  <c r="BZ83" i="4"/>
  <c r="CA83" i="4"/>
  <c r="CF83" i="4"/>
  <c r="CG83" i="4"/>
  <c r="CN83" i="4"/>
  <c r="CP83" i="4"/>
  <c r="CQ83" i="4"/>
  <c r="CU83" i="4"/>
  <c r="CV83" i="4"/>
  <c r="AY84" i="4"/>
  <c r="AZ84" i="4"/>
  <c r="BB84" i="4"/>
  <c r="BX84" i="4"/>
  <c r="BZ84" i="4"/>
  <c r="CA84" i="4"/>
  <c r="CB84" i="4" s="1"/>
  <c r="CG84" i="4"/>
  <c r="CP84" i="4"/>
  <c r="CU84" i="4"/>
  <c r="CV84" i="4"/>
  <c r="AY85" i="4"/>
  <c r="AZ85" i="4"/>
  <c r="BB85" i="4"/>
  <c r="BX85" i="4"/>
  <c r="BZ85" i="4"/>
  <c r="CA85" i="4"/>
  <c r="CQ85" i="4" s="1"/>
  <c r="CG85" i="4"/>
  <c r="CU85" i="4"/>
  <c r="CV85" i="4"/>
  <c r="AY86" i="4"/>
  <c r="AZ86" i="4"/>
  <c r="BB86" i="4"/>
  <c r="BX86" i="4"/>
  <c r="BZ86" i="4"/>
  <c r="CP86" i="4" s="1"/>
  <c r="CA86" i="4"/>
  <c r="CQ86" i="4" s="1"/>
  <c r="CB86" i="4"/>
  <c r="CG86" i="4"/>
  <c r="CU86" i="4"/>
  <c r="CV86" i="4"/>
  <c r="AY87" i="4"/>
  <c r="AZ87" i="4"/>
  <c r="BB87" i="4"/>
  <c r="BX87" i="4"/>
  <c r="BZ87" i="4"/>
  <c r="CA87" i="4"/>
  <c r="CG87" i="4"/>
  <c r="CU87" i="4"/>
  <c r="CV87" i="4"/>
  <c r="AY88" i="4"/>
  <c r="AZ88" i="4"/>
  <c r="BB88" i="4"/>
  <c r="BX88" i="4"/>
  <c r="BZ88" i="4"/>
  <c r="CA88" i="4"/>
  <c r="CG88" i="4"/>
  <c r="CQ88" i="4"/>
  <c r="CU88" i="4"/>
  <c r="CV88" i="4"/>
  <c r="AY89" i="4"/>
  <c r="AZ89" i="4"/>
  <c r="BB89" i="4"/>
  <c r="BX89" i="4"/>
  <c r="BZ89" i="4"/>
  <c r="CA89" i="4"/>
  <c r="CB89" i="4"/>
  <c r="CG89" i="4"/>
  <c r="CP89" i="4"/>
  <c r="CU89" i="4"/>
  <c r="CV89" i="4"/>
  <c r="AY90" i="4"/>
  <c r="AZ90" i="4"/>
  <c r="BB90" i="4"/>
  <c r="BX90" i="4"/>
  <c r="BZ90" i="4"/>
  <c r="CA90" i="4"/>
  <c r="CQ90" i="4" s="1"/>
  <c r="CG90" i="4"/>
  <c r="CU90" i="4"/>
  <c r="CV90" i="4"/>
  <c r="AY91" i="4"/>
  <c r="AZ91" i="4"/>
  <c r="BB91" i="4"/>
  <c r="BX91" i="4"/>
  <c r="BZ91" i="4"/>
  <c r="CA91" i="4"/>
  <c r="CG91" i="4"/>
  <c r="CQ91" i="4"/>
  <c r="CU91" i="4"/>
  <c r="CV91" i="4"/>
  <c r="AY92" i="4"/>
  <c r="AZ92" i="4"/>
  <c r="BB92" i="4"/>
  <c r="BN92" i="4"/>
  <c r="BW92" i="4" s="1"/>
  <c r="BX92" i="4"/>
  <c r="BZ92" i="4"/>
  <c r="CA92" i="4"/>
  <c r="CQ92" i="4" s="1"/>
  <c r="CG92" i="4"/>
  <c r="CN92" i="4"/>
  <c r="CU92" i="4"/>
  <c r="CV92" i="4"/>
  <c r="AY93" i="4"/>
  <c r="AZ93" i="4"/>
  <c r="BB93" i="4"/>
  <c r="BN93" i="4"/>
  <c r="BW93" i="4" s="1"/>
  <c r="BX93" i="4"/>
  <c r="BZ93" i="4"/>
  <c r="CA93" i="4"/>
  <c r="CQ93" i="4" s="1"/>
  <c r="CB93" i="4"/>
  <c r="CG93" i="4"/>
  <c r="CN93" i="4"/>
  <c r="CP93" i="4"/>
  <c r="CU93" i="4"/>
  <c r="CV93" i="4"/>
  <c r="AY94" i="4"/>
  <c r="AZ94" i="4"/>
  <c r="BB94" i="4"/>
  <c r="BX94" i="4"/>
  <c r="BZ94" i="4"/>
  <c r="CA94" i="4"/>
  <c r="CB94" i="4" s="1"/>
  <c r="CG94" i="4"/>
  <c r="CP94" i="4"/>
  <c r="CQ94" i="4"/>
  <c r="CU94" i="4"/>
  <c r="CV94" i="4"/>
  <c r="AY95" i="4"/>
  <c r="AZ95" i="4"/>
  <c r="BB95" i="4"/>
  <c r="BN95" i="4"/>
  <c r="BX95" i="4"/>
  <c r="BZ95" i="4"/>
  <c r="CA95" i="4"/>
  <c r="CB95" i="4"/>
  <c r="CG95" i="4"/>
  <c r="CP95" i="4"/>
  <c r="CQ95" i="4"/>
  <c r="CU95" i="4"/>
  <c r="CV95" i="4"/>
  <c r="AY96" i="4"/>
  <c r="AZ96" i="4"/>
  <c r="BB96" i="4"/>
  <c r="BN96" i="4"/>
  <c r="BO96" i="4" s="1"/>
  <c r="BX96" i="4"/>
  <c r="BZ96" i="4"/>
  <c r="CA96" i="4"/>
  <c r="CQ96" i="4" s="1"/>
  <c r="CG96" i="4"/>
  <c r="CU96" i="4"/>
  <c r="CV96" i="4"/>
  <c r="AY97" i="4"/>
  <c r="BN97" i="4" s="1"/>
  <c r="BW97" i="4" s="1"/>
  <c r="AZ97" i="4"/>
  <c r="BB97" i="4"/>
  <c r="BX97" i="4"/>
  <c r="BZ97" i="4"/>
  <c r="CP97" i="4" s="1"/>
  <c r="CA97" i="4"/>
  <c r="CQ97" i="4" s="1"/>
  <c r="CB97" i="4"/>
  <c r="CG97" i="4"/>
  <c r="CU97" i="4"/>
  <c r="CV97" i="4"/>
  <c r="AY98" i="4"/>
  <c r="AZ98" i="4"/>
  <c r="BB98" i="4"/>
  <c r="BN98" i="4"/>
  <c r="BO98" i="4"/>
  <c r="BW98" i="4"/>
  <c r="BX98" i="4"/>
  <c r="BZ98" i="4"/>
  <c r="CA98" i="4"/>
  <c r="CB98" i="4" s="1"/>
  <c r="CG98" i="4"/>
  <c r="CN98" i="4"/>
  <c r="CP98" i="4"/>
  <c r="CQ98" i="4"/>
  <c r="CU98" i="4"/>
  <c r="CV98" i="4"/>
  <c r="AY99" i="4"/>
  <c r="AZ99" i="4"/>
  <c r="BB99" i="4"/>
  <c r="BX99" i="4"/>
  <c r="BZ99" i="4"/>
  <c r="CA99" i="4"/>
  <c r="CG99" i="4"/>
  <c r="CN99" i="4"/>
  <c r="CP99" i="4"/>
  <c r="CQ99" i="4"/>
  <c r="CU99" i="4"/>
  <c r="CV99" i="4"/>
  <c r="AY100" i="4"/>
  <c r="AZ100" i="4"/>
  <c r="BB100" i="4"/>
  <c r="BN100" i="4"/>
  <c r="BW100" i="4" s="1"/>
  <c r="BX100" i="4"/>
  <c r="BZ100" i="4"/>
  <c r="CP100" i="4" s="1"/>
  <c r="CA100" i="4"/>
  <c r="CG100" i="4"/>
  <c r="CU100" i="4"/>
  <c r="CV100" i="4"/>
  <c r="AY101" i="4"/>
  <c r="BN101" i="4" s="1"/>
  <c r="BW101" i="4" s="1"/>
  <c r="AZ101" i="4"/>
  <c r="BB101" i="4"/>
  <c r="BX101" i="4"/>
  <c r="BZ101" i="4"/>
  <c r="CP101" i="4" s="1"/>
  <c r="CA101" i="4"/>
  <c r="CB101" i="4"/>
  <c r="CG101" i="4"/>
  <c r="CQ101" i="4"/>
  <c r="CU101" i="4"/>
  <c r="CV101" i="4"/>
  <c r="AY102" i="4"/>
  <c r="BN102" i="4" s="1"/>
  <c r="BW102" i="4" s="1"/>
  <c r="AZ102" i="4"/>
  <c r="BB102" i="4"/>
  <c r="BX102" i="4"/>
  <c r="BZ102" i="4"/>
  <c r="CP102" i="4" s="1"/>
  <c r="CA102" i="4"/>
  <c r="CB102" i="4"/>
  <c r="CG102" i="4"/>
  <c r="CQ102" i="4"/>
  <c r="CU102" i="4"/>
  <c r="CV102" i="4"/>
  <c r="AY103" i="4"/>
  <c r="AZ103" i="4"/>
  <c r="BB103" i="4"/>
  <c r="BX103" i="4"/>
  <c r="BZ103" i="4"/>
  <c r="CA103" i="4"/>
  <c r="CG103" i="4"/>
  <c r="CN103" i="4"/>
  <c r="CP103" i="4"/>
  <c r="CQ103" i="4"/>
  <c r="CU103" i="4"/>
  <c r="CV103" i="4"/>
  <c r="AY104" i="4"/>
  <c r="AZ104" i="4"/>
  <c r="BB104" i="4"/>
  <c r="BX104" i="4"/>
  <c r="BZ104" i="4"/>
  <c r="CP104" i="4" s="1"/>
  <c r="CA104" i="4"/>
  <c r="CQ104" i="4" s="1"/>
  <c r="CG104" i="4"/>
  <c r="CU104" i="4"/>
  <c r="CV104" i="4"/>
  <c r="AY105" i="4"/>
  <c r="AZ105" i="4"/>
  <c r="BB105" i="4"/>
  <c r="BX105" i="4"/>
  <c r="BZ105" i="4"/>
  <c r="CA105" i="4"/>
  <c r="CG105" i="4"/>
  <c r="CP105" i="4"/>
  <c r="CQ105" i="4"/>
  <c r="CU105" i="4"/>
  <c r="CV105" i="4"/>
  <c r="AY106" i="4"/>
  <c r="AZ106" i="4"/>
  <c r="BB106" i="4"/>
  <c r="BX106" i="4"/>
  <c r="BZ106" i="4"/>
  <c r="CP106" i="4" s="1"/>
  <c r="CA106" i="4"/>
  <c r="CQ106" i="4" s="1"/>
  <c r="CG106" i="4"/>
  <c r="CU106" i="4"/>
  <c r="CV106" i="4"/>
  <c r="AY107" i="4"/>
  <c r="AZ107" i="4"/>
  <c r="BB107" i="4"/>
  <c r="BN107" i="4"/>
  <c r="BW107" i="4" s="1"/>
  <c r="BX107" i="4"/>
  <c r="BZ107" i="4"/>
  <c r="CP107" i="4" s="1"/>
  <c r="CA107" i="4"/>
  <c r="CQ107" i="4" s="1"/>
  <c r="CG107" i="4"/>
  <c r="CU107" i="4"/>
  <c r="CV107" i="4"/>
  <c r="AY108" i="4"/>
  <c r="AZ108" i="4"/>
  <c r="BB108" i="4"/>
  <c r="BX108" i="4"/>
  <c r="BZ108" i="4"/>
  <c r="CA108" i="4"/>
  <c r="CQ108" i="4" s="1"/>
  <c r="CG108" i="4"/>
  <c r="CU108" i="4"/>
  <c r="CV108" i="4"/>
  <c r="AY109" i="4"/>
  <c r="AZ109" i="4"/>
  <c r="BB109" i="4"/>
  <c r="BX109" i="4"/>
  <c r="BZ109" i="4"/>
  <c r="CA109" i="4"/>
  <c r="CG109" i="4"/>
  <c r="CU109" i="4"/>
  <c r="CV109" i="4"/>
  <c r="Q60" i="4"/>
  <c r="S60" i="4"/>
  <c r="AB60" i="4"/>
  <c r="AM60" i="4" s="1"/>
  <c r="Q61" i="4"/>
  <c r="CO61" i="4" s="1"/>
  <c r="S61" i="4"/>
  <c r="AB61" i="4"/>
  <c r="Q62" i="4"/>
  <c r="S62" i="4"/>
  <c r="AB62" i="4"/>
  <c r="Q63" i="4"/>
  <c r="CO63" i="4" s="1"/>
  <c r="S63" i="4"/>
  <c r="AB63" i="4"/>
  <c r="Q64" i="4"/>
  <c r="S64" i="4"/>
  <c r="AB64" i="4"/>
  <c r="Q65" i="4"/>
  <c r="CO65" i="4" s="1"/>
  <c r="S65" i="4"/>
  <c r="AB65" i="4"/>
  <c r="Q66" i="4"/>
  <c r="S66" i="4"/>
  <c r="AB66" i="4"/>
  <c r="Q67" i="4"/>
  <c r="S67" i="4"/>
  <c r="AB67" i="4"/>
  <c r="Q68" i="4"/>
  <c r="S68" i="4"/>
  <c r="AB68" i="4"/>
  <c r="AM68" i="4"/>
  <c r="CE68" i="4" s="1"/>
  <c r="Q69" i="4"/>
  <c r="CO69" i="4" s="1"/>
  <c r="S69" i="4"/>
  <c r="AB69" i="4"/>
  <c r="Q70" i="4"/>
  <c r="CO70" i="4" s="1"/>
  <c r="S70" i="4"/>
  <c r="AB70" i="4"/>
  <c r="Q71" i="4"/>
  <c r="CO71" i="4" s="1"/>
  <c r="S71" i="4"/>
  <c r="AB71" i="4"/>
  <c r="Q72" i="4"/>
  <c r="S72" i="4"/>
  <c r="AB72" i="4"/>
  <c r="AM72" i="4" s="1"/>
  <c r="CE72" i="4" s="1"/>
  <c r="Q73" i="4"/>
  <c r="CO73" i="4" s="1"/>
  <c r="S73" i="4"/>
  <c r="AB73" i="4"/>
  <c r="Q74" i="4"/>
  <c r="S74" i="4"/>
  <c r="AB74" i="4"/>
  <c r="Q75" i="4"/>
  <c r="CO75" i="4" s="1"/>
  <c r="S75" i="4"/>
  <c r="AB75" i="4"/>
  <c r="AM75" i="4" s="1"/>
  <c r="CE75" i="4" s="1"/>
  <c r="Q76" i="4"/>
  <c r="S76" i="4"/>
  <c r="AB76" i="4"/>
  <c r="Q77" i="4"/>
  <c r="CO77" i="4" s="1"/>
  <c r="S77" i="4"/>
  <c r="AB77" i="4"/>
  <c r="Q78" i="4"/>
  <c r="S78" i="4"/>
  <c r="AB78" i="4"/>
  <c r="Q79" i="4"/>
  <c r="S79" i="4"/>
  <c r="AB79" i="4"/>
  <c r="Q80" i="4"/>
  <c r="S80" i="4"/>
  <c r="AB80" i="4"/>
  <c r="AM80" i="4" s="1"/>
  <c r="CE80" i="4" s="1"/>
  <c r="Q81" i="4"/>
  <c r="S81" i="4"/>
  <c r="AB81" i="4"/>
  <c r="AM81" i="4" s="1"/>
  <c r="CE81" i="4" s="1"/>
  <c r="Q82" i="4"/>
  <c r="CO82" i="4" s="1"/>
  <c r="S82" i="4"/>
  <c r="AB82" i="4"/>
  <c r="Q83" i="4"/>
  <c r="CO83" i="4" s="1"/>
  <c r="S83" i="4"/>
  <c r="AB83" i="4"/>
  <c r="Q84" i="4"/>
  <c r="S84" i="4"/>
  <c r="AB84" i="4"/>
  <c r="Q85" i="4"/>
  <c r="S85" i="4"/>
  <c r="AB85" i="4"/>
  <c r="Q86" i="4"/>
  <c r="CO86" i="4" s="1"/>
  <c r="S86" i="4"/>
  <c r="AB86" i="4"/>
  <c r="Q87" i="4"/>
  <c r="S87" i="4"/>
  <c r="AB87" i="4"/>
  <c r="AM87" i="4" s="1"/>
  <c r="CE87" i="4" s="1"/>
  <c r="Q88" i="4"/>
  <c r="S88" i="4"/>
  <c r="AB88" i="4"/>
  <c r="Q89" i="4"/>
  <c r="CO89" i="4" s="1"/>
  <c r="S89" i="4"/>
  <c r="AB89" i="4"/>
  <c r="Q90" i="4"/>
  <c r="CO90" i="4" s="1"/>
  <c r="S90" i="4"/>
  <c r="AB90" i="4"/>
  <c r="Q91" i="4"/>
  <c r="S91" i="4"/>
  <c r="AB91" i="4"/>
  <c r="Q92" i="4"/>
  <c r="S92" i="4"/>
  <c r="AB92" i="4"/>
  <c r="Q93" i="4"/>
  <c r="S93" i="4"/>
  <c r="AB93" i="4"/>
  <c r="AM93" i="4" s="1"/>
  <c r="Q94" i="4"/>
  <c r="S94" i="4"/>
  <c r="AB94" i="4"/>
  <c r="Q95" i="4"/>
  <c r="S95" i="4"/>
  <c r="AB95" i="4"/>
  <c r="Q96" i="4"/>
  <c r="S96" i="4"/>
  <c r="AB96" i="4"/>
  <c r="AM96" i="4" s="1"/>
  <c r="Q97" i="4"/>
  <c r="S97" i="4"/>
  <c r="AB97" i="4"/>
  <c r="Q98" i="4"/>
  <c r="S98" i="4"/>
  <c r="AB98" i="4"/>
  <c r="Q99" i="4"/>
  <c r="S99" i="4"/>
  <c r="AB99" i="4"/>
  <c r="AM99" i="4" s="1"/>
  <c r="CE99" i="4" s="1"/>
  <c r="Q100" i="4"/>
  <c r="S100" i="4"/>
  <c r="AB100" i="4"/>
  <c r="Q101" i="4"/>
  <c r="S101" i="4"/>
  <c r="AB101" i="4"/>
  <c r="Q102" i="4"/>
  <c r="CO102" i="4" s="1"/>
  <c r="S102" i="4"/>
  <c r="AB102" i="4"/>
  <c r="AM102" i="4" s="1"/>
  <c r="CE102" i="4" s="1"/>
  <c r="Q103" i="4"/>
  <c r="S103" i="4"/>
  <c r="AB103" i="4"/>
  <c r="Q104" i="4"/>
  <c r="S104" i="4"/>
  <c r="AB104" i="4"/>
  <c r="Q105" i="4"/>
  <c r="CO105" i="4" s="1"/>
  <c r="S105" i="4"/>
  <c r="AB105" i="4"/>
  <c r="AM105" i="4" s="1"/>
  <c r="CE105" i="4" s="1"/>
  <c r="Q106" i="4"/>
  <c r="S106" i="4"/>
  <c r="AB106" i="4"/>
  <c r="AM106" i="4" s="1"/>
  <c r="CE106" i="4" s="1"/>
  <c r="Q107" i="4"/>
  <c r="S107" i="4"/>
  <c r="AB107" i="4"/>
  <c r="Q108" i="4"/>
  <c r="CO108" i="4" s="1"/>
  <c r="S108" i="4"/>
  <c r="AB108" i="4"/>
  <c r="Q109" i="4"/>
  <c r="S109" i="4"/>
  <c r="AB10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AY59" i="4"/>
  <c r="AZ59" i="4"/>
  <c r="BB59" i="4"/>
  <c r="BX59" i="4"/>
  <c r="BZ59" i="4"/>
  <c r="CP59" i="4" s="1"/>
  <c r="CA59" i="4"/>
  <c r="CQ59" i="4" s="1"/>
  <c r="CG59" i="4"/>
  <c r="CU59" i="4"/>
  <c r="CV59" i="4"/>
  <c r="CW59" i="4"/>
  <c r="Q59" i="4"/>
  <c r="CO59" i="4" s="1"/>
  <c r="S59" i="4"/>
  <c r="AB59" i="4"/>
  <c r="B59" i="4"/>
  <c r="C59" i="4"/>
  <c r="J3" i="103"/>
  <c r="AZ55" i="4"/>
  <c r="BB55" i="4"/>
  <c r="BX55" i="4"/>
  <c r="BZ55" i="4"/>
  <c r="CP55" i="4" s="1"/>
  <c r="CA55" i="4"/>
  <c r="CQ55" i="4" s="1"/>
  <c r="CG55" i="4"/>
  <c r="CU55" i="4"/>
  <c r="CV55" i="4"/>
  <c r="CW55" i="4"/>
  <c r="AY55" i="4"/>
  <c r="BN55" i="4" s="1"/>
  <c r="BW55" i="4" s="1"/>
  <c r="S56" i="4"/>
  <c r="AB56" i="4"/>
  <c r="S57" i="4"/>
  <c r="AB57" i="4"/>
  <c r="S58" i="4"/>
  <c r="AB58" i="4"/>
  <c r="Q56" i="4"/>
  <c r="CO56" i="4" s="1"/>
  <c r="Q57" i="4"/>
  <c r="CO57" i="4" s="1"/>
  <c r="Q58" i="4"/>
  <c r="CO58" i="4" s="1"/>
  <c r="Q55" i="4"/>
  <c r="CO55" i="4" s="1"/>
  <c r="S55" i="4"/>
  <c r="AB55" i="4"/>
  <c r="B55" i="4"/>
  <c r="C55" i="4"/>
  <c r="B56" i="4"/>
  <c r="C56" i="4"/>
  <c r="B57" i="4"/>
  <c r="C57" i="4"/>
  <c r="B58" i="4"/>
  <c r="C58" i="4"/>
  <c r="AY56" i="4"/>
  <c r="BN56" i="4" s="1"/>
  <c r="AZ56" i="4"/>
  <c r="BB56" i="4"/>
  <c r="BX56" i="4"/>
  <c r="BZ56" i="4"/>
  <c r="CP56" i="4" s="1"/>
  <c r="CA56" i="4"/>
  <c r="CQ56" i="4" s="1"/>
  <c r="CG56" i="4"/>
  <c r="CU56" i="4"/>
  <c r="CV56" i="4"/>
  <c r="CW56" i="4"/>
  <c r="AY57" i="4"/>
  <c r="BN57" i="4" s="1"/>
  <c r="AZ57" i="4"/>
  <c r="BB57" i="4"/>
  <c r="BZ57" i="4"/>
  <c r="CP57" i="4" s="1"/>
  <c r="CA57" i="4"/>
  <c r="CQ57" i="4" s="1"/>
  <c r="CG57" i="4"/>
  <c r="CU57" i="4"/>
  <c r="CV57" i="4"/>
  <c r="CW57" i="4"/>
  <c r="AY58" i="4"/>
  <c r="AZ58" i="4"/>
  <c r="BB58" i="4"/>
  <c r="BZ58" i="4"/>
  <c r="CP58" i="4" s="1"/>
  <c r="CA58" i="4"/>
  <c r="CQ58" i="4" s="1"/>
  <c r="CG58" i="4"/>
  <c r="CU58" i="4"/>
  <c r="CV58" i="4"/>
  <c r="CW58" i="4"/>
  <c r="AY53" i="4"/>
  <c r="BN53" i="4" s="1"/>
  <c r="AZ53" i="4"/>
  <c r="BB53" i="4"/>
  <c r="BZ53" i="4"/>
  <c r="CA53" i="4"/>
  <c r="CQ53" i="4" s="1"/>
  <c r="CG53" i="4"/>
  <c r="CU53" i="4"/>
  <c r="CV53" i="4"/>
  <c r="CW53" i="4"/>
  <c r="AY54" i="4"/>
  <c r="BN54" i="4" s="1"/>
  <c r="BW54" i="4" s="1"/>
  <c r="AZ54" i="4"/>
  <c r="BB54" i="4"/>
  <c r="BZ54" i="4"/>
  <c r="CA54" i="4"/>
  <c r="CQ54" i="4" s="1"/>
  <c r="CG54" i="4"/>
  <c r="CU54" i="4"/>
  <c r="CV54" i="4"/>
  <c r="CW54" i="4"/>
  <c r="Q53" i="4"/>
  <c r="CO53" i="4" s="1"/>
  <c r="S53" i="4"/>
  <c r="AB53" i="4"/>
  <c r="Q54" i="4"/>
  <c r="CO54" i="4" s="1"/>
  <c r="S54" i="4"/>
  <c r="AB54" i="4"/>
  <c r="B53" i="4"/>
  <c r="C53" i="4"/>
  <c r="B54" i="4"/>
  <c r="C54" i="4"/>
  <c r="BO150" i="4" l="1"/>
  <c r="BY150" i="4"/>
  <c r="CB150" i="4"/>
  <c r="BT151" i="4"/>
  <c r="BV151" i="4"/>
  <c r="AM155" i="4"/>
  <c r="AM157" i="4"/>
  <c r="BN84" i="4"/>
  <c r="BO84" i="4" s="1"/>
  <c r="CN84" i="4"/>
  <c r="BY98" i="4"/>
  <c r="AM63" i="4"/>
  <c r="CE63" i="4" s="1"/>
  <c r="AM78" i="4"/>
  <c r="CE78" i="4" s="1"/>
  <c r="CP61" i="4"/>
  <c r="AM147" i="4"/>
  <c r="CB118" i="4"/>
  <c r="CB128" i="4"/>
  <c r="CB144" i="4"/>
  <c r="BO144" i="4"/>
  <c r="CB127" i="4"/>
  <c r="BO145" i="4"/>
  <c r="CB112" i="4"/>
  <c r="BS145" i="4"/>
  <c r="BT145" i="4" s="1"/>
  <c r="BW145" i="4"/>
  <c r="BY145" i="4" s="1"/>
  <c r="CF145" i="4"/>
  <c r="CB137" i="4"/>
  <c r="CP137" i="4"/>
  <c r="CN82" i="4"/>
  <c r="CP108" i="4"/>
  <c r="CK144" i="4"/>
  <c r="CL144" i="4" s="1"/>
  <c r="CM144" i="4"/>
  <c r="CN144" i="4"/>
  <c r="CO144" i="4"/>
  <c r="BP146" i="4"/>
  <c r="BW146" i="4"/>
  <c r="BY146" i="4" s="1"/>
  <c r="CE146" i="4"/>
  <c r="BP144" i="4"/>
  <c r="BU144" i="4" s="1"/>
  <c r="BV144" i="4" s="1"/>
  <c r="BS144" i="4"/>
  <c r="BT144" i="4" s="1"/>
  <c r="BW144" i="4"/>
  <c r="CE144" i="4"/>
  <c r="CF144" i="4"/>
  <c r="CK145" i="4"/>
  <c r="CL145" i="4" s="1"/>
  <c r="CN145" i="4"/>
  <c r="CO145" i="4"/>
  <c r="BS146" i="4"/>
  <c r="BT146" i="4" s="1"/>
  <c r="CF146" i="4"/>
  <c r="CK146" i="4"/>
  <c r="CM146" i="4"/>
  <c r="CN146" i="4"/>
  <c r="CO146" i="4"/>
  <c r="BP147" i="4"/>
  <c r="BU147" i="4" s="1"/>
  <c r="BS147" i="4"/>
  <c r="BW147" i="4"/>
  <c r="BY147" i="4" s="1"/>
  <c r="CE147" i="4"/>
  <c r="CF147" i="4"/>
  <c r="CK147" i="4"/>
  <c r="CL147" i="4" s="1"/>
  <c r="CM147" i="4"/>
  <c r="CN147" i="4"/>
  <c r="CO147" i="4"/>
  <c r="AM145" i="4"/>
  <c r="CE145" i="4" s="1"/>
  <c r="CB62" i="4"/>
  <c r="BT147" i="4"/>
  <c r="BV147" i="4"/>
  <c r="CL146" i="4"/>
  <c r="BQ147" i="4"/>
  <c r="BQ144" i="4"/>
  <c r="BY144" i="4"/>
  <c r="CB131" i="4"/>
  <c r="CB136" i="4"/>
  <c r="CB138" i="4"/>
  <c r="CB141" i="4"/>
  <c r="AM104" i="4"/>
  <c r="CE104" i="4" s="1"/>
  <c r="CB130" i="4"/>
  <c r="CF60" i="4"/>
  <c r="BN66" i="4"/>
  <c r="BW66" i="4" s="1"/>
  <c r="CN66" i="4"/>
  <c r="CB119" i="4"/>
  <c r="CB140" i="4"/>
  <c r="CB142" i="4"/>
  <c r="BW118" i="4"/>
  <c r="CB110" i="4"/>
  <c r="BW77" i="4"/>
  <c r="BO77" i="4"/>
  <c r="BN85" i="4"/>
  <c r="BW85" i="4" s="1"/>
  <c r="CQ89" i="4"/>
  <c r="AM77" i="4"/>
  <c r="CE77" i="4" s="1"/>
  <c r="CB78" i="4"/>
  <c r="AM101" i="4"/>
  <c r="CE101" i="4" s="1"/>
  <c r="CB126" i="4"/>
  <c r="BO118" i="4"/>
  <c r="CF118" i="4" s="1"/>
  <c r="AM113" i="4"/>
  <c r="CO123" i="4"/>
  <c r="CO124" i="4"/>
  <c r="CO125" i="4"/>
  <c r="CO126" i="4"/>
  <c r="CO127" i="4"/>
  <c r="CO128" i="4"/>
  <c r="CO129" i="4"/>
  <c r="CO130" i="4"/>
  <c r="CO131" i="4"/>
  <c r="BN133" i="4"/>
  <c r="BW133" i="4" s="1"/>
  <c r="BY133" i="4" s="1"/>
  <c r="BO133" i="4"/>
  <c r="CF133" i="4" s="1"/>
  <c r="CN133" i="4"/>
  <c r="BN134" i="4"/>
  <c r="BW134" i="4" s="1"/>
  <c r="BY134" i="4" s="1"/>
  <c r="BO134" i="4"/>
  <c r="CF134" i="4" s="1"/>
  <c r="BS134" i="4"/>
  <c r="BT134" i="4" s="1"/>
  <c r="CK134" i="4"/>
  <c r="CL134" i="4" s="1"/>
  <c r="CN134" i="4"/>
  <c r="CO134" i="4"/>
  <c r="BN135" i="4"/>
  <c r="BW135" i="4" s="1"/>
  <c r="BY135" i="4" s="1"/>
  <c r="BO135" i="4"/>
  <c r="CF135" i="4" s="1"/>
  <c r="BS135" i="4"/>
  <c r="BT135" i="4" s="1"/>
  <c r="CK135" i="4"/>
  <c r="CL135" i="4" s="1"/>
  <c r="CN135" i="4"/>
  <c r="CO135" i="4"/>
  <c r="BN136" i="4"/>
  <c r="BW136" i="4" s="1"/>
  <c r="BY136" i="4" s="1"/>
  <c r="BS136" i="4"/>
  <c r="BT136" i="4" s="1"/>
  <c r="CK136" i="4"/>
  <c r="CL136" i="4" s="1"/>
  <c r="CN136" i="4"/>
  <c r="CO136" i="4"/>
  <c r="BN137" i="4"/>
  <c r="BW137" i="4" s="1"/>
  <c r="BY137" i="4" s="1"/>
  <c r="BO137" i="4"/>
  <c r="CF137" i="4" s="1"/>
  <c r="BS137" i="4"/>
  <c r="BT137" i="4" s="1"/>
  <c r="CK137" i="4"/>
  <c r="CL137" i="4" s="1"/>
  <c r="CN137" i="4"/>
  <c r="CO137" i="4"/>
  <c r="BN138" i="4"/>
  <c r="BW138" i="4" s="1"/>
  <c r="BY138" i="4" s="1"/>
  <c r="BO138" i="4"/>
  <c r="CF138" i="4" s="1"/>
  <c r="BS138" i="4"/>
  <c r="BT138" i="4" s="1"/>
  <c r="CK138" i="4"/>
  <c r="CL138" i="4" s="1"/>
  <c r="CN138" i="4"/>
  <c r="CO138" i="4"/>
  <c r="BN139" i="4"/>
  <c r="BW139" i="4" s="1"/>
  <c r="BY139" i="4" s="1"/>
  <c r="BO139" i="4"/>
  <c r="CF139" i="4" s="1"/>
  <c r="BS139" i="4"/>
  <c r="BT139" i="4" s="1"/>
  <c r="CK139" i="4"/>
  <c r="CL139" i="4" s="1"/>
  <c r="CN139" i="4"/>
  <c r="CO139" i="4"/>
  <c r="BN140" i="4"/>
  <c r="BW140" i="4" s="1"/>
  <c r="BY140" i="4" s="1"/>
  <c r="BO140" i="4"/>
  <c r="CF140" i="4" s="1"/>
  <c r="BS140" i="4"/>
  <c r="BT140" i="4" s="1"/>
  <c r="CK140" i="4"/>
  <c r="CL140" i="4" s="1"/>
  <c r="CN140" i="4"/>
  <c r="CO140" i="4"/>
  <c r="BN141" i="4"/>
  <c r="BW141" i="4" s="1"/>
  <c r="BY141" i="4" s="1"/>
  <c r="BO141" i="4"/>
  <c r="CF141" i="4" s="1"/>
  <c r="BS141" i="4"/>
  <c r="BT141" i="4" s="1"/>
  <c r="CK141" i="4"/>
  <c r="CL141" i="4" s="1"/>
  <c r="CN141" i="4"/>
  <c r="CO141" i="4"/>
  <c r="BN142" i="4"/>
  <c r="BW142" i="4" s="1"/>
  <c r="BY142" i="4" s="1"/>
  <c r="BS142" i="4"/>
  <c r="BT142" i="4" s="1"/>
  <c r="CK142" i="4"/>
  <c r="CL142" i="4" s="1"/>
  <c r="CN142" i="4"/>
  <c r="CO142" i="4"/>
  <c r="BN143" i="4"/>
  <c r="BW143" i="4" s="1"/>
  <c r="BY143" i="4" s="1"/>
  <c r="BS143" i="4"/>
  <c r="BT143" i="4" s="1"/>
  <c r="CK143" i="4"/>
  <c r="CL143" i="4" s="1"/>
  <c r="CN143" i="4"/>
  <c r="CO143" i="4"/>
  <c r="BN119" i="4"/>
  <c r="BW119" i="4" s="1"/>
  <c r="BY119" i="4" s="1"/>
  <c r="BS119" i="4"/>
  <c r="BT119" i="4" s="1"/>
  <c r="CK119" i="4"/>
  <c r="CL119" i="4" s="1"/>
  <c r="CN119" i="4"/>
  <c r="CO119" i="4"/>
  <c r="BN120" i="4"/>
  <c r="BW120" i="4" s="1"/>
  <c r="BY120" i="4" s="1"/>
  <c r="BO120" i="4"/>
  <c r="BS120" i="4"/>
  <c r="BT120" i="4" s="1"/>
  <c r="CK120" i="4"/>
  <c r="CL120" i="4" s="1"/>
  <c r="CN120" i="4"/>
  <c r="CO120" i="4"/>
  <c r="BN121" i="4"/>
  <c r="BW121" i="4" s="1"/>
  <c r="BY121" i="4" s="1"/>
  <c r="BO121" i="4"/>
  <c r="BS121" i="4"/>
  <c r="BT121" i="4" s="1"/>
  <c r="CK121" i="4"/>
  <c r="CL121" i="4" s="1"/>
  <c r="CN121" i="4"/>
  <c r="CO121" i="4"/>
  <c r="BN122" i="4"/>
  <c r="BW122" i="4" s="1"/>
  <c r="BY122" i="4" s="1"/>
  <c r="BS122" i="4"/>
  <c r="BT122" i="4" s="1"/>
  <c r="CK122" i="4"/>
  <c r="CL122" i="4" s="1"/>
  <c r="CN122" i="4"/>
  <c r="CO122" i="4"/>
  <c r="BN123" i="4"/>
  <c r="BW123" i="4" s="1"/>
  <c r="BY123" i="4" s="1"/>
  <c r="BO123" i="4"/>
  <c r="BS123" i="4"/>
  <c r="BT123" i="4" s="1"/>
  <c r="CK123" i="4"/>
  <c r="CL123" i="4" s="1"/>
  <c r="CN123" i="4"/>
  <c r="BN124" i="4"/>
  <c r="BW124" i="4" s="1"/>
  <c r="BY124" i="4" s="1"/>
  <c r="BS124" i="4"/>
  <c r="BT124" i="4" s="1"/>
  <c r="CK124" i="4"/>
  <c r="CL124" i="4" s="1"/>
  <c r="CN124" i="4"/>
  <c r="BN125" i="4"/>
  <c r="BW125" i="4" s="1"/>
  <c r="BY125" i="4" s="1"/>
  <c r="BS125" i="4"/>
  <c r="BT125" i="4" s="1"/>
  <c r="CK125" i="4"/>
  <c r="CL125" i="4" s="1"/>
  <c r="CN125" i="4"/>
  <c r="BN126" i="4"/>
  <c r="BW126" i="4" s="1"/>
  <c r="BO126" i="4"/>
  <c r="BS126" i="4"/>
  <c r="BT126" i="4" s="1"/>
  <c r="CK126" i="4"/>
  <c r="CL126" i="4" s="1"/>
  <c r="CN126" i="4"/>
  <c r="BN127" i="4"/>
  <c r="BW127" i="4" s="1"/>
  <c r="BY127" i="4" s="1"/>
  <c r="BO127" i="4"/>
  <c r="BS127" i="4"/>
  <c r="BT127" i="4" s="1"/>
  <c r="CK127" i="4"/>
  <c r="CL127" i="4" s="1"/>
  <c r="CN127" i="4"/>
  <c r="BN128" i="4"/>
  <c r="BW128" i="4" s="1"/>
  <c r="BY128" i="4" s="1"/>
  <c r="BO128" i="4"/>
  <c r="BS128" i="4"/>
  <c r="BT128" i="4" s="1"/>
  <c r="CK128" i="4"/>
  <c r="CL128" i="4" s="1"/>
  <c r="CN128" i="4"/>
  <c r="BN129" i="4"/>
  <c r="BW129" i="4" s="1"/>
  <c r="BY129" i="4" s="1"/>
  <c r="BO129" i="4"/>
  <c r="BS129" i="4"/>
  <c r="BT129" i="4" s="1"/>
  <c r="CK129" i="4"/>
  <c r="CL129" i="4" s="1"/>
  <c r="CN129" i="4"/>
  <c r="BN130" i="4"/>
  <c r="BW130" i="4" s="1"/>
  <c r="BY130" i="4" s="1"/>
  <c r="BO130" i="4"/>
  <c r="BS130" i="4"/>
  <c r="BT130" i="4" s="1"/>
  <c r="CK130" i="4"/>
  <c r="CL130" i="4" s="1"/>
  <c r="CN130" i="4"/>
  <c r="BN131" i="4"/>
  <c r="BW131" i="4" s="1"/>
  <c r="BY131" i="4" s="1"/>
  <c r="BO131" i="4"/>
  <c r="BS131" i="4"/>
  <c r="BT131" i="4" s="1"/>
  <c r="CK131" i="4"/>
  <c r="CL131" i="4" s="1"/>
  <c r="CN131" i="4"/>
  <c r="BN132" i="4"/>
  <c r="BW132" i="4" s="1"/>
  <c r="BY132" i="4" s="1"/>
  <c r="BO132" i="4"/>
  <c r="BS132" i="4"/>
  <c r="BT132" i="4" s="1"/>
  <c r="CK132" i="4"/>
  <c r="CL132" i="4" s="1"/>
  <c r="CN132" i="4"/>
  <c r="CO132" i="4"/>
  <c r="BS133" i="4"/>
  <c r="BT133" i="4" s="1"/>
  <c r="CK133" i="4"/>
  <c r="CL133" i="4" s="1"/>
  <c r="CO133" i="4"/>
  <c r="BN67" i="4"/>
  <c r="BW67" i="4" s="1"/>
  <c r="BO67" i="4"/>
  <c r="CF67" i="4" s="1"/>
  <c r="CN67" i="4"/>
  <c r="BY126" i="4"/>
  <c r="AM119" i="4"/>
  <c r="CE119" i="4" s="1"/>
  <c r="AM120" i="4"/>
  <c r="CE120" i="4" s="1"/>
  <c r="AM121" i="4"/>
  <c r="CE121" i="4" s="1"/>
  <c r="AM122" i="4"/>
  <c r="CE122" i="4" s="1"/>
  <c r="AM123" i="4"/>
  <c r="CE123" i="4" s="1"/>
  <c r="AM124" i="4"/>
  <c r="CE124" i="4" s="1"/>
  <c r="AM125" i="4"/>
  <c r="CE125" i="4" s="1"/>
  <c r="AM126" i="4"/>
  <c r="CE126" i="4" s="1"/>
  <c r="AM127" i="4"/>
  <c r="CE127" i="4" s="1"/>
  <c r="AM128" i="4"/>
  <c r="CE128" i="4" s="1"/>
  <c r="AM129" i="4"/>
  <c r="CE129" i="4" s="1"/>
  <c r="AM130" i="4"/>
  <c r="CE130" i="4" s="1"/>
  <c r="AM131" i="4"/>
  <c r="CE131" i="4" s="1"/>
  <c r="AM134" i="4"/>
  <c r="AM135" i="4"/>
  <c r="AM137" i="4"/>
  <c r="AM138" i="4"/>
  <c r="AM139" i="4"/>
  <c r="AM142" i="4"/>
  <c r="AM143" i="4"/>
  <c r="CB117" i="4"/>
  <c r="CN100" i="4"/>
  <c r="CQ100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AM132" i="4"/>
  <c r="CE132" i="4" s="1"/>
  <c r="AM133" i="4"/>
  <c r="AM136" i="4"/>
  <c r="AM141" i="4"/>
  <c r="AM140" i="4"/>
  <c r="AM98" i="4"/>
  <c r="CE98" i="4" s="1"/>
  <c r="AM95" i="4"/>
  <c r="CP109" i="4"/>
  <c r="CQ109" i="4"/>
  <c r="AM69" i="4"/>
  <c r="CE69" i="4" s="1"/>
  <c r="AM107" i="4"/>
  <c r="CE107" i="4" s="1"/>
  <c r="BN88" i="4"/>
  <c r="BW88" i="4" s="1"/>
  <c r="CN88" i="4"/>
  <c r="CB109" i="4"/>
  <c r="BN68" i="4"/>
  <c r="BW68" i="4" s="1"/>
  <c r="CN68" i="4"/>
  <c r="CB114" i="4"/>
  <c r="CB64" i="4"/>
  <c r="CB105" i="4"/>
  <c r="CN109" i="4"/>
  <c r="CB116" i="4"/>
  <c r="AM109" i="4"/>
  <c r="CE109" i="4" s="1"/>
  <c r="CQ87" i="4"/>
  <c r="AM114" i="4"/>
  <c r="CB83" i="4"/>
  <c r="CN87" i="4"/>
  <c r="CO117" i="4"/>
  <c r="AM116" i="4"/>
  <c r="CB111" i="4"/>
  <c r="BN86" i="4"/>
  <c r="BW86" i="4" s="1"/>
  <c r="BO86" i="4"/>
  <c r="CN107" i="4"/>
  <c r="CK118" i="4"/>
  <c r="CL118" i="4" s="1"/>
  <c r="CO118" i="4"/>
  <c r="CR118" i="4" s="1"/>
  <c r="BS118" i="4"/>
  <c r="BT118" i="4" s="1"/>
  <c r="CE118" i="4"/>
  <c r="BS117" i="4"/>
  <c r="BT117" i="4" s="1"/>
  <c r="CK117" i="4"/>
  <c r="CL117" i="4" s="1"/>
  <c r="CN117" i="4"/>
  <c r="CR117" i="4" s="1"/>
  <c r="BN117" i="4"/>
  <c r="BW117" i="4" s="1"/>
  <c r="BY117" i="4" s="1"/>
  <c r="AM117" i="4"/>
  <c r="CE117" i="4" s="1"/>
  <c r="CB65" i="4"/>
  <c r="BW80" i="4"/>
  <c r="BY80" i="4" s="1"/>
  <c r="AM86" i="4"/>
  <c r="CE86" i="4" s="1"/>
  <c r="BN79" i="4"/>
  <c r="BW79" i="4" s="1"/>
  <c r="BY79" i="4" s="1"/>
  <c r="BO79" i="4"/>
  <c r="CF79" i="4" s="1"/>
  <c r="CN79" i="4"/>
  <c r="CN94" i="4"/>
  <c r="BS114" i="4"/>
  <c r="BT114" i="4" s="1"/>
  <c r="CK114" i="4"/>
  <c r="CL114" i="4" s="1"/>
  <c r="CN114" i="4"/>
  <c r="CO114" i="4"/>
  <c r="BS115" i="4"/>
  <c r="BT115" i="4" s="1"/>
  <c r="BS116" i="4"/>
  <c r="BT116" i="4" s="1"/>
  <c r="CK116" i="4"/>
  <c r="CL116" i="4" s="1"/>
  <c r="CN116" i="4"/>
  <c r="CO116" i="4"/>
  <c r="BN114" i="4"/>
  <c r="BW114" i="4" s="1"/>
  <c r="BY114" i="4" s="1"/>
  <c r="BO114" i="4"/>
  <c r="BN115" i="4"/>
  <c r="BW115" i="4" s="1"/>
  <c r="BY115" i="4" s="1"/>
  <c r="BN116" i="4"/>
  <c r="BW116" i="4" s="1"/>
  <c r="BY116" i="4" s="1"/>
  <c r="BO116" i="4"/>
  <c r="BN61" i="4"/>
  <c r="BW61" i="4" s="1"/>
  <c r="CN61" i="4"/>
  <c r="CP75" i="4"/>
  <c r="CQ75" i="4"/>
  <c r="CB90" i="4"/>
  <c r="CP90" i="4"/>
  <c r="CB106" i="4"/>
  <c r="CN106" i="4"/>
  <c r="CB115" i="4"/>
  <c r="CK115" i="4"/>
  <c r="CL115" i="4" s="1"/>
  <c r="CN115" i="4"/>
  <c r="CO115" i="4"/>
  <c r="AM115" i="4"/>
  <c r="CE115" i="4" s="1"/>
  <c r="CN65" i="4"/>
  <c r="CP65" i="4"/>
  <c r="CQ65" i="4"/>
  <c r="BO107" i="4"/>
  <c r="CB59" i="4"/>
  <c r="BS96" i="4"/>
  <c r="BT96" i="4" s="1"/>
  <c r="AM92" i="4"/>
  <c r="CE92" i="4" s="1"/>
  <c r="BO76" i="4"/>
  <c r="CF76" i="4" s="1"/>
  <c r="BW76" i="4"/>
  <c r="CO95" i="4"/>
  <c r="CO96" i="4"/>
  <c r="AM108" i="4"/>
  <c r="CE108" i="4" s="1"/>
  <c r="CO91" i="4"/>
  <c r="BS92" i="4"/>
  <c r="BT92" i="4" s="1"/>
  <c r="CO92" i="4"/>
  <c r="CK93" i="4"/>
  <c r="CL93" i="4" s="1"/>
  <c r="CE93" i="4"/>
  <c r="CO93" i="4"/>
  <c r="CK94" i="4"/>
  <c r="CL94" i="4" s="1"/>
  <c r="CO94" i="4"/>
  <c r="BP96" i="4"/>
  <c r="CO97" i="4"/>
  <c r="AM65" i="4"/>
  <c r="CE65" i="4" s="1"/>
  <c r="AM83" i="4"/>
  <c r="AM89" i="4"/>
  <c r="CE89" i="4" s="1"/>
  <c r="BN64" i="4"/>
  <c r="BW64" i="4" s="1"/>
  <c r="CN64" i="4"/>
  <c r="BS86" i="4"/>
  <c r="BT86" i="4" s="1"/>
  <c r="AM62" i="4"/>
  <c r="CE62" i="4" s="1"/>
  <c r="AM71" i="4"/>
  <c r="CE71" i="4" s="1"/>
  <c r="AM74" i="4"/>
  <c r="CE74" i="4" s="1"/>
  <c r="BN113" i="4"/>
  <c r="BW113" i="4" s="1"/>
  <c r="BY113" i="4" s="1"/>
  <c r="BS113" i="4"/>
  <c r="BT113" i="4" s="1"/>
  <c r="CK113" i="4"/>
  <c r="CL113" i="4" s="1"/>
  <c r="CN113" i="4"/>
  <c r="CO113" i="4"/>
  <c r="CE96" i="4"/>
  <c r="CF96" i="4"/>
  <c r="CK96" i="4"/>
  <c r="CL96" i="4" s="1"/>
  <c r="CN96" i="4"/>
  <c r="CP96" i="4"/>
  <c r="CN108" i="4"/>
  <c r="AM90" i="4"/>
  <c r="CE90" i="4" s="1"/>
  <c r="AA2" i="103"/>
  <c r="CK111" i="4"/>
  <c r="CL111" i="4" s="1"/>
  <c r="CN111" i="4"/>
  <c r="BN111" i="4"/>
  <c r="BS111" i="4"/>
  <c r="BT111" i="4" s="1"/>
  <c r="CK112" i="4"/>
  <c r="CL112" i="4" s="1"/>
  <c r="CN112" i="4"/>
  <c r="BN112" i="4"/>
  <c r="BW112" i="4" s="1"/>
  <c r="BY112" i="4" s="1"/>
  <c r="BO112" i="4"/>
  <c r="BS112" i="4"/>
  <c r="BT112" i="4" s="1"/>
  <c r="AM111" i="4"/>
  <c r="CE111" i="4" s="1"/>
  <c r="CO111" i="4"/>
  <c r="CO112" i="4"/>
  <c r="AM112" i="4"/>
  <c r="CE112" i="4" s="1"/>
  <c r="CB60" i="4"/>
  <c r="CP60" i="4"/>
  <c r="BW62" i="4"/>
  <c r="BO62" i="4"/>
  <c r="CB71" i="4"/>
  <c r="CP71" i="4"/>
  <c r="BN91" i="4"/>
  <c r="CN91" i="4"/>
  <c r="BS90" i="4"/>
  <c r="BT90" i="4" s="1"/>
  <c r="BS103" i="4"/>
  <c r="BT103" i="4" s="1"/>
  <c r="CK104" i="4"/>
  <c r="CL104" i="4" s="1"/>
  <c r="CK105" i="4"/>
  <c r="CL105" i="4" s="1"/>
  <c r="BS106" i="4"/>
  <c r="BT106" i="4" s="1"/>
  <c r="CK109" i="4"/>
  <c r="CL109" i="4" s="1"/>
  <c r="AM66" i="4"/>
  <c r="CB72" i="4"/>
  <c r="CQ72" i="4"/>
  <c r="CK86" i="4"/>
  <c r="CL86" i="4" s="1"/>
  <c r="CN86" i="4"/>
  <c r="CR86" i="4" s="1"/>
  <c r="CK87" i="4"/>
  <c r="CL87" i="4" s="1"/>
  <c r="CO87" i="4"/>
  <c r="BS88" i="4"/>
  <c r="BT88" i="4" s="1"/>
  <c r="CK88" i="4"/>
  <c r="CL88" i="4" s="1"/>
  <c r="CO88" i="4"/>
  <c r="BS91" i="4"/>
  <c r="BT91" i="4" s="1"/>
  <c r="CK91" i="4"/>
  <c r="CL91" i="4" s="1"/>
  <c r="BS100" i="4"/>
  <c r="BT100" i="4" s="1"/>
  <c r="CK100" i="4"/>
  <c r="CL100" i="4" s="1"/>
  <c r="CO100" i="4"/>
  <c r="BS101" i="4"/>
  <c r="BT101" i="4" s="1"/>
  <c r="CO101" i="4"/>
  <c r="CK103" i="4"/>
  <c r="CL103" i="4" s="1"/>
  <c r="CO103" i="4"/>
  <c r="CR103" i="4" s="1"/>
  <c r="BS104" i="4"/>
  <c r="BT104" i="4" s="1"/>
  <c r="CO104" i="4"/>
  <c r="CO106" i="4"/>
  <c r="CK106" i="4"/>
  <c r="CL106" i="4" s="1"/>
  <c r="BS107" i="4"/>
  <c r="BT107" i="4" s="1"/>
  <c r="CK107" i="4"/>
  <c r="CL107" i="4" s="1"/>
  <c r="CO107" i="4"/>
  <c r="BS109" i="4"/>
  <c r="BT109" i="4" s="1"/>
  <c r="CO109" i="4"/>
  <c r="AM110" i="4"/>
  <c r="CE110" i="4" s="1"/>
  <c r="BY102" i="4"/>
  <c r="CR73" i="4"/>
  <c r="CR77" i="4"/>
  <c r="CR83" i="4"/>
  <c r="BN110" i="4"/>
  <c r="BS110" i="4"/>
  <c r="BT110" i="4" s="1"/>
  <c r="CK110" i="4"/>
  <c r="CL110" i="4" s="1"/>
  <c r="CN110" i="4"/>
  <c r="CR110" i="4" s="1"/>
  <c r="CN85" i="4"/>
  <c r="BW95" i="4"/>
  <c r="BY95" i="4" s="1"/>
  <c r="BO95" i="4"/>
  <c r="CF95" i="4" s="1"/>
  <c r="BS98" i="4"/>
  <c r="BT98" i="4" s="1"/>
  <c r="CK98" i="4"/>
  <c r="CL98" i="4" s="1"/>
  <c r="CO98" i="4"/>
  <c r="CR98" i="4" s="1"/>
  <c r="CK99" i="4"/>
  <c r="CL99" i="4" s="1"/>
  <c r="CO99" i="4"/>
  <c r="CR99" i="4" s="1"/>
  <c r="BY60" i="4"/>
  <c r="BS61" i="4"/>
  <c r="BT61" i="4" s="1"/>
  <c r="CB61" i="4"/>
  <c r="BY63" i="4"/>
  <c r="CB63" i="4"/>
  <c r="CR63" i="4"/>
  <c r="CK64" i="4"/>
  <c r="CL64" i="4" s="1"/>
  <c r="BS66" i="4"/>
  <c r="BT66" i="4" s="1"/>
  <c r="CB67" i="4"/>
  <c r="CK69" i="4"/>
  <c r="CL69" i="4" s="1"/>
  <c r="CR69" i="4"/>
  <c r="BY70" i="4"/>
  <c r="CR70" i="4"/>
  <c r="CB68" i="4"/>
  <c r="BS71" i="4"/>
  <c r="BT71" i="4" s="1"/>
  <c r="BY71" i="4"/>
  <c r="BS73" i="4"/>
  <c r="BT73" i="4" s="1"/>
  <c r="BY73" i="4"/>
  <c r="CB73" i="4"/>
  <c r="CB75" i="4"/>
  <c r="CK76" i="4"/>
  <c r="CL76" i="4" s="1"/>
  <c r="BS78" i="4"/>
  <c r="BT78" i="4" s="1"/>
  <c r="BY78" i="4"/>
  <c r="CB79" i="4"/>
  <c r="BO80" i="4"/>
  <c r="CB80" i="4"/>
  <c r="BS83" i="4"/>
  <c r="BT83" i="4" s="1"/>
  <c r="BY83" i="4"/>
  <c r="BS85" i="4"/>
  <c r="BT85" i="4" s="1"/>
  <c r="AM82" i="4"/>
  <c r="CE82" i="4" s="1"/>
  <c r="AM84" i="4"/>
  <c r="BP84" i="4" s="1"/>
  <c r="CB87" i="4"/>
  <c r="CB88" i="4"/>
  <c r="CB91" i="4"/>
  <c r="BO92" i="4"/>
  <c r="BY92" i="4"/>
  <c r="BY93" i="4"/>
  <c r="BY97" i="4"/>
  <c r="CB99" i="4"/>
  <c r="BY100" i="4"/>
  <c r="BY101" i="4"/>
  <c r="CB103" i="4"/>
  <c r="AM79" i="4"/>
  <c r="BY107" i="4"/>
  <c r="AM61" i="4"/>
  <c r="CE61" i="4" s="1"/>
  <c r="AM64" i="4"/>
  <c r="AM67" i="4"/>
  <c r="AM70" i="4"/>
  <c r="CE70" i="4" s="1"/>
  <c r="AM73" i="4"/>
  <c r="CE73" i="4" s="1"/>
  <c r="AM76" i="4"/>
  <c r="AM88" i="4"/>
  <c r="AM91" i="4"/>
  <c r="CE91" i="4" s="1"/>
  <c r="AM94" i="4"/>
  <c r="CE94" i="4" s="1"/>
  <c r="AM97" i="4"/>
  <c r="CE97" i="4" s="1"/>
  <c r="AM100" i="4"/>
  <c r="CE100" i="4" s="1"/>
  <c r="AM103" i="4"/>
  <c r="CE103" i="4" s="1"/>
  <c r="CP85" i="4"/>
  <c r="CB85" i="4"/>
  <c r="BS95" i="4"/>
  <c r="BT95" i="4" s="1"/>
  <c r="CN95" i="4"/>
  <c r="BS60" i="4"/>
  <c r="BT60" i="4" s="1"/>
  <c r="CK60" i="4"/>
  <c r="CL60" i="4" s="1"/>
  <c r="CO60" i="4"/>
  <c r="CE60" i="4"/>
  <c r="CM60" i="4"/>
  <c r="BP60" i="4"/>
  <c r="BS62" i="4"/>
  <c r="BT62" i="4" s="1"/>
  <c r="CK62" i="4"/>
  <c r="CL62" i="4" s="1"/>
  <c r="CO62" i="4"/>
  <c r="CR62" i="4" s="1"/>
  <c r="CO64" i="4"/>
  <c r="BS64" i="4"/>
  <c r="BT64" i="4" s="1"/>
  <c r="CK66" i="4"/>
  <c r="CL66" i="4" s="1"/>
  <c r="CO66" i="4"/>
  <c r="BS67" i="4"/>
  <c r="BT67" i="4" s="1"/>
  <c r="CK67" i="4"/>
  <c r="CL67" i="4" s="1"/>
  <c r="CO67" i="4"/>
  <c r="CO68" i="4"/>
  <c r="BS68" i="4"/>
  <c r="BT68" i="4" s="1"/>
  <c r="CO72" i="4"/>
  <c r="CK72" i="4"/>
  <c r="CL72" i="4" s="1"/>
  <c r="BS72" i="4"/>
  <c r="BT72" i="4" s="1"/>
  <c r="CO74" i="4"/>
  <c r="CR74" i="4" s="1"/>
  <c r="BS74" i="4"/>
  <c r="BT74" i="4" s="1"/>
  <c r="CK74" i="4"/>
  <c r="CL74" i="4" s="1"/>
  <c r="BS76" i="4"/>
  <c r="BT76" i="4" s="1"/>
  <c r="CO76" i="4"/>
  <c r="CR76" i="4" s="1"/>
  <c r="CK78" i="4"/>
  <c r="CL78" i="4" s="1"/>
  <c r="CO78" i="4"/>
  <c r="CR78" i="4" s="1"/>
  <c r="BS79" i="4"/>
  <c r="BT79" i="4" s="1"/>
  <c r="CK79" i="4"/>
  <c r="CL79" i="4" s="1"/>
  <c r="CO79" i="4"/>
  <c r="BS80" i="4"/>
  <c r="BT80" i="4" s="1"/>
  <c r="CO80" i="4"/>
  <c r="BS81" i="4"/>
  <c r="BT81" i="4" s="1"/>
  <c r="CO81" i="4"/>
  <c r="CR81" i="4" s="1"/>
  <c r="BS84" i="4"/>
  <c r="BT84" i="4" s="1"/>
  <c r="CK84" i="4"/>
  <c r="CL84" i="4" s="1"/>
  <c r="CO84" i="4"/>
  <c r="AM85" i="4"/>
  <c r="CO85" i="4"/>
  <c r="CN59" i="4"/>
  <c r="BN59" i="4"/>
  <c r="BW59" i="4" s="1"/>
  <c r="BO97" i="4"/>
  <c r="CB108" i="4"/>
  <c r="BN105" i="4"/>
  <c r="BO101" i="4"/>
  <c r="BO93" i="4"/>
  <c r="BN89" i="4"/>
  <c r="CK89" i="4"/>
  <c r="CL89" i="4" s="1"/>
  <c r="CB107" i="4"/>
  <c r="BO100" i="4"/>
  <c r="BS97" i="4"/>
  <c r="BT97" i="4" s="1"/>
  <c r="CK97" i="4"/>
  <c r="CL97" i="4" s="1"/>
  <c r="CP79" i="4"/>
  <c r="BO65" i="4"/>
  <c r="BW65" i="4"/>
  <c r="BY65" i="4" s="1"/>
  <c r="CN105" i="4"/>
  <c r="CR105" i="4" s="1"/>
  <c r="BN104" i="4"/>
  <c r="CP88" i="4"/>
  <c r="CP87" i="4"/>
  <c r="CK81" i="4"/>
  <c r="CL81" i="4" s="1"/>
  <c r="BN81" i="4"/>
  <c r="BW81" i="4" s="1"/>
  <c r="BY81" i="4" s="1"/>
  <c r="CF78" i="4"/>
  <c r="CM78" i="4"/>
  <c r="BP78" i="4"/>
  <c r="BP72" i="4"/>
  <c r="CF72" i="4"/>
  <c r="CM72" i="4"/>
  <c r="CN102" i="4"/>
  <c r="CR102" i="4" s="1"/>
  <c r="BS102" i="4"/>
  <c r="BT102" i="4" s="1"/>
  <c r="CB100" i="4"/>
  <c r="BN94" i="4"/>
  <c r="BW94" i="4" s="1"/>
  <c r="BY94" i="4" s="1"/>
  <c r="BS94" i="4"/>
  <c r="BT94" i="4" s="1"/>
  <c r="CB92" i="4"/>
  <c r="CQ84" i="4"/>
  <c r="CB104" i="4"/>
  <c r="BN109" i="4"/>
  <c r="CK108" i="4"/>
  <c r="CL108" i="4" s="1"/>
  <c r="BN106" i="4"/>
  <c r="CK102" i="4"/>
  <c r="CL102" i="4" s="1"/>
  <c r="CB96" i="4"/>
  <c r="CP91" i="4"/>
  <c r="BN87" i="4"/>
  <c r="BW87" i="4" s="1"/>
  <c r="BY87" i="4" s="1"/>
  <c r="BO87" i="4"/>
  <c r="BS87" i="4"/>
  <c r="BT87" i="4" s="1"/>
  <c r="BS105" i="4"/>
  <c r="BT105" i="4" s="1"/>
  <c r="BO102" i="4"/>
  <c r="CP92" i="4"/>
  <c r="CN89" i="4"/>
  <c r="BS89" i="4"/>
  <c r="BT89" i="4" s="1"/>
  <c r="CP80" i="4"/>
  <c r="BS108" i="4"/>
  <c r="BT108" i="4" s="1"/>
  <c r="CN101" i="4"/>
  <c r="BN108" i="4"/>
  <c r="BW108" i="4" s="1"/>
  <c r="BY108" i="4" s="1"/>
  <c r="BN99" i="4"/>
  <c r="BS99" i="4"/>
  <c r="BT99" i="4" s="1"/>
  <c r="CF98" i="4"/>
  <c r="CN97" i="4"/>
  <c r="BW96" i="4"/>
  <c r="BY96" i="4" s="1"/>
  <c r="CN90" i="4"/>
  <c r="BN82" i="4"/>
  <c r="BS82" i="4"/>
  <c r="BT82" i="4" s="1"/>
  <c r="CK82" i="4"/>
  <c r="CL82" i="4" s="1"/>
  <c r="CN104" i="4"/>
  <c r="BN103" i="4"/>
  <c r="CK101" i="4"/>
  <c r="CL101" i="4" s="1"/>
  <c r="CM96" i="4"/>
  <c r="BS93" i="4"/>
  <c r="BT93" i="4" s="1"/>
  <c r="CK90" i="4"/>
  <c r="CL90" i="4" s="1"/>
  <c r="BN90" i="4"/>
  <c r="BW90" i="4" s="1"/>
  <c r="BY90" i="4" s="1"/>
  <c r="CF84" i="4"/>
  <c r="BO73" i="4"/>
  <c r="BW72" i="4"/>
  <c r="BY72" i="4" s="1"/>
  <c r="CF71" i="4"/>
  <c r="BS69" i="4"/>
  <c r="BT69" i="4" s="1"/>
  <c r="CK77" i="4"/>
  <c r="CL77" i="4" s="1"/>
  <c r="CK65" i="4"/>
  <c r="CL65" i="4" s="1"/>
  <c r="CK70" i="4"/>
  <c r="CL70" i="4" s="1"/>
  <c r="BS77" i="4"/>
  <c r="BT77" i="4" s="1"/>
  <c r="CK75" i="4"/>
  <c r="CL75" i="4" s="1"/>
  <c r="BN69" i="4"/>
  <c r="BW69" i="4" s="1"/>
  <c r="BY69" i="4" s="1"/>
  <c r="BS65" i="4"/>
  <c r="BT65" i="4" s="1"/>
  <c r="CK63" i="4"/>
  <c r="CL63" i="4" s="1"/>
  <c r="CK92" i="4"/>
  <c r="CL92" i="4" s="1"/>
  <c r="CK80" i="4"/>
  <c r="CL80" i="4" s="1"/>
  <c r="BS70" i="4"/>
  <c r="BT70" i="4" s="1"/>
  <c r="CK68" i="4"/>
  <c r="CL68" i="4" s="1"/>
  <c r="CK85" i="4"/>
  <c r="CL85" i="4" s="1"/>
  <c r="BS75" i="4"/>
  <c r="BT75" i="4" s="1"/>
  <c r="CK73" i="4"/>
  <c r="CL73" i="4" s="1"/>
  <c r="BS63" i="4"/>
  <c r="BT63" i="4" s="1"/>
  <c r="CK61" i="4"/>
  <c r="CL61" i="4" s="1"/>
  <c r="CK95" i="4"/>
  <c r="CL95" i="4" s="1"/>
  <c r="CK83" i="4"/>
  <c r="CL83" i="4" s="1"/>
  <c r="CK71" i="4"/>
  <c r="CL71" i="4" s="1"/>
  <c r="BO70" i="4"/>
  <c r="BO75" i="4"/>
  <c r="BO63" i="4"/>
  <c r="CB58" i="4"/>
  <c r="CK59" i="4"/>
  <c r="CL59" i="4" s="1"/>
  <c r="AM59" i="4"/>
  <c r="BS59" i="4"/>
  <c r="BT59" i="4" s="1"/>
  <c r="CK56" i="4"/>
  <c r="CL56" i="4" s="1"/>
  <c r="CK58" i="4"/>
  <c r="CL58" i="4" s="1"/>
  <c r="CN56" i="4"/>
  <c r="CR56" i="4" s="1"/>
  <c r="BO56" i="4"/>
  <c r="BW56" i="4"/>
  <c r="BY56" i="4" s="1"/>
  <c r="BS56" i="4"/>
  <c r="BT56" i="4" s="1"/>
  <c r="CN55" i="4"/>
  <c r="CR55" i="4" s="1"/>
  <c r="AM56" i="4"/>
  <c r="CE56" i="4" s="1"/>
  <c r="CN58" i="4"/>
  <c r="CR58" i="4" s="1"/>
  <c r="BS58" i="4"/>
  <c r="BT58" i="4" s="1"/>
  <c r="BS55" i="4"/>
  <c r="BT55" i="4" s="1"/>
  <c r="AM58" i="4"/>
  <c r="CE58" i="4" s="1"/>
  <c r="BO55" i="4"/>
  <c r="CF55" i="4" s="1"/>
  <c r="CK55" i="4"/>
  <c r="CL55" i="4" s="1"/>
  <c r="BN58" i="4"/>
  <c r="BY55" i="4"/>
  <c r="CB55" i="4"/>
  <c r="AM55" i="4"/>
  <c r="BX57" i="4"/>
  <c r="BX58" i="4"/>
  <c r="CB56" i="4"/>
  <c r="CB57" i="4"/>
  <c r="BW57" i="4"/>
  <c r="CK57" i="4"/>
  <c r="CL57" i="4" s="1"/>
  <c r="CN57" i="4"/>
  <c r="CR57" i="4" s="1"/>
  <c r="BS57" i="4"/>
  <c r="BT57" i="4" s="1"/>
  <c r="CN53" i="4"/>
  <c r="CB54" i="4"/>
  <c r="BO53" i="4"/>
  <c r="CF53" i="4" s="1"/>
  <c r="BW53" i="4"/>
  <c r="CK53" i="4"/>
  <c r="CL53" i="4" s="1"/>
  <c r="AL53" i="4"/>
  <c r="BX53" i="4" s="1"/>
  <c r="BO54" i="4"/>
  <c r="CF54" i="4" s="1"/>
  <c r="CB53" i="4"/>
  <c r="CP54" i="4"/>
  <c r="BS53" i="4"/>
  <c r="BT53" i="4" s="1"/>
  <c r="CN54" i="4"/>
  <c r="CP53" i="4"/>
  <c r="AL54" i="4"/>
  <c r="CK54" i="4"/>
  <c r="CL54" i="4" s="1"/>
  <c r="BS54" i="4"/>
  <c r="BT54" i="4" s="1"/>
  <c r="AY31" i="4"/>
  <c r="BN31" i="4" s="1"/>
  <c r="AZ31" i="4"/>
  <c r="BB31" i="4"/>
  <c r="BZ31" i="4"/>
  <c r="CP31" i="4" s="1"/>
  <c r="CA31" i="4"/>
  <c r="CG31" i="4"/>
  <c r="CU31" i="4"/>
  <c r="CV31" i="4"/>
  <c r="CW31" i="4"/>
  <c r="AY32" i="4"/>
  <c r="AZ32" i="4"/>
  <c r="BB32" i="4"/>
  <c r="BZ32" i="4"/>
  <c r="CA32" i="4"/>
  <c r="CQ32" i="4" s="1"/>
  <c r="CG32" i="4"/>
  <c r="CU32" i="4"/>
  <c r="CV32" i="4"/>
  <c r="CW32" i="4"/>
  <c r="AY33" i="4"/>
  <c r="CN33" i="4" s="1"/>
  <c r="AZ33" i="4"/>
  <c r="BB33" i="4"/>
  <c r="BZ33" i="4"/>
  <c r="CA33" i="4"/>
  <c r="CQ33" i="4" s="1"/>
  <c r="CG33" i="4"/>
  <c r="CU33" i="4"/>
  <c r="CV33" i="4"/>
  <c r="CW33" i="4"/>
  <c r="AY34" i="4"/>
  <c r="AZ34" i="4"/>
  <c r="BB34" i="4"/>
  <c r="BZ34" i="4"/>
  <c r="CP34" i="4" s="1"/>
  <c r="CA34" i="4"/>
  <c r="CQ34" i="4" s="1"/>
  <c r="CG34" i="4"/>
  <c r="CU34" i="4"/>
  <c r="CV34" i="4"/>
  <c r="CW34" i="4"/>
  <c r="AY35" i="4"/>
  <c r="CN35" i="4" s="1"/>
  <c r="AZ35" i="4"/>
  <c r="BB35" i="4"/>
  <c r="BZ35" i="4"/>
  <c r="CP35" i="4" s="1"/>
  <c r="CA35" i="4"/>
  <c r="CG35" i="4"/>
  <c r="CU35" i="4"/>
  <c r="CV35" i="4"/>
  <c r="CW35" i="4"/>
  <c r="AY36" i="4"/>
  <c r="CN36" i="4" s="1"/>
  <c r="AZ36" i="4"/>
  <c r="BB36" i="4"/>
  <c r="BZ36" i="4"/>
  <c r="CP36" i="4" s="1"/>
  <c r="CA36" i="4"/>
  <c r="CQ36" i="4" s="1"/>
  <c r="CG36" i="4"/>
  <c r="CU36" i="4"/>
  <c r="CV36" i="4"/>
  <c r="CW36" i="4"/>
  <c r="AY37" i="4"/>
  <c r="BN37" i="4" s="1"/>
  <c r="BW37" i="4" s="1"/>
  <c r="AZ37" i="4"/>
  <c r="BB37" i="4"/>
  <c r="BZ37" i="4"/>
  <c r="CP37" i="4" s="1"/>
  <c r="CA37" i="4"/>
  <c r="CQ37" i="4" s="1"/>
  <c r="CG37" i="4"/>
  <c r="CU37" i="4"/>
  <c r="CV37" i="4"/>
  <c r="CW37" i="4"/>
  <c r="AY38" i="4"/>
  <c r="BN38" i="4" s="1"/>
  <c r="AZ38" i="4"/>
  <c r="BB38" i="4"/>
  <c r="BZ38" i="4"/>
  <c r="CP38" i="4" s="1"/>
  <c r="CA38" i="4"/>
  <c r="CQ38" i="4" s="1"/>
  <c r="CG38" i="4"/>
  <c r="CU38" i="4"/>
  <c r="CV38" i="4"/>
  <c r="CW38" i="4"/>
  <c r="AY39" i="4"/>
  <c r="CN39" i="4" s="1"/>
  <c r="AZ39" i="4"/>
  <c r="BB39" i="4"/>
  <c r="BZ39" i="4"/>
  <c r="CP39" i="4" s="1"/>
  <c r="CA39" i="4"/>
  <c r="CQ39" i="4" s="1"/>
  <c r="CG39" i="4"/>
  <c r="CU39" i="4"/>
  <c r="CV39" i="4"/>
  <c r="CW39" i="4"/>
  <c r="AY40" i="4"/>
  <c r="BN40" i="4" s="1"/>
  <c r="BW40" i="4" s="1"/>
  <c r="AZ40" i="4"/>
  <c r="BB40" i="4"/>
  <c r="BZ40" i="4"/>
  <c r="CP40" i="4" s="1"/>
  <c r="CA40" i="4"/>
  <c r="CQ40" i="4" s="1"/>
  <c r="CG40" i="4"/>
  <c r="CU40" i="4"/>
  <c r="CV40" i="4"/>
  <c r="CW40" i="4"/>
  <c r="AY41" i="4"/>
  <c r="AZ41" i="4"/>
  <c r="BB41" i="4"/>
  <c r="BZ41" i="4"/>
  <c r="CP41" i="4" s="1"/>
  <c r="CA41" i="4"/>
  <c r="CQ41" i="4" s="1"/>
  <c r="CG41" i="4"/>
  <c r="CU41" i="4"/>
  <c r="CV41" i="4"/>
  <c r="CW41" i="4"/>
  <c r="AY42" i="4"/>
  <c r="AZ42" i="4"/>
  <c r="BB42" i="4"/>
  <c r="BZ42" i="4"/>
  <c r="CP42" i="4" s="1"/>
  <c r="CA42" i="4"/>
  <c r="CQ42" i="4" s="1"/>
  <c r="CG42" i="4"/>
  <c r="CU42" i="4"/>
  <c r="CV42" i="4"/>
  <c r="CW42" i="4"/>
  <c r="AY43" i="4"/>
  <c r="BN43" i="4" s="1"/>
  <c r="AZ43" i="4"/>
  <c r="BB43" i="4"/>
  <c r="BZ43" i="4"/>
  <c r="CP43" i="4" s="1"/>
  <c r="CA43" i="4"/>
  <c r="CQ43" i="4" s="1"/>
  <c r="CG43" i="4"/>
  <c r="CU43" i="4"/>
  <c r="CV43" i="4"/>
  <c r="CW43" i="4"/>
  <c r="AY44" i="4"/>
  <c r="CN44" i="4" s="1"/>
  <c r="AZ44" i="4"/>
  <c r="BB44" i="4"/>
  <c r="BZ44" i="4"/>
  <c r="CP44" i="4" s="1"/>
  <c r="CA44" i="4"/>
  <c r="CQ44" i="4" s="1"/>
  <c r="CG44" i="4"/>
  <c r="CU44" i="4"/>
  <c r="CV44" i="4"/>
  <c r="CW44" i="4"/>
  <c r="AY45" i="4"/>
  <c r="AZ45" i="4"/>
  <c r="BB45" i="4"/>
  <c r="BZ45" i="4"/>
  <c r="CA45" i="4"/>
  <c r="CQ45" i="4" s="1"/>
  <c r="CG45" i="4"/>
  <c r="CU45" i="4"/>
  <c r="CV45" i="4"/>
  <c r="CW45" i="4"/>
  <c r="AY46" i="4"/>
  <c r="BN46" i="4" s="1"/>
  <c r="AZ46" i="4"/>
  <c r="BB46" i="4"/>
  <c r="BZ46" i="4"/>
  <c r="CP46" i="4" s="1"/>
  <c r="CA46" i="4"/>
  <c r="CQ46" i="4" s="1"/>
  <c r="CG46" i="4"/>
  <c r="CU46" i="4"/>
  <c r="CV46" i="4"/>
  <c r="CW46" i="4"/>
  <c r="AY47" i="4"/>
  <c r="AZ47" i="4"/>
  <c r="BB47" i="4"/>
  <c r="BZ47" i="4"/>
  <c r="CP47" i="4" s="1"/>
  <c r="CA47" i="4"/>
  <c r="CQ47" i="4" s="1"/>
  <c r="CG47" i="4"/>
  <c r="CN47" i="4"/>
  <c r="CU47" i="4"/>
  <c r="CV47" i="4"/>
  <c r="CW47" i="4"/>
  <c r="AY48" i="4"/>
  <c r="AZ48" i="4"/>
  <c r="BB48" i="4"/>
  <c r="BZ48" i="4"/>
  <c r="CP48" i="4" s="1"/>
  <c r="CA48" i="4"/>
  <c r="CQ48" i="4" s="1"/>
  <c r="CG48" i="4"/>
  <c r="CU48" i="4"/>
  <c r="CV48" i="4"/>
  <c r="CW48" i="4"/>
  <c r="AY49" i="4"/>
  <c r="BN49" i="4" s="1"/>
  <c r="AZ49" i="4"/>
  <c r="BB49" i="4"/>
  <c r="BZ49" i="4"/>
  <c r="CA49" i="4"/>
  <c r="CQ49" i="4" s="1"/>
  <c r="CG49" i="4"/>
  <c r="CU49" i="4"/>
  <c r="CV49" i="4"/>
  <c r="CW49" i="4"/>
  <c r="AY50" i="4"/>
  <c r="AZ50" i="4"/>
  <c r="BB50" i="4"/>
  <c r="BZ50" i="4"/>
  <c r="CA50" i="4"/>
  <c r="CQ50" i="4" s="1"/>
  <c r="CG50" i="4"/>
  <c r="CU50" i="4"/>
  <c r="CV50" i="4"/>
  <c r="CW50" i="4"/>
  <c r="AY51" i="4"/>
  <c r="CN51" i="4" s="1"/>
  <c r="AZ51" i="4"/>
  <c r="BB51" i="4"/>
  <c r="BZ51" i="4"/>
  <c r="CP51" i="4" s="1"/>
  <c r="CA51" i="4"/>
  <c r="CQ51" i="4" s="1"/>
  <c r="CG51" i="4"/>
  <c r="CU51" i="4"/>
  <c r="CV51" i="4"/>
  <c r="CW51" i="4"/>
  <c r="AY52" i="4"/>
  <c r="BN52" i="4" s="1"/>
  <c r="AZ52" i="4"/>
  <c r="BB52" i="4"/>
  <c r="BZ52" i="4"/>
  <c r="CP52" i="4" s="1"/>
  <c r="CA52" i="4"/>
  <c r="CQ52" i="4" s="1"/>
  <c r="CG52" i="4"/>
  <c r="CU52" i="4"/>
  <c r="CV52" i="4"/>
  <c r="CW52" i="4"/>
  <c r="Q41" i="4"/>
  <c r="CO41" i="4" s="1"/>
  <c r="S41" i="4"/>
  <c r="AB41" i="4"/>
  <c r="Q42" i="4"/>
  <c r="CO42" i="4" s="1"/>
  <c r="S42" i="4"/>
  <c r="AB42" i="4"/>
  <c r="Q43" i="4"/>
  <c r="CO43" i="4" s="1"/>
  <c r="S43" i="4"/>
  <c r="AB43" i="4"/>
  <c r="Q44" i="4"/>
  <c r="CO44" i="4" s="1"/>
  <c r="S44" i="4"/>
  <c r="AB44" i="4"/>
  <c r="Q45" i="4"/>
  <c r="CO45" i="4" s="1"/>
  <c r="S45" i="4"/>
  <c r="AB45" i="4"/>
  <c r="Q46" i="4"/>
  <c r="CO46" i="4" s="1"/>
  <c r="S46" i="4"/>
  <c r="AB46" i="4"/>
  <c r="Q47" i="4"/>
  <c r="CO47" i="4" s="1"/>
  <c r="S47" i="4"/>
  <c r="AB47" i="4"/>
  <c r="Q48" i="4"/>
  <c r="CO48" i="4" s="1"/>
  <c r="S48" i="4"/>
  <c r="AB48" i="4"/>
  <c r="Q49" i="4"/>
  <c r="CO49" i="4" s="1"/>
  <c r="S49" i="4"/>
  <c r="AB49" i="4"/>
  <c r="Q50" i="4"/>
  <c r="CO50" i="4" s="1"/>
  <c r="S50" i="4"/>
  <c r="AB50" i="4"/>
  <c r="Q51" i="4"/>
  <c r="CO51" i="4" s="1"/>
  <c r="S51" i="4"/>
  <c r="AB51" i="4"/>
  <c r="Q52" i="4"/>
  <c r="CO52" i="4" s="1"/>
  <c r="S52" i="4"/>
  <c r="AB52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Q31" i="4"/>
  <c r="CO31" i="4" s="1"/>
  <c r="S31" i="4"/>
  <c r="AB31" i="4"/>
  <c r="Q32" i="4"/>
  <c r="CO32" i="4" s="1"/>
  <c r="S32" i="4"/>
  <c r="AB32" i="4"/>
  <c r="Q33" i="4"/>
  <c r="CO33" i="4" s="1"/>
  <c r="S33" i="4"/>
  <c r="AB33" i="4"/>
  <c r="Q34" i="4"/>
  <c r="CO34" i="4" s="1"/>
  <c r="S34" i="4"/>
  <c r="AB34" i="4"/>
  <c r="Q35" i="4"/>
  <c r="CO35" i="4" s="1"/>
  <c r="S35" i="4"/>
  <c r="AB35" i="4"/>
  <c r="Q36" i="4"/>
  <c r="CO36" i="4" s="1"/>
  <c r="S36" i="4"/>
  <c r="AB36" i="4"/>
  <c r="Q37" i="4"/>
  <c r="CO37" i="4" s="1"/>
  <c r="S37" i="4"/>
  <c r="AB37" i="4"/>
  <c r="Q38" i="4"/>
  <c r="CO38" i="4" s="1"/>
  <c r="S38" i="4"/>
  <c r="AB38" i="4"/>
  <c r="Q39" i="4"/>
  <c r="CO39" i="4" s="1"/>
  <c r="S39" i="4"/>
  <c r="AB39" i="4"/>
  <c r="Q40" i="4"/>
  <c r="CO40" i="4" s="1"/>
  <c r="S40" i="4"/>
  <c r="AB4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W3" i="103"/>
  <c r="AY17" i="4"/>
  <c r="BN17" i="4" s="1"/>
  <c r="AZ17" i="4"/>
  <c r="BB17" i="4"/>
  <c r="BZ17" i="4"/>
  <c r="CA17" i="4"/>
  <c r="CQ17" i="4" s="1"/>
  <c r="CG17" i="4"/>
  <c r="CU17" i="4"/>
  <c r="CV17" i="4"/>
  <c r="CW17" i="4"/>
  <c r="AY18" i="4"/>
  <c r="CN18" i="4" s="1"/>
  <c r="AZ18" i="4"/>
  <c r="BB18" i="4"/>
  <c r="BZ18" i="4"/>
  <c r="CP18" i="4" s="1"/>
  <c r="CA18" i="4"/>
  <c r="CQ18" i="4" s="1"/>
  <c r="CG18" i="4"/>
  <c r="CU18" i="4"/>
  <c r="CV18" i="4"/>
  <c r="CW18" i="4"/>
  <c r="AY19" i="4"/>
  <c r="BN19" i="4" s="1"/>
  <c r="BW19" i="4" s="1"/>
  <c r="AZ19" i="4"/>
  <c r="BB19" i="4"/>
  <c r="BZ19" i="4"/>
  <c r="CA19" i="4"/>
  <c r="CQ19" i="4" s="1"/>
  <c r="CG19" i="4"/>
  <c r="CU19" i="4"/>
  <c r="CV19" i="4"/>
  <c r="CW19" i="4"/>
  <c r="AY20" i="4"/>
  <c r="BN20" i="4" s="1"/>
  <c r="AZ20" i="4"/>
  <c r="BB20" i="4"/>
  <c r="BZ20" i="4"/>
  <c r="CP20" i="4" s="1"/>
  <c r="CA20" i="4"/>
  <c r="CQ20" i="4" s="1"/>
  <c r="CG20" i="4"/>
  <c r="CU20" i="4"/>
  <c r="CV20" i="4"/>
  <c r="CW20" i="4"/>
  <c r="AY21" i="4"/>
  <c r="CN21" i="4" s="1"/>
  <c r="AZ21" i="4"/>
  <c r="BB21" i="4"/>
  <c r="BZ21" i="4"/>
  <c r="CP21" i="4" s="1"/>
  <c r="CA21" i="4"/>
  <c r="CQ21" i="4" s="1"/>
  <c r="CG21" i="4"/>
  <c r="CU21" i="4"/>
  <c r="CV21" i="4"/>
  <c r="CW21" i="4"/>
  <c r="AY22" i="4"/>
  <c r="BN22" i="4" s="1"/>
  <c r="AZ22" i="4"/>
  <c r="BB22" i="4"/>
  <c r="BZ22" i="4"/>
  <c r="CP22" i="4" s="1"/>
  <c r="CA22" i="4"/>
  <c r="CQ22" i="4" s="1"/>
  <c r="CG22" i="4"/>
  <c r="CU22" i="4"/>
  <c r="CV22" i="4"/>
  <c r="CW22" i="4"/>
  <c r="AY23" i="4"/>
  <c r="CN23" i="4" s="1"/>
  <c r="AZ23" i="4"/>
  <c r="BB23" i="4"/>
  <c r="BZ23" i="4"/>
  <c r="CP23" i="4" s="1"/>
  <c r="CA23" i="4"/>
  <c r="CQ23" i="4" s="1"/>
  <c r="CG23" i="4"/>
  <c r="CU23" i="4"/>
  <c r="CV23" i="4"/>
  <c r="CW23" i="4"/>
  <c r="AY24" i="4"/>
  <c r="CN24" i="4" s="1"/>
  <c r="AZ24" i="4"/>
  <c r="BB24" i="4"/>
  <c r="BZ24" i="4"/>
  <c r="CP24" i="4" s="1"/>
  <c r="CA24" i="4"/>
  <c r="CQ24" i="4" s="1"/>
  <c r="CG24" i="4"/>
  <c r="CU24" i="4"/>
  <c r="CV24" i="4"/>
  <c r="CW24" i="4"/>
  <c r="AY25" i="4"/>
  <c r="AZ25" i="4"/>
  <c r="BB25" i="4"/>
  <c r="BZ25" i="4"/>
  <c r="CP25" i="4" s="1"/>
  <c r="CA25" i="4"/>
  <c r="CQ25" i="4" s="1"/>
  <c r="CG25" i="4"/>
  <c r="CU25" i="4"/>
  <c r="CV25" i="4"/>
  <c r="CW25" i="4"/>
  <c r="AY26" i="4"/>
  <c r="AZ26" i="4"/>
  <c r="BB26" i="4"/>
  <c r="BZ26" i="4"/>
  <c r="CP26" i="4" s="1"/>
  <c r="CA26" i="4"/>
  <c r="CQ26" i="4" s="1"/>
  <c r="CG26" i="4"/>
  <c r="CU26" i="4"/>
  <c r="CV26" i="4"/>
  <c r="CW26" i="4"/>
  <c r="AY27" i="4"/>
  <c r="CN27" i="4" s="1"/>
  <c r="AZ27" i="4"/>
  <c r="BB27" i="4"/>
  <c r="BZ27" i="4"/>
  <c r="CA27" i="4"/>
  <c r="CQ27" i="4" s="1"/>
  <c r="CG27" i="4"/>
  <c r="CU27" i="4"/>
  <c r="CV27" i="4"/>
  <c r="CW27" i="4"/>
  <c r="AY28" i="4"/>
  <c r="CN28" i="4" s="1"/>
  <c r="AZ28" i="4"/>
  <c r="BB28" i="4"/>
  <c r="BZ28" i="4"/>
  <c r="CA28" i="4"/>
  <c r="CQ28" i="4" s="1"/>
  <c r="CG28" i="4"/>
  <c r="CU28" i="4"/>
  <c r="CV28" i="4"/>
  <c r="CW28" i="4"/>
  <c r="AY29" i="4"/>
  <c r="CN29" i="4" s="1"/>
  <c r="AZ29" i="4"/>
  <c r="BB29" i="4"/>
  <c r="BZ29" i="4"/>
  <c r="CP29" i="4" s="1"/>
  <c r="CA29" i="4"/>
  <c r="CQ29" i="4" s="1"/>
  <c r="CG29" i="4"/>
  <c r="CU29" i="4"/>
  <c r="CV29" i="4"/>
  <c r="CW29" i="4"/>
  <c r="AY30" i="4"/>
  <c r="CN30" i="4" s="1"/>
  <c r="AZ30" i="4"/>
  <c r="BB30" i="4"/>
  <c r="BZ30" i="4"/>
  <c r="CP30" i="4" s="1"/>
  <c r="CA30" i="4"/>
  <c r="CQ30" i="4" s="1"/>
  <c r="CG30" i="4"/>
  <c r="CU30" i="4"/>
  <c r="CV30" i="4"/>
  <c r="CW30" i="4"/>
  <c r="Q17" i="4"/>
  <c r="CO17" i="4" s="1"/>
  <c r="S17" i="4"/>
  <c r="AB17" i="4"/>
  <c r="Q18" i="4"/>
  <c r="CO18" i="4" s="1"/>
  <c r="S18" i="4"/>
  <c r="AB18" i="4"/>
  <c r="Q19" i="4"/>
  <c r="CO19" i="4" s="1"/>
  <c r="S19" i="4"/>
  <c r="AB19" i="4"/>
  <c r="Q20" i="4"/>
  <c r="CO20" i="4" s="1"/>
  <c r="S20" i="4"/>
  <c r="AB20" i="4"/>
  <c r="Q21" i="4"/>
  <c r="CO21" i="4" s="1"/>
  <c r="S21" i="4"/>
  <c r="AB21" i="4"/>
  <c r="Q22" i="4"/>
  <c r="CO22" i="4" s="1"/>
  <c r="S22" i="4"/>
  <c r="AB22" i="4"/>
  <c r="Q23" i="4"/>
  <c r="S23" i="4"/>
  <c r="AB23" i="4"/>
  <c r="Q24" i="4"/>
  <c r="CO24" i="4" s="1"/>
  <c r="S24" i="4"/>
  <c r="AB24" i="4"/>
  <c r="Q25" i="4"/>
  <c r="CO25" i="4" s="1"/>
  <c r="S25" i="4"/>
  <c r="AB25" i="4"/>
  <c r="Q26" i="4"/>
  <c r="CO26" i="4" s="1"/>
  <c r="S26" i="4"/>
  <c r="AB26" i="4"/>
  <c r="Q27" i="4"/>
  <c r="CO27" i="4" s="1"/>
  <c r="S27" i="4"/>
  <c r="AB27" i="4"/>
  <c r="Q28" i="4"/>
  <c r="CO28" i="4" s="1"/>
  <c r="S28" i="4"/>
  <c r="AB28" i="4"/>
  <c r="Q29" i="4"/>
  <c r="CO29" i="4" s="1"/>
  <c r="S29" i="4"/>
  <c r="AB29" i="4"/>
  <c r="Q30" i="4"/>
  <c r="CO30" i="4" s="1"/>
  <c r="S30" i="4"/>
  <c r="AB30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CW6" i="4"/>
  <c r="CW7" i="4"/>
  <c r="CW8" i="4"/>
  <c r="CW9" i="4"/>
  <c r="CW10" i="4"/>
  <c r="CW11" i="4"/>
  <c r="CW12" i="4"/>
  <c r="CW13" i="4"/>
  <c r="CW14" i="4"/>
  <c r="CW15" i="4"/>
  <c r="CW16" i="4"/>
  <c r="AY16" i="4"/>
  <c r="BN16" i="4" s="1"/>
  <c r="AZ16" i="4"/>
  <c r="BB16" i="4"/>
  <c r="BZ16" i="4"/>
  <c r="CP16" i="4" s="1"/>
  <c r="CA16" i="4"/>
  <c r="CG16" i="4"/>
  <c r="CU16" i="4"/>
  <c r="CV16" i="4"/>
  <c r="Q16" i="4"/>
  <c r="CO16" i="4" s="1"/>
  <c r="S16" i="4"/>
  <c r="AB16" i="4"/>
  <c r="B16" i="4"/>
  <c r="C16" i="4"/>
  <c r="CM150" i="4" l="1"/>
  <c r="CF150" i="4"/>
  <c r="BP150" i="4"/>
  <c r="BO143" i="4"/>
  <c r="CF143" i="4" s="1"/>
  <c r="BW84" i="4"/>
  <c r="BO115" i="4"/>
  <c r="BO113" i="4"/>
  <c r="BO136" i="4"/>
  <c r="CF136" i="4" s="1"/>
  <c r="BO88" i="4"/>
  <c r="CF88" i="4" s="1"/>
  <c r="BO119" i="4"/>
  <c r="BU146" i="4"/>
  <c r="BV146" i="4" s="1"/>
  <c r="BQ146" i="4"/>
  <c r="BP145" i="4"/>
  <c r="CR144" i="4"/>
  <c r="CM145" i="4"/>
  <c r="CR145" i="4"/>
  <c r="CR146" i="4"/>
  <c r="CR147" i="4"/>
  <c r="CR123" i="4"/>
  <c r="CR124" i="4"/>
  <c r="BY67" i="4"/>
  <c r="CR82" i="4"/>
  <c r="CR127" i="4"/>
  <c r="CR128" i="4"/>
  <c r="CR129" i="4"/>
  <c r="CR130" i="4"/>
  <c r="CR131" i="4"/>
  <c r="CR133" i="4"/>
  <c r="BO66" i="4"/>
  <c r="CF66" i="4" s="1"/>
  <c r="CM118" i="4"/>
  <c r="BP118" i="4"/>
  <c r="BY118" i="4"/>
  <c r="BP77" i="4"/>
  <c r="CF77" i="4"/>
  <c r="BO122" i="4"/>
  <c r="BO125" i="4"/>
  <c r="CR125" i="4"/>
  <c r="CR89" i="4"/>
  <c r="CE113" i="4"/>
  <c r="CR100" i="4"/>
  <c r="BO85" i="4"/>
  <c r="CF85" i="4" s="1"/>
  <c r="BY66" i="4"/>
  <c r="BY77" i="4"/>
  <c r="BY85" i="4"/>
  <c r="CR66" i="4"/>
  <c r="BO142" i="4"/>
  <c r="CF142" i="4" s="1"/>
  <c r="CR126" i="4"/>
  <c r="CE114" i="4"/>
  <c r="CE116" i="4"/>
  <c r="CR109" i="4"/>
  <c r="BP98" i="4"/>
  <c r="CM77" i="4"/>
  <c r="CR134" i="4"/>
  <c r="CR135" i="4"/>
  <c r="CR136" i="4"/>
  <c r="CR137" i="4"/>
  <c r="CR138" i="4"/>
  <c r="CR139" i="4"/>
  <c r="CR140" i="4"/>
  <c r="CR141" i="4"/>
  <c r="CR142" i="4"/>
  <c r="CR143" i="4"/>
  <c r="BO124" i="4"/>
  <c r="CM119" i="4"/>
  <c r="CF119" i="4"/>
  <c r="BP119" i="4"/>
  <c r="CM120" i="4"/>
  <c r="CF120" i="4"/>
  <c r="BP120" i="4"/>
  <c r="CM121" i="4"/>
  <c r="CF121" i="4"/>
  <c r="BP121" i="4"/>
  <c r="CM122" i="4"/>
  <c r="CF122" i="4"/>
  <c r="BP122" i="4"/>
  <c r="CM123" i="4"/>
  <c r="CF123" i="4"/>
  <c r="BP123" i="4"/>
  <c r="CM124" i="4"/>
  <c r="CF124" i="4"/>
  <c r="BP124" i="4"/>
  <c r="CM125" i="4"/>
  <c r="CF125" i="4"/>
  <c r="BP125" i="4"/>
  <c r="CM126" i="4"/>
  <c r="CF126" i="4"/>
  <c r="BP126" i="4"/>
  <c r="CM127" i="4"/>
  <c r="CF127" i="4"/>
  <c r="BP127" i="4"/>
  <c r="CM128" i="4"/>
  <c r="CF128" i="4"/>
  <c r="BP128" i="4"/>
  <c r="CM129" i="4"/>
  <c r="CF129" i="4"/>
  <c r="BP129" i="4"/>
  <c r="CM130" i="4"/>
  <c r="CF130" i="4"/>
  <c r="BP130" i="4"/>
  <c r="CM131" i="4"/>
  <c r="CF131" i="4"/>
  <c r="BP131" i="4"/>
  <c r="CM132" i="4"/>
  <c r="CF132" i="4"/>
  <c r="BP132" i="4"/>
  <c r="CR119" i="4"/>
  <c r="CR120" i="4"/>
  <c r="CR121" i="4"/>
  <c r="CR122" i="4"/>
  <c r="CR132" i="4"/>
  <c r="CR67" i="4"/>
  <c r="BP134" i="4"/>
  <c r="CE134" i="4"/>
  <c r="CM134" i="4"/>
  <c r="CM135" i="4"/>
  <c r="CE135" i="4"/>
  <c r="BP135" i="4"/>
  <c r="CM137" i="4"/>
  <c r="CE137" i="4"/>
  <c r="BP137" i="4"/>
  <c r="CE138" i="4"/>
  <c r="CM138" i="4"/>
  <c r="BP138" i="4"/>
  <c r="BP139" i="4"/>
  <c r="CE139" i="4"/>
  <c r="CM139" i="4"/>
  <c r="CE142" i="4"/>
  <c r="CM143" i="4"/>
  <c r="CE143" i="4"/>
  <c r="BP143" i="4"/>
  <c r="CM133" i="4"/>
  <c r="BP133" i="4"/>
  <c r="CE133" i="4"/>
  <c r="BP136" i="4"/>
  <c r="CE136" i="4"/>
  <c r="CM136" i="4"/>
  <c r="CM141" i="4"/>
  <c r="CE141" i="4"/>
  <c r="BP141" i="4"/>
  <c r="CM140" i="4"/>
  <c r="BP140" i="4"/>
  <c r="CE140" i="4"/>
  <c r="CE95" i="4"/>
  <c r="CM86" i="4"/>
  <c r="BO68" i="4"/>
  <c r="BY68" i="4"/>
  <c r="BY88" i="4"/>
  <c r="CR68" i="4"/>
  <c r="CM98" i="4"/>
  <c r="CR107" i="4"/>
  <c r="BY61" i="4"/>
  <c r="BY76" i="4"/>
  <c r="BY84" i="4"/>
  <c r="BY86" i="4"/>
  <c r="CM107" i="4"/>
  <c r="CR61" i="4"/>
  <c r="BY64" i="4"/>
  <c r="CM71" i="4"/>
  <c r="CM74" i="4"/>
  <c r="CM83" i="4"/>
  <c r="CR93" i="4"/>
  <c r="CR79" i="4"/>
  <c r="BO64" i="4"/>
  <c r="CF64" i="4" s="1"/>
  <c r="CR84" i="4"/>
  <c r="CF86" i="4"/>
  <c r="BP86" i="4"/>
  <c r="BO117" i="4"/>
  <c r="BP83" i="4"/>
  <c r="CE83" i="4"/>
  <c r="CF107" i="4"/>
  <c r="BP107" i="4"/>
  <c r="CR94" i="4"/>
  <c r="BW91" i="4"/>
  <c r="BY91" i="4" s="1"/>
  <c r="BO91" i="4"/>
  <c r="CR108" i="4"/>
  <c r="CR96" i="4"/>
  <c r="CR97" i="4"/>
  <c r="CR90" i="4"/>
  <c r="CR75" i="4"/>
  <c r="BO61" i="4"/>
  <c r="BP71" i="4"/>
  <c r="BP74" i="4"/>
  <c r="CM114" i="4"/>
  <c r="CF114" i="4"/>
  <c r="BP114" i="4"/>
  <c r="CM115" i="4"/>
  <c r="CF115" i="4"/>
  <c r="BP115" i="4"/>
  <c r="CM116" i="4"/>
  <c r="CF116" i="4"/>
  <c r="BP116" i="4"/>
  <c r="CR114" i="4"/>
  <c r="CR116" i="4"/>
  <c r="CR115" i="4"/>
  <c r="BO94" i="4"/>
  <c r="CR106" i="4"/>
  <c r="CR65" i="4"/>
  <c r="BY62" i="4"/>
  <c r="CM62" i="4"/>
  <c r="CR95" i="4"/>
  <c r="CR64" i="4"/>
  <c r="CR92" i="4"/>
  <c r="BQ96" i="4"/>
  <c r="BU96" i="4"/>
  <c r="BV96" i="4" s="1"/>
  <c r="CR71" i="4"/>
  <c r="BP80" i="4"/>
  <c r="CF80" i="4"/>
  <c r="CM80" i="4"/>
  <c r="BP79" i="4"/>
  <c r="BP67" i="4"/>
  <c r="BO59" i="4"/>
  <c r="CF59" i="4" s="1"/>
  <c r="BY59" i="4"/>
  <c r="CR59" i="4"/>
  <c r="CR113" i="4"/>
  <c r="CR87" i="4"/>
  <c r="BW111" i="4"/>
  <c r="BY111" i="4" s="1"/>
  <c r="BO111" i="4"/>
  <c r="CM112" i="4"/>
  <c r="CF112" i="4"/>
  <c r="BP112" i="4"/>
  <c r="CR60" i="4"/>
  <c r="CR72" i="4"/>
  <c r="CR80" i="4"/>
  <c r="CR88" i="4"/>
  <c r="CR91" i="4"/>
  <c r="CR101" i="4"/>
  <c r="CR104" i="4"/>
  <c r="CR111" i="4"/>
  <c r="CR112" i="4"/>
  <c r="CF62" i="4"/>
  <c r="BP62" i="4"/>
  <c r="CE66" i="4"/>
  <c r="CR85" i="4"/>
  <c r="CM95" i="4"/>
  <c r="BP95" i="4"/>
  <c r="CE85" i="4"/>
  <c r="CM56" i="4"/>
  <c r="BW110" i="4"/>
  <c r="BY110" i="4" s="1"/>
  <c r="BO110" i="4"/>
  <c r="CM92" i="4"/>
  <c r="BP92" i="4"/>
  <c r="CF92" i="4"/>
  <c r="BW82" i="4"/>
  <c r="BY82" i="4" s="1"/>
  <c r="BO82" i="4"/>
  <c r="BW103" i="4"/>
  <c r="BY103" i="4" s="1"/>
  <c r="BO103" i="4"/>
  <c r="CM84" i="4"/>
  <c r="CE84" i="4"/>
  <c r="CM79" i="4"/>
  <c r="CE79" i="4"/>
  <c r="CE64" i="4"/>
  <c r="CM67" i="4"/>
  <c r="CE67" i="4"/>
  <c r="CM76" i="4"/>
  <c r="CE76" i="4"/>
  <c r="BP76" i="4"/>
  <c r="CE88" i="4"/>
  <c r="BU60" i="4"/>
  <c r="BV60" i="4" s="1"/>
  <c r="BQ60" i="4"/>
  <c r="BW89" i="4"/>
  <c r="BY89" i="4" s="1"/>
  <c r="BO89" i="4"/>
  <c r="BQ84" i="4"/>
  <c r="BU84" i="4"/>
  <c r="BV84" i="4" s="1"/>
  <c r="BQ72" i="4"/>
  <c r="BU72" i="4"/>
  <c r="BV72" i="4" s="1"/>
  <c r="BP101" i="4"/>
  <c r="CF101" i="4"/>
  <c r="CM101" i="4"/>
  <c r="BO99" i="4"/>
  <c r="BW99" i="4"/>
  <c r="BY99" i="4" s="1"/>
  <c r="BO105" i="4"/>
  <c r="BW105" i="4"/>
  <c r="BY105" i="4" s="1"/>
  <c r="BO109" i="4"/>
  <c r="BW109" i="4"/>
  <c r="BY109" i="4" s="1"/>
  <c r="BQ78" i="4"/>
  <c r="BU78" i="4"/>
  <c r="BV78" i="4" s="1"/>
  <c r="BP65" i="4"/>
  <c r="CF65" i="4"/>
  <c r="CM65" i="4"/>
  <c r="BP87" i="4"/>
  <c r="CM87" i="4"/>
  <c r="CF87" i="4"/>
  <c r="CF100" i="4"/>
  <c r="BP100" i="4"/>
  <c r="CM100" i="4"/>
  <c r="BO108" i="4"/>
  <c r="BP63" i="4"/>
  <c r="CF63" i="4"/>
  <c r="CM63" i="4"/>
  <c r="BO69" i="4"/>
  <c r="BO81" i="4"/>
  <c r="BP75" i="4"/>
  <c r="CM75" i="4"/>
  <c r="CF75" i="4"/>
  <c r="BP73" i="4"/>
  <c r="CF73" i="4"/>
  <c r="CM73" i="4"/>
  <c r="BP97" i="4"/>
  <c r="CM97" i="4"/>
  <c r="CF97" i="4"/>
  <c r="BP70" i="4"/>
  <c r="CF70" i="4"/>
  <c r="CM70" i="4"/>
  <c r="BO90" i="4"/>
  <c r="BW104" i="4"/>
  <c r="BY104" i="4" s="1"/>
  <c r="BO104" i="4"/>
  <c r="BO106" i="4"/>
  <c r="BW106" i="4"/>
  <c r="BY106" i="4" s="1"/>
  <c r="CM93" i="4"/>
  <c r="BP93" i="4"/>
  <c r="CF93" i="4"/>
  <c r="CM102" i="4"/>
  <c r="CF102" i="4"/>
  <c r="BP102" i="4"/>
  <c r="CR54" i="4"/>
  <c r="BP56" i="4"/>
  <c r="CE59" i="4"/>
  <c r="CF56" i="4"/>
  <c r="BY57" i="4"/>
  <c r="CB46" i="4"/>
  <c r="CN37" i="4"/>
  <c r="CR37" i="4" s="1"/>
  <c r="AM53" i="4"/>
  <c r="CE53" i="4" s="1"/>
  <c r="BO58" i="4"/>
  <c r="BW58" i="4"/>
  <c r="BY58" i="4" s="1"/>
  <c r="CM55" i="4"/>
  <c r="CE55" i="4"/>
  <c r="BP55" i="4"/>
  <c r="AM57" i="4"/>
  <c r="CE57" i="4" s="1"/>
  <c r="CB47" i="4"/>
  <c r="CB34" i="4"/>
  <c r="CR53" i="4"/>
  <c r="BO57" i="4"/>
  <c r="CN46" i="4"/>
  <c r="CR46" i="4" s="1"/>
  <c r="CB45" i="4"/>
  <c r="BY53" i="4"/>
  <c r="CB33" i="4"/>
  <c r="CB37" i="4"/>
  <c r="CB50" i="4"/>
  <c r="CB38" i="4"/>
  <c r="CB39" i="4"/>
  <c r="CB35" i="4"/>
  <c r="BN35" i="4"/>
  <c r="BW35" i="4" s="1"/>
  <c r="CN31" i="4"/>
  <c r="AM54" i="4"/>
  <c r="BX54" i="4"/>
  <c r="BY54" i="4" s="1"/>
  <c r="CR36" i="4"/>
  <c r="CK51" i="4"/>
  <c r="CL51" i="4" s="1"/>
  <c r="CN43" i="4"/>
  <c r="CR43" i="4" s="1"/>
  <c r="BS36" i="4"/>
  <c r="BT36" i="4" s="1"/>
  <c r="BS50" i="4"/>
  <c r="BT50" i="4" s="1"/>
  <c r="CB43" i="4"/>
  <c r="CB42" i="4"/>
  <c r="CP50" i="4"/>
  <c r="CB31" i="4"/>
  <c r="CK42" i="4"/>
  <c r="CL42" i="4" s="1"/>
  <c r="CQ35" i="4"/>
  <c r="CR35" i="4" s="1"/>
  <c r="CN50" i="4"/>
  <c r="CB49" i="4"/>
  <c r="CK45" i="4"/>
  <c r="CL45" i="4" s="1"/>
  <c r="CB36" i="4"/>
  <c r="CB52" i="4"/>
  <c r="BW38" i="4"/>
  <c r="BO38" i="4"/>
  <c r="CF38" i="4" s="1"/>
  <c r="CR44" i="4"/>
  <c r="CR39" i="4"/>
  <c r="CR51" i="4"/>
  <c r="CB41" i="4"/>
  <c r="CN40" i="4"/>
  <c r="CR40" i="4" s="1"/>
  <c r="CB48" i="4"/>
  <c r="CK39" i="4"/>
  <c r="CL39" i="4" s="1"/>
  <c r="BS33" i="4"/>
  <c r="BT33" i="4" s="1"/>
  <c r="CB32" i="4"/>
  <c r="CK31" i="4"/>
  <c r="CL31" i="4" s="1"/>
  <c r="CB51" i="4"/>
  <c r="CB44" i="4"/>
  <c r="CB40" i="4"/>
  <c r="CR47" i="4"/>
  <c r="BS41" i="4"/>
  <c r="BT41" i="4" s="1"/>
  <c r="CK36" i="4"/>
  <c r="CL36" i="4" s="1"/>
  <c r="CK33" i="4"/>
  <c r="CL33" i="4" s="1"/>
  <c r="CP49" i="4"/>
  <c r="CP45" i="4"/>
  <c r="CP33" i="4"/>
  <c r="CR33" i="4" s="1"/>
  <c r="CK48" i="4"/>
  <c r="CL48" i="4" s="1"/>
  <c r="CN42" i="4"/>
  <c r="CR42" i="4" s="1"/>
  <c r="CN49" i="4"/>
  <c r="CN45" i="4"/>
  <c r="BS44" i="4"/>
  <c r="BT44" i="4" s="1"/>
  <c r="BS38" i="4"/>
  <c r="BT38" i="4" s="1"/>
  <c r="BS31" i="4"/>
  <c r="BT31" i="4" s="1"/>
  <c r="CN52" i="4"/>
  <c r="CR52" i="4" s="1"/>
  <c r="BS47" i="4"/>
  <c r="BT47" i="4" s="1"/>
  <c r="CN41" i="4"/>
  <c r="CR41" i="4" s="1"/>
  <c r="CP32" i="4"/>
  <c r="CQ31" i="4"/>
  <c r="CN38" i="4"/>
  <c r="CR38" i="4" s="1"/>
  <c r="CN48" i="4"/>
  <c r="CR48" i="4" s="1"/>
  <c r="BS39" i="4"/>
  <c r="BT39" i="4" s="1"/>
  <c r="BS35" i="4"/>
  <c r="BT35" i="4" s="1"/>
  <c r="BO43" i="4"/>
  <c r="AL43" i="4"/>
  <c r="BX43" i="4" s="1"/>
  <c r="BW43" i="4"/>
  <c r="BO46" i="4"/>
  <c r="AL46" i="4"/>
  <c r="BX46" i="4" s="1"/>
  <c r="BW46" i="4"/>
  <c r="BO49" i="4"/>
  <c r="BW49" i="4"/>
  <c r="AL49" i="4"/>
  <c r="BW52" i="4"/>
  <c r="BO52" i="4"/>
  <c r="AL31" i="4"/>
  <c r="BX31" i="4" s="1"/>
  <c r="BW31" i="4"/>
  <c r="AL40" i="4"/>
  <c r="BX40" i="4" s="1"/>
  <c r="BY40" i="4" s="1"/>
  <c r="BN50" i="4"/>
  <c r="AL50" i="4" s="1"/>
  <c r="BX50" i="4" s="1"/>
  <c r="BS48" i="4"/>
  <c r="BT48" i="4" s="1"/>
  <c r="BN47" i="4"/>
  <c r="BN41" i="4"/>
  <c r="BW41" i="4" s="1"/>
  <c r="BN32" i="4"/>
  <c r="BW32" i="4" s="1"/>
  <c r="CN34" i="4"/>
  <c r="CR34" i="4" s="1"/>
  <c r="BS51" i="4"/>
  <c r="BT51" i="4" s="1"/>
  <c r="BS45" i="4"/>
  <c r="BT45" i="4" s="1"/>
  <c r="BN44" i="4"/>
  <c r="AL44" i="4" s="1"/>
  <c r="BS42" i="4"/>
  <c r="BT42" i="4" s="1"/>
  <c r="CK52" i="4"/>
  <c r="CL52" i="4" s="1"/>
  <c r="CK49" i="4"/>
  <c r="CL49" i="4" s="1"/>
  <c r="CK46" i="4"/>
  <c r="CL46" i="4" s="1"/>
  <c r="CK43" i="4"/>
  <c r="CL43" i="4" s="1"/>
  <c r="CK40" i="4"/>
  <c r="CL40" i="4" s="1"/>
  <c r="CK37" i="4"/>
  <c r="CL37" i="4" s="1"/>
  <c r="CK34" i="4"/>
  <c r="CL34" i="4" s="1"/>
  <c r="BS52" i="4"/>
  <c r="BT52" i="4" s="1"/>
  <c r="BN51" i="4"/>
  <c r="BO51" i="4" s="1"/>
  <c r="BS49" i="4"/>
  <c r="BT49" i="4" s="1"/>
  <c r="BN48" i="4"/>
  <c r="BW48" i="4" s="1"/>
  <c r="BS46" i="4"/>
  <c r="BT46" i="4" s="1"/>
  <c r="BN45" i="4"/>
  <c r="BW45" i="4" s="1"/>
  <c r="BS43" i="4"/>
  <c r="BT43" i="4" s="1"/>
  <c r="BN42" i="4"/>
  <c r="BO42" i="4" s="1"/>
  <c r="BS40" i="4"/>
  <c r="BT40" i="4" s="1"/>
  <c r="BN39" i="4"/>
  <c r="BS37" i="4"/>
  <c r="BT37" i="4" s="1"/>
  <c r="BN36" i="4"/>
  <c r="AL36" i="4" s="1"/>
  <c r="BX36" i="4" s="1"/>
  <c r="BS34" i="4"/>
  <c r="BT34" i="4" s="1"/>
  <c r="BN33" i="4"/>
  <c r="AL33" i="4" s="1"/>
  <c r="BX33" i="4" s="1"/>
  <c r="CN32" i="4"/>
  <c r="AL38" i="4"/>
  <c r="BX38" i="4" s="1"/>
  <c r="CK50" i="4"/>
  <c r="CL50" i="4" s="1"/>
  <c r="CK47" i="4"/>
  <c r="CL47" i="4" s="1"/>
  <c r="CK44" i="4"/>
  <c r="CL44" i="4" s="1"/>
  <c r="CK41" i="4"/>
  <c r="CL41" i="4" s="1"/>
  <c r="CK38" i="4"/>
  <c r="CL38" i="4" s="1"/>
  <c r="CK35" i="4"/>
  <c r="CL35" i="4" s="1"/>
  <c r="CK32" i="4"/>
  <c r="CL32" i="4" s="1"/>
  <c r="BO31" i="4"/>
  <c r="BO40" i="4"/>
  <c r="BO37" i="4"/>
  <c r="AL52" i="4"/>
  <c r="BX52" i="4" s="1"/>
  <c r="BN34" i="4"/>
  <c r="BS32" i="4"/>
  <c r="BT32" i="4" s="1"/>
  <c r="AL37" i="4"/>
  <c r="BX37" i="4" s="1"/>
  <c r="BY37" i="4" s="1"/>
  <c r="CN17" i="4"/>
  <c r="CB22" i="4"/>
  <c r="CB23" i="4"/>
  <c r="CB27" i="4"/>
  <c r="CB29" i="4"/>
  <c r="CB20" i="4"/>
  <c r="CN19" i="4"/>
  <c r="BS26" i="4"/>
  <c r="BT26" i="4" s="1"/>
  <c r="CP27" i="4"/>
  <c r="CR27" i="4" s="1"/>
  <c r="CN26" i="4"/>
  <c r="CR26" i="4" s="1"/>
  <c r="BS23" i="4"/>
  <c r="BT23" i="4" s="1"/>
  <c r="CB21" i="4"/>
  <c r="CB19" i="4"/>
  <c r="CB28" i="4"/>
  <c r="CB25" i="4"/>
  <c r="BS30" i="4"/>
  <c r="BT30" i="4" s="1"/>
  <c r="BS24" i="4"/>
  <c r="BT24" i="4" s="1"/>
  <c r="CB17" i="4"/>
  <c r="CK28" i="4"/>
  <c r="CL28" i="4" s="1"/>
  <c r="CK25" i="4"/>
  <c r="CL25" i="4" s="1"/>
  <c r="CK22" i="4"/>
  <c r="CL22" i="4" s="1"/>
  <c r="CR29" i="4"/>
  <c r="CB24" i="4"/>
  <c r="CO23" i="4"/>
  <c r="CR23" i="4" s="1"/>
  <c r="CR21" i="4"/>
  <c r="CB30" i="4"/>
  <c r="CB26" i="4"/>
  <c r="BO22" i="4"/>
  <c r="CF22" i="4" s="1"/>
  <c r="CR18" i="4"/>
  <c r="CP17" i="4"/>
  <c r="CP28" i="4"/>
  <c r="CR28" i="4" s="1"/>
  <c r="AL22" i="4"/>
  <c r="AM22" i="4" s="1"/>
  <c r="CE22" i="4" s="1"/>
  <c r="BO19" i="4"/>
  <c r="CF19" i="4" s="1"/>
  <c r="CB18" i="4"/>
  <c r="CP19" i="4"/>
  <c r="CK19" i="4"/>
  <c r="CL19" i="4" s="1"/>
  <c r="CN22" i="4"/>
  <c r="CR22" i="4" s="1"/>
  <c r="BS27" i="4"/>
  <c r="BT27" i="4" s="1"/>
  <c r="CN25" i="4"/>
  <c r="CR25" i="4" s="1"/>
  <c r="BS21" i="4"/>
  <c r="BT21" i="4" s="1"/>
  <c r="CR24" i="4"/>
  <c r="BS20" i="4"/>
  <c r="BT20" i="4" s="1"/>
  <c r="BN25" i="4"/>
  <c r="AL25" i="4" s="1"/>
  <c r="BX25" i="4" s="1"/>
  <c r="AL20" i="4"/>
  <c r="BX20" i="4" s="1"/>
  <c r="BW20" i="4"/>
  <c r="CR30" i="4"/>
  <c r="AL17" i="4"/>
  <c r="BX17" i="4" s="1"/>
  <c r="BW17" i="4"/>
  <c r="BN30" i="4"/>
  <c r="BW30" i="4" s="1"/>
  <c r="BS28" i="4"/>
  <c r="BT28" i="4" s="1"/>
  <c r="BS19" i="4"/>
  <c r="BT19" i="4" s="1"/>
  <c r="BN18" i="4"/>
  <c r="BS25" i="4"/>
  <c r="BT25" i="4" s="1"/>
  <c r="BN24" i="4"/>
  <c r="CN20" i="4"/>
  <c r="CR20" i="4" s="1"/>
  <c r="BN27" i="4"/>
  <c r="BO27" i="4" s="1"/>
  <c r="BS22" i="4"/>
  <c r="BT22" i="4" s="1"/>
  <c r="BN21" i="4"/>
  <c r="CK29" i="4"/>
  <c r="CL29" i="4" s="1"/>
  <c r="CK26" i="4"/>
  <c r="CL26" i="4" s="1"/>
  <c r="CK23" i="4"/>
  <c r="CL23" i="4" s="1"/>
  <c r="CK20" i="4"/>
  <c r="CL20" i="4" s="1"/>
  <c r="CK17" i="4"/>
  <c r="CL17" i="4" s="1"/>
  <c r="BS17" i="4"/>
  <c r="BT17" i="4" s="1"/>
  <c r="BS29" i="4"/>
  <c r="BT29" i="4" s="1"/>
  <c r="BN28" i="4"/>
  <c r="CK30" i="4"/>
  <c r="CL30" i="4" s="1"/>
  <c r="CK27" i="4"/>
  <c r="CL27" i="4" s="1"/>
  <c r="CK24" i="4"/>
  <c r="CL24" i="4" s="1"/>
  <c r="CK21" i="4"/>
  <c r="CL21" i="4" s="1"/>
  <c r="CK18" i="4"/>
  <c r="CL18" i="4" s="1"/>
  <c r="BO17" i="4"/>
  <c r="BN29" i="4"/>
  <c r="BO29" i="4" s="1"/>
  <c r="BN26" i="4"/>
  <c r="BO26" i="4" s="1"/>
  <c r="BN23" i="4"/>
  <c r="BW22" i="4"/>
  <c r="BO20" i="4"/>
  <c r="AL19" i="4"/>
  <c r="BX19" i="4" s="1"/>
  <c r="BY19" i="4" s="1"/>
  <c r="BS18" i="4"/>
  <c r="BT18" i="4" s="1"/>
  <c r="CB16" i="4"/>
  <c r="CK16" i="4"/>
  <c r="CL16" i="4" s="1"/>
  <c r="BS16" i="4"/>
  <c r="BT16" i="4" s="1"/>
  <c r="CQ16" i="4"/>
  <c r="CN16" i="4"/>
  <c r="BO16" i="4"/>
  <c r="BW16" i="4"/>
  <c r="AL16" i="4"/>
  <c r="BX16" i="4" s="1"/>
  <c r="BB6" i="4"/>
  <c r="BZ6" i="4"/>
  <c r="CP6" i="4" s="1"/>
  <c r="CA6" i="4"/>
  <c r="CQ6" i="4" s="1"/>
  <c r="CG6" i="4"/>
  <c r="CU6" i="4"/>
  <c r="CV6" i="4"/>
  <c r="BB7" i="4"/>
  <c r="BZ7" i="4"/>
  <c r="CA7" i="4"/>
  <c r="CQ7" i="4" s="1"/>
  <c r="CG7" i="4"/>
  <c r="CU7" i="4"/>
  <c r="CV7" i="4"/>
  <c r="BB8" i="4"/>
  <c r="BZ8" i="4"/>
  <c r="CP8" i="4" s="1"/>
  <c r="CA8" i="4"/>
  <c r="CG8" i="4"/>
  <c r="CU8" i="4"/>
  <c r="CV8" i="4"/>
  <c r="BB9" i="4"/>
  <c r="BZ9" i="4"/>
  <c r="CP9" i="4" s="1"/>
  <c r="CA9" i="4"/>
  <c r="CQ9" i="4" s="1"/>
  <c r="CG9" i="4"/>
  <c r="CU9" i="4"/>
  <c r="CV9" i="4"/>
  <c r="BB10" i="4"/>
  <c r="BZ10" i="4"/>
  <c r="CP10" i="4" s="1"/>
  <c r="CA10" i="4"/>
  <c r="CG10" i="4"/>
  <c r="CU10" i="4"/>
  <c r="CV10" i="4"/>
  <c r="BB11" i="4"/>
  <c r="BZ11" i="4"/>
  <c r="CP11" i="4" s="1"/>
  <c r="CA11" i="4"/>
  <c r="CQ11" i="4" s="1"/>
  <c r="CG11" i="4"/>
  <c r="CU11" i="4"/>
  <c r="CV11" i="4"/>
  <c r="BB12" i="4"/>
  <c r="BZ12" i="4"/>
  <c r="CA12" i="4"/>
  <c r="CQ12" i="4" s="1"/>
  <c r="CG12" i="4"/>
  <c r="CU12" i="4"/>
  <c r="CV12" i="4"/>
  <c r="BB13" i="4"/>
  <c r="BZ13" i="4"/>
  <c r="CP13" i="4" s="1"/>
  <c r="CA13" i="4"/>
  <c r="CQ13" i="4" s="1"/>
  <c r="CG13" i="4"/>
  <c r="CU13" i="4"/>
  <c r="CV13" i="4"/>
  <c r="BB14" i="4"/>
  <c r="BZ14" i="4"/>
  <c r="CP14" i="4" s="1"/>
  <c r="CA14" i="4"/>
  <c r="CQ14" i="4" s="1"/>
  <c r="CG14" i="4"/>
  <c r="CU14" i="4"/>
  <c r="CV14" i="4"/>
  <c r="BB15" i="4"/>
  <c r="BZ15" i="4"/>
  <c r="CA15" i="4"/>
  <c r="CQ15" i="4" s="1"/>
  <c r="CG15" i="4"/>
  <c r="CU15" i="4"/>
  <c r="CV15" i="4"/>
  <c r="AY6" i="4"/>
  <c r="BN6" i="4" s="1"/>
  <c r="AZ6" i="4"/>
  <c r="AY7" i="4"/>
  <c r="BN7" i="4" s="1"/>
  <c r="AZ7" i="4"/>
  <c r="AY8" i="4"/>
  <c r="BN8" i="4" s="1"/>
  <c r="AZ8" i="4"/>
  <c r="AY9" i="4"/>
  <c r="BN9" i="4" s="1"/>
  <c r="AZ9" i="4"/>
  <c r="AY10" i="4"/>
  <c r="CN10" i="4" s="1"/>
  <c r="AZ10" i="4"/>
  <c r="AY11" i="4"/>
  <c r="AZ11" i="4"/>
  <c r="AY12" i="4"/>
  <c r="AZ12" i="4"/>
  <c r="AY13" i="4"/>
  <c r="AZ13" i="4"/>
  <c r="AY14" i="4"/>
  <c r="BN14" i="4" s="1"/>
  <c r="BO14" i="4" s="1"/>
  <c r="AZ14" i="4"/>
  <c r="AY15" i="4"/>
  <c r="AZ15" i="4"/>
  <c r="C6" i="4"/>
  <c r="C7" i="4"/>
  <c r="C8" i="4"/>
  <c r="C9" i="4"/>
  <c r="C10" i="4"/>
  <c r="C11" i="4"/>
  <c r="C12" i="4"/>
  <c r="C13" i="4"/>
  <c r="C14" i="4"/>
  <c r="C15" i="4"/>
  <c r="S6" i="4"/>
  <c r="AB6" i="4"/>
  <c r="S7" i="4"/>
  <c r="AB7" i="4"/>
  <c r="S8" i="4"/>
  <c r="AB8" i="4"/>
  <c r="S9" i="4"/>
  <c r="AB9" i="4"/>
  <c r="S10" i="4"/>
  <c r="AB10" i="4"/>
  <c r="S11" i="4"/>
  <c r="AB11" i="4"/>
  <c r="S12" i="4"/>
  <c r="AB12" i="4"/>
  <c r="S13" i="4"/>
  <c r="AB13" i="4"/>
  <c r="S14" i="4"/>
  <c r="AB14" i="4"/>
  <c r="S15" i="4"/>
  <c r="AB15" i="4"/>
  <c r="Q6" i="4"/>
  <c r="CO6" i="4" s="1"/>
  <c r="Q7" i="4"/>
  <c r="CO7" i="4" s="1"/>
  <c r="Q8" i="4"/>
  <c r="CO8" i="4" s="1"/>
  <c r="Q9" i="4"/>
  <c r="CO9" i="4" s="1"/>
  <c r="Q10" i="4"/>
  <c r="Q11" i="4"/>
  <c r="Q12" i="4"/>
  <c r="Q13" i="4"/>
  <c r="CO13" i="4" s="1"/>
  <c r="Q14" i="4"/>
  <c r="Q15" i="4"/>
  <c r="CO15" i="4" s="1"/>
  <c r="B6" i="4"/>
  <c r="B7" i="4"/>
  <c r="B8" i="4"/>
  <c r="B9" i="4"/>
  <c r="B10" i="4"/>
  <c r="B11" i="4"/>
  <c r="B12" i="4"/>
  <c r="B13" i="4"/>
  <c r="B14" i="4"/>
  <c r="B15" i="4"/>
  <c r="BU150" i="4" l="1"/>
  <c r="BV150" i="4" s="1"/>
  <c r="BQ150" i="4"/>
  <c r="CM113" i="4"/>
  <c r="CF113" i="4"/>
  <c r="BP113" i="4"/>
  <c r="CM88" i="4"/>
  <c r="BP88" i="4"/>
  <c r="BQ145" i="4"/>
  <c r="BU145" i="4"/>
  <c r="BV145" i="4" s="1"/>
  <c r="BP66" i="4"/>
  <c r="CM66" i="4"/>
  <c r="BQ77" i="4"/>
  <c r="BU77" i="4"/>
  <c r="BV77" i="4" s="1"/>
  <c r="CM142" i="4"/>
  <c r="BP142" i="4"/>
  <c r="BU118" i="4"/>
  <c r="BV118" i="4" s="1"/>
  <c r="BQ118" i="4"/>
  <c r="BQ98" i="4"/>
  <c r="BU98" i="4"/>
  <c r="BV98" i="4" s="1"/>
  <c r="BP85" i="4"/>
  <c r="CM85" i="4"/>
  <c r="BU119" i="4"/>
  <c r="BV119" i="4" s="1"/>
  <c r="BQ119" i="4"/>
  <c r="BU120" i="4"/>
  <c r="BV120" i="4" s="1"/>
  <c r="BQ120" i="4"/>
  <c r="BU121" i="4"/>
  <c r="BV121" i="4" s="1"/>
  <c r="BQ121" i="4"/>
  <c r="BU122" i="4"/>
  <c r="BV122" i="4" s="1"/>
  <c r="BQ122" i="4"/>
  <c r="BU123" i="4"/>
  <c r="BV123" i="4" s="1"/>
  <c r="BQ123" i="4"/>
  <c r="BU124" i="4"/>
  <c r="BV124" i="4" s="1"/>
  <c r="BQ124" i="4"/>
  <c r="BU125" i="4"/>
  <c r="BV125" i="4" s="1"/>
  <c r="BQ125" i="4"/>
  <c r="BU126" i="4"/>
  <c r="BV126" i="4" s="1"/>
  <c r="BQ126" i="4"/>
  <c r="BU127" i="4"/>
  <c r="BV127" i="4" s="1"/>
  <c r="BQ127" i="4"/>
  <c r="BU128" i="4"/>
  <c r="BV128" i="4" s="1"/>
  <c r="BQ128" i="4"/>
  <c r="BU129" i="4"/>
  <c r="BV129" i="4" s="1"/>
  <c r="BQ129" i="4"/>
  <c r="BU130" i="4"/>
  <c r="BV130" i="4" s="1"/>
  <c r="BQ130" i="4"/>
  <c r="BU131" i="4"/>
  <c r="BV131" i="4" s="1"/>
  <c r="BQ131" i="4"/>
  <c r="BU132" i="4"/>
  <c r="BV132" i="4" s="1"/>
  <c r="BQ132" i="4"/>
  <c r="BU134" i="4"/>
  <c r="BV134" i="4" s="1"/>
  <c r="BQ134" i="4"/>
  <c r="BU135" i="4"/>
  <c r="BV135" i="4" s="1"/>
  <c r="BQ135" i="4"/>
  <c r="BU137" i="4"/>
  <c r="BV137" i="4" s="1"/>
  <c r="BQ137" i="4"/>
  <c r="BU138" i="4"/>
  <c r="BV138" i="4" s="1"/>
  <c r="BQ138" i="4"/>
  <c r="BU139" i="4"/>
  <c r="BV139" i="4" s="1"/>
  <c r="BQ139" i="4"/>
  <c r="BU143" i="4"/>
  <c r="BV143" i="4" s="1"/>
  <c r="BQ143" i="4"/>
  <c r="BU133" i="4"/>
  <c r="BV133" i="4" s="1"/>
  <c r="BQ133" i="4"/>
  <c r="BU136" i="4"/>
  <c r="BV136" i="4" s="1"/>
  <c r="BQ136" i="4"/>
  <c r="BU141" i="4"/>
  <c r="BV141" i="4" s="1"/>
  <c r="BQ141" i="4"/>
  <c r="BU140" i="4"/>
  <c r="BV140" i="4" s="1"/>
  <c r="BQ140" i="4"/>
  <c r="BP68" i="4"/>
  <c r="CF68" i="4"/>
  <c r="CM68" i="4"/>
  <c r="BQ56" i="4"/>
  <c r="BU56" i="4"/>
  <c r="BV56" i="4" s="1"/>
  <c r="BP53" i="4"/>
  <c r="BQ53" i="4" s="1"/>
  <c r="BP64" i="4"/>
  <c r="BQ83" i="4"/>
  <c r="BU83" i="4"/>
  <c r="BV83" i="4" s="1"/>
  <c r="BU71" i="4"/>
  <c r="BV71" i="4" s="1"/>
  <c r="BQ71" i="4"/>
  <c r="BP61" i="4"/>
  <c r="CF61" i="4"/>
  <c r="CM61" i="4"/>
  <c r="BU107" i="4"/>
  <c r="BV107" i="4" s="1"/>
  <c r="BQ107" i="4"/>
  <c r="BQ79" i="4"/>
  <c r="BU79" i="4"/>
  <c r="BV79" i="4" s="1"/>
  <c r="CM91" i="4"/>
  <c r="BP91" i="4"/>
  <c r="CF91" i="4"/>
  <c r="CF94" i="4"/>
  <c r="CM94" i="4"/>
  <c r="BP94" i="4"/>
  <c r="CM64" i="4"/>
  <c r="BQ67" i="4"/>
  <c r="BU67" i="4"/>
  <c r="BV67" i="4" s="1"/>
  <c r="BQ86" i="4"/>
  <c r="BU86" i="4"/>
  <c r="BV86" i="4" s="1"/>
  <c r="BU95" i="4"/>
  <c r="BV95" i="4" s="1"/>
  <c r="BQ95" i="4"/>
  <c r="CM117" i="4"/>
  <c r="CF117" i="4"/>
  <c r="BP117" i="4"/>
  <c r="BQ74" i="4"/>
  <c r="BU74" i="4"/>
  <c r="BV74" i="4" s="1"/>
  <c r="BU114" i="4"/>
  <c r="BV114" i="4" s="1"/>
  <c r="BQ114" i="4"/>
  <c r="BU115" i="4"/>
  <c r="BV115" i="4" s="1"/>
  <c r="BQ115" i="4"/>
  <c r="BU116" i="4"/>
  <c r="BV116" i="4" s="1"/>
  <c r="BQ116" i="4"/>
  <c r="BQ80" i="4"/>
  <c r="BU80" i="4"/>
  <c r="BV80" i="4" s="1"/>
  <c r="BP59" i="4"/>
  <c r="CM59" i="4"/>
  <c r="BP111" i="4"/>
  <c r="CF111" i="4"/>
  <c r="CM111" i="4"/>
  <c r="BU112" i="4"/>
  <c r="BV112" i="4" s="1"/>
  <c r="BQ112" i="4"/>
  <c r="BQ62" i="4"/>
  <c r="BU62" i="4"/>
  <c r="BV62" i="4" s="1"/>
  <c r="BQ92" i="4"/>
  <c r="BU92" i="4"/>
  <c r="BV92" i="4" s="1"/>
  <c r="BP110" i="4"/>
  <c r="CF110" i="4"/>
  <c r="CM110" i="4"/>
  <c r="CF82" i="4"/>
  <c r="CM82" i="4"/>
  <c r="BP82" i="4"/>
  <c r="BP103" i="4"/>
  <c r="CF103" i="4"/>
  <c r="CM103" i="4"/>
  <c r="BP89" i="4"/>
  <c r="CF89" i="4"/>
  <c r="CM89" i="4"/>
  <c r="BQ76" i="4"/>
  <c r="BU76" i="4"/>
  <c r="BV76" i="4" s="1"/>
  <c r="CM69" i="4"/>
  <c r="BP69" i="4"/>
  <c r="CF69" i="4"/>
  <c r="BP105" i="4"/>
  <c r="CF105" i="4"/>
  <c r="CM105" i="4"/>
  <c r="CF90" i="4"/>
  <c r="CM90" i="4"/>
  <c r="BP90" i="4"/>
  <c r="BQ65" i="4"/>
  <c r="BU65" i="4"/>
  <c r="BV65" i="4" s="1"/>
  <c r="BU87" i="4"/>
  <c r="BV87" i="4" s="1"/>
  <c r="BQ87" i="4"/>
  <c r="BP99" i="4"/>
  <c r="CF99" i="4"/>
  <c r="CM99" i="4"/>
  <c r="BQ63" i="4"/>
  <c r="BU63" i="4"/>
  <c r="BV63" i="4" s="1"/>
  <c r="BU93" i="4"/>
  <c r="BV93" i="4" s="1"/>
  <c r="BQ93" i="4"/>
  <c r="BQ73" i="4"/>
  <c r="BU73" i="4"/>
  <c r="BV73" i="4" s="1"/>
  <c r="BQ102" i="4"/>
  <c r="BU102" i="4"/>
  <c r="BV102" i="4" s="1"/>
  <c r="BQ70" i="4"/>
  <c r="BU70" i="4"/>
  <c r="BV70" i="4" s="1"/>
  <c r="BP108" i="4"/>
  <c r="CF108" i="4"/>
  <c r="CM108" i="4"/>
  <c r="BQ101" i="4"/>
  <c r="BU101" i="4"/>
  <c r="BV101" i="4" s="1"/>
  <c r="CF106" i="4"/>
  <c r="BP106" i="4"/>
  <c r="CM106" i="4"/>
  <c r="BU75" i="4"/>
  <c r="BV75" i="4" s="1"/>
  <c r="BQ75" i="4"/>
  <c r="CF109" i="4"/>
  <c r="BP109" i="4"/>
  <c r="CM109" i="4"/>
  <c r="BU97" i="4"/>
  <c r="BV97" i="4" s="1"/>
  <c r="BQ97" i="4"/>
  <c r="BU100" i="4"/>
  <c r="BV100" i="4" s="1"/>
  <c r="BQ100" i="4"/>
  <c r="CF104" i="4"/>
  <c r="CM104" i="4"/>
  <c r="BP104" i="4"/>
  <c r="CM81" i="4"/>
  <c r="BP81" i="4"/>
  <c r="CF81" i="4"/>
  <c r="CM53" i="4"/>
  <c r="BO35" i="4"/>
  <c r="CF35" i="4" s="1"/>
  <c r="CF58" i="4"/>
  <c r="BP58" i="4"/>
  <c r="CM58" i="4"/>
  <c r="CR31" i="4"/>
  <c r="BU55" i="4"/>
  <c r="BV55" i="4" s="1"/>
  <c r="BQ55" i="4"/>
  <c r="CM57" i="4"/>
  <c r="CF57" i="4"/>
  <c r="BP57" i="4"/>
  <c r="AL45" i="4"/>
  <c r="BX45" i="4" s="1"/>
  <c r="BY45" i="4" s="1"/>
  <c r="AM40" i="4"/>
  <c r="CE40" i="4" s="1"/>
  <c r="AL32" i="4"/>
  <c r="BX32" i="4" s="1"/>
  <c r="BY32" i="4" s="1"/>
  <c r="AL35" i="4"/>
  <c r="BY38" i="4"/>
  <c r="BY31" i="4"/>
  <c r="CE54" i="4"/>
  <c r="CM54" i="4"/>
  <c r="BP54" i="4"/>
  <c r="CR32" i="4"/>
  <c r="CR19" i="4"/>
  <c r="BO45" i="4"/>
  <c r="CF45" i="4" s="1"/>
  <c r="AM46" i="4"/>
  <c r="CE46" i="4" s="1"/>
  <c r="AL41" i="4"/>
  <c r="BX41" i="4" s="1"/>
  <c r="BY41" i="4" s="1"/>
  <c r="CR50" i="4"/>
  <c r="AM33" i="4"/>
  <c r="CE33" i="4" s="1"/>
  <c r="AM31" i="4"/>
  <c r="CE31" i="4" s="1"/>
  <c r="CR45" i="4"/>
  <c r="CR49" i="4"/>
  <c r="CR17" i="4"/>
  <c r="AM52" i="4"/>
  <c r="CE52" i="4" s="1"/>
  <c r="BY46" i="4"/>
  <c r="AM43" i="4"/>
  <c r="CE43" i="4" s="1"/>
  <c r="AL48" i="4"/>
  <c r="BX48" i="4" s="1"/>
  <c r="BY48" i="4" s="1"/>
  <c r="BW39" i="4"/>
  <c r="BO39" i="4"/>
  <c r="AL39" i="4"/>
  <c r="AM49" i="4"/>
  <c r="CE49" i="4" s="1"/>
  <c r="BX49" i="4"/>
  <c r="BY49" i="4" s="1"/>
  <c r="AM36" i="4"/>
  <c r="CE36" i="4" s="1"/>
  <c r="AL42" i="4"/>
  <c r="BW42" i="4"/>
  <c r="AM44" i="4"/>
  <c r="CE44" i="4" s="1"/>
  <c r="BX44" i="4"/>
  <c r="CF37" i="4"/>
  <c r="CF42" i="4"/>
  <c r="CF49" i="4"/>
  <c r="AL34" i="4"/>
  <c r="BW34" i="4"/>
  <c r="CF40" i="4"/>
  <c r="AM50" i="4"/>
  <c r="CE50" i="4" s="1"/>
  <c r="BO34" i="4"/>
  <c r="CF51" i="4"/>
  <c r="CF31" i="4"/>
  <c r="BW33" i="4"/>
  <c r="BY33" i="4" s="1"/>
  <c r="BO33" i="4"/>
  <c r="BW47" i="4"/>
  <c r="AL47" i="4"/>
  <c r="BO47" i="4"/>
  <c r="CF46" i="4"/>
  <c r="BW51" i="4"/>
  <c r="AL51" i="4"/>
  <c r="BO44" i="4"/>
  <c r="BW44" i="4"/>
  <c r="BW50" i="4"/>
  <c r="BY50" i="4" s="1"/>
  <c r="BO50" i="4"/>
  <c r="CF52" i="4"/>
  <c r="BY43" i="4"/>
  <c r="BW36" i="4"/>
  <c r="BY36" i="4" s="1"/>
  <c r="BO36" i="4"/>
  <c r="BY52" i="4"/>
  <c r="AM38" i="4"/>
  <c r="AM37" i="4"/>
  <c r="CE37" i="4" s="1"/>
  <c r="BO48" i="4"/>
  <c r="BO41" i="4"/>
  <c r="BO32" i="4"/>
  <c r="CF43" i="4"/>
  <c r="BS14" i="4"/>
  <c r="BT14" i="4" s="1"/>
  <c r="BX22" i="4"/>
  <c r="BY22" i="4" s="1"/>
  <c r="BP22" i="4"/>
  <c r="BU22" i="4" s="1"/>
  <c r="BV22" i="4" s="1"/>
  <c r="CR16" i="4"/>
  <c r="BY20" i="4"/>
  <c r="BO30" i="4"/>
  <c r="CF30" i="4" s="1"/>
  <c r="BW25" i="4"/>
  <c r="BY25" i="4" s="1"/>
  <c r="BO25" i="4"/>
  <c r="CF25" i="4" s="1"/>
  <c r="AM17" i="4"/>
  <c r="CE17" i="4" s="1"/>
  <c r="AM20" i="4"/>
  <c r="CE20" i="4" s="1"/>
  <c r="CF29" i="4"/>
  <c r="CF26" i="4"/>
  <c r="CF17" i="4"/>
  <c r="BW24" i="4"/>
  <c r="AL24" i="4"/>
  <c r="BW18" i="4"/>
  <c r="AL18" i="4"/>
  <c r="CF27" i="4"/>
  <c r="BW21" i="4"/>
  <c r="AL21" i="4"/>
  <c r="AM19" i="4"/>
  <c r="AL30" i="4"/>
  <c r="BO18" i="4"/>
  <c r="AM25" i="4"/>
  <c r="BO24" i="4"/>
  <c r="AL28" i="4"/>
  <c r="BW28" i="4"/>
  <c r="BO28" i="4"/>
  <c r="CF20" i="4"/>
  <c r="BW27" i="4"/>
  <c r="AL27" i="4"/>
  <c r="BY17" i="4"/>
  <c r="AL23" i="4"/>
  <c r="BW23" i="4"/>
  <c r="BO21" i="4"/>
  <c r="BO23" i="4"/>
  <c r="AL29" i="4"/>
  <c r="BW29" i="4"/>
  <c r="AL26" i="4"/>
  <c r="BW26" i="4"/>
  <c r="CM22" i="4"/>
  <c r="CB10" i="4"/>
  <c r="CB7" i="4"/>
  <c r="BY16" i="4"/>
  <c r="AM16" i="4"/>
  <c r="CE16" i="4" s="1"/>
  <c r="CF16" i="4"/>
  <c r="CN14" i="4"/>
  <c r="BS12" i="4"/>
  <c r="BT12" i="4" s="1"/>
  <c r="BS13" i="4"/>
  <c r="BT13" i="4" s="1"/>
  <c r="BS11" i="4"/>
  <c r="BT11" i="4" s="1"/>
  <c r="BS10" i="4"/>
  <c r="BT10" i="4" s="1"/>
  <c r="CO11" i="4"/>
  <c r="BN13" i="4"/>
  <c r="BO13" i="4" s="1"/>
  <c r="CF13" i="4" s="1"/>
  <c r="BN12" i="4"/>
  <c r="BW12" i="4" s="1"/>
  <c r="CN12" i="4"/>
  <c r="CB15" i="4"/>
  <c r="CK15" i="4"/>
  <c r="CL15" i="4" s="1"/>
  <c r="CK11" i="4"/>
  <c r="CL11" i="4" s="1"/>
  <c r="BN15" i="4"/>
  <c r="BW15" i="4" s="1"/>
  <c r="CK12" i="4"/>
  <c r="CL12" i="4" s="1"/>
  <c r="CB14" i="4"/>
  <c r="CB13" i="4"/>
  <c r="CB12" i="4"/>
  <c r="BO6" i="4"/>
  <c r="CF6" i="4" s="1"/>
  <c r="BW6" i="4"/>
  <c r="AL7" i="4"/>
  <c r="AM7" i="4" s="1"/>
  <c r="CE7" i="4" s="1"/>
  <c r="BW7" i="4"/>
  <c r="BW9" i="4"/>
  <c r="AL9" i="4"/>
  <c r="AM9" i="4" s="1"/>
  <c r="CE9" i="4" s="1"/>
  <c r="BW8" i="4"/>
  <c r="AL8" i="4"/>
  <c r="AM8" i="4" s="1"/>
  <c r="CE8" i="4" s="1"/>
  <c r="CP12" i="4"/>
  <c r="CN11" i="4"/>
  <c r="BN11" i="4"/>
  <c r="CK10" i="4"/>
  <c r="CL10" i="4" s="1"/>
  <c r="CN9" i="4"/>
  <c r="CR9" i="4" s="1"/>
  <c r="BS9" i="4"/>
  <c r="BT9" i="4" s="1"/>
  <c r="CN8" i="4"/>
  <c r="CN7" i="4"/>
  <c r="CN15" i="4"/>
  <c r="BS15" i="4"/>
  <c r="BT15" i="4" s="1"/>
  <c r="CO14" i="4"/>
  <c r="BW14" i="4"/>
  <c r="CO12" i="4"/>
  <c r="CK9" i="4"/>
  <c r="CL9" i="4" s="1"/>
  <c r="BO9" i="4"/>
  <c r="CF9" i="4" s="1"/>
  <c r="BS8" i="4"/>
  <c r="BT8" i="4" s="1"/>
  <c r="BS7" i="4"/>
  <c r="BT7" i="4" s="1"/>
  <c r="CB6" i="4"/>
  <c r="CN13" i="4"/>
  <c r="CR13" i="4" s="1"/>
  <c r="BN10" i="4"/>
  <c r="CK8" i="4"/>
  <c r="CL8" i="4" s="1"/>
  <c r="BO8" i="4"/>
  <c r="BO7" i="4"/>
  <c r="CF7" i="4" s="1"/>
  <c r="CK14" i="4"/>
  <c r="CL14" i="4" s="1"/>
  <c r="CK13" i="4"/>
  <c r="CL13" i="4" s="1"/>
  <c r="CK7" i="4"/>
  <c r="CL7" i="4" s="1"/>
  <c r="CN6" i="4"/>
  <c r="CR6" i="4" s="1"/>
  <c r="BS6" i="4"/>
  <c r="BT6" i="4" s="1"/>
  <c r="CO10" i="4"/>
  <c r="CK6" i="4"/>
  <c r="CL6" i="4" s="1"/>
  <c r="AL14" i="4"/>
  <c r="AM14" i="4" s="1"/>
  <c r="CE14" i="4" s="1"/>
  <c r="AL6" i="4"/>
  <c r="BX6" i="4" s="1"/>
  <c r="CB8" i="4"/>
  <c r="CF14" i="4"/>
  <c r="CB11" i="4"/>
  <c r="CQ10" i="4"/>
  <c r="CB9" i="4"/>
  <c r="CP7" i="4"/>
  <c r="CP15" i="4"/>
  <c r="CQ8" i="4"/>
  <c r="CW5" i="4"/>
  <c r="BU113" i="4" l="1"/>
  <c r="BV113" i="4" s="1"/>
  <c r="BQ113" i="4"/>
  <c r="BQ88" i="4"/>
  <c r="BU88" i="4"/>
  <c r="BV88" i="4" s="1"/>
  <c r="BQ66" i="4"/>
  <c r="BU66" i="4"/>
  <c r="BV66" i="4" s="1"/>
  <c r="BU142" i="4"/>
  <c r="BV142" i="4" s="1"/>
  <c r="BQ142" i="4"/>
  <c r="BQ85" i="4"/>
  <c r="BU85" i="4"/>
  <c r="BV85" i="4" s="1"/>
  <c r="BQ68" i="4"/>
  <c r="BU68" i="4"/>
  <c r="BV68" i="4" s="1"/>
  <c r="BU53" i="4"/>
  <c r="BV53" i="4" s="1"/>
  <c r="BQ64" i="4"/>
  <c r="BU64" i="4"/>
  <c r="BV64" i="4" s="1"/>
  <c r="BQ61" i="4"/>
  <c r="BU61" i="4"/>
  <c r="BV61" i="4" s="1"/>
  <c r="BQ91" i="4"/>
  <c r="BU91" i="4"/>
  <c r="BV91" i="4" s="1"/>
  <c r="BQ94" i="4"/>
  <c r="BU94" i="4"/>
  <c r="BV94" i="4" s="1"/>
  <c r="BU117" i="4"/>
  <c r="BV117" i="4" s="1"/>
  <c r="BQ117" i="4"/>
  <c r="BQ89" i="4"/>
  <c r="BU89" i="4"/>
  <c r="BV89" i="4" s="1"/>
  <c r="BQ103" i="4"/>
  <c r="BU103" i="4"/>
  <c r="BV103" i="4" s="1"/>
  <c r="BU59" i="4"/>
  <c r="BV59" i="4" s="1"/>
  <c r="BQ59" i="4"/>
  <c r="BQ111" i="4"/>
  <c r="BU111" i="4"/>
  <c r="BV111" i="4" s="1"/>
  <c r="BQ82" i="4"/>
  <c r="BU82" i="4"/>
  <c r="BV82" i="4" s="1"/>
  <c r="BQ110" i="4"/>
  <c r="BU110" i="4"/>
  <c r="BV110" i="4" s="1"/>
  <c r="BQ106" i="4"/>
  <c r="BU106" i="4"/>
  <c r="BV106" i="4" s="1"/>
  <c r="BQ90" i="4"/>
  <c r="BU90" i="4"/>
  <c r="BV90" i="4" s="1"/>
  <c r="BQ105" i="4"/>
  <c r="BU105" i="4"/>
  <c r="BV105" i="4" s="1"/>
  <c r="BQ108" i="4"/>
  <c r="BU108" i="4"/>
  <c r="BV108" i="4" s="1"/>
  <c r="BU109" i="4"/>
  <c r="BV109" i="4" s="1"/>
  <c r="BQ109" i="4"/>
  <c r="BU104" i="4"/>
  <c r="BV104" i="4" s="1"/>
  <c r="BQ104" i="4"/>
  <c r="BQ99" i="4"/>
  <c r="BU99" i="4"/>
  <c r="BV99" i="4" s="1"/>
  <c r="BU69" i="4"/>
  <c r="BV69" i="4" s="1"/>
  <c r="BQ69" i="4"/>
  <c r="BU81" i="4"/>
  <c r="BV81" i="4" s="1"/>
  <c r="BQ81" i="4"/>
  <c r="AM41" i="4"/>
  <c r="BP40" i="4"/>
  <c r="BU58" i="4"/>
  <c r="BV58" i="4" s="1"/>
  <c r="BQ58" i="4"/>
  <c r="CM31" i="4"/>
  <c r="CM46" i="4"/>
  <c r="AM45" i="4"/>
  <c r="CE45" i="4" s="1"/>
  <c r="BQ57" i="4"/>
  <c r="BU57" i="4"/>
  <c r="BV57" i="4" s="1"/>
  <c r="AM32" i="4"/>
  <c r="CE32" i="4" s="1"/>
  <c r="CM40" i="4"/>
  <c r="BP46" i="4"/>
  <c r="BU46" i="4" s="1"/>
  <c r="BV46" i="4" s="1"/>
  <c r="BP52" i="4"/>
  <c r="BQ52" i="4" s="1"/>
  <c r="BP31" i="4"/>
  <c r="BU31" i="4" s="1"/>
  <c r="BV31" i="4" s="1"/>
  <c r="BX35" i="4"/>
  <c r="BY35" i="4" s="1"/>
  <c r="AM35" i="4"/>
  <c r="BQ54" i="4"/>
  <c r="BU54" i="4"/>
  <c r="BV54" i="4" s="1"/>
  <c r="CM49" i="4"/>
  <c r="BP37" i="4"/>
  <c r="BQ37" i="4" s="1"/>
  <c r="CM43" i="4"/>
  <c r="CM52" i="4"/>
  <c r="BP43" i="4"/>
  <c r="BQ43" i="4" s="1"/>
  <c r="AM48" i="4"/>
  <c r="CE48" i="4" s="1"/>
  <c r="BP49" i="4"/>
  <c r="BQ49" i="4" s="1"/>
  <c r="BP50" i="4"/>
  <c r="CF50" i="4"/>
  <c r="CM50" i="4"/>
  <c r="BY44" i="4"/>
  <c r="AM42" i="4"/>
  <c r="BX42" i="4"/>
  <c r="BY42" i="4" s="1"/>
  <c r="CF41" i="4"/>
  <c r="BX47" i="4"/>
  <c r="BY47" i="4" s="1"/>
  <c r="AM47" i="4"/>
  <c r="CE47" i="4" s="1"/>
  <c r="CF48" i="4"/>
  <c r="BP44" i="4"/>
  <c r="CF44" i="4"/>
  <c r="CM44" i="4"/>
  <c r="CE38" i="4"/>
  <c r="CM38" i="4"/>
  <c r="BP38" i="4"/>
  <c r="BX51" i="4"/>
  <c r="BY51" i="4" s="1"/>
  <c r="AM51" i="4"/>
  <c r="CM33" i="4"/>
  <c r="BP33" i="4"/>
  <c r="CF33" i="4"/>
  <c r="CF34" i="4"/>
  <c r="BX34" i="4"/>
  <c r="BY34" i="4" s="1"/>
  <c r="AM34" i="4"/>
  <c r="CE34" i="4" s="1"/>
  <c r="CM36" i="4"/>
  <c r="BP36" i="4"/>
  <c r="CF36" i="4"/>
  <c r="BX39" i="4"/>
  <c r="BY39" i="4" s="1"/>
  <c r="AM39" i="4"/>
  <c r="CE39" i="4" s="1"/>
  <c r="CF32" i="4"/>
  <c r="CM37" i="4"/>
  <c r="CF39" i="4"/>
  <c r="CF47" i="4"/>
  <c r="BQ22" i="4"/>
  <c r="CM20" i="4"/>
  <c r="BP17" i="4"/>
  <c r="BQ17" i="4" s="1"/>
  <c r="BP20" i="4"/>
  <c r="BQ20" i="4" s="1"/>
  <c r="CM17" i="4"/>
  <c r="BX26" i="4"/>
  <c r="BY26" i="4" s="1"/>
  <c r="AM26" i="4"/>
  <c r="CF28" i="4"/>
  <c r="BX28" i="4"/>
  <c r="BY28" i="4" s="1"/>
  <c r="AM28" i="4"/>
  <c r="CE28" i="4" s="1"/>
  <c r="CF24" i="4"/>
  <c r="CF21" i="4"/>
  <c r="BX23" i="4"/>
  <c r="BY23" i="4" s="1"/>
  <c r="AM23" i="4"/>
  <c r="CE23" i="4" s="1"/>
  <c r="CF18" i="4"/>
  <c r="AM18" i="4"/>
  <c r="CE18" i="4" s="1"/>
  <c r="BX18" i="4"/>
  <c r="BY18" i="4" s="1"/>
  <c r="BX30" i="4"/>
  <c r="BY30" i="4" s="1"/>
  <c r="AM30" i="4"/>
  <c r="BX21" i="4"/>
  <c r="BY21" i="4" s="1"/>
  <c r="AM21" i="4"/>
  <c r="CE21" i="4" s="1"/>
  <c r="BX29" i="4"/>
  <c r="BY29" i="4" s="1"/>
  <c r="AM29" i="4"/>
  <c r="CF23" i="4"/>
  <c r="CE25" i="4"/>
  <c r="BP25" i="4"/>
  <c r="CM25" i="4"/>
  <c r="BX27" i="4"/>
  <c r="BY27" i="4" s="1"/>
  <c r="AM27" i="4"/>
  <c r="CE19" i="4"/>
  <c r="BP19" i="4"/>
  <c r="CM19" i="4"/>
  <c r="BX24" i="4"/>
  <c r="BY24" i="4" s="1"/>
  <c r="AM24" i="4"/>
  <c r="CE24" i="4" s="1"/>
  <c r="CR14" i="4"/>
  <c r="CR11" i="4"/>
  <c r="AL13" i="4"/>
  <c r="AM13" i="4" s="1"/>
  <c r="CE13" i="4" s="1"/>
  <c r="CM16" i="4"/>
  <c r="BP16" i="4"/>
  <c r="CR10" i="4"/>
  <c r="BW13" i="4"/>
  <c r="CM9" i="4"/>
  <c r="BX7" i="4"/>
  <c r="BY7" i="4" s="1"/>
  <c r="CR12" i="4"/>
  <c r="CR15" i="4"/>
  <c r="BO15" i="4"/>
  <c r="AL15" i="4"/>
  <c r="AM15" i="4" s="1"/>
  <c r="CE15" i="4" s="1"/>
  <c r="BO12" i="4"/>
  <c r="AL12" i="4"/>
  <c r="CR7" i="4"/>
  <c r="BP9" i="4"/>
  <c r="BQ9" i="4" s="1"/>
  <c r="BP7" i="4"/>
  <c r="CM7" i="4"/>
  <c r="BO11" i="4"/>
  <c r="AL11" i="4"/>
  <c r="BW11" i="4"/>
  <c r="BX8" i="4"/>
  <c r="BY8" i="4" s="1"/>
  <c r="AM6" i="4"/>
  <c r="CE6" i="4" s="1"/>
  <c r="CM14" i="4"/>
  <c r="BX9" i="4"/>
  <c r="BY9" i="4" s="1"/>
  <c r="CM8" i="4"/>
  <c r="BP8" i="4"/>
  <c r="CF8" i="4"/>
  <c r="BX14" i="4"/>
  <c r="BY14" i="4" s="1"/>
  <c r="BP14" i="4"/>
  <c r="BQ14" i="4" s="1"/>
  <c r="CR8" i="4"/>
  <c r="BW10" i="4"/>
  <c r="AL10" i="4"/>
  <c r="BO10" i="4"/>
  <c r="BY6" i="4"/>
  <c r="P14" i="5"/>
  <c r="CE41" i="4" l="1"/>
  <c r="BP41" i="4"/>
  <c r="CM41" i="4"/>
  <c r="BQ40" i="4"/>
  <c r="BU40" i="4"/>
  <c r="BV40" i="4" s="1"/>
  <c r="BQ46" i="4"/>
  <c r="CM32" i="4"/>
  <c r="CM45" i="4"/>
  <c r="BP45" i="4"/>
  <c r="BQ45" i="4" s="1"/>
  <c r="BQ31" i="4"/>
  <c r="BP32" i="4"/>
  <c r="BQ32" i="4" s="1"/>
  <c r="BU52" i="4"/>
  <c r="BV52" i="4" s="1"/>
  <c r="BP48" i="4"/>
  <c r="BU48" i="4" s="1"/>
  <c r="BV48" i="4" s="1"/>
  <c r="BU43" i="4"/>
  <c r="BV43" i="4" s="1"/>
  <c r="BU37" i="4"/>
  <c r="BV37" i="4" s="1"/>
  <c r="CE35" i="4"/>
  <c r="BP35" i="4"/>
  <c r="CM35" i="4"/>
  <c r="CM48" i="4"/>
  <c r="CM13" i="4"/>
  <c r="BX13" i="4"/>
  <c r="BY13" i="4" s="1"/>
  <c r="BU17" i="4"/>
  <c r="BV17" i="4" s="1"/>
  <c r="CM39" i="4"/>
  <c r="BP39" i="4"/>
  <c r="BU39" i="4" s="1"/>
  <c r="BV39" i="4" s="1"/>
  <c r="BU49" i="4"/>
  <c r="BV49" i="4" s="1"/>
  <c r="BQ38" i="4"/>
  <c r="BU38" i="4"/>
  <c r="BV38" i="4" s="1"/>
  <c r="CE42" i="4"/>
  <c r="CM42" i="4"/>
  <c r="BP42" i="4"/>
  <c r="BQ50" i="4"/>
  <c r="BU50" i="4"/>
  <c r="BV50" i="4" s="1"/>
  <c r="CM34" i="4"/>
  <c r="CM47" i="4"/>
  <c r="BQ44" i="4"/>
  <c r="BU44" i="4"/>
  <c r="BV44" i="4" s="1"/>
  <c r="BU33" i="4"/>
  <c r="BV33" i="4" s="1"/>
  <c r="BQ33" i="4"/>
  <c r="BP47" i="4"/>
  <c r="BP34" i="4"/>
  <c r="BU36" i="4"/>
  <c r="BV36" i="4" s="1"/>
  <c r="BQ36" i="4"/>
  <c r="CE51" i="4"/>
  <c r="BP51" i="4"/>
  <c r="CM51" i="4"/>
  <c r="BP24" i="4"/>
  <c r="BQ24" i="4" s="1"/>
  <c r="BU20" i="4"/>
  <c r="BV20" i="4" s="1"/>
  <c r="BP13" i="4"/>
  <c r="BQ13" i="4" s="1"/>
  <c r="CM21" i="4"/>
  <c r="BP21" i="4"/>
  <c r="CM28" i="4"/>
  <c r="BU19" i="4"/>
  <c r="BV19" i="4" s="1"/>
  <c r="BQ19" i="4"/>
  <c r="CE26" i="4"/>
  <c r="BP26" i="4"/>
  <c r="CM26" i="4"/>
  <c r="CE27" i="4"/>
  <c r="CM27" i="4"/>
  <c r="BP27" i="4"/>
  <c r="CE30" i="4"/>
  <c r="BP30" i="4"/>
  <c r="CM30" i="4"/>
  <c r="BU25" i="4"/>
  <c r="BV25" i="4" s="1"/>
  <c r="BQ25" i="4"/>
  <c r="BP28" i="4"/>
  <c r="CM23" i="4"/>
  <c r="BP23" i="4"/>
  <c r="CM18" i="4"/>
  <c r="CE29" i="4"/>
  <c r="BP29" i="4"/>
  <c r="CM29" i="4"/>
  <c r="BP18" i="4"/>
  <c r="CM24" i="4"/>
  <c r="BQ16" i="4"/>
  <c r="BU16" i="4"/>
  <c r="BV16" i="4" s="1"/>
  <c r="BU9" i="4"/>
  <c r="BV9" i="4" s="1"/>
  <c r="BP6" i="4"/>
  <c r="BQ6" i="4" s="1"/>
  <c r="BP15" i="4"/>
  <c r="BQ15" i="4" s="1"/>
  <c r="AM12" i="4"/>
  <c r="CE12" i="4" s="1"/>
  <c r="BX12" i="4"/>
  <c r="BY12" i="4" s="1"/>
  <c r="CF12" i="4"/>
  <c r="CF15" i="4"/>
  <c r="BX15" i="4"/>
  <c r="BY15" i="4" s="1"/>
  <c r="CM15" i="4"/>
  <c r="CM6" i="4"/>
  <c r="BU14" i="4"/>
  <c r="BV14" i="4" s="1"/>
  <c r="CF10" i="4"/>
  <c r="BQ8" i="4"/>
  <c r="BU8" i="4"/>
  <c r="BV8" i="4" s="1"/>
  <c r="AM11" i="4"/>
  <c r="CE11" i="4" s="1"/>
  <c r="BX11" i="4"/>
  <c r="BY11" i="4" s="1"/>
  <c r="AM10" i="4"/>
  <c r="CE10" i="4" s="1"/>
  <c r="BX10" i="4"/>
  <c r="BY10" i="4" s="1"/>
  <c r="BQ7" i="4"/>
  <c r="BU7" i="4"/>
  <c r="BV7" i="4" s="1"/>
  <c r="CF11" i="4"/>
  <c r="B3" i="102" a="1"/>
  <c r="BZ5" i="4"/>
  <c r="Q15" i="80"/>
  <c r="CJ145" i="4" l="1"/>
  <c r="CJ146" i="4"/>
  <c r="CJ144" i="4"/>
  <c r="CJ147" i="4"/>
  <c r="C12" i="102"/>
  <c r="C13" i="102"/>
  <c r="C14" i="102"/>
  <c r="C15" i="102"/>
  <c r="CJ119" i="4"/>
  <c r="CJ120" i="4"/>
  <c r="CJ121" i="4"/>
  <c r="CJ122" i="4"/>
  <c r="CJ123" i="4"/>
  <c r="CJ124" i="4"/>
  <c r="CJ125" i="4"/>
  <c r="CJ126" i="4"/>
  <c r="CJ127" i="4"/>
  <c r="CJ128" i="4"/>
  <c r="CJ129" i="4"/>
  <c r="CJ130" i="4"/>
  <c r="CJ131" i="4"/>
  <c r="CJ141" i="4"/>
  <c r="CJ142" i="4"/>
  <c r="CJ143" i="4"/>
  <c r="CJ132" i="4"/>
  <c r="CJ133" i="4"/>
  <c r="CJ134" i="4"/>
  <c r="CJ135" i="4"/>
  <c r="CJ136" i="4"/>
  <c r="CJ137" i="4"/>
  <c r="CJ138" i="4"/>
  <c r="CJ139" i="4"/>
  <c r="CJ140" i="4"/>
  <c r="CJ117" i="4"/>
  <c r="CJ118" i="4"/>
  <c r="CJ113" i="4"/>
  <c r="CJ115" i="4"/>
  <c r="CJ116" i="4"/>
  <c r="CJ114" i="4"/>
  <c r="BQ41" i="4"/>
  <c r="BU41" i="4"/>
  <c r="BV41" i="4" s="1"/>
  <c r="C11" i="102"/>
  <c r="C10" i="102"/>
  <c r="BQ48" i="4"/>
  <c r="C5" i="102"/>
  <c r="C6" i="102"/>
  <c r="C7" i="102"/>
  <c r="C8" i="102"/>
  <c r="C9" i="102"/>
  <c r="BU13" i="4"/>
  <c r="BV13" i="4" s="1"/>
  <c r="BU45" i="4"/>
  <c r="BV45" i="4" s="1"/>
  <c r="BU32" i="4"/>
  <c r="BV32" i="4" s="1"/>
  <c r="BQ39" i="4"/>
  <c r="BQ35" i="4"/>
  <c r="BU35" i="4"/>
  <c r="BV35" i="4" s="1"/>
  <c r="BU24" i="4"/>
  <c r="BV24" i="4" s="1"/>
  <c r="BQ34" i="4"/>
  <c r="BU34" i="4"/>
  <c r="BV34" i="4" s="1"/>
  <c r="BU42" i="4"/>
  <c r="BV42" i="4" s="1"/>
  <c r="BQ42" i="4"/>
  <c r="BQ47" i="4"/>
  <c r="BU47" i="4"/>
  <c r="BV47" i="4" s="1"/>
  <c r="BU51" i="4"/>
  <c r="BV51" i="4" s="1"/>
  <c r="BQ51" i="4"/>
  <c r="BP12" i="4"/>
  <c r="BQ12" i="4" s="1"/>
  <c r="BQ26" i="4"/>
  <c r="BU26" i="4"/>
  <c r="BV26" i="4" s="1"/>
  <c r="BQ21" i="4"/>
  <c r="BU21" i="4"/>
  <c r="BV21" i="4" s="1"/>
  <c r="BQ30" i="4"/>
  <c r="BU30" i="4"/>
  <c r="BV30" i="4" s="1"/>
  <c r="BQ29" i="4"/>
  <c r="BU29" i="4"/>
  <c r="BV29" i="4" s="1"/>
  <c r="BQ23" i="4"/>
  <c r="BU23" i="4"/>
  <c r="BV23" i="4" s="1"/>
  <c r="BU28" i="4"/>
  <c r="BV28" i="4" s="1"/>
  <c r="BQ28" i="4"/>
  <c r="BQ18" i="4"/>
  <c r="BU18" i="4"/>
  <c r="BV18" i="4" s="1"/>
  <c r="BQ27" i="4"/>
  <c r="BU27" i="4"/>
  <c r="BV27" i="4" s="1"/>
  <c r="BU15" i="4"/>
  <c r="BV15" i="4" s="1"/>
  <c r="CM12" i="4"/>
  <c r="BU6" i="4"/>
  <c r="BV6" i="4" s="1"/>
  <c r="BP10" i="4"/>
  <c r="BQ10" i="4" s="1"/>
  <c r="BP11" i="4"/>
  <c r="BU11" i="4" s="1"/>
  <c r="BV11" i="4" s="1"/>
  <c r="CM11" i="4"/>
  <c r="CM10" i="4"/>
  <c r="AD167" i="4"/>
  <c r="CJ110" i="4" l="1"/>
  <c r="CJ112" i="4"/>
  <c r="CJ111" i="4"/>
  <c r="CJ60" i="4"/>
  <c r="CJ61" i="4"/>
  <c r="CJ62" i="4"/>
  <c r="CJ63" i="4"/>
  <c r="CJ64" i="4"/>
  <c r="CJ65" i="4"/>
  <c r="CJ66" i="4"/>
  <c r="CJ67" i="4"/>
  <c r="CJ69" i="4"/>
  <c r="CJ70" i="4"/>
  <c r="CJ104" i="4"/>
  <c r="CJ68" i="4"/>
  <c r="CJ71" i="4"/>
  <c r="CJ72" i="4"/>
  <c r="CJ73" i="4"/>
  <c r="CJ74" i="4"/>
  <c r="CJ75" i="4"/>
  <c r="CJ76" i="4"/>
  <c r="CJ94" i="4"/>
  <c r="CJ77" i="4"/>
  <c r="CJ78" i="4"/>
  <c r="CJ79" i="4"/>
  <c r="CJ80" i="4"/>
  <c r="CJ81" i="4"/>
  <c r="CJ82" i="4"/>
  <c r="CJ83" i="4"/>
  <c r="CJ84" i="4"/>
  <c r="CJ86" i="4"/>
  <c r="CJ100" i="4"/>
  <c r="CJ85" i="4"/>
  <c r="CJ87" i="4"/>
  <c r="CJ88" i="4"/>
  <c r="CJ89" i="4"/>
  <c r="CJ90" i="4"/>
  <c r="CJ91" i="4"/>
  <c r="CJ92" i="4"/>
  <c r="CJ93" i="4"/>
  <c r="CJ95" i="4"/>
  <c r="CJ96" i="4"/>
  <c r="CJ97" i="4"/>
  <c r="CJ98" i="4"/>
  <c r="CJ99" i="4"/>
  <c r="CJ101" i="4"/>
  <c r="CJ102" i="4"/>
  <c r="CJ103" i="4"/>
  <c r="CJ105" i="4"/>
  <c r="CJ106" i="4"/>
  <c r="CJ107" i="4"/>
  <c r="CJ108" i="4"/>
  <c r="CJ109" i="4"/>
  <c r="CJ55" i="4"/>
  <c r="CJ59" i="4"/>
  <c r="CJ58" i="4"/>
  <c r="CJ57" i="4"/>
  <c r="CJ56" i="4"/>
  <c r="CJ54" i="4"/>
  <c r="CJ53" i="4"/>
  <c r="CJ32" i="4"/>
  <c r="CJ38" i="4"/>
  <c r="CJ41" i="4"/>
  <c r="CJ52" i="4"/>
  <c r="CJ33" i="4"/>
  <c r="CJ45" i="4"/>
  <c r="CJ49" i="4"/>
  <c r="CJ36" i="4"/>
  <c r="CJ42" i="4"/>
  <c r="CJ34" i="4"/>
  <c r="CJ46" i="4"/>
  <c r="CJ39" i="4"/>
  <c r="CJ43" i="4"/>
  <c r="CJ50" i="4"/>
  <c r="CJ37" i="4"/>
  <c r="CJ31" i="4"/>
  <c r="CJ35" i="4"/>
  <c r="CJ47" i="4"/>
  <c r="CJ40" i="4"/>
  <c r="CJ44" i="4"/>
  <c r="CJ51" i="4"/>
  <c r="CJ48" i="4"/>
  <c r="BU12" i="4"/>
  <c r="BV12" i="4" s="1"/>
  <c r="CJ16" i="4"/>
  <c r="CJ26" i="4"/>
  <c r="CJ24" i="4"/>
  <c r="CJ19" i="4"/>
  <c r="CJ22" i="4"/>
  <c r="CJ27" i="4"/>
  <c r="CJ25" i="4"/>
  <c r="CJ28" i="4"/>
  <c r="CJ20" i="4"/>
  <c r="CJ17" i="4"/>
  <c r="CJ23" i="4"/>
  <c r="CJ18" i="4"/>
  <c r="CJ21" i="4"/>
  <c r="CJ29" i="4"/>
  <c r="CJ30" i="4"/>
  <c r="BU10" i="4"/>
  <c r="BV10" i="4" s="1"/>
  <c r="BQ11" i="4"/>
  <c r="CJ6" i="4"/>
  <c r="CJ7" i="4"/>
  <c r="CJ12" i="4"/>
  <c r="CJ13" i="4"/>
  <c r="CJ14" i="4"/>
  <c r="CJ15" i="4"/>
  <c r="CJ8" i="4"/>
  <c r="CJ9" i="4"/>
  <c r="CJ11" i="4"/>
  <c r="CJ10" i="4"/>
  <c r="C5" i="4"/>
  <c r="D20" i="5" s="1" a="1"/>
  <c r="CT161" i="4"/>
  <c r="CS161" i="4"/>
  <c r="CI161" i="4"/>
  <c r="CH161" i="4"/>
  <c r="CD161" i="4"/>
  <c r="CC161" i="4"/>
  <c r="AW161" i="4" l="1"/>
  <c r="J6" i="80" s="1"/>
  <c r="J9" i="80" s="1"/>
  <c r="X4" i="95" l="1" a="1"/>
  <c r="L11" i="5"/>
  <c r="G5" i="5"/>
  <c r="E11" i="5"/>
  <c r="I61" i="5"/>
  <c r="F11" i="5"/>
  <c r="O28" i="5"/>
  <c r="N10" i="5"/>
  <c r="I10" i="5"/>
  <c r="O30" i="5"/>
  <c r="M11" i="5"/>
  <c r="N11" i="5"/>
  <c r="L61" i="5"/>
  <c r="L30" i="5"/>
  <c r="O5" i="5"/>
  <c r="J6" i="5"/>
  <c r="J24" i="5" s="1"/>
  <c r="G30" i="5"/>
  <c r="J10" i="5"/>
  <c r="O61" i="5"/>
  <c r="H30" i="5"/>
  <c r="K10" i="5"/>
  <c r="J28" i="5"/>
  <c r="G11" i="5"/>
  <c r="M10" i="5"/>
  <c r="J11" i="5"/>
  <c r="L59" i="5"/>
  <c r="G7" i="5"/>
  <c r="G26" i="5" s="1"/>
  <c r="K6" i="5"/>
  <c r="K24" i="5" s="1"/>
  <c r="M6" i="5"/>
  <c r="M24" i="5" s="1"/>
  <c r="G10" i="5"/>
  <c r="H10" i="5"/>
  <c r="D11" i="5"/>
  <c r="O11" i="5"/>
  <c r="I6" i="5"/>
  <c r="I60" i="5"/>
  <c r="I28" i="5"/>
  <c r="O7" i="5"/>
  <c r="M59" i="5"/>
  <c r="H59" i="5"/>
  <c r="N6" i="5"/>
  <c r="N24" i="5" s="1"/>
  <c r="J5" i="5"/>
  <c r="K5" i="5"/>
  <c r="I59" i="5"/>
  <c r="O6" i="5"/>
  <c r="O24" i="5" s="1"/>
  <c r="H61" i="5"/>
  <c r="L10" i="5"/>
  <c r="O10" i="5"/>
  <c r="K59" i="5"/>
  <c r="I5" i="5"/>
  <c r="K11" i="5"/>
  <c r="H7" i="5"/>
  <c r="L28" i="5"/>
  <c r="K7" i="5"/>
  <c r="L7" i="5"/>
  <c r="H6" i="5"/>
  <c r="H60" i="5"/>
  <c r="H28" i="5"/>
  <c r="N7" i="5"/>
  <c r="N61" i="5"/>
  <c r="N30" i="5"/>
  <c r="L6" i="5"/>
  <c r="L24" i="5" s="1"/>
  <c r="O60" i="5"/>
  <c r="J7" i="5"/>
  <c r="J26" i="5" s="1"/>
  <c r="O59" i="5"/>
  <c r="L60" i="5"/>
  <c r="I30" i="5"/>
  <c r="L5" i="5"/>
  <c r="M60" i="5"/>
  <c r="M28" i="5"/>
  <c r="N59" i="5"/>
  <c r="N60" i="5"/>
  <c r="N28" i="5"/>
  <c r="K28" i="5"/>
  <c r="J59" i="5"/>
  <c r="H5" i="5"/>
  <c r="I11" i="5"/>
  <c r="H11" i="5"/>
  <c r="J61" i="5"/>
  <c r="J30" i="5"/>
  <c r="M5" i="5"/>
  <c r="K60" i="5"/>
  <c r="K61" i="5"/>
  <c r="K30" i="5"/>
  <c r="N5" i="5"/>
  <c r="I7" i="5"/>
  <c r="M7" i="5"/>
  <c r="M61" i="5"/>
  <c r="M30" i="5"/>
  <c r="J60" i="5"/>
  <c r="J27" i="5" l="1"/>
  <c r="G17" i="5"/>
  <c r="O18" i="5"/>
  <c r="G18" i="5"/>
  <c r="K17" i="5"/>
  <c r="O16" i="5"/>
  <c r="N17" i="5"/>
  <c r="K16" i="5"/>
  <c r="J18" i="5"/>
  <c r="O17" i="5"/>
  <c r="J17" i="5"/>
  <c r="M29" i="5"/>
  <c r="O31" i="5"/>
  <c r="H29" i="5"/>
  <c r="N29" i="5"/>
  <c r="J29" i="5"/>
  <c r="J31" i="5"/>
  <c r="M17" i="5"/>
  <c r="G60" i="5"/>
  <c r="G59" i="5"/>
  <c r="I31" i="5"/>
  <c r="K31" i="5"/>
  <c r="L16" i="5"/>
  <c r="L29" i="5"/>
  <c r="K18" i="5"/>
  <c r="H16" i="5"/>
  <c r="L18" i="5"/>
  <c r="M18" i="5"/>
  <c r="G31" i="5"/>
  <c r="L31" i="5"/>
  <c r="N18" i="5"/>
  <c r="N31" i="5"/>
  <c r="H17" i="5"/>
  <c r="N16" i="5"/>
  <c r="M16" i="5"/>
  <c r="J16" i="5"/>
  <c r="M31" i="5"/>
  <c r="I29" i="5"/>
  <c r="H31" i="5"/>
  <c r="O29" i="5"/>
  <c r="G28" i="5"/>
  <c r="L17" i="5"/>
  <c r="I17" i="5"/>
  <c r="K29" i="5"/>
  <c r="I16" i="5"/>
  <c r="H18" i="5"/>
  <c r="I18" i="5"/>
  <c r="G6" i="5" l="1"/>
  <c r="G16" i="5" s="1"/>
  <c r="G61" i="5"/>
  <c r="AC161" i="4"/>
  <c r="G29" i="5" l="1"/>
  <c r="D5" i="95" l="1" a="1"/>
  <c r="F2" i="5"/>
  <c r="F33" i="5"/>
  <c r="F39" i="5"/>
  <c r="F44" i="5" s="1"/>
  <c r="F51" i="5" s="1"/>
  <c r="F52" i="5" s="1"/>
  <c r="B18" i="95" l="1"/>
  <c r="I18" i="95"/>
  <c r="K18" i="95"/>
  <c r="M18" i="95" a="1"/>
  <c r="H18" i="95"/>
  <c r="N18" i="95" s="1"/>
  <c r="E18" i="95"/>
  <c r="F18" i="95"/>
  <c r="G18" i="95"/>
  <c r="E15" i="95"/>
  <c r="F15" i="95"/>
  <c r="G15" i="95"/>
  <c r="H15" i="95"/>
  <c r="I15" i="95"/>
  <c r="K15" i="95"/>
  <c r="M15" i="95" a="1"/>
  <c r="E16" i="95"/>
  <c r="F16" i="95"/>
  <c r="G16" i="95"/>
  <c r="H16" i="95"/>
  <c r="I16" i="95"/>
  <c r="K16" i="95"/>
  <c r="M16" i="95" a="1"/>
  <c r="E17" i="95"/>
  <c r="F17" i="95"/>
  <c r="G17" i="95"/>
  <c r="H17" i="95"/>
  <c r="I17" i="95"/>
  <c r="K17" i="95"/>
  <c r="M17" i="95" a="1"/>
  <c r="B15" i="95"/>
  <c r="B16" i="95"/>
  <c r="B17" i="95"/>
  <c r="E14" i="95"/>
  <c r="F14" i="95"/>
  <c r="G14" i="95"/>
  <c r="H14" i="95"/>
  <c r="I14" i="95"/>
  <c r="K14" i="95"/>
  <c r="M14" i="95" a="1"/>
  <c r="B14" i="95"/>
  <c r="M13" i="95" a="1"/>
  <c r="K13" i="95"/>
  <c r="I13" i="95"/>
  <c r="H13" i="95"/>
  <c r="G13" i="95"/>
  <c r="F13" i="95"/>
  <c r="E13" i="95"/>
  <c r="B13" i="95"/>
  <c r="E12" i="95"/>
  <c r="B12" i="95"/>
  <c r="F12" i="95"/>
  <c r="H12" i="95"/>
  <c r="I12" i="95"/>
  <c r="K12" i="95"/>
  <c r="M12" i="95" a="1"/>
  <c r="G12" i="95"/>
  <c r="K8" i="95"/>
  <c r="H10" i="95"/>
  <c r="M11" i="95" a="1"/>
  <c r="M8" i="95" a="1"/>
  <c r="E9" i="95"/>
  <c r="B9" i="95"/>
  <c r="F9" i="95"/>
  <c r="K10" i="95"/>
  <c r="B10" i="95"/>
  <c r="I9" i="95"/>
  <c r="E11" i="95"/>
  <c r="F10" i="95"/>
  <c r="I11" i="95"/>
  <c r="G9" i="95"/>
  <c r="B11" i="95"/>
  <c r="H9" i="95"/>
  <c r="M10" i="95" a="1"/>
  <c r="K11" i="95"/>
  <c r="E8" i="95"/>
  <c r="K9" i="95"/>
  <c r="F11" i="95"/>
  <c r="F8" i="95"/>
  <c r="M9" i="95" a="1"/>
  <c r="G11" i="95"/>
  <c r="E10" i="95"/>
  <c r="H11" i="95"/>
  <c r="G10" i="95"/>
  <c r="B8" i="95"/>
  <c r="I10" i="95"/>
  <c r="G8" i="95"/>
  <c r="H8" i="95"/>
  <c r="I8" i="95"/>
  <c r="E7" i="95"/>
  <c r="F7" i="95"/>
  <c r="G7" i="95"/>
  <c r="H7" i="95"/>
  <c r="I7" i="95"/>
  <c r="K7" i="95"/>
  <c r="M7" i="95" a="1"/>
  <c r="B7" i="95"/>
  <c r="K6" i="95"/>
  <c r="F20" i="5" a="1"/>
  <c r="F21" i="5" a="1"/>
  <c r="F19" i="5" a="1"/>
  <c r="F22" i="5" a="1"/>
  <c r="F10" i="5"/>
  <c r="F30" i="5"/>
  <c r="C3" i="102"/>
  <c r="C4" i="102"/>
  <c r="K5" i="95" s="1"/>
  <c r="M6" i="95" a="1"/>
  <c r="B6" i="95"/>
  <c r="F55" i="5"/>
  <c r="F56" i="5" s="1"/>
  <c r="L15" i="95" l="1"/>
  <c r="J15" i="95"/>
  <c r="J17" i="95"/>
  <c r="L17" i="95"/>
  <c r="J18" i="95"/>
  <c r="L18" i="95"/>
  <c r="N16" i="95"/>
  <c r="N17" i="95"/>
  <c r="N15" i="95"/>
  <c r="J16" i="95"/>
  <c r="L16" i="95"/>
  <c r="L12" i="95"/>
  <c r="L14" i="95"/>
  <c r="N14" i="95"/>
  <c r="J12" i="95"/>
  <c r="J8" i="95"/>
  <c r="J14" i="95"/>
  <c r="N13" i="95"/>
  <c r="J10" i="95"/>
  <c r="L13" i="95"/>
  <c r="J13" i="95"/>
  <c r="L10" i="95"/>
  <c r="N12" i="95"/>
  <c r="L9" i="95"/>
  <c r="N9" i="95"/>
  <c r="J9" i="95"/>
  <c r="N8" i="95"/>
  <c r="L11" i="95"/>
  <c r="N10" i="95"/>
  <c r="N11" i="95"/>
  <c r="J11" i="95"/>
  <c r="L8" i="95"/>
  <c r="J7" i="95"/>
  <c r="L7" i="95"/>
  <c r="N7" i="95"/>
  <c r="M5" i="95" a="1"/>
  <c r="M3" i="95" s="1"/>
  <c r="F18" i="5"/>
  <c r="F60" i="5"/>
  <c r="F59" i="5"/>
  <c r="F53" i="5"/>
  <c r="B5" i="95"/>
  <c r="E5" i="95"/>
  <c r="F28" i="5" l="1"/>
  <c r="F16" i="5"/>
  <c r="F17" i="5"/>
  <c r="F31" i="5"/>
  <c r="F61" i="5" l="1"/>
  <c r="F29" i="5"/>
  <c r="E10" i="5" l="1"/>
  <c r="C64" i="5"/>
  <c r="E18" i="5" l="1"/>
  <c r="E60" i="5"/>
  <c r="E59" i="5"/>
  <c r="C65" i="5"/>
  <c r="E64" i="5"/>
  <c r="D64" i="5"/>
  <c r="E28" i="5" l="1"/>
  <c r="E16" i="5"/>
  <c r="E17" i="5" l="1"/>
  <c r="E29" i="5"/>
  <c r="E30" i="5"/>
  <c r="E31" i="5" l="1"/>
  <c r="E61" i="5"/>
  <c r="G6" i="95" l="1"/>
  <c r="E4" i="97" a="1"/>
  <c r="C4" i="97" a="1"/>
  <c r="AY5" i="4"/>
  <c r="AY161" i="4" s="1"/>
  <c r="AZ5" i="4"/>
  <c r="BB5" i="4"/>
  <c r="BZ161" i="4"/>
  <c r="CA5" i="4"/>
  <c r="CG5" i="4"/>
  <c r="CG161" i="4" s="1"/>
  <c r="CU5" i="4"/>
  <c r="CU161" i="4" s="1"/>
  <c r="CV5" i="4"/>
  <c r="Q5" i="4"/>
  <c r="Q161" i="4" s="1"/>
  <c r="S5" i="4"/>
  <c r="AB5" i="4"/>
  <c r="B5" i="4"/>
  <c r="F54" i="81"/>
  <c r="O171" i="4" s="1"/>
  <c r="D24" i="97" l="1"/>
  <c r="D25" i="97"/>
  <c r="D26" i="97"/>
  <c r="D27" i="97"/>
  <c r="D28" i="97"/>
  <c r="B25" i="97"/>
  <c r="B26" i="97"/>
  <c r="B27" i="97"/>
  <c r="B28" i="97"/>
  <c r="D20" i="97"/>
  <c r="D21" i="97"/>
  <c r="D22" i="97"/>
  <c r="D23" i="97"/>
  <c r="B23" i="97"/>
  <c r="B24" i="97"/>
  <c r="B21" i="97"/>
  <c r="B22" i="97"/>
  <c r="D17" i="97"/>
  <c r="D18" i="97"/>
  <c r="D19" i="97"/>
  <c r="B17" i="97"/>
  <c r="B18" i="97"/>
  <c r="B19" i="97"/>
  <c r="B20" i="97"/>
  <c r="B12" i="97"/>
  <c r="B14" i="97"/>
  <c r="B15" i="97"/>
  <c r="D12" i="97"/>
  <c r="D16" i="97"/>
  <c r="B16" i="97"/>
  <c r="D11" i="97"/>
  <c r="D13" i="97"/>
  <c r="D14" i="97"/>
  <c r="D15" i="97"/>
  <c r="B11" i="97"/>
  <c r="B13" i="97"/>
  <c r="D8" i="97"/>
  <c r="D9" i="97"/>
  <c r="D10" i="97"/>
  <c r="B8" i="97"/>
  <c r="B9" i="97"/>
  <c r="B10" i="97"/>
  <c r="D7" i="97"/>
  <c r="B7" i="97"/>
  <c r="E2" i="97" s="1"/>
  <c r="CV161" i="4"/>
  <c r="V5" i="95" a="1"/>
  <c r="D10" i="5"/>
  <c r="G5" i="95"/>
  <c r="CQ5" i="4"/>
  <c r="CQ161" i="4" s="1"/>
  <c r="CA161" i="4"/>
  <c r="O26" i="5"/>
  <c r="O27" i="5" s="1"/>
  <c r="CP5" i="4"/>
  <c r="CP161" i="4" s="1"/>
  <c r="CN5" i="4"/>
  <c r="CN161" i="4" s="1"/>
  <c r="D6" i="97"/>
  <c r="B6" i="97"/>
  <c r="CJ5" i="4"/>
  <c r="CJ161" i="4" s="1"/>
  <c r="CK5" i="4"/>
  <c r="D59" i="5" s="1"/>
  <c r="BN5" i="4"/>
  <c r="B4" i="97" s="1"/>
  <c r="B5" i="97"/>
  <c r="BS5" i="4"/>
  <c r="CO5" i="4"/>
  <c r="CO161" i="4" s="1"/>
  <c r="CB5" i="4"/>
  <c r="CB161" i="4" s="1"/>
  <c r="L56" i="81"/>
  <c r="P20" i="5" l="1"/>
  <c r="D18" i="5"/>
  <c r="H6" i="95"/>
  <c r="N6" i="95" s="1"/>
  <c r="BO5" i="4"/>
  <c r="CL5" i="4"/>
  <c r="D60" i="5" s="1"/>
  <c r="CK161" i="4"/>
  <c r="BT5" i="4"/>
  <c r="BS161" i="4"/>
  <c r="CR5" i="4"/>
  <c r="CR161" i="4" s="1"/>
  <c r="P11" i="5"/>
  <c r="L15" i="5"/>
  <c r="H8" i="5"/>
  <c r="H9" i="5" s="1"/>
  <c r="H12" i="5"/>
  <c r="H13" i="5" s="1"/>
  <c r="K26" i="5"/>
  <c r="K27" i="5" s="1"/>
  <c r="E15" i="5"/>
  <c r="N15" i="5"/>
  <c r="J8" i="5"/>
  <c r="J9" i="5" s="1"/>
  <c r="J12" i="5"/>
  <c r="J13" i="5" s="1"/>
  <c r="M8" i="5"/>
  <c r="M9" i="5" s="1"/>
  <c r="M26" i="5"/>
  <c r="M27" i="5" s="1"/>
  <c r="I15" i="5"/>
  <c r="G15" i="5"/>
  <c r="N12" i="5"/>
  <c r="N13" i="5" s="1"/>
  <c r="L8" i="5"/>
  <c r="L9" i="5" s="1"/>
  <c r="L12" i="5"/>
  <c r="L13" i="5" s="1"/>
  <c r="H26" i="5"/>
  <c r="F8" i="5"/>
  <c r="F9" i="5" s="1"/>
  <c r="F26" i="5"/>
  <c r="K15" i="5"/>
  <c r="G8" i="5"/>
  <c r="G9" i="5" s="1"/>
  <c r="G12" i="5"/>
  <c r="G13" i="5" s="1"/>
  <c r="E12" i="5"/>
  <c r="E13" i="5" s="1"/>
  <c r="E8" i="5"/>
  <c r="E9" i="5" s="1"/>
  <c r="P10" i="5"/>
  <c r="O8" i="5"/>
  <c r="O9" i="5" s="1"/>
  <c r="O12" i="5"/>
  <c r="O13" i="5" s="1"/>
  <c r="O15" i="5"/>
  <c r="M15" i="5"/>
  <c r="I8" i="5"/>
  <c r="I9" i="5" s="1"/>
  <c r="I12" i="5"/>
  <c r="I13" i="5" s="1"/>
  <c r="N8" i="5"/>
  <c r="N9" i="5" s="1"/>
  <c r="N26" i="5"/>
  <c r="N27" i="5" s="1"/>
  <c r="L26" i="5"/>
  <c r="L27" i="5" s="1"/>
  <c r="F15" i="5"/>
  <c r="M12" i="5"/>
  <c r="M13" i="5" s="1"/>
  <c r="K8" i="5"/>
  <c r="K9" i="5" s="1"/>
  <c r="K12" i="5"/>
  <c r="K13" i="5" s="1"/>
  <c r="H15" i="5"/>
  <c r="E26" i="5"/>
  <c r="J15" i="5"/>
  <c r="I26" i="5"/>
  <c r="F24" i="5"/>
  <c r="F12" i="5"/>
  <c r="F13" i="5" s="1"/>
  <c r="F48" i="5"/>
  <c r="F35" i="5"/>
  <c r="F34" i="5"/>
  <c r="F41" i="5"/>
  <c r="P59" i="5"/>
  <c r="BW5" i="4"/>
  <c r="F5" i="95"/>
  <c r="F6" i="95"/>
  <c r="AL5" i="4"/>
  <c r="E6" i="95"/>
  <c r="R38" i="81"/>
  <c r="L8" i="81"/>
  <c r="L9" i="81"/>
  <c r="AD161" i="4"/>
  <c r="AE161" i="4"/>
  <c r="AJ161" i="4"/>
  <c r="BO161" i="4" l="1"/>
  <c r="D66" i="5" s="1"/>
  <c r="D65" i="5"/>
  <c r="F27" i="5"/>
  <c r="AE5" i="95"/>
  <c r="AE3" i="95" s="1"/>
  <c r="AF5" i="95"/>
  <c r="AF3" i="95" s="1"/>
  <c r="W5" i="95"/>
  <c r="Y5" i="95"/>
  <c r="Y3" i="95" s="1"/>
  <c r="AC5" i="95"/>
  <c r="AC3" i="95" s="1"/>
  <c r="AA5" i="95"/>
  <c r="AA3" i="95" s="1"/>
  <c r="Z5" i="95"/>
  <c r="Z3" i="95" s="1"/>
  <c r="AD5" i="95"/>
  <c r="AD3" i="95" s="1"/>
  <c r="AB5" i="95"/>
  <c r="AB3" i="95" s="1"/>
  <c r="X5" i="95"/>
  <c r="X3" i="95" s="1"/>
  <c r="L6" i="95"/>
  <c r="H5" i="95"/>
  <c r="N5" i="95" s="1"/>
  <c r="D29" i="5"/>
  <c r="CF5" i="4"/>
  <c r="CF161" i="4" s="1"/>
  <c r="BX5" i="4"/>
  <c r="BW161" i="4"/>
  <c r="P60" i="5"/>
  <c r="CL161" i="4"/>
  <c r="F36" i="5"/>
  <c r="F37" i="5" s="1"/>
  <c r="AM5" i="4"/>
  <c r="D5" i="97"/>
  <c r="L10" i="81"/>
  <c r="E65" i="5" l="1"/>
  <c r="AM161" i="4"/>
  <c r="BX161" i="4"/>
  <c r="D16" i="5"/>
  <c r="BY5" i="4"/>
  <c r="BY161" i="4" s="1"/>
  <c r="I6" i="95"/>
  <c r="BP5" i="4"/>
  <c r="BP161" i="4" s="1"/>
  <c r="BN162" i="4" s="1"/>
  <c r="CE5" i="4"/>
  <c r="CE161" i="4" s="1"/>
  <c r="CM5" i="4"/>
  <c r="D61" i="5" s="1"/>
  <c r="D17" i="5" l="1"/>
  <c r="D26" i="5"/>
  <c r="D31" i="5"/>
  <c r="D8" i="5"/>
  <c r="D9" i="5" s="1"/>
  <c r="D12" i="5"/>
  <c r="P12" i="5" s="1"/>
  <c r="J6" i="95"/>
  <c r="P61" i="5"/>
  <c r="CM161" i="4"/>
  <c r="I5" i="95"/>
  <c r="BU5" i="4"/>
  <c r="BV5" i="4" s="1"/>
  <c r="BQ5" i="4"/>
  <c r="AC170" i="4"/>
  <c r="AS170" i="4"/>
  <c r="C7" i="84" s="1"/>
  <c r="F8" i="81"/>
  <c r="C5" i="95" a="1"/>
  <c r="F7" i="84"/>
  <c r="E33" i="5"/>
  <c r="G33" i="5"/>
  <c r="H33" i="5"/>
  <c r="I33" i="5"/>
  <c r="J33" i="5"/>
  <c r="K33" i="5"/>
  <c r="L33" i="5"/>
  <c r="M33" i="5"/>
  <c r="N33" i="5"/>
  <c r="O33" i="5"/>
  <c r="P33" i="5"/>
  <c r="E39" i="5"/>
  <c r="E44" i="5" s="1"/>
  <c r="E51" i="5" s="1"/>
  <c r="G39" i="5"/>
  <c r="G44" i="5" s="1"/>
  <c r="G51" i="5" s="1"/>
  <c r="H39" i="5"/>
  <c r="H44" i="5" s="1"/>
  <c r="H51" i="5" s="1"/>
  <c r="I39" i="5"/>
  <c r="I44" i="5" s="1"/>
  <c r="I51" i="5" s="1"/>
  <c r="J39" i="5"/>
  <c r="J44" i="5" s="1"/>
  <c r="J51" i="5" s="1"/>
  <c r="K39" i="5"/>
  <c r="K44" i="5" s="1"/>
  <c r="K51" i="5" s="1"/>
  <c r="L39" i="5"/>
  <c r="L44" i="5" s="1"/>
  <c r="L51" i="5" s="1"/>
  <c r="M39" i="5"/>
  <c r="M44" i="5" s="1"/>
  <c r="M51" i="5" s="1"/>
  <c r="N39" i="5"/>
  <c r="N44" i="5" s="1"/>
  <c r="N51" i="5" s="1"/>
  <c r="O39" i="5"/>
  <c r="O44" i="5" s="1"/>
  <c r="O51" i="5" s="1"/>
  <c r="P39" i="5"/>
  <c r="P44" i="5" s="1"/>
  <c r="P51" i="5" s="1"/>
  <c r="P55" i="5" s="1"/>
  <c r="D39" i="5"/>
  <c r="D44" i="5" s="1"/>
  <c r="D51" i="5" s="1"/>
  <c r="D33" i="5"/>
  <c r="C3" i="95" l="1"/>
  <c r="P21" i="5" s="1"/>
  <c r="I3" i="95"/>
  <c r="I2" i="95" s="1"/>
  <c r="D53" i="5"/>
  <c r="D34" i="5" s="1"/>
  <c r="D52" i="5"/>
  <c r="D35" i="5" s="1"/>
  <c r="N53" i="5"/>
  <c r="N52" i="5"/>
  <c r="L53" i="5"/>
  <c r="L52" i="5"/>
  <c r="I53" i="5"/>
  <c r="I52" i="5"/>
  <c r="G52" i="5"/>
  <c r="G53" i="5"/>
  <c r="O53" i="5"/>
  <c r="O52" i="5"/>
  <c r="M53" i="5"/>
  <c r="M52" i="5"/>
  <c r="K53" i="5"/>
  <c r="K52" i="5"/>
  <c r="J52" i="5"/>
  <c r="J53" i="5"/>
  <c r="H53" i="5"/>
  <c r="H52" i="5"/>
  <c r="E53" i="5"/>
  <c r="E52" i="5"/>
  <c r="D55" i="5"/>
  <c r="D56" i="5" s="1"/>
  <c r="O55" i="5"/>
  <c r="O56" i="5" s="1"/>
  <c r="M55" i="5"/>
  <c r="M56" i="5" s="1"/>
  <c r="K55" i="5"/>
  <c r="K56" i="5" s="1"/>
  <c r="I55" i="5"/>
  <c r="I56" i="5" s="1"/>
  <c r="G55" i="5"/>
  <c r="G56" i="5" s="1"/>
  <c r="N55" i="5"/>
  <c r="N56" i="5" s="1"/>
  <c r="L55" i="5"/>
  <c r="L56" i="5" s="1"/>
  <c r="J55" i="5"/>
  <c r="J56" i="5" s="1"/>
  <c r="H55" i="5"/>
  <c r="H56" i="5" s="1"/>
  <c r="E55" i="5"/>
  <c r="E56" i="5" s="1"/>
  <c r="D3" i="95"/>
  <c r="G3" i="95"/>
  <c r="S161" i="4"/>
  <c r="P56" i="5" l="1"/>
  <c r="D36" i="5"/>
  <c r="K3" i="95"/>
  <c r="H3" i="95" l="1"/>
  <c r="Q6" i="95" l="1"/>
  <c r="P6" i="95" s="1"/>
  <c r="R6" i="95" s="1"/>
  <c r="Q5" i="95"/>
  <c r="L5" i="95"/>
  <c r="D4" i="97"/>
  <c r="P5" i="95" l="1"/>
  <c r="R5" i="95" s="1"/>
  <c r="S3" i="95"/>
  <c r="D2" i="97"/>
  <c r="S5" i="95" l="1"/>
  <c r="N3" i="95"/>
  <c r="R3" i="95" l="1"/>
  <c r="BL161" i="4"/>
  <c r="T3" i="95" l="1"/>
  <c r="Q26" i="80"/>
  <c r="BK164" i="4"/>
  <c r="AJ165" i="4"/>
  <c r="P45" i="5"/>
  <c r="P47" i="5"/>
  <c r="Q8" i="80"/>
  <c r="C8" i="84" s="1"/>
  <c r="F13" i="84"/>
  <c r="C12" i="84"/>
  <c r="I12" i="84"/>
  <c r="C10" i="84"/>
  <c r="F8" i="84"/>
  <c r="F7" i="81"/>
  <c r="F10" i="81" s="1"/>
  <c r="AA700" i="80"/>
  <c r="F29" i="80"/>
  <c r="C29" i="80"/>
  <c r="N18" i="80"/>
  <c r="M18" i="80"/>
  <c r="F11" i="84" s="1"/>
  <c r="J16" i="80"/>
  <c r="G18" i="80"/>
  <c r="F18" i="80"/>
  <c r="F9" i="84" s="1"/>
  <c r="C18" i="80"/>
  <c r="AK193" i="4"/>
  <c r="BJ186" i="4"/>
  <c r="BJ187" i="4" s="1"/>
  <c r="AT167" i="4"/>
  <c r="B3" i="103" s="1"/>
  <c r="O3" i="103" s="1"/>
  <c r="J4" i="80"/>
  <c r="BG161" i="4"/>
  <c r="BC161" i="4"/>
  <c r="BA161" i="4"/>
  <c r="AA161" i="4"/>
  <c r="T161" i="4"/>
  <c r="P49" i="5"/>
  <c r="H48" i="5"/>
  <c r="P46" i="5"/>
  <c r="P3" i="5"/>
  <c r="O2" i="5"/>
  <c r="N2" i="5"/>
  <c r="M2" i="5"/>
  <c r="L2" i="5"/>
  <c r="K2" i="5"/>
  <c r="J2" i="5"/>
  <c r="I2" i="5"/>
  <c r="H2" i="5"/>
  <c r="G2" i="5"/>
  <c r="E2" i="5"/>
  <c r="D2" i="5"/>
  <c r="G22" i="5" l="1" a="1"/>
  <c r="G21" i="5" a="1"/>
  <c r="G19" i="5" a="1"/>
  <c r="H42" i="5" s="1"/>
  <c r="G20" i="5" a="1"/>
  <c r="J20" i="5" a="1"/>
  <c r="J22" i="5" a="1"/>
  <c r="J19" i="5" a="1"/>
  <c r="J48" i="5" s="1"/>
  <c r="J21" i="5" a="1"/>
  <c r="L19" i="5" a="1"/>
  <c r="L48" i="5" s="1"/>
  <c r="L20" i="5" a="1"/>
  <c r="L22" i="5" a="1"/>
  <c r="L21" i="5" a="1"/>
  <c r="I20" i="5" a="1"/>
  <c r="I21" i="5" a="1"/>
  <c r="I19" i="5" a="1"/>
  <c r="I22" i="5" a="1"/>
  <c r="N22" i="5" a="1"/>
  <c r="N20" i="5" a="1"/>
  <c r="N21" i="5" a="1"/>
  <c r="N19" i="5" a="1"/>
  <c r="N48" i="5" s="1"/>
  <c r="E21" i="5" a="1"/>
  <c r="E20" i="5" a="1"/>
  <c r="E22" i="5" a="1"/>
  <c r="E19" i="5" a="1"/>
  <c r="K19" i="5" a="1"/>
  <c r="K48" i="5" s="1"/>
  <c r="K21" i="5" a="1"/>
  <c r="K20" i="5" a="1"/>
  <c r="K22" i="5" a="1"/>
  <c r="O22" i="5" a="1"/>
  <c r="O21" i="5" a="1"/>
  <c r="O19" i="5" a="1"/>
  <c r="O20" i="5" a="1"/>
  <c r="D22" i="5" a="1"/>
  <c r="D19" i="5" a="1"/>
  <c r="D21" i="5" a="1"/>
  <c r="H21" i="5" a="1"/>
  <c r="H20" i="5" a="1"/>
  <c r="H22" i="5" a="1"/>
  <c r="H19" i="5" a="1"/>
  <c r="M21" i="5" a="1"/>
  <c r="M19" i="5" a="1"/>
  <c r="M48" i="5" s="1"/>
  <c r="M20" i="5" a="1"/>
  <c r="M22" i="5" a="1"/>
  <c r="O172" i="4"/>
  <c r="I7" i="84"/>
  <c r="AS171" i="4"/>
  <c r="C9" i="84" s="1"/>
  <c r="AK161" i="4"/>
  <c r="O166" i="4" s="1"/>
  <c r="BM161" i="4"/>
  <c r="AS166" i="4" s="1"/>
  <c r="O161" i="4"/>
  <c r="N162" i="4" s="1"/>
  <c r="Z161" i="4"/>
  <c r="AX161" i="4"/>
  <c r="G34" i="5"/>
  <c r="Y161" i="4"/>
  <c r="AB161" i="4"/>
  <c r="P22" i="5" l="1"/>
  <c r="E48" i="5"/>
  <c r="F42" i="5"/>
  <c r="AC166" i="4"/>
  <c r="AC168" i="4" s="1"/>
  <c r="K42" i="5"/>
  <c r="BK163" i="4"/>
  <c r="G48" i="5"/>
  <c r="G42" i="5"/>
  <c r="C6" i="84"/>
  <c r="AJ164" i="4"/>
  <c r="J42" i="5"/>
  <c r="I48" i="5"/>
  <c r="I42" i="5"/>
  <c r="O48" i="5"/>
  <c r="O42" i="5"/>
  <c r="M42" i="5"/>
  <c r="H41" i="5"/>
  <c r="I41" i="5"/>
  <c r="O35" i="5"/>
  <c r="N42" i="5"/>
  <c r="J41" i="5"/>
  <c r="L42" i="5"/>
  <c r="L41" i="5"/>
  <c r="F40" i="5"/>
  <c r="O34" i="5"/>
  <c r="K41" i="5"/>
  <c r="G41" i="5"/>
  <c r="M41" i="5"/>
  <c r="E41" i="5"/>
  <c r="P5" i="5"/>
  <c r="G2" i="95" s="1"/>
  <c r="BB161" i="4"/>
  <c r="Q5" i="5" s="1"/>
  <c r="D41" i="5"/>
  <c r="D48" i="5"/>
  <c r="D42" i="5"/>
  <c r="P19" i="5"/>
  <c r="M2" i="95" s="1"/>
  <c r="E42" i="5"/>
  <c r="Q10" i="5"/>
  <c r="D13" i="5" l="1"/>
  <c r="AC173" i="4"/>
  <c r="I10" i="84"/>
  <c r="R5" i="5"/>
  <c r="D40" i="5"/>
  <c r="I6" i="84"/>
  <c r="P48" i="5"/>
  <c r="CA162" i="4"/>
  <c r="O168" i="4"/>
  <c r="O173" i="4" s="1"/>
  <c r="AA162" i="4"/>
  <c r="K34" i="5"/>
  <c r="O36" i="5"/>
  <c r="O37" i="5" s="1"/>
  <c r="K2" i="95"/>
  <c r="D24" i="5"/>
  <c r="D27" i="5" s="1"/>
  <c r="D15" i="5"/>
  <c r="BN161" i="4"/>
  <c r="Q28" i="5" s="1"/>
  <c r="BR162" i="4"/>
  <c r="P53" i="5"/>
  <c r="AL161" i="4"/>
  <c r="Q30" i="5" s="1"/>
  <c r="BK162" i="4"/>
  <c r="O41" i="5"/>
  <c r="N41" i="5"/>
  <c r="P18" i="5"/>
  <c r="H34" i="5"/>
  <c r="H24" i="5"/>
  <c r="H27" i="5" s="1"/>
  <c r="G24" i="5"/>
  <c r="G27" i="5" s="1"/>
  <c r="G40" i="5"/>
  <c r="H40" i="5"/>
  <c r="I11" i="84" l="1"/>
  <c r="I13" i="84" s="1"/>
  <c r="E35" i="5"/>
  <c r="AC163" i="4"/>
  <c r="P162" i="4"/>
  <c r="Q7" i="5" s="1"/>
  <c r="Q6" i="5"/>
  <c r="H2" i="95" s="1"/>
  <c r="Q53" i="5"/>
  <c r="R53" i="5" s="1"/>
  <c r="O40" i="5"/>
  <c r="J5" i="95"/>
  <c r="F6" i="84"/>
  <c r="F12" i="84" s="1"/>
  <c r="F14" i="84" s="1"/>
  <c r="J34" i="5"/>
  <c r="D37" i="5"/>
  <c r="K40" i="5"/>
  <c r="I34" i="5"/>
  <c r="J40" i="5"/>
  <c r="I40" i="5"/>
  <c r="I24" i="5"/>
  <c r="I27" i="5" s="1"/>
  <c r="G35" i="5"/>
  <c r="G36" i="5" s="1"/>
  <c r="G37" i="5" s="1"/>
  <c r="H35" i="5"/>
  <c r="H36" i="5" s="1"/>
  <c r="H37" i="5" s="1"/>
  <c r="P52" i="5"/>
  <c r="E40" i="5"/>
  <c r="E34" i="5"/>
  <c r="P28" i="5"/>
  <c r="AS168" i="4"/>
  <c r="AS172" i="4" s="1"/>
  <c r="C11" i="84"/>
  <c r="C13" i="84" s="1"/>
  <c r="R10" i="5"/>
  <c r="M34" i="5"/>
  <c r="M40" i="5"/>
  <c r="L40" i="5"/>
  <c r="L34" i="5"/>
  <c r="E36" i="5" l="1"/>
  <c r="E37" i="5" s="1"/>
  <c r="Q52" i="5"/>
  <c r="CE162" i="4"/>
  <c r="N34" i="5"/>
  <c r="P34" i="5" s="1"/>
  <c r="N40" i="5"/>
  <c r="P6" i="5"/>
  <c r="P24" i="5" s="1"/>
  <c r="J35" i="5"/>
  <c r="J36" i="5" s="1"/>
  <c r="J37" i="5" s="1"/>
  <c r="K35" i="5"/>
  <c r="K36" i="5" s="1"/>
  <c r="K37" i="5" s="1"/>
  <c r="I35" i="5"/>
  <c r="I36" i="5" s="1"/>
  <c r="I37" i="5" s="1"/>
  <c r="P30" i="5"/>
  <c r="BX162" i="4"/>
  <c r="P7" i="5"/>
  <c r="P26" i="5" s="1"/>
  <c r="L35" i="5"/>
  <c r="L36" i="5" s="1"/>
  <c r="L37" i="5" s="1"/>
  <c r="R28" i="5"/>
  <c r="M35" i="5"/>
  <c r="M36" i="5" s="1"/>
  <c r="M37" i="5" s="1"/>
  <c r="P27" i="5" l="1"/>
  <c r="D1" i="97"/>
  <c r="AL166" i="4"/>
  <c r="E66" i="5"/>
  <c r="R52" i="5"/>
  <c r="P29" i="5"/>
  <c r="R6" i="5"/>
  <c r="P15" i="5"/>
  <c r="R30" i="5"/>
  <c r="P16" i="5"/>
  <c r="R7" i="5"/>
  <c r="P17" i="5"/>
  <c r="P31" i="5"/>
  <c r="L3" i="95"/>
  <c r="S6" i="95"/>
  <c r="N35" i="5"/>
  <c r="N36" i="5" s="1"/>
  <c r="N37" i="5" s="1"/>
  <c r="P35" i="5" l="1"/>
  <c r="P36" i="5" s="1"/>
  <c r="P8" i="5"/>
  <c r="P9" i="5" s="1"/>
  <c r="P37" i="5" l="1"/>
  <c r="Q51" i="5"/>
  <c r="P13" i="5"/>
  <c r="J3" i="95" l="1"/>
  <c r="J2" i="95" s="1"/>
  <c r="T6" i="95"/>
  <c r="T5" i="95"/>
  <c r="E24" i="5" l="1"/>
  <c r="E2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40893A-4E36-438E-870C-4756F2382B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<sst xmlns="http://schemas.openxmlformats.org/spreadsheetml/2006/main" count="3902" uniqueCount="781">
  <si>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</si>
  <si>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</si>
  <si>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</si>
  <si>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</si>
  <si>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</si>
  <si>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</si>
  <si>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</si>
  <si>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</si>
  <si>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</si>
  <si>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</si>
  <si>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</si>
  <si>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</si>
  <si>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</si>
  <si>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</si>
  <si>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</si>
  <si>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</si>
  <si>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</si>
  <si>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</si>
  <si>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</si>
  <si>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</si>
  <si>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</si>
  <si>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</si>
  <si>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</si>
  <si>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</si>
  <si>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</si>
  <si>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</si>
  <si>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</si>
  <si>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</si>
  <si>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</si>
  <si>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</si>
  <si>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</si>
  <si>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</si>
  <si>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</si>
  <si>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</si>
  <si>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</si>
  <si>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</si>
  <si>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</si>
  <si>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</si>
  <si>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</si>
  <si>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</si>
  <si>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</si>
  <si>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</si>
  <si>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</si>
  <si>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</si>
  <si>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</si>
  <si>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</si>
  <si>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</si>
  <si>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</si>
  <si>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</si>
  <si>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</si>
  <si>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</si>
  <si>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</si>
  <si>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</si>
  <si>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</si>
  <si>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</si>
  <si>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</si>
  <si>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</si>
  <si>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</si>
  <si>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</si>
  <si>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</si>
  <si>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</si>
  <si>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</si>
  <si>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</si>
  <si>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</si>
  <si>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</si>
  <si>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</si>
  <si>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</si>
  <si>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</si>
  <si>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</si>
  <si>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</si>
  <si>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</si>
  <si>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</si>
  <si>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</si>
  <si>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</si>
  <si>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</si>
  <si>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</si>
  <si>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</si>
  <si>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</si>
  <si>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</si>
  <si>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</si>
  <si>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</si>
  <si>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</si>
  <si>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</si>
  <si>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</si>
  <si>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Opening Provision</t>
  </si>
  <si>
    <t>Accounted in FY 23-24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</si>
  <si>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</si>
  <si>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</si>
  <si>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</si>
  <si>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</si>
  <si>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</si>
  <si>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</si>
  <si>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</si>
  <si>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</si>
  <si>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</si>
  <si>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</si>
  <si>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</si>
  <si>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</si>
  <si>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</si>
  <si>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</si>
  <si>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</si>
  <si>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</si>
  <si>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</si>
  <si>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</si>
  <si>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</si>
  <si>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</si>
  <si>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</si>
  <si>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</si>
  <si>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</si>
  <si>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</si>
  <si>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</si>
  <si>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</si>
  <si>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</si>
  <si>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</si>
  <si>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</si>
  <si>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</si>
  <si>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 xml:space="preserve"> Provision for Credit Notes from Aggregators as on 31st Mar-2024</t>
  </si>
  <si>
    <t>Provision for Credit Notes from Aggregators as on 31st Mar-2024</t>
  </si>
  <si>
    <t>Accounted in FY 2024-25</t>
  </si>
  <si>
    <t>CN Amount</t>
  </si>
  <si>
    <t>Provision for Debit Notes from Customers as on 31st Mar-2024</t>
  </si>
  <si>
    <t xml:space="preserve"> Provision for Debit Notes from Customers as on 31st Mar-2024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</si>
  <si>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</si>
  <si>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</si>
  <si>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</si>
  <si>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</si>
  <si>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</si>
  <si>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</si>
  <si>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</si>
  <si>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</si>
  <si>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</si>
  <si>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</si>
  <si>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</si>
  <si>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FY 2024-25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</si>
  <si>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</si>
  <si>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</si>
  <si>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</si>
  <si>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</si>
  <si>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</si>
  <si>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</si>
  <si>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</si>
  <si>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</si>
  <si>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</si>
  <si>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</si>
  <si>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</si>
  <si>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</si>
  <si>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</si>
  <si>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Maharashtra</t>
  </si>
  <si>
    <t>Fy 2023-24 DN to Customers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</si>
  <si>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</si>
  <si>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</si>
  <si>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</si>
  <si>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</si>
  <si>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</si>
  <si>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</si>
  <si>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Total CN in FY 2024-25</t>
  </si>
  <si>
    <t>Institutional Business</t>
  </si>
  <si>
    <t>No of transactions</t>
  </si>
  <si>
    <t>Avg Tran Value</t>
  </si>
  <si>
    <t>% of Total Revenue</t>
  </si>
  <si>
    <t>Category (Material)</t>
  </si>
  <si>
    <t>Top 10 Customers in FY 2024-25</t>
  </si>
  <si>
    <t>% of Total Margin</t>
  </si>
  <si>
    <t>Supplier Type</t>
  </si>
  <si>
    <t>Total CN of FY 2023-24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</si>
  <si>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</si>
  <si>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</si>
  <si>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</si>
  <si>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</si>
  <si>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</si>
  <si>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</si>
  <si>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With GST</t>
  </si>
  <si>
    <t>"Top 10" Revenue Gainers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</si>
  <si>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</si>
  <si>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</si>
  <si>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</si>
  <si>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</si>
  <si>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</si>
  <si>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</si>
  <si>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</si>
  <si>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</si>
  <si>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</si>
  <si>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</si>
  <si>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</si>
  <si>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Category</t>
  </si>
  <si>
    <t>FY 2025-26</t>
  </si>
  <si>
    <t>FY 2024-25 bills considered ths year</t>
  </si>
  <si>
    <t>Customer ID</t>
  </si>
  <si>
    <t>Debit note Pertaining to FY 2024-25</t>
  </si>
  <si>
    <t>FY 24-25 Logistic Bills accounted Fy 25-26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</si>
  <si>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</si>
  <si>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</si>
  <si>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</si>
  <si>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</si>
  <si>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</si>
  <si>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</si>
  <si>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</si>
  <si>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</si>
  <si>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</si>
  <si>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</si>
  <si>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</si>
  <si>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</si>
  <si>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</si>
  <si>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</si>
  <si>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 xml:space="preserve">Sales </t>
  </si>
  <si>
    <t>Credit Note</t>
  </si>
  <si>
    <t>Debit Note</t>
  </si>
  <si>
    <t>Financials with GST</t>
  </si>
  <si>
    <t/>
  </si>
  <si>
    <t>No Provision</t>
  </si>
  <si>
    <t>Praveen</t>
  </si>
  <si>
    <t>Quantity (units)</t>
  </si>
  <si>
    <t>ITAD Mixed E Waste</t>
  </si>
  <si>
    <t>26/ITAD/OFF/0001</t>
  </si>
  <si>
    <t>26/ITAD/OFF/0002</t>
  </si>
  <si>
    <t>Sales-Revenue (MoM)</t>
  </si>
  <si>
    <t>Sales-Volume (MoM)</t>
  </si>
  <si>
    <t>Sales-Transactions (MoM)</t>
  </si>
  <si>
    <t>No of LMT</t>
  </si>
  <si>
    <t>Value of LMT</t>
  </si>
  <si>
    <t>% of LMT</t>
  </si>
  <si>
    <t>No of LMT @ Inception</t>
  </si>
  <si>
    <t>Value of LMT @ Inception</t>
  </si>
  <si>
    <t>Margins</t>
  </si>
  <si>
    <t>Financial with GST</t>
  </si>
  <si>
    <t>Fy 2025-26</t>
  </si>
  <si>
    <t>Marketplace (ITAD)</t>
  </si>
  <si>
    <t>Full Rejection</t>
  </si>
  <si>
    <t>Delhi</t>
  </si>
  <si>
    <t>26/ITAD/OFF/0003</t>
  </si>
  <si>
    <t>TN</t>
  </si>
  <si>
    <t>26/ITAD/OFF/0004</t>
  </si>
  <si>
    <t>Credit note Pertaining to FY 24-25</t>
  </si>
  <si>
    <t>Raw Data -ITAD</t>
  </si>
  <si>
    <t>Bill Branch</t>
  </si>
  <si>
    <t>Inv Branch</t>
  </si>
  <si>
    <t>Telangana - HO</t>
  </si>
  <si>
    <t>TS</t>
  </si>
  <si>
    <t>Price/unit</t>
  </si>
  <si>
    <t>832139000046796207</t>
  </si>
  <si>
    <t>TRADEWIND BUSINESS SOLUTIONS LLP</t>
  </si>
  <si>
    <t>26/ITAD/OFF/0005</t>
  </si>
  <si>
    <t>Operational Cost</t>
  </si>
  <si>
    <t>Gross Margin (%)</t>
  </si>
  <si>
    <t>Net Margin (%)</t>
  </si>
  <si>
    <t>Payable</t>
  </si>
  <si>
    <t>DPO (Days)</t>
  </si>
  <si>
    <t>New Delhi</t>
  </si>
  <si>
    <t>Hyderabad Telangana 500081</t>
  </si>
  <si>
    <t>RJ</t>
  </si>
  <si>
    <t>832139000055796981</t>
  </si>
  <si>
    <t>RETECK ENVIROTECH PRIVATE LIMITED</t>
  </si>
  <si>
    <t>27AAHCR2638B1ZK</t>
  </si>
  <si>
    <t>26/ITAD/OFF/0007</t>
  </si>
  <si>
    <t>No Purchases/No Sales</t>
  </si>
  <si>
    <t>Revenue Per unit</t>
  </si>
  <si>
    <t>Purchase Cost Per unit</t>
  </si>
  <si>
    <t>Transportation Charges Per unit</t>
  </si>
  <si>
    <t>vendor_name</t>
  </si>
  <si>
    <t>customer_name</t>
  </si>
  <si>
    <t>07AARFT3586D1ZR</t>
  </si>
  <si>
    <t>Other Income</t>
  </si>
  <si>
    <t>D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</si>
  <si>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</si>
  <si>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</si>
  <si>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</si>
  <si>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</si>
  <si>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</si>
  <si>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</si>
  <si>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</si>
  <si>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</si>
  <si>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PAN Numbers</t>
  </si>
  <si>
    <t>CYIENT LIMITED</t>
  </si>
  <si>
    <t>36AAACI4487J1Z9</t>
  </si>
  <si>
    <t>Vadgaon</t>
  </si>
  <si>
    <t>(Receivables)</t>
  </si>
  <si>
    <t>(Payables)</t>
  </si>
  <si>
    <t>Working Capital Days</t>
  </si>
  <si>
    <t>payment_terms</t>
  </si>
  <si>
    <t>gst_no</t>
  </si>
  <si>
    <t>credit_limit</t>
  </si>
  <si>
    <t>contact.CF.Vertical Name</t>
  </si>
  <si>
    <t>Marketplace (IT Assets Disposition)</t>
  </si>
  <si>
    <t>Basic Customs Duty/Discount</t>
  </si>
  <si>
    <t>vendor.CF.Vertical Name</t>
  </si>
  <si>
    <t>SH04260204</t>
  </si>
  <si>
    <t>CHAITANYA INDIA FIN CREDIT PRIVATE LIMITED</t>
  </si>
  <si>
    <t>33AADCC6184H1ZP</t>
  </si>
  <si>
    <t>2026290000000088</t>
  </si>
  <si>
    <t>25-26/PUR/027030</t>
  </si>
  <si>
    <t>SH04260203</t>
  </si>
  <si>
    <t>08AADCC6184H1ZI</t>
  </si>
  <si>
    <t>2026290000000087</t>
  </si>
  <si>
    <t>25-26/PUR/027028</t>
  </si>
  <si>
    <t>SH04260307</t>
  </si>
  <si>
    <t>9102515564</t>
  </si>
  <si>
    <t>25-26/PUR/027036</t>
  </si>
  <si>
    <t>UPS Battery Scrap</t>
  </si>
  <si>
    <t>29/IAD/27IN00002</t>
  </si>
  <si>
    <t>Alamelupuram Tamil Nadu 636905</t>
  </si>
  <si>
    <t>29/IAD/27IN00001</t>
  </si>
  <si>
    <t>Jaipur Rajasthan 302020</t>
  </si>
  <si>
    <t>36/IAD/27IN00002</t>
  </si>
  <si>
    <t>DN Provision in Zoho FY 25-26</t>
  </si>
  <si>
    <t>Debit note FY 25-26</t>
  </si>
  <si>
    <t>FY 2025-26 Logistics</t>
  </si>
  <si>
    <t>CN Provision in Zoho FY 25-26</t>
  </si>
  <si>
    <t xml:space="preserve">FY 2025-26 Credit notes </t>
  </si>
  <si>
    <t>36/ITAD/27/OFF/0001</t>
  </si>
  <si>
    <t>overdue</t>
  </si>
  <si>
    <t>invoice</t>
  </si>
  <si>
    <t>Net 5 (Days)</t>
  </si>
  <si>
    <t>2026-04-24</t>
  </si>
  <si>
    <t>26/MITAD/INV0284</t>
  </si>
  <si>
    <t xml:space="preserve">Advance Payment </t>
  </si>
  <si>
    <t>2026-04-26</t>
  </si>
  <si>
    <t>26/MITAD/INV0285</t>
  </si>
  <si>
    <t>26/MITAD/INV0286</t>
  </si>
  <si>
    <t>2026-05-03</t>
  </si>
  <si>
    <t>bill</t>
  </si>
  <si>
    <t>2025-08-06</t>
  </si>
  <si>
    <t>9109138248</t>
  </si>
  <si>
    <t>DODLA DAIRY LIMITED</t>
  </si>
  <si>
    <t>33AABCD5077E1ZY</t>
  </si>
  <si>
    <t>A N TRADERS</t>
  </si>
  <si>
    <t>36ACHFA4592Q1ZO</t>
  </si>
  <si>
    <t>2025-10-11</t>
  </si>
  <si>
    <t>2025-26/11</t>
  </si>
  <si>
    <t>CORE COMPETENCY TRAINING &amp; SERVICES PRIVATE LIMITED</t>
  </si>
  <si>
    <t>07AACCC6113H1Z0</t>
  </si>
  <si>
    <t>2025-10-24</t>
  </si>
  <si>
    <t>INV/193/2025-26</t>
  </si>
  <si>
    <t>ECOWASTE MANAGEMENT TECHNOLOGIES PRIVATE LIMITED</t>
  </si>
  <si>
    <t>06AAICE3153B1Z4</t>
  </si>
  <si>
    <t>2025-12-18</t>
  </si>
  <si>
    <t>CSIPLGST09202526</t>
  </si>
  <si>
    <t>Consero Solutions India Pvt Ltd</t>
  </si>
  <si>
    <t>29AACCC7835Q1ZW</t>
  </si>
  <si>
    <t>CSIPLGST08202526</t>
  </si>
  <si>
    <t>2026-02-19</t>
  </si>
  <si>
    <t>FAEBB0237</t>
  </si>
  <si>
    <t>ZEROTOONE TECHNOLOGIES PRIVATE LIMITED</t>
  </si>
  <si>
    <t>29AABCZ0158Q1ZO</t>
  </si>
  <si>
    <t>29AADCC6184H1ZE</t>
  </si>
  <si>
    <t>2026-03-29</t>
  </si>
  <si>
    <t>051</t>
  </si>
  <si>
    <t>HOME LAND ENVIRO ENGINEERS INDIA PRIVATE LIMITED</t>
  </si>
  <si>
    <t>37AAGCH3433D1ZV</t>
  </si>
  <si>
    <t>SH04260602</t>
  </si>
  <si>
    <t>M/S YAKSHIT TRADING</t>
  </si>
  <si>
    <t>21BGNPG9019D1ZO</t>
  </si>
  <si>
    <t>01</t>
  </si>
  <si>
    <t>26-27/PUR/000104</t>
  </si>
  <si>
    <t>OD</t>
  </si>
  <si>
    <t>OD02BK4485</t>
  </si>
  <si>
    <t>36/IAD/27IN00003</t>
  </si>
  <si>
    <t>832139000069594197</t>
  </si>
  <si>
    <t>FALAH ENTERPRISES</t>
  </si>
  <si>
    <t>29DAKPA5526G1ZP</t>
  </si>
  <si>
    <t>Khurda,Odisha,752050</t>
  </si>
  <si>
    <t>Bengaluru</t>
  </si>
  <si>
    <t>Karnataka</t>
  </si>
  <si>
    <t>182394915927</t>
  </si>
  <si>
    <t>E-WayBill Number</t>
  </si>
  <si>
    <t>Marketplace Sales (IT AD)</t>
  </si>
  <si>
    <t>SH04261306</t>
  </si>
  <si>
    <t>HYDERABAD EYE INSTITUTE</t>
  </si>
  <si>
    <t>21AAATH0878B1Z8</t>
  </si>
  <si>
    <t>203000016</t>
  </si>
  <si>
    <t>26-27/PUR/000668</t>
  </si>
  <si>
    <t>OD02CK1433</t>
  </si>
  <si>
    <t>ITAD Mixed E Waste(Kg)</t>
  </si>
  <si>
    <t>SH042614012</t>
  </si>
  <si>
    <t>2026290000000086</t>
  </si>
  <si>
    <t>26-27/PUR/000516</t>
  </si>
  <si>
    <t>KA</t>
  </si>
  <si>
    <t>SH04261602</t>
  </si>
  <si>
    <t>2026290000000099</t>
  </si>
  <si>
    <t>26-27/PUR/000696</t>
  </si>
  <si>
    <t>SH04261603</t>
  </si>
  <si>
    <t>24AADCC6184H1ZO</t>
  </si>
  <si>
    <t>2026290000000092</t>
  </si>
  <si>
    <t>26-27/PUR/000733</t>
  </si>
  <si>
    <t>GJ</t>
  </si>
  <si>
    <t>36/IAD/27IN00005</t>
  </si>
  <si>
    <t>Khordha Odisha 751024</t>
  </si>
  <si>
    <t>29/IAD/27IN00003</t>
  </si>
  <si>
    <t>Bengaluru,Karnataka,560070</t>
  </si>
  <si>
    <t>29/IAD/27IN00004</t>
  </si>
  <si>
    <t>29/IAD/27IN00005</t>
  </si>
  <si>
    <t>Himmatnagar,Gujarat,380005</t>
  </si>
  <si>
    <t>FY 2026-27</t>
  </si>
  <si>
    <t>SH04262203</t>
  </si>
  <si>
    <t>ITW INDIA PRIVATE LIMITED</t>
  </si>
  <si>
    <t>27AAACI4550Q1Z6</t>
  </si>
  <si>
    <t>261008721</t>
  </si>
  <si>
    <t>26-27/PUR/001235</t>
  </si>
  <si>
    <t>MH</t>
  </si>
  <si>
    <t>MH02FG8607</t>
  </si>
  <si>
    <t>SH04261605</t>
  </si>
  <si>
    <t>2026290000000096</t>
  </si>
  <si>
    <t>26-27/PUR/001021</t>
  </si>
  <si>
    <t>SH04262101</t>
  </si>
  <si>
    <t>2026290000000097</t>
  </si>
  <si>
    <t>26-27/PUR/001074</t>
  </si>
  <si>
    <t>SH04262207</t>
  </si>
  <si>
    <t>09AADCC6184H1ZG</t>
  </si>
  <si>
    <t>2026290000000098</t>
  </si>
  <si>
    <t>26-27/PUR/001292</t>
  </si>
  <si>
    <t>UP</t>
  </si>
  <si>
    <t>36/IAD/27IN00007</t>
  </si>
  <si>
    <t>832139000031064980</t>
  </si>
  <si>
    <t>GREENLIFE EWASTE RECYCLING PRIVATE LIMITED</t>
  </si>
  <si>
    <t>27AAJCG6268L1ZY</t>
  </si>
  <si>
    <t>Pune,Maharashtra,412208</t>
  </si>
  <si>
    <t>Suburban</t>
  </si>
  <si>
    <t>152408160469</t>
  </si>
  <si>
    <t>29/IAD/27IN00006</t>
  </si>
  <si>
    <t>29/IAD/27IN00007</t>
  </si>
  <si>
    <t>29/IAD/27IN00008</t>
  </si>
  <si>
    <t>Raebareli,Uttar Pradesh,229001</t>
  </si>
  <si>
    <t>SH04262103</t>
  </si>
  <si>
    <t>NAVATAR CONSULTING PRIVATE LIMITED</t>
  </si>
  <si>
    <t>09AACCN4479R1ZJ</t>
  </si>
  <si>
    <t>Inv/2026-27/01</t>
  </si>
  <si>
    <t>26-27/PUR/001072</t>
  </si>
  <si>
    <t>DL01LV0044</t>
  </si>
  <si>
    <t>36/IAD/27IN00006</t>
  </si>
  <si>
    <t>NOIDA,Uttar Pradesh,201301</t>
  </si>
  <si>
    <t>162408149669</t>
  </si>
  <si>
    <t>2022-07-01</t>
  </si>
  <si>
    <t>78</t>
  </si>
  <si>
    <t>Resolver It Services Private Limited</t>
  </si>
  <si>
    <t>27AAKCR5452N1ZQ</t>
  </si>
  <si>
    <t>2023-12-22</t>
  </si>
  <si>
    <t>ASHC/2324/411</t>
  </si>
  <si>
    <t>APOLLO SPECIALTY HOSPITALS PRIVATE LIMITED</t>
  </si>
  <si>
    <t>36AADCN1803G1ZU</t>
  </si>
  <si>
    <t>2024-03-04</t>
  </si>
  <si>
    <t>ASHS/2324/00396</t>
  </si>
  <si>
    <t>APOLLO SPECIALITY HOSPITALS PRIVATE LIMITED</t>
  </si>
  <si>
    <t>33AADCN1803G1Z0</t>
  </si>
  <si>
    <t>2024-03-05</t>
  </si>
  <si>
    <t>ASHS/2324/00397</t>
  </si>
  <si>
    <t>29AADCN1803G1ZP</t>
  </si>
  <si>
    <t>2024-05-25</t>
  </si>
  <si>
    <t>BR06/FY24-25</t>
  </si>
  <si>
    <t>INDIA DOCUMENT SOLUTIONS PRIVATE LIMITED</t>
  </si>
  <si>
    <t>29AABCI9555N1ZS</t>
  </si>
  <si>
    <t>2024-07-25</t>
  </si>
  <si>
    <t>HR23241232120001</t>
  </si>
  <si>
    <t>RESILIENT INNOVATIONS PRIVATE LIMITED</t>
  </si>
  <si>
    <t>06AAICR8311G1ZF</t>
  </si>
  <si>
    <t>2025-03-25</t>
  </si>
  <si>
    <t>OGL/24-25/56</t>
  </si>
  <si>
    <t>ONMOBILE GLOBAL LIMITED</t>
  </si>
  <si>
    <t>29AAACO3900E1ZT</t>
  </si>
  <si>
    <t>2026-04-16</t>
  </si>
  <si>
    <t>SH04262803</t>
  </si>
  <si>
    <t>PAYSWIFF TECHNOLOGIES PRIVATE LIMITED</t>
  </si>
  <si>
    <t>36AAGCR5745L1ZV</t>
  </si>
  <si>
    <t>36/SA/2627000114</t>
  </si>
  <si>
    <t>26-27/PUR/001504</t>
  </si>
  <si>
    <t>MH04MR6172</t>
  </si>
  <si>
    <t>POS Machine</t>
  </si>
  <si>
    <t>SH04262909</t>
  </si>
  <si>
    <t>2026-2027-133</t>
  </si>
  <si>
    <t>26-27/PUR/001631</t>
  </si>
  <si>
    <t>MH04LE7099</t>
  </si>
  <si>
    <t>ITAD Table</t>
  </si>
  <si>
    <t>36/IAD/27IN00008</t>
  </si>
  <si>
    <t>832139000025332127</t>
  </si>
  <si>
    <t>Bhangarwala Waste Management Private Limited</t>
  </si>
  <si>
    <t>27AAKCB5757A2ZO</t>
  </si>
  <si>
    <t>Hyderabad Telangana 500034</t>
  </si>
  <si>
    <t>thane</t>
  </si>
  <si>
    <t>36/IAD/27IN00010</t>
  </si>
  <si>
    <t>Vadgaon,Maharashtra,410220</t>
  </si>
  <si>
    <t>Mumbai Suburban,</t>
  </si>
  <si>
    <t>122415318586</t>
  </si>
  <si>
    <t>182414325965</t>
  </si>
  <si>
    <t>36/IAD/27IN00009</t>
  </si>
  <si>
    <t>832139000077522037</t>
  </si>
  <si>
    <t>Genpact India Private Limited</t>
  </si>
  <si>
    <t>09AABCE4461B2ZZ</t>
  </si>
  <si>
    <t>Noida</t>
  </si>
  <si>
    <t>Uttar Pradesh</t>
  </si>
  <si>
    <t>36/IAD/27/OFF/0001</t>
  </si>
  <si>
    <t>STELLAR INFORMATION TECHNOLOGY PRIVATE LIMITED</t>
  </si>
  <si>
    <t>06AALCS7470E1Z5</t>
  </si>
  <si>
    <t>IN/GGN/2526/0782</t>
  </si>
  <si>
    <t>25-26/PUR/026969</t>
  </si>
  <si>
    <t>HR</t>
  </si>
  <si>
    <t>Stellar Bit Raser (Electronic Licence Key)</t>
  </si>
  <si>
    <t>unused_credits_receivable_amount</t>
  </si>
  <si>
    <t>SH05260401</t>
  </si>
  <si>
    <t>XTGLOBAL INFOTECH LIMITED</t>
  </si>
  <si>
    <t>37AAACF5186B4ZQ</t>
  </si>
  <si>
    <t>XTGL000320202526</t>
  </si>
  <si>
    <t>26-27/PUR/001848</t>
  </si>
  <si>
    <t>AD</t>
  </si>
  <si>
    <t>AP39UY1853</t>
  </si>
  <si>
    <t>Mix E-Waste (ITAD)</t>
  </si>
  <si>
    <t>36/IAD/27IN00011</t>
  </si>
  <si>
    <t>Visakhapatnam,Andhra Pradesh,530045</t>
  </si>
  <si>
    <t>152420478663</t>
  </si>
  <si>
    <t>2026-06-04</t>
  </si>
  <si>
    <t>vendor.CF.MSME Category</t>
  </si>
  <si>
    <t>Micro</t>
  </si>
  <si>
    <t>Not Registered</t>
  </si>
  <si>
    <t>SH05260805</t>
  </si>
  <si>
    <t>SUGUNA FOODS PRIVATE LIMITED</t>
  </si>
  <si>
    <t>36AADCS0655F2ZI</t>
  </si>
  <si>
    <t>TGTGIN27/2285</t>
  </si>
  <si>
    <t>26-27/PUR/001920</t>
  </si>
  <si>
    <t>TS12UE4210</t>
  </si>
  <si>
    <t>E-Waste ( ITAD 2)</t>
  </si>
  <si>
    <t>SH05260804</t>
  </si>
  <si>
    <t>2026-2027-150</t>
  </si>
  <si>
    <t>26-27/PUR/001919</t>
  </si>
  <si>
    <t>E W Desktop</t>
  </si>
  <si>
    <t>E W Monitor</t>
  </si>
  <si>
    <t>SH05260808</t>
  </si>
  <si>
    <t>TGTGIN27/2287</t>
  </si>
  <si>
    <t>26-27/PUR/001928</t>
  </si>
  <si>
    <t>KA03AJ3519</t>
  </si>
  <si>
    <t>ITAD LED Monitor</t>
  </si>
  <si>
    <t>Server</t>
  </si>
  <si>
    <t>SH05260806</t>
  </si>
  <si>
    <t>TGTGIN27/2288</t>
  </si>
  <si>
    <t>26-27/PUR/001927</t>
  </si>
  <si>
    <t>36/IAD/27IN00013</t>
  </si>
  <si>
    <t>832139000078144049</t>
  </si>
  <si>
    <t>LIGHTNING COMPUTECH</t>
  </si>
  <si>
    <t>29GOWPS6814G2ZX</t>
  </si>
  <si>
    <t>Medak Telangana 502334</t>
  </si>
  <si>
    <t>152423009910</t>
  </si>
  <si>
    <t>36/IAD/27IN00012</t>
  </si>
  <si>
    <t>Rangareddy Telangana 500032</t>
  </si>
  <si>
    <t>192422996727</t>
  </si>
  <si>
    <t>36/IAD/27IN00015</t>
  </si>
  <si>
    <t>Medak,Telangana,502334</t>
  </si>
  <si>
    <t>132423878934</t>
  </si>
  <si>
    <t>36/IAD/27IN00014</t>
  </si>
  <si>
    <t>152423863402</t>
  </si>
  <si>
    <t>SH05261305</t>
  </si>
  <si>
    <t>VWR LAB PRODUCTS PRIVATE LIMITED</t>
  </si>
  <si>
    <t>33AACCV3080E1ZO</t>
  </si>
  <si>
    <t>VWR/02/2627</t>
  </si>
  <si>
    <t>26-27/PUR/002159</t>
  </si>
  <si>
    <t>TN50AA0528</t>
  </si>
  <si>
    <t>Monitor Scrap</t>
  </si>
  <si>
    <t>36/IAD/27IN00016</t>
  </si>
  <si>
    <t>Coimbatore Tamil Nadu 641021</t>
  </si>
  <si>
    <t>122427991586</t>
  </si>
  <si>
    <t>2023-12-06</t>
  </si>
  <si>
    <t>2024-02-15</t>
  </si>
  <si>
    <t>2024-05-21</t>
  </si>
  <si>
    <t>2024-07-24</t>
  </si>
  <si>
    <t>2025-03-21</t>
  </si>
  <si>
    <t>2025-08-02</t>
  </si>
  <si>
    <t>2025-10-09</t>
  </si>
  <si>
    <t>2025-10-23</t>
  </si>
  <si>
    <t>2025-12-12</t>
  </si>
  <si>
    <t>2026-02-11</t>
  </si>
  <si>
    <t>2026-03-28</t>
  </si>
  <si>
    <t>2026-04-09</t>
  </si>
  <si>
    <t>SH05262102</t>
  </si>
  <si>
    <t>SMARTSTREAM TECHNOLOGIES INDIA PRIVATE LIMITED</t>
  </si>
  <si>
    <t>29AAACG2086M1Z9</t>
  </si>
  <si>
    <t>STLIN/02/26-27</t>
  </si>
  <si>
    <t>26-27/PUR/002413</t>
  </si>
  <si>
    <t>SH05262101</t>
  </si>
  <si>
    <t>27AAACG2086M2ZC</t>
  </si>
  <si>
    <t>STLIN/01/26-27</t>
  </si>
  <si>
    <t>26-27/PUR/002412</t>
  </si>
  <si>
    <t>36/IAD/27IN00018</t>
  </si>
  <si>
    <t>832139000077287080</t>
  </si>
  <si>
    <t>CONNECT INFO SOLUTIONS INDIA PRIVATE LIMITED</t>
  </si>
  <si>
    <t>27AAFCC0260J1ZU</t>
  </si>
  <si>
    <t>Bengaluru,Karnataka,560029</t>
  </si>
  <si>
    <t>Mumbai</t>
  </si>
  <si>
    <t>36/IAD/27IN00019</t>
  </si>
  <si>
    <t xml:space="preserve">Kandivali West, Maharashtra 400053 </t>
  </si>
  <si>
    <t>2026-05-20</t>
  </si>
  <si>
    <t>2026-05-21</t>
  </si>
  <si>
    <t>SH05262801</t>
  </si>
  <si>
    <t>ARS  HYDROJET  SERVICES</t>
  </si>
  <si>
    <t>27AAQPC0353E1Z1</t>
  </si>
  <si>
    <t>ARS-588/G/26-27</t>
  </si>
  <si>
    <t>26-27/PUR/002729</t>
  </si>
  <si>
    <t>TS08UL9078</t>
  </si>
  <si>
    <t>Office furniture</t>
  </si>
  <si>
    <t>36/IAD/27IN00020</t>
  </si>
  <si>
    <t>832139000049653186</t>
  </si>
  <si>
    <t>Pune,Maharashtra,411011</t>
  </si>
  <si>
    <t>Secunderabad</t>
  </si>
  <si>
    <t>Telangana</t>
  </si>
  <si>
    <t>102442088458</t>
  </si>
  <si>
    <t>SH06260401</t>
  </si>
  <si>
    <t>AUROBINDO PHARMA LIMITED</t>
  </si>
  <si>
    <t>36AABCA7366H1ZL</t>
  </si>
  <si>
    <t>UR1/26-27/1</t>
  </si>
  <si>
    <t>26-27/PUR/003259</t>
  </si>
  <si>
    <t>TV's (REC)</t>
  </si>
  <si>
    <t>36/IAD/27IN00021</t>
  </si>
  <si>
    <t>Hyderabad,Telangana,500090</t>
  </si>
  <si>
    <t>112448147152</t>
  </si>
  <si>
    <t>As per Zoho(till May)</t>
  </si>
  <si>
    <t>SH06260106</t>
  </si>
  <si>
    <t>ARS-707/G/26-27</t>
  </si>
  <si>
    <t>26-27/PUR/003353</t>
  </si>
  <si>
    <t>AP10W5404</t>
  </si>
  <si>
    <t>Battery Scrap</t>
  </si>
  <si>
    <t>36/IAD/27IN00022</t>
  </si>
  <si>
    <t>192452533875</t>
  </si>
  <si>
    <t>2026-06-01</t>
  </si>
  <si>
    <t>2026-06-09</t>
  </si>
  <si>
    <t>Small</t>
  </si>
  <si>
    <t>SH06261904</t>
  </si>
  <si>
    <t>Birla Institute of Technology and Science Pilani Hyderabad Campus</t>
  </si>
  <si>
    <t>36AAATB2599R1Z0</t>
  </si>
  <si>
    <t>BITSHYD2627/3683</t>
  </si>
  <si>
    <t>26-27/PUR/003985</t>
  </si>
  <si>
    <t>ITAD Wood Chairs</t>
  </si>
  <si>
    <t>SH06261905</t>
  </si>
  <si>
    <t>2026-2027-211</t>
  </si>
  <si>
    <t>26-27/PUR/003987</t>
  </si>
  <si>
    <t>Spare Part of Analyser</t>
  </si>
  <si>
    <t>SH06261707</t>
  </si>
  <si>
    <t>UR1/26-27/2</t>
  </si>
  <si>
    <t>26-27/PUR/003867</t>
  </si>
  <si>
    <t>TN21BR7042</t>
  </si>
  <si>
    <t>SH062617012</t>
  </si>
  <si>
    <t>U06/26-27/321</t>
  </si>
  <si>
    <t>26-27/PUR/003876</t>
  </si>
  <si>
    <t>SH06261708</t>
  </si>
  <si>
    <t>DOTSQUARES TECHNOLOGIES INDIA PRIVATE LIMITED</t>
  </si>
  <si>
    <t>08AACCD6343A1Z3</t>
  </si>
  <si>
    <t>SS/26-27/2</t>
  </si>
  <si>
    <t>26-27/PUR/003873</t>
  </si>
  <si>
    <t>RJ14GT9438</t>
  </si>
  <si>
    <t>ITAD Desktop</t>
  </si>
  <si>
    <t>SH06261902</t>
  </si>
  <si>
    <t>TERAFINA SOFTWARE SOLUTIONS PRIVATE LIMITED</t>
  </si>
  <si>
    <t>06AAGCT8085R1ZD</t>
  </si>
  <si>
    <t>HR/06/26-27/004</t>
  </si>
  <si>
    <t>26-27/PUR/003986</t>
  </si>
  <si>
    <t>DL01LAK7830</t>
  </si>
  <si>
    <t>SH06262002</t>
  </si>
  <si>
    <t>COMPUTER EXCHANGE PVT LTD</t>
  </si>
  <si>
    <t>19AADCC9166D1ZJ</t>
  </si>
  <si>
    <t>K/26-27/AS/152</t>
  </si>
  <si>
    <t>26-27/PUR/003994</t>
  </si>
  <si>
    <t>WB</t>
  </si>
  <si>
    <t>WB03D1878</t>
  </si>
  <si>
    <t>36/IAD/27IN00026</t>
  </si>
  <si>
    <t>Shameerpet Mandal,Telangana,500078</t>
  </si>
  <si>
    <t>182462572258</t>
  </si>
  <si>
    <t>36/IAD/27IN00027</t>
  </si>
  <si>
    <t>832139000045033175</t>
  </si>
  <si>
    <t>I.K. COMPUTERS</t>
  </si>
  <si>
    <t>27CDXPK0245F1ZD</t>
  </si>
  <si>
    <t>Taluka Bhiwandi Maharashtra 421302</t>
  </si>
  <si>
    <t>mumbai</t>
  </si>
  <si>
    <t>36/IAD/27IN00023</t>
  </si>
  <si>
    <t>122460725319</t>
  </si>
  <si>
    <t>36/IAD/27IN00025</t>
  </si>
  <si>
    <t>Pashamylaram Village Telangana 502307</t>
  </si>
  <si>
    <t>172460941907</t>
  </si>
  <si>
    <t>29/IAD/27IN00009</t>
  </si>
  <si>
    <t>832139000052059152</t>
  </si>
  <si>
    <t>Unique Enterprise</t>
  </si>
  <si>
    <t>07BCQPY1455G1Z3</t>
  </si>
  <si>
    <t>Gurugram,Haryana,122503</t>
  </si>
  <si>
    <t>122462596698</t>
  </si>
  <si>
    <t>36/IAD/27IN00024</t>
  </si>
  <si>
    <t>Jaipur Rajasthan 302017</t>
  </si>
  <si>
    <t>182460787180</t>
  </si>
  <si>
    <t>36/IAD/27IN00029</t>
  </si>
  <si>
    <t>832139000080180051</t>
  </si>
  <si>
    <t>ABR INFOTECH</t>
  </si>
  <si>
    <t>19ABKPH7872E1ZB</t>
  </si>
  <si>
    <t>Kolkata West Bengal 700016</t>
  </si>
  <si>
    <t>Kolkata</t>
  </si>
  <si>
    <t>West Bengal</t>
  </si>
  <si>
    <t>122463493455</t>
  </si>
  <si>
    <t>SH06262003</t>
  </si>
  <si>
    <t>As per Zoho(Current month)</t>
  </si>
  <si>
    <t>sent</t>
  </si>
  <si>
    <t>2026-07-16</t>
  </si>
  <si>
    <t>2026-06-05</t>
  </si>
  <si>
    <t>2026-06-19</t>
  </si>
  <si>
    <t>4</t>
  </si>
  <si>
    <t>2026-06-17</t>
  </si>
  <si>
    <t>Not Applicable</t>
  </si>
  <si>
    <t>2026-06-18</t>
  </si>
  <si>
    <t>2026-06-23</t>
  </si>
  <si>
    <t>2026-06-20</t>
  </si>
  <si>
    <t>2026-06-21</t>
  </si>
  <si>
    <t>SH06262302</t>
  </si>
  <si>
    <t>SHREE MALANI FOAMS PRIVATE LIMITED</t>
  </si>
  <si>
    <t>36AALCS0322F1ZN</t>
  </si>
  <si>
    <t>F23626102319</t>
  </si>
  <si>
    <t>26-27/PUR/004087</t>
  </si>
  <si>
    <t>AP16TD9872</t>
  </si>
  <si>
    <t>E Waste Mix Scrap</t>
  </si>
  <si>
    <t>Mixed E waste</t>
  </si>
  <si>
    <t>SH06262303</t>
  </si>
  <si>
    <t>36/SA/2627000320</t>
  </si>
  <si>
    <t>26-27/PUR/004100</t>
  </si>
  <si>
    <t>TG08U9439</t>
  </si>
  <si>
    <t>36/IAD/27IN00031</t>
  </si>
  <si>
    <t>832139000029521822</t>
  </si>
  <si>
    <t>ABUZAR ENTERPRISES</t>
  </si>
  <si>
    <t>36AAZPI8306C1ZI</t>
  </si>
  <si>
    <t>Medak,Telangana,502248</t>
  </si>
  <si>
    <t>Mallapur</t>
  </si>
  <si>
    <t>172466172051</t>
  </si>
  <si>
    <t>36/IAD/27IN00032</t>
  </si>
  <si>
    <t>Hyderabad,Telangana,500034</t>
  </si>
  <si>
    <t>112466356475</t>
  </si>
  <si>
    <t>2026-06-24</t>
  </si>
  <si>
    <t>Medium</t>
  </si>
  <si>
    <t>SH06262508</t>
  </si>
  <si>
    <t>SVATANTRA MICROFIN LIMITED</t>
  </si>
  <si>
    <t>20AARCS0730K1ZF</t>
  </si>
  <si>
    <t>FA/JH/06-26/001</t>
  </si>
  <si>
    <t>26-27/PUR/004278</t>
  </si>
  <si>
    <t>JH</t>
  </si>
  <si>
    <t>BR01GL8709</t>
  </si>
  <si>
    <t>E W Laptop</t>
  </si>
  <si>
    <t>Desktop PC (ITAD)</t>
  </si>
  <si>
    <t>ITAD (Printer)</t>
  </si>
  <si>
    <t>ITAD Monitor</t>
  </si>
  <si>
    <t>SH06262507</t>
  </si>
  <si>
    <t>10AARCS0730K1ZG</t>
  </si>
  <si>
    <t>FA/BR/06-26/001</t>
  </si>
  <si>
    <t>26-27/PUR/004280</t>
  </si>
  <si>
    <t>BR</t>
  </si>
  <si>
    <t>Scrap- TV</t>
  </si>
  <si>
    <t>36AABCA7366H2ZK</t>
  </si>
  <si>
    <t>U07/26-27/1021</t>
  </si>
  <si>
    <t>26-27/PUR/003998</t>
  </si>
  <si>
    <t>TN54P7990</t>
  </si>
  <si>
    <t>29/IAD/27IN00010</t>
  </si>
  <si>
    <t>Sendha Jharkhand 822128</t>
  </si>
  <si>
    <t>182469099127</t>
  </si>
  <si>
    <t>29/IAD/27IN00011</t>
  </si>
  <si>
    <t>Sasaram,Bihar,821115</t>
  </si>
  <si>
    <t>182469162263</t>
  </si>
  <si>
    <t>36/IAD/27IN00030</t>
  </si>
  <si>
    <t>Mahabubnagar Telangana 509302</t>
  </si>
  <si>
    <t>102463559298</t>
  </si>
  <si>
    <t>65</t>
  </si>
  <si>
    <t>9</t>
  </si>
  <si>
    <t>2026-06-26</t>
  </si>
  <si>
    <t>BITSHYD2627/3701</t>
  </si>
  <si>
    <t>12AARCS0730K1ZC</t>
  </si>
  <si>
    <t>67</t>
  </si>
  <si>
    <t>58</t>
  </si>
  <si>
    <t>26</t>
  </si>
  <si>
    <t>1460</t>
  </si>
  <si>
    <t>921</t>
  </si>
  <si>
    <t>848</t>
  </si>
  <si>
    <t>847</t>
  </si>
  <si>
    <t>766</t>
  </si>
  <si>
    <t>705</t>
  </si>
  <si>
    <t>462</t>
  </si>
  <si>
    <t>328</t>
  </si>
  <si>
    <t>262</t>
  </si>
  <si>
    <t>249</t>
  </si>
  <si>
    <t>194</t>
  </si>
  <si>
    <t>131</t>
  </si>
  <si>
    <t>93</t>
  </si>
  <si>
    <t>75</t>
  </si>
  <si>
    <t>40</t>
  </si>
  <si>
    <t>21</t>
  </si>
  <si>
    <t>11</t>
  </si>
  <si>
    <t>12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</si>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</sst>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6" fillId="0" borderId="0"/>
  </cellStyleXfs>
  <cellXfs count="370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165" fontId="4" fillId="0" borderId="8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4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5" fillId="0" borderId="0" xfId="12" applyNumberFormat="1" applyFont="1" applyBorder="1"/>
    <xf numFmtId="10" fontId="15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5" fillId="0" borderId="0" xfId="7" applyNumberFormat="1" applyFont="1"/>
    <xf numFmtId="165" fontId="14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10" fontId="0" fillId="0" borderId="9" xfId="12" applyNumberFormat="1" applyFont="1" applyBorder="1"/>
    <xf numFmtId="165" fontId="7" fillId="6" borderId="0" xfId="7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0" borderId="0" xfId="7" applyNumberFormat="1" applyFont="1" applyBorder="1"/>
    <xf numFmtId="0" fontId="3" fillId="0" borderId="6" xfId="0" applyFont="1" applyBorder="1" applyAlignment="1">
      <alignment horizontal="center"/>
    </xf>
    <xf numFmtId="165" fontId="17" fillId="0" borderId="0" xfId="7" applyNumberFormat="1" applyFont="1" applyAlignment="1"/>
    <xf numFmtId="165" fontId="18" fillId="0" borderId="0" xfId="7" applyNumberFormat="1" applyFont="1" applyAlignment="1">
      <alignment vertical="center"/>
    </xf>
    <xf numFmtId="165" fontId="17" fillId="0" borderId="0" xfId="7" applyNumberFormat="1" applyFont="1" applyAlignment="1">
      <alignment horizontal="left"/>
    </xf>
    <xf numFmtId="14" fontId="17" fillId="0" borderId="0" xfId="7" applyNumberFormat="1" applyFont="1" applyAlignment="1">
      <alignment horizontal="left"/>
    </xf>
    <xf numFmtId="165" fontId="17" fillId="4" borderId="0" xfId="7" applyNumberFormat="1" applyFont="1" applyFill="1" applyBorder="1" applyAlignment="1">
      <alignment horizontal="center"/>
    </xf>
    <xf numFmtId="165" fontId="17" fillId="0" borderId="0" xfId="7" applyNumberFormat="1" applyFont="1" applyFill="1" applyBorder="1" applyAlignment="1">
      <alignment horizontal="right"/>
    </xf>
    <xf numFmtId="165" fontId="17" fillId="0" borderId="0" xfId="7" applyNumberFormat="1" applyFont="1" applyAlignment="1">
      <alignment horizontal="center" vertical="center"/>
    </xf>
    <xf numFmtId="165" fontId="17" fillId="4" borderId="0" xfId="7" applyNumberFormat="1" applyFont="1" applyFill="1" applyAlignment="1">
      <alignment vertical="center"/>
    </xf>
    <xf numFmtId="165" fontId="17" fillId="0" borderId="0" xfId="7" applyNumberFormat="1" applyFont="1" applyFill="1" applyBorder="1" applyAlignment="1"/>
    <xf numFmtId="165" fontId="17" fillId="5" borderId="0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left" vertical="top"/>
    </xf>
    <xf numFmtId="165" fontId="20" fillId="0" borderId="13" xfId="7" applyNumberFormat="1" applyFont="1" applyBorder="1" applyAlignment="1"/>
    <xf numFmtId="14" fontId="20" fillId="0" borderId="13" xfId="7" applyNumberFormat="1" applyFont="1" applyBorder="1" applyAlignment="1"/>
    <xf numFmtId="165" fontId="18" fillId="0" borderId="0" xfId="7" applyNumberFormat="1" applyFont="1" applyFill="1" applyBorder="1" applyAlignment="1">
      <alignment horizontal="right"/>
    </xf>
    <xf numFmtId="165" fontId="20" fillId="0" borderId="13" xfId="7" applyNumberFormat="1" applyFont="1" applyBorder="1" applyAlignment="1">
      <alignment vertical="center"/>
    </xf>
    <xf numFmtId="165" fontId="17" fillId="0" borderId="0" xfId="7" applyNumberFormat="1" applyFont="1" applyAlignment="1">
      <alignment horizontal="right"/>
    </xf>
    <xf numFmtId="165" fontId="21" fillId="0" borderId="13" xfId="7" applyNumberFormat="1" applyFont="1" applyFill="1" applyBorder="1" applyAlignment="1"/>
    <xf numFmtId="10" fontId="17" fillId="0" borderId="0" xfId="12" applyNumberFormat="1" applyFont="1" applyFill="1" applyBorder="1" applyAlignment="1">
      <alignment horizontal="right"/>
    </xf>
    <xf numFmtId="165" fontId="21" fillId="0" borderId="0" xfId="7" applyNumberFormat="1" applyFont="1" applyBorder="1" applyAlignment="1">
      <alignment horizontal="center" vertical="center"/>
    </xf>
    <xf numFmtId="165" fontId="18" fillId="0" borderId="0" xfId="7" applyNumberFormat="1" applyFont="1" applyBorder="1" applyAlignment="1">
      <alignment horizontal="center"/>
    </xf>
    <xf numFmtId="165" fontId="17" fillId="0" borderId="0" xfId="7" applyNumberFormat="1" applyFont="1" applyAlignment="1">
      <alignment horizontal="left" vertical="center"/>
    </xf>
    <xf numFmtId="165" fontId="17" fillId="0" borderId="0" xfId="7" applyNumberFormat="1" applyFont="1" applyBorder="1" applyAlignment="1">
      <alignment horizontal="right"/>
    </xf>
    <xf numFmtId="165" fontId="17" fillId="0" borderId="0" xfId="7" applyNumberFormat="1" applyFont="1" applyBorder="1" applyAlignment="1"/>
    <xf numFmtId="165" fontId="17" fillId="0" borderId="0" xfId="7" applyNumberFormat="1" applyFont="1" applyAlignment="1">
      <alignment horizontal="center"/>
    </xf>
    <xf numFmtId="165" fontId="18" fillId="0" borderId="0" xfId="7" applyNumberFormat="1" applyFont="1" applyAlignment="1">
      <alignment horizontal="right"/>
    </xf>
    <xf numFmtId="165" fontId="18" fillId="0" borderId="0" xfId="7" applyNumberFormat="1" applyFont="1" applyAlignment="1"/>
    <xf numFmtId="165" fontId="17" fillId="0" borderId="0" xfId="7" applyNumberFormat="1" applyFont="1" applyAlignment="1">
      <alignment horizontal="right" vertical="center"/>
    </xf>
    <xf numFmtId="165" fontId="22" fillId="0" borderId="0" xfId="7" applyNumberFormat="1" applyFont="1" applyBorder="1" applyAlignment="1">
      <alignment horizontal="right"/>
    </xf>
    <xf numFmtId="165" fontId="17" fillId="0" borderId="1" xfId="7" applyNumberFormat="1" applyFont="1" applyBorder="1" applyAlignment="1"/>
    <xf numFmtId="165" fontId="17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3" fillId="6" borderId="5" xfId="7" applyNumberFormat="1" applyFont="1" applyFill="1" applyBorder="1" applyAlignment="1">
      <alignment horizontal="center" vertical="center"/>
    </xf>
    <xf numFmtId="165" fontId="23" fillId="6" borderId="8" xfId="7" applyNumberFormat="1" applyFont="1" applyFill="1" applyBorder="1" applyAlignment="1">
      <alignment horizontal="center" vertical="center"/>
    </xf>
    <xf numFmtId="165" fontId="23" fillId="6" borderId="7" xfId="7" applyNumberFormat="1" applyFont="1" applyFill="1" applyBorder="1" applyAlignment="1">
      <alignment horizontal="center" vertical="center"/>
    </xf>
    <xf numFmtId="14" fontId="23" fillId="6" borderId="8" xfId="7" applyNumberFormat="1" applyFont="1" applyFill="1" applyBorder="1" applyAlignment="1">
      <alignment horizontal="center" vertical="center"/>
    </xf>
    <xf numFmtId="165" fontId="23" fillId="6" borderId="6" xfId="7" applyNumberFormat="1" applyFont="1" applyFill="1" applyBorder="1" applyAlignment="1">
      <alignment horizontal="center" vertical="center"/>
    </xf>
    <xf numFmtId="165" fontId="23" fillId="6" borderId="0" xfId="7" applyNumberFormat="1" applyFont="1" applyFill="1" applyBorder="1" applyAlignment="1">
      <alignment horizontal="center" vertical="center"/>
    </xf>
    <xf numFmtId="165" fontId="23" fillId="6" borderId="19" xfId="7" applyNumberFormat="1" applyFont="1" applyFill="1" applyBorder="1" applyAlignment="1">
      <alignment horizontal="center" vertical="center"/>
    </xf>
    <xf numFmtId="165" fontId="18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43" fontId="11" fillId="0" borderId="16" xfId="7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4" fontId="11" fillId="0" borderId="21" xfId="7" applyNumberFormat="1" applyFont="1" applyBorder="1" applyAlignment="1">
      <alignment horizontal="left"/>
    </xf>
    <xf numFmtId="165" fontId="11" fillId="0" borderId="25" xfId="7" applyNumberFormat="1" applyFont="1" applyBorder="1" applyAlignment="1">
      <alignment horizontal="left"/>
    </xf>
    <xf numFmtId="165" fontId="11" fillId="0" borderId="25" xfId="7" applyNumberFormat="1" applyFont="1" applyFill="1" applyBorder="1" applyAlignment="1"/>
    <xf numFmtId="165" fontId="11" fillId="0" borderId="21" xfId="7" applyNumberFormat="1" applyFont="1" applyFill="1" applyBorder="1" applyAlignment="1">
      <alignment horizontal="center"/>
    </xf>
    <xf numFmtId="165" fontId="24" fillId="0" borderId="5" xfId="7" applyNumberFormat="1" applyFont="1" applyFill="1" applyBorder="1" applyAlignment="1"/>
    <xf numFmtId="165" fontId="24" fillId="0" borderId="7" xfId="7" applyNumberFormat="1" applyFont="1" applyFill="1" applyBorder="1" applyAlignment="1"/>
    <xf numFmtId="165" fontId="24" fillId="0" borderId="7" xfId="7" applyNumberFormat="1" applyFont="1" applyBorder="1" applyAlignment="1">
      <alignment horizontal="left"/>
    </xf>
    <xf numFmtId="14" fontId="24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4" fillId="0" borderId="7" xfId="7" applyNumberFormat="1" applyFont="1" applyBorder="1" applyAlignment="1">
      <alignment horizontal="left" vertical="top"/>
    </xf>
    <xf numFmtId="165" fontId="24" fillId="0" borderId="7" xfId="7" applyNumberFormat="1" applyFont="1" applyFill="1" applyBorder="1" applyAlignment="1">
      <alignment horizontal="right"/>
    </xf>
    <xf numFmtId="165" fontId="24" fillId="0" borderId="7" xfId="7" applyNumberFormat="1" applyFont="1" applyBorder="1" applyAlignment="1">
      <alignment horizontal="right"/>
    </xf>
    <xf numFmtId="165" fontId="24" fillId="0" borderId="7" xfId="7" applyNumberFormat="1" applyFont="1" applyBorder="1" applyAlignment="1">
      <alignment horizontal="left" vertical="center"/>
    </xf>
    <xf numFmtId="165" fontId="24" fillId="0" borderId="7" xfId="7" applyNumberFormat="1" applyFont="1" applyBorder="1" applyAlignment="1">
      <alignment horizontal="center" vertical="center"/>
    </xf>
    <xf numFmtId="165" fontId="24" fillId="0" borderId="7" xfId="7" applyNumberFormat="1" applyFont="1" applyBorder="1" applyAlignment="1">
      <alignment horizontal="center"/>
    </xf>
    <xf numFmtId="165" fontId="24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4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/>
    <xf numFmtId="165" fontId="24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5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4" fillId="0" borderId="9" xfId="7" applyNumberFormat="1" applyFont="1" applyBorder="1" applyAlignment="1"/>
    <xf numFmtId="165" fontId="24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24" fillId="0" borderId="5" xfId="7" applyNumberFormat="1" applyFont="1" applyBorder="1" applyAlignment="1">
      <alignment horizontal="center"/>
    </xf>
    <xf numFmtId="165" fontId="24" fillId="0" borderId="6" xfId="7" applyNumberFormat="1" applyFont="1" applyBorder="1" applyAlignment="1"/>
    <xf numFmtId="165" fontId="24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7" fillId="4" borderId="32" xfId="0" applyFont="1" applyFill="1" applyBorder="1" applyAlignment="1">
      <alignment horizontal="center" vertical="center"/>
    </xf>
    <xf numFmtId="165" fontId="0" fillId="0" borderId="33" xfId="0" applyNumberForma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35" xfId="7" applyNumberFormat="1" applyFont="1" applyBorder="1"/>
    <xf numFmtId="165" fontId="0" fillId="0" borderId="36" xfId="7" applyNumberFormat="1" applyFont="1" applyBorder="1"/>
    <xf numFmtId="165" fontId="3" fillId="0" borderId="6" xfId="7" applyNumberFormat="1" applyFont="1" applyBorder="1" applyAlignment="1">
      <alignment horizontal="center"/>
    </xf>
    <xf numFmtId="0" fontId="26" fillId="0" borderId="0" xfId="1" applyFont="1" applyAlignment="1">
      <alignment horizontal="left" indent="1"/>
    </xf>
    <xf numFmtId="0" fontId="26" fillId="0" borderId="0" xfId="1" applyFont="1"/>
    <xf numFmtId="43" fontId="26" fillId="0" borderId="0" xfId="7" applyFont="1"/>
    <xf numFmtId="17" fontId="27" fillId="0" borderId="0" xfId="1" applyNumberFormat="1" applyFont="1" applyAlignment="1">
      <alignment horizontal="center"/>
    </xf>
    <xf numFmtId="0" fontId="28" fillId="6" borderId="23" xfId="1" applyFont="1" applyFill="1" applyBorder="1" applyAlignment="1">
      <alignment horizontal="center"/>
    </xf>
    <xf numFmtId="17" fontId="28" fillId="6" borderId="14" xfId="1" applyNumberFormat="1" applyFont="1" applyFill="1" applyBorder="1" applyAlignment="1">
      <alignment horizontal="center" vertical="center"/>
    </xf>
    <xf numFmtId="17" fontId="28" fillId="6" borderId="12" xfId="1" applyNumberFormat="1" applyFont="1" applyFill="1" applyBorder="1" applyAlignment="1">
      <alignment horizontal="center" vertical="center"/>
    </xf>
    <xf numFmtId="0" fontId="28" fillId="6" borderId="14" xfId="1" applyFont="1" applyFill="1" applyBorder="1" applyAlignment="1">
      <alignment horizontal="center" vertical="center"/>
    </xf>
    <xf numFmtId="0" fontId="26" fillId="0" borderId="2" xfId="1" applyFont="1" applyBorder="1" applyAlignment="1">
      <alignment horizontal="left" indent="1"/>
    </xf>
    <xf numFmtId="164" fontId="26" fillId="0" borderId="9" xfId="2" applyNumberFormat="1" applyFont="1" applyBorder="1" applyAlignment="1"/>
    <xf numFmtId="164" fontId="26" fillId="0" borderId="0" xfId="1" applyNumberFormat="1" applyFont="1"/>
    <xf numFmtId="165" fontId="26" fillId="0" borderId="9" xfId="7" applyNumberFormat="1" applyFont="1" applyBorder="1" applyAlignment="1"/>
    <xf numFmtId="165" fontId="26" fillId="0" borderId="0" xfId="7" applyNumberFormat="1" applyFont="1" applyBorder="1"/>
    <xf numFmtId="43" fontId="26" fillId="0" borderId="0" xfId="7" applyFont="1" applyBorder="1"/>
    <xf numFmtId="164" fontId="26" fillId="0" borderId="0" xfId="2" applyNumberFormat="1" applyFont="1" applyBorder="1"/>
    <xf numFmtId="43" fontId="26" fillId="0" borderId="0" xfId="1" applyNumberFormat="1" applyFont="1"/>
    <xf numFmtId="10" fontId="30" fillId="0" borderId="9" xfId="3" applyNumberFormat="1" applyFont="1" applyBorder="1" applyAlignment="1"/>
    <xf numFmtId="165" fontId="26" fillId="0" borderId="0" xfId="1" applyNumberFormat="1" applyFont="1"/>
    <xf numFmtId="165" fontId="26" fillId="0" borderId="9" xfId="2" applyNumberFormat="1" applyFont="1" applyBorder="1" applyAlignment="1"/>
    <xf numFmtId="165" fontId="26" fillId="0" borderId="0" xfId="2" applyNumberFormat="1" applyFont="1" applyBorder="1" applyAlignment="1"/>
    <xf numFmtId="165" fontId="29" fillId="0" borderId="9" xfId="2" applyNumberFormat="1" applyFont="1" applyBorder="1" applyAlignment="1"/>
    <xf numFmtId="165" fontId="29" fillId="0" borderId="0" xfId="2" applyNumberFormat="1" applyFont="1" applyBorder="1" applyAlignment="1"/>
    <xf numFmtId="0" fontId="28" fillId="6" borderId="23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indent="1"/>
    </xf>
    <xf numFmtId="3" fontId="26" fillId="0" borderId="9" xfId="12" applyNumberFormat="1" applyFont="1" applyBorder="1" applyAlignment="1">
      <alignment horizontal="center"/>
    </xf>
    <xf numFmtId="3" fontId="29" fillId="0" borderId="9" xfId="12" applyNumberFormat="1" applyFont="1" applyBorder="1" applyAlignment="1">
      <alignment horizontal="center"/>
    </xf>
    <xf numFmtId="0" fontId="26" fillId="0" borderId="4" xfId="0" applyFont="1" applyBorder="1" applyAlignment="1">
      <alignment horizontal="left" indent="1"/>
    </xf>
    <xf numFmtId="10" fontId="29" fillId="0" borderId="10" xfId="12" applyNumberFormat="1" applyFont="1" applyBorder="1" applyAlignment="1">
      <alignment horizontal="center"/>
    </xf>
    <xf numFmtId="10" fontId="29" fillId="0" borderId="13" xfId="12" applyNumberFormat="1" applyFont="1" applyBorder="1" applyAlignment="1">
      <alignment horizontal="center"/>
    </xf>
    <xf numFmtId="9" fontId="29" fillId="0" borderId="9" xfId="3" applyFont="1" applyBorder="1" applyAlignment="1"/>
    <xf numFmtId="9" fontId="29" fillId="0" borderId="0" xfId="3" applyFont="1" applyBorder="1" applyAlignment="1"/>
    <xf numFmtId="0" fontId="26" fillId="0" borderId="4" xfId="1" applyFont="1" applyBorder="1" applyAlignment="1">
      <alignment horizontal="left" indent="1"/>
    </xf>
    <xf numFmtId="9" fontId="29" fillId="0" borderId="10" xfId="3" applyFont="1" applyBorder="1" applyAlignment="1"/>
    <xf numFmtId="9" fontId="29" fillId="0" borderId="13" xfId="3" applyFont="1" applyBorder="1" applyAlignment="1"/>
    <xf numFmtId="165" fontId="26" fillId="0" borderId="10" xfId="2" applyNumberFormat="1" applyFont="1" applyBorder="1" applyAlignment="1"/>
    <xf numFmtId="164" fontId="26" fillId="0" borderId="9" xfId="2" applyNumberFormat="1" applyFont="1" applyBorder="1"/>
    <xf numFmtId="10" fontId="29" fillId="0" borderId="9" xfId="12" applyNumberFormat="1" applyFont="1" applyBorder="1" applyAlignment="1"/>
    <xf numFmtId="10" fontId="29" fillId="0" borderId="0" xfId="12" applyNumberFormat="1" applyFont="1" applyBorder="1" applyAlignment="1"/>
    <xf numFmtId="165" fontId="26" fillId="0" borderId="13" xfId="2" applyNumberFormat="1" applyFont="1" applyBorder="1" applyAlignment="1"/>
    <xf numFmtId="165" fontId="26" fillId="0" borderId="0" xfId="7" applyNumberFormat="1" applyFont="1"/>
    <xf numFmtId="165" fontId="26" fillId="0" borderId="9" xfId="7" applyNumberFormat="1" applyFont="1" applyBorder="1" applyAlignment="1">
      <alignment horizontal="center"/>
    </xf>
    <xf numFmtId="3" fontId="26" fillId="0" borderId="3" xfId="12" applyNumberFormat="1" applyFont="1" applyBorder="1" applyAlignment="1">
      <alignment horizontal="center"/>
    </xf>
    <xf numFmtId="3" fontId="26" fillId="0" borderId="0" xfId="1" applyNumberFormat="1" applyFont="1"/>
    <xf numFmtId="165" fontId="26" fillId="0" borderId="10" xfId="7" applyNumberFormat="1" applyFont="1" applyBorder="1" applyAlignment="1">
      <alignment horizontal="center"/>
    </xf>
    <xf numFmtId="3" fontId="26" fillId="0" borderId="24" xfId="12" applyNumberFormat="1" applyFont="1" applyBorder="1" applyAlignment="1">
      <alignment horizontal="center"/>
    </xf>
    <xf numFmtId="165" fontId="26" fillId="0" borderId="9" xfId="7" applyNumberFormat="1" applyFont="1" applyBorder="1"/>
    <xf numFmtId="165" fontId="26" fillId="0" borderId="10" xfId="7" applyNumberFormat="1" applyFont="1" applyBorder="1"/>
    <xf numFmtId="0" fontId="26" fillId="0" borderId="10" xfId="1" applyFont="1" applyBorder="1" applyAlignment="1">
      <alignment horizontal="left" indent="1"/>
    </xf>
    <xf numFmtId="165" fontId="26" fillId="0" borderId="2" xfId="7" applyNumberFormat="1" applyFont="1" applyBorder="1"/>
    <xf numFmtId="165" fontId="23" fillId="6" borderId="38" xfId="7" applyNumberFormat="1" applyFont="1" applyFill="1" applyBorder="1" applyAlignment="1">
      <alignment horizontal="center" vertical="center"/>
    </xf>
    <xf numFmtId="3" fontId="4" fillId="0" borderId="0" xfId="0" applyNumberFormat="1" applyFont="1"/>
    <xf numFmtId="43" fontId="11" fillId="0" borderId="22" xfId="7" applyFont="1" applyBorder="1" applyAlignment="1">
      <alignment horizontal="left"/>
    </xf>
    <xf numFmtId="165" fontId="19" fillId="0" borderId="13" xfId="7" applyNumberFormat="1" applyFont="1" applyBorder="1" applyAlignment="1"/>
    <xf numFmtId="0" fontId="31" fillId="0" borderId="0" xfId="0" applyFont="1"/>
    <xf numFmtId="17" fontId="28" fillId="6" borderId="11" xfId="1" applyNumberFormat="1" applyFont="1" applyFill="1" applyBorder="1" applyAlignment="1">
      <alignment horizontal="center" vertical="center"/>
    </xf>
    <xf numFmtId="165" fontId="26" fillId="0" borderId="23" xfId="7" applyNumberFormat="1" applyFont="1" applyBorder="1"/>
    <xf numFmtId="165" fontId="26" fillId="0" borderId="4" xfId="7" applyNumberFormat="1" applyFont="1" applyBorder="1"/>
    <xf numFmtId="17" fontId="28" fillId="6" borderId="23" xfId="1" applyNumberFormat="1" applyFont="1" applyFill="1" applyBorder="1" applyAlignment="1">
      <alignment horizontal="center" vertical="center"/>
    </xf>
    <xf numFmtId="14" fontId="26" fillId="0" borderId="2" xfId="1" applyNumberFormat="1" applyFont="1" applyBorder="1" applyAlignment="1">
      <alignment horizontal="left" indent="1"/>
    </xf>
    <xf numFmtId="165" fontId="26" fillId="0" borderId="14" xfId="7" applyNumberFormat="1" applyFont="1" applyBorder="1"/>
    <xf numFmtId="165" fontId="26" fillId="0" borderId="2" xfId="7" applyNumberFormat="1" applyFont="1" applyBorder="1" applyAlignment="1">
      <alignment horizontal="left" indent="1"/>
    </xf>
    <xf numFmtId="165" fontId="26" fillId="0" borderId="4" xfId="7" applyNumberFormat="1" applyFont="1" applyBorder="1" applyAlignment="1">
      <alignment horizontal="left" indent="1"/>
    </xf>
    <xf numFmtId="165" fontId="26" fillId="0" borderId="9" xfId="7" applyNumberFormat="1" applyFont="1" applyBorder="1" applyAlignment="1">
      <alignment horizontal="left" indent="1"/>
    </xf>
    <xf numFmtId="165" fontId="26" fillId="0" borderId="10" xfId="7" applyNumberFormat="1" applyFont="1" applyBorder="1" applyAlignment="1">
      <alignment horizontal="left" indent="1"/>
    </xf>
    <xf numFmtId="165" fontId="26" fillId="0" borderId="0" xfId="7" applyNumberFormat="1" applyFont="1" applyBorder="1" applyAlignment="1">
      <alignment horizontal="center"/>
    </xf>
    <xf numFmtId="165" fontId="29" fillId="0" borderId="9" xfId="7" applyNumberFormat="1" applyFont="1" applyBorder="1" applyAlignment="1">
      <alignment horizontal="center"/>
    </xf>
    <xf numFmtId="165" fontId="29" fillId="0" borderId="0" xfId="7" applyNumberFormat="1" applyFont="1" applyBorder="1" applyAlignment="1">
      <alignment horizontal="center"/>
    </xf>
    <xf numFmtId="43" fontId="0" fillId="0" borderId="0" xfId="7" applyFont="1"/>
    <xf numFmtId="3" fontId="0" fillId="0" borderId="0" xfId="7" applyNumberFormat="1" applyFont="1"/>
    <xf numFmtId="3" fontId="0" fillId="0" borderId="0" xfId="7" applyNumberFormat="1" applyFont="1" applyBorder="1"/>
    <xf numFmtId="3" fontId="15" fillId="0" borderId="0" xfId="7" applyNumberFormat="1" applyFont="1"/>
    <xf numFmtId="165" fontId="12" fillId="0" borderId="5" xfId="7" applyNumberFormat="1" applyFont="1" applyBorder="1" applyAlignment="1">
      <alignment horizontal="center"/>
    </xf>
    <xf numFmtId="165" fontId="1" fillId="0" borderId="0" xfId="7" applyNumberFormat="1" applyFont="1"/>
    <xf numFmtId="165" fontId="32" fillId="0" borderId="0" xfId="7" applyNumberFormat="1" applyFont="1" applyAlignment="1">
      <alignment horizontal="center"/>
    </xf>
    <xf numFmtId="165" fontId="33" fillId="0" borderId="0" xfId="7" applyNumberFormat="1" applyFont="1" applyAlignment="1">
      <alignment horizontal="center"/>
    </xf>
    <xf numFmtId="165" fontId="7" fillId="6" borderId="39" xfId="7" applyNumberFormat="1" applyFont="1" applyFill="1" applyBorder="1" applyAlignment="1">
      <alignment horizontal="center"/>
    </xf>
    <xf numFmtId="165" fontId="7" fillId="6" borderId="40" xfId="7" applyNumberFormat="1" applyFont="1" applyFill="1" applyBorder="1" applyAlignment="1">
      <alignment horizontal="center"/>
    </xf>
    <xf numFmtId="165" fontId="7" fillId="6" borderId="41" xfId="7" applyNumberFormat="1" applyFont="1" applyFill="1" applyBorder="1" applyAlignment="1">
      <alignment horizontal="center"/>
    </xf>
    <xf numFmtId="165" fontId="1" fillId="0" borderId="2" xfId="7" applyNumberFormat="1" applyFont="1" applyBorder="1"/>
    <xf numFmtId="165" fontId="1" fillId="0" borderId="9" xfId="7" applyNumberFormat="1" applyFont="1" applyBorder="1"/>
    <xf numFmtId="165" fontId="1" fillId="0" borderId="0" xfId="7" applyNumberFormat="1" applyFont="1" applyBorder="1"/>
    <xf numFmtId="165" fontId="11" fillId="0" borderId="10" xfId="7" applyNumberFormat="1" applyFont="1" applyFill="1" applyBorder="1" applyAlignment="1"/>
    <xf numFmtId="166" fontId="26" fillId="0" borderId="9" xfId="7" applyNumberFormat="1" applyFont="1" applyBorder="1" applyAlignment="1"/>
    <xf numFmtId="10" fontId="30" fillId="0" borderId="3" xfId="3" applyNumberFormat="1" applyFont="1" applyBorder="1" applyAlignment="1"/>
    <xf numFmtId="164" fontId="26" fillId="0" borderId="3" xfId="2" applyNumberFormat="1" applyFont="1" applyBorder="1" applyAlignment="1"/>
    <xf numFmtId="165" fontId="26" fillId="0" borderId="3" xfId="7" applyNumberFormat="1" applyFont="1" applyBorder="1"/>
    <xf numFmtId="165" fontId="26" fillId="0" borderId="3" xfId="7" applyNumberFormat="1" applyFont="1" applyBorder="1" applyAlignment="1"/>
    <xf numFmtId="165" fontId="29" fillId="0" borderId="3" xfId="2" applyNumberFormat="1" applyFont="1" applyBorder="1" applyAlignment="1"/>
    <xf numFmtId="165" fontId="26" fillId="0" borderId="3" xfId="2" applyNumberFormat="1" applyFont="1" applyBorder="1" applyAlignment="1"/>
    <xf numFmtId="0" fontId="28" fillId="6" borderId="14" xfId="1" applyFont="1" applyFill="1" applyBorder="1" applyAlignment="1">
      <alignment horizontal="center"/>
    </xf>
    <xf numFmtId="0" fontId="26" fillId="0" borderId="9" xfId="1" applyFont="1" applyBorder="1" applyAlignment="1">
      <alignment horizontal="left" indent="1"/>
    </xf>
    <xf numFmtId="0" fontId="29" fillId="0" borderId="9" xfId="1" applyFont="1" applyBorder="1" applyAlignment="1">
      <alignment horizontal="left" indent="1"/>
    </xf>
    <xf numFmtId="0" fontId="29" fillId="0" borderId="10" xfId="1" applyFont="1" applyBorder="1" applyAlignment="1">
      <alignment horizontal="left" indent="1"/>
    </xf>
    <xf numFmtId="165" fontId="29" fillId="0" borderId="24" xfId="2" applyNumberFormat="1" applyFont="1" applyBorder="1" applyAlignment="1"/>
    <xf numFmtId="43" fontId="26" fillId="0" borderId="3" xfId="7" applyFont="1" applyBorder="1" applyAlignment="1"/>
    <xf numFmtId="165" fontId="3" fillId="0" borderId="5" xfId="7" applyNumberFormat="1" applyFont="1" applyBorder="1" applyAlignment="1">
      <alignment horizontal="center"/>
    </xf>
    <xf numFmtId="165" fontId="3" fillId="0" borderId="7" xfId="7" applyNumberFormat="1" applyFont="1" applyBorder="1" applyAlignment="1">
      <alignment horizontal="center"/>
    </xf>
    <xf numFmtId="10" fontId="26" fillId="0" borderId="3" xfId="3" applyNumberFormat="1" applyFont="1" applyBorder="1" applyAlignment="1"/>
    <xf numFmtId="10" fontId="26" fillId="0" borderId="9" xfId="3" applyNumberFormat="1" applyFont="1" applyBorder="1" applyAlignment="1"/>
    <xf numFmtId="10" fontId="26" fillId="0" borderId="9" xfId="3" applyNumberFormat="1" applyFont="1" applyFill="1" applyBorder="1" applyAlignment="1"/>
    <xf numFmtId="10" fontId="26" fillId="0" borderId="24" xfId="3" applyNumberFormat="1" applyFont="1" applyBorder="1" applyAlignment="1"/>
    <xf numFmtId="10" fontId="26" fillId="0" borderId="10" xfId="3" applyNumberFormat="1" applyFont="1" applyFill="1" applyBorder="1" applyAlignment="1"/>
    <xf numFmtId="0" fontId="34" fillId="0" borderId="0" xfId="1" applyFont="1"/>
    <xf numFmtId="14" fontId="0" fillId="0" borderId="0" xfId="0" applyNumberFormat="1"/>
    <xf numFmtId="14" fontId="34" fillId="0" borderId="0" xfId="1" applyNumberFormat="1" applyFont="1"/>
    <xf numFmtId="165" fontId="24" fillId="0" borderId="6" xfId="7" applyNumberFormat="1" applyFont="1" applyFill="1" applyBorder="1" applyAlignment="1">
      <alignment horizontal="right"/>
    </xf>
    <xf numFmtId="14" fontId="0" fillId="0" borderId="0" xfId="7" applyNumberFormat="1" applyFont="1"/>
    <xf numFmtId="14" fontId="1" fillId="0" borderId="0" xfId="1" applyNumberFormat="1" applyFont="1"/>
    <xf numFmtId="0" fontId="1" fillId="0" borderId="0" xfId="1" applyFont="1"/>
    <xf numFmtId="14" fontId="3" fillId="0" borderId="0" xfId="7" applyNumberFormat="1" applyFont="1"/>
    <xf numFmtId="0" fontId="3" fillId="0" borderId="0" xfId="0" applyFont="1"/>
    <xf numFmtId="0" fontId="35" fillId="8" borderId="42" xfId="1" applyFont="1" applyFill="1" applyBorder="1"/>
    <xf numFmtId="165" fontId="34" fillId="0" borderId="0" xfId="7" applyNumberFormat="1" applyFont="1"/>
    <xf numFmtId="14" fontId="36" fillId="0" borderId="5" xfId="1" applyNumberFormat="1" applyFont="1" applyBorder="1" applyAlignment="1">
      <alignment horizontal="center"/>
    </xf>
    <xf numFmtId="0" fontId="36" fillId="0" borderId="7" xfId="1" applyFont="1" applyBorder="1" applyAlignment="1">
      <alignment horizontal="center"/>
    </xf>
    <xf numFmtId="165" fontId="36" fillId="0" borderId="7" xfId="7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3" fontId="11" fillId="0" borderId="20" xfId="7" applyFont="1" applyBorder="1" applyAlignment="1">
      <alignment horizontal="left"/>
    </xf>
    <xf numFmtId="43" fontId="11" fillId="0" borderId="21" xfId="7" applyFont="1" applyBorder="1" applyAlignment="1">
      <alignment horizontal="left"/>
    </xf>
    <xf numFmtId="43" fontId="11" fillId="0" borderId="22" xfId="7" applyFont="1" applyBorder="1" applyAlignment="1"/>
    <xf numFmtId="165" fontId="3" fillId="0" borderId="0" xfId="0" applyNumberFormat="1" applyFont="1"/>
    <xf numFmtId="165" fontId="19" fillId="0" borderId="13" xfId="7" applyNumberFormat="1" applyFont="1" applyBorder="1" applyAlignment="1">
      <alignment horizontal="center"/>
    </xf>
    <xf numFmtId="165" fontId="21" fillId="0" borderId="13" xfId="7" applyNumberFormat="1" applyFont="1" applyBorder="1" applyAlignment="1">
      <alignment horizontal="center" vertical="center"/>
    </xf>
    <xf numFmtId="165" fontId="17" fillId="5" borderId="0" xfId="7" applyNumberFormat="1" applyFont="1" applyFill="1" applyBorder="1" applyAlignment="1">
      <alignment horizontal="center"/>
    </xf>
    <xf numFmtId="165" fontId="23" fillId="6" borderId="37" xfId="7" applyNumberFormat="1" applyFont="1" applyFill="1" applyBorder="1" applyAlignment="1">
      <alignment horizontal="center"/>
    </xf>
    <xf numFmtId="165" fontId="23" fillId="6" borderId="26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18" fillId="0" borderId="4" xfId="7" applyNumberFormat="1" applyFont="1" applyBorder="1" applyAlignment="1">
      <alignment horizontal="center"/>
    </xf>
    <xf numFmtId="165" fontId="18" fillId="0" borderId="13" xfId="7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74"/>
  <sheetViews>
    <sheetView showGridLines="0" showRowColHeaders="0" tabSelected="1" zoomScale="76" zoomScaleNormal="80" workbookViewId="0">
      <selection activeCell="U20" sqref="U20"/>
    </sheetView>
  </sheetViews>
  <sheetFormatPr defaultColWidth="8.6640625" defaultRowHeight="15.6" x14ac:dyDescent="0.3"/>
  <cols>
    <col min="1" max="1" width="8.6640625" style="233"/>
    <col min="2" max="2" width="2.33203125" style="233" bestFit="1" customWidth="1"/>
    <col min="3" max="3" width="31.109375" style="232" bestFit="1" customWidth="1"/>
    <col min="4" max="5" width="11.77734375" style="233" bestFit="1" customWidth="1"/>
    <col min="6" max="6" width="10.77734375" style="233" bestFit="1" customWidth="1"/>
    <col min="7" max="7" width="8.5546875" style="233" hidden="1" customWidth="1"/>
    <col min="8" max="15" width="7.88671875" style="233" hidden="1" customWidth="1"/>
    <col min="16" max="16" width="10.77734375" style="233" bestFit="1" customWidth="1"/>
    <col min="17" max="17" width="10.44140625" style="233" bestFit="1" customWidth="1"/>
    <col min="18" max="18" width="12.88671875" style="234" bestFit="1" customWidth="1"/>
    <col min="19" max="19" width="13.33203125" style="233" bestFit="1" customWidth="1"/>
    <col min="20" max="20" width="1.77734375" style="233" bestFit="1" customWidth="1"/>
    <col min="21" max="16384" width="8.6640625" style="233"/>
  </cols>
  <sheetData>
    <row r="1" spans="2:19" x14ac:dyDescent="0.3">
      <c r="B1" s="233" t="s">
        <v>262</v>
      </c>
    </row>
    <row r="2" spans="2:19" x14ac:dyDescent="0.3">
      <c r="D2" s="235" t="str">
        <f>TEXT(D4, "mmm-yy")</f>
        <v>Apr-26</v>
      </c>
      <c r="E2" s="235" t="str">
        <f t="shared" ref="E2:O2" si="0">TEXT(E4, "mmm-yy")</f>
        <v>May-26</v>
      </c>
      <c r="F2" s="235" t="str">
        <f t="shared" si="0"/>
        <v>Jun-26</v>
      </c>
      <c r="G2" s="235" t="str">
        <f t="shared" si="0"/>
        <v>Jul-26</v>
      </c>
      <c r="H2" s="235" t="str">
        <f t="shared" si="0"/>
        <v>Aug-26</v>
      </c>
      <c r="I2" s="235" t="str">
        <f t="shared" si="0"/>
        <v>Sep-26</v>
      </c>
      <c r="J2" s="235" t="str">
        <f t="shared" si="0"/>
        <v>Oct-26</v>
      </c>
      <c r="K2" s="235" t="str">
        <f t="shared" si="0"/>
        <v>Nov-26</v>
      </c>
      <c r="L2" s="235" t="str">
        <f t="shared" si="0"/>
        <v>Dec-26</v>
      </c>
      <c r="M2" s="235" t="str">
        <f t="shared" si="0"/>
        <v>Jan-27</v>
      </c>
      <c r="N2" s="235" t="str">
        <f t="shared" si="0"/>
        <v>Feb-27</v>
      </c>
      <c r="O2" s="235" t="str">
        <f t="shared" si="0"/>
        <v>Mar-27</v>
      </c>
    </row>
    <row r="3" spans="2:19" ht="16.2" thickBot="1" x14ac:dyDescent="0.35">
      <c r="D3" s="233">
        <v>30</v>
      </c>
      <c r="E3" s="233">
        <v>31</v>
      </c>
      <c r="F3" s="233">
        <v>30</v>
      </c>
      <c r="G3" s="233">
        <v>0</v>
      </c>
      <c r="H3" s="233">
        <v>0</v>
      </c>
      <c r="I3" s="233">
        <v>0</v>
      </c>
      <c r="J3" s="233">
        <v>0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f>SUM(D3:O3)</f>
        <v>91</v>
      </c>
    </row>
    <row r="4" spans="2:19" x14ac:dyDescent="0.3">
      <c r="C4" s="321" t="s">
        <v>226</v>
      </c>
      <c r="D4" s="286">
        <v>46113</v>
      </c>
      <c r="E4" s="238">
        <v>46143</v>
      </c>
      <c r="F4" s="237">
        <v>46174</v>
      </c>
      <c r="G4" s="238">
        <v>46204</v>
      </c>
      <c r="H4" s="237">
        <v>46235</v>
      </c>
      <c r="I4" s="238">
        <v>46266</v>
      </c>
      <c r="J4" s="237">
        <v>46296</v>
      </c>
      <c r="K4" s="238">
        <v>46327</v>
      </c>
      <c r="L4" s="237">
        <v>46357</v>
      </c>
      <c r="M4" s="238">
        <v>46388</v>
      </c>
      <c r="N4" s="237">
        <v>46419</v>
      </c>
      <c r="O4" s="238">
        <v>46447</v>
      </c>
      <c r="P4" s="239" t="s">
        <v>391</v>
      </c>
    </row>
    <row r="5" spans="2:19" x14ac:dyDescent="0.3">
      <c r="C5" s="322" t="s">
        <v>211</v>
      </c>
      <c r="D5" s="316">
        <v>6453.55</v>
      </c>
      <c r="E5" s="316">
        <v>1326</v>
      </c>
      <c r="F5" s="316">
        <v>3549.2599999999998</v>
      </c>
      <c r="G5" s="316">
        <f>SUMIFS(Details!$BB$4:$BB$160,Details!$C$4:$C$160,Summary!G$4)</f>
        <v>0</v>
      </c>
      <c r="H5" s="316">
        <f>SUMIFS(Details!$BB$4:$BB$160,Details!$C$4:$C$160,Summary!H$4)</f>
        <v>0</v>
      </c>
      <c r="I5" s="316">
        <f>SUMIFS(Details!$BB$4:$BB$160,Details!$C$4:$C$160,Summary!I$4)</f>
        <v>0</v>
      </c>
      <c r="J5" s="316">
        <f>SUMIFS(Details!$BB$4:$BB$160,Details!$C$4:$C$160,Summary!J$4)</f>
        <v>0</v>
      </c>
      <c r="K5" s="316">
        <f>SUMIFS(Details!$BB$4:$BB$160,Details!$C$4:$C$160,Summary!K$4)</f>
        <v>0</v>
      </c>
      <c r="L5" s="316">
        <f>SUMIFS(Details!$BB$4:$BB$160,Details!$C$4:$C$160,Summary!L$4)</f>
        <v>0</v>
      </c>
      <c r="M5" s="316">
        <f>SUMIFS(Details!$BB$4:$BB$160,Details!$C$4:$C$160,Summary!M$4)</f>
        <v>0</v>
      </c>
      <c r="N5" s="316">
        <f>SUMIFS(Details!$BB$4:$BB$160,Details!$C$4:$C$160,Summary!N$4)</f>
        <v>0</v>
      </c>
      <c r="O5" s="316">
        <f>SUMIFS(Details!$BB$4:$BB$160,Details!$C$4:$C$160,Summary!O$4)</f>
        <v>0</v>
      </c>
      <c r="P5" s="241">
        <f t="shared" ref="P5:P6" si="1">SUM(D5:O5)</f>
        <v>11328.81</v>
      </c>
      <c r="Q5" s="242">
        <f>Details!BB161</f>
        <v>11328.81</v>
      </c>
      <c r="R5" s="234">
        <f>P5-Q5</f>
        <v>0</v>
      </c>
    </row>
    <row r="6" spans="2:19" x14ac:dyDescent="0.3">
      <c r="C6" s="322" t="s">
        <v>0</v>
      </c>
      <c r="D6" s="316">
        <v>2227828.7663999996</v>
      </c>
      <c r="E6" s="316">
        <v>1333242.9109999998</v>
      </c>
      <c r="F6" s="316">
        <v>3099918.0610000002</v>
      </c>
      <c r="G6" s="316">
        <f>SUMIFS(Details!$BO$4:$BO$160,Details!$C$4:$C$160,Summary!G$4)</f>
        <v>0</v>
      </c>
      <c r="H6" s="316">
        <f>SUMIFS(Details!$BO$4:$BO$160,Details!$C$4:$C$160,Summary!H$4)</f>
        <v>0</v>
      </c>
      <c r="I6" s="316">
        <f>SUMIFS(Details!$BO$4:$BO$160,Details!$C$4:$C$160,Summary!I$4)</f>
        <v>0</v>
      </c>
      <c r="J6" s="316">
        <f>SUMIFS(Details!$BO$4:$BO$160,Details!$C$4:$C$160,Summary!J$4)</f>
        <v>0</v>
      </c>
      <c r="K6" s="316">
        <f>SUMIFS(Details!$BO$4:$BO$160,Details!$C$4:$C$160,Summary!K$4)</f>
        <v>0</v>
      </c>
      <c r="L6" s="316">
        <f>SUMIFS(Details!$BO$4:$BO$160,Details!$C$4:$C$160,Summary!L$4)</f>
        <v>0</v>
      </c>
      <c r="M6" s="316">
        <f>SUMIFS(Details!$BO$4:$BO$160,Details!$C$4:$C$160,Summary!M$4)</f>
        <v>0</v>
      </c>
      <c r="N6" s="316">
        <f>SUMIFS(Details!$BO$4:$BO$160,Details!$C$4:$C$160,Summary!N$4)</f>
        <v>0</v>
      </c>
      <c r="O6" s="316">
        <f>SUMIFS(Details!$BO$4:$BO$160,Details!$C$4:$C$160,Summary!O$4)</f>
        <v>0</v>
      </c>
      <c r="P6" s="243">
        <f t="shared" si="1"/>
        <v>6660989.7383999992</v>
      </c>
      <c r="Q6" s="244">
        <f>Details!BO161</f>
        <v>6660989.7383999992</v>
      </c>
      <c r="R6" s="234">
        <f>P6-Q6+P74</f>
        <v>0</v>
      </c>
    </row>
    <row r="7" spans="2:19" x14ac:dyDescent="0.3">
      <c r="C7" s="322" t="s">
        <v>1</v>
      </c>
      <c r="D7" s="316">
        <v>1570805.0859999999</v>
      </c>
      <c r="E7" s="316">
        <v>1206184.02</v>
      </c>
      <c r="F7" s="316">
        <v>2827776.9310000008</v>
      </c>
      <c r="G7" s="316">
        <f>SUMIFS(Details!$AM$4:$AM$160,Details!$C$4:$C$160,Summary!G$4)-SUMIFS(Details!$AB$4:$AB$160,Details!$C$4:$C$160,Summary!G$4)</f>
        <v>0</v>
      </c>
      <c r="H7" s="316">
        <f>SUMIFS(Details!$AM$4:$AM$160,Details!$C$4:$C$160,Summary!H$4)-SUMIFS(Details!$AB$4:$AB$160,Details!$C$4:$C$160,Summary!H$4)</f>
        <v>0</v>
      </c>
      <c r="I7" s="316">
        <f>SUMIFS(Details!$AM$4:$AM$160,Details!$C$4:$C$160,Summary!I$4)-SUMIFS(Details!$AB$4:$AB$160,Details!$C$4:$C$160,Summary!I$4)</f>
        <v>0</v>
      </c>
      <c r="J7" s="316">
        <f>SUMIFS(Details!$AM$4:$AM$160,Details!$C$4:$C$160,Summary!J$4)-SUMIFS(Details!$AB$4:$AB$160,Details!$C$4:$C$160,Summary!J$4)</f>
        <v>0</v>
      </c>
      <c r="K7" s="316">
        <f>SUMIFS(Details!$AM$4:$AM$160,Details!$C$4:$C$160,Summary!K$4)-SUMIFS(Details!$AB$4:$AB$160,Details!$C$4:$C$160,Summary!K$4)</f>
        <v>0</v>
      </c>
      <c r="L7" s="316">
        <f>SUMIFS(Details!$AM$4:$AM$160,Details!$C$4:$C$160,Summary!L$4)-SUMIFS(Details!$AB$4:$AB$160,Details!$C$4:$C$160,Summary!L$4)</f>
        <v>0</v>
      </c>
      <c r="M7" s="316">
        <f>SUMIFS(Details!$AM$4:$AM$160,Details!$C$4:$C$160,Summary!M$4)-SUMIFS(Details!$AB$4:$AB$160,Details!$C$4:$C$160,Summary!M$4)</f>
        <v>0</v>
      </c>
      <c r="N7" s="316">
        <f>SUMIFS(Details!$AM$4:$AM$160,Details!$C$4:$C$160,Summary!N$4)-SUMIFS(Details!$AB$4:$AB$160,Details!$C$4:$C$160,Summary!N$4)</f>
        <v>0</v>
      </c>
      <c r="O7" s="316">
        <f>SUMIFS(Details!$AM$4:$AM$160,Details!$C$4:$C$160,Summary!O$4)-SUMIFS(Details!$AB$4:$AB$160,Details!$C$4:$C$160,Summary!O$4)</f>
        <v>0</v>
      </c>
      <c r="P7" s="243">
        <f>SUM(D7:O7)</f>
        <v>5604766.0370000005</v>
      </c>
      <c r="Q7" s="244">
        <f>Details!P162</f>
        <v>5604766.0369999986</v>
      </c>
      <c r="R7" s="245">
        <f>P7-Q7</f>
        <v>0</v>
      </c>
    </row>
    <row r="8" spans="2:19" x14ac:dyDescent="0.3">
      <c r="C8" s="322" t="s">
        <v>194</v>
      </c>
      <c r="D8" s="316">
        <f t="shared" ref="D8:O8" si="2">D6-D7</f>
        <v>657023.68039999972</v>
      </c>
      <c r="E8" s="241">
        <f t="shared" si="2"/>
        <v>127058.89099999983</v>
      </c>
      <c r="F8" s="241">
        <f t="shared" si="2"/>
        <v>272141.12999999942</v>
      </c>
      <c r="G8" s="241">
        <f t="shared" si="2"/>
        <v>0</v>
      </c>
      <c r="H8" s="241">
        <f t="shared" si="2"/>
        <v>0</v>
      </c>
      <c r="I8" s="241">
        <f t="shared" si="2"/>
        <v>0</v>
      </c>
      <c r="J8" s="241">
        <f t="shared" si="2"/>
        <v>0</v>
      </c>
      <c r="K8" s="241">
        <f t="shared" si="2"/>
        <v>0</v>
      </c>
      <c r="L8" s="241">
        <f t="shared" si="2"/>
        <v>0</v>
      </c>
      <c r="M8" s="241">
        <f t="shared" si="2"/>
        <v>0</v>
      </c>
      <c r="N8" s="241">
        <f t="shared" si="2"/>
        <v>0</v>
      </c>
      <c r="O8" s="241">
        <f t="shared" si="2"/>
        <v>0</v>
      </c>
      <c r="P8" s="243">
        <f>SUM(D8:O8)</f>
        <v>1056223.701399999</v>
      </c>
      <c r="Q8" s="247"/>
    </row>
    <row r="9" spans="2:19" x14ac:dyDescent="0.3">
      <c r="C9" s="323" t="s">
        <v>243</v>
      </c>
      <c r="D9" s="315">
        <f t="shared" ref="D9:P9" si="3">IFERROR((D8/D6),0)</f>
        <v>0.29491659785940355</v>
      </c>
      <c r="E9" s="248">
        <f t="shared" si="3"/>
        <v>9.5300631229082791E-2</v>
      </c>
      <c r="F9" s="248">
        <f t="shared" si="3"/>
        <v>8.7789781744169598E-2</v>
      </c>
      <c r="G9" s="248">
        <f t="shared" si="3"/>
        <v>0</v>
      </c>
      <c r="H9" s="248">
        <f t="shared" si="3"/>
        <v>0</v>
      </c>
      <c r="I9" s="248">
        <f t="shared" si="3"/>
        <v>0</v>
      </c>
      <c r="J9" s="248">
        <f t="shared" si="3"/>
        <v>0</v>
      </c>
      <c r="K9" s="248">
        <f t="shared" si="3"/>
        <v>0</v>
      </c>
      <c r="L9" s="248">
        <f t="shared" si="3"/>
        <v>0</v>
      </c>
      <c r="M9" s="248">
        <f t="shared" si="3"/>
        <v>0</v>
      </c>
      <c r="N9" s="248">
        <f t="shared" si="3"/>
        <v>0</v>
      </c>
      <c r="O9" s="248">
        <f t="shared" si="3"/>
        <v>0</v>
      </c>
      <c r="P9" s="248">
        <f t="shared" si="3"/>
        <v>0.15856858258029816</v>
      </c>
    </row>
    <row r="10" spans="2:19" hidden="1" x14ac:dyDescent="0.3">
      <c r="C10" s="322" t="s">
        <v>2</v>
      </c>
      <c r="D10" s="316">
        <f>SUMIFS(Details!$AB$4:$AB$160,Details!$C$4:$C$160,Summary!D$4)</f>
        <v>0</v>
      </c>
      <c r="E10" s="316">
        <f>SUMIFS(Details!$AB$4:$AB$160,Details!$C$4:$C$160,Summary!E$4)</f>
        <v>0</v>
      </c>
      <c r="F10" s="316">
        <f>SUMIFS(Details!$AB$4:$AB$160,Details!$C$4:$C$160,Summary!F$4)</f>
        <v>0</v>
      </c>
      <c r="G10" s="316">
        <f>SUMIFS(Details!$AB$4:$AB$160,Details!$C$4:$C$160,Summary!G$4)</f>
        <v>0</v>
      </c>
      <c r="H10" s="316">
        <f>SUMIFS(Details!$AB$4:$AB$160,Details!$C$4:$C$160,Summary!H$4)</f>
        <v>0</v>
      </c>
      <c r="I10" s="316">
        <f>SUMIFS(Details!$AB$4:$AB$160,Details!$C$4:$C$160,Summary!I$4)</f>
        <v>0</v>
      </c>
      <c r="J10" s="316">
        <f>SUMIFS(Details!$AB$4:$AB$160,Details!$C$4:$C$160,Summary!J$4)</f>
        <v>0</v>
      </c>
      <c r="K10" s="316">
        <f>SUMIFS(Details!$AB$4:$AB$160,Details!$C$4:$C$160,Summary!K$4)</f>
        <v>0</v>
      </c>
      <c r="L10" s="316">
        <f>SUMIFS(Details!$AB$4:$AB$160,Details!$C$4:$C$160,Summary!L$4)</f>
        <v>0</v>
      </c>
      <c r="M10" s="316">
        <f>SUMIFS(Details!$AB$4:$AB$160,Details!$C$4:$C$160,Summary!M$4)</f>
        <v>0</v>
      </c>
      <c r="N10" s="316">
        <f>SUMIFS(Details!$AB$4:$AB$160,Details!$C$4:$C$160,Summary!N$4)</f>
        <v>0</v>
      </c>
      <c r="O10" s="316">
        <f>SUMIFS(Details!$AB$4:$AB$160,Details!$C$4:$C$160,Summary!O$4)</f>
        <v>0</v>
      </c>
      <c r="P10" s="243">
        <f>SUM(D10:O10)</f>
        <v>0</v>
      </c>
      <c r="Q10" s="246">
        <f>Details!AB161</f>
        <v>0</v>
      </c>
      <c r="R10" s="245">
        <f>P10-Q10</f>
        <v>0</v>
      </c>
      <c r="S10" s="242"/>
    </row>
    <row r="11" spans="2:19" hidden="1" x14ac:dyDescent="0.3">
      <c r="C11" s="322" t="s">
        <v>242</v>
      </c>
      <c r="D11" s="316">
        <f>SUMIFS(Details!$AC$4:$AC$160,Details!$C$4:$C$160,Summary!D$4)</f>
        <v>0</v>
      </c>
      <c r="E11" s="316">
        <f>SUMIFS(Details!$AC$4:$AC$160,Details!$C$4:$C$160,Summary!E$4)</f>
        <v>0</v>
      </c>
      <c r="F11" s="316">
        <f>SUMIFS(Details!$AC$4:$AC$160,Details!$C$4:$C$160,Summary!F$4)</f>
        <v>0</v>
      </c>
      <c r="G11" s="316">
        <f>SUMIFS(Details!$AC$4:$AC$160,Details!$C$4:$C$160,Summary!G$4)</f>
        <v>0</v>
      </c>
      <c r="H11" s="316">
        <f>SUMIFS(Details!$AC$4:$AC$160,Details!$C$4:$C$160,Summary!H$4)</f>
        <v>0</v>
      </c>
      <c r="I11" s="316">
        <f>SUMIFS(Details!$AC$4:$AC$160,Details!$C$4:$C$160,Summary!I$4)</f>
        <v>0</v>
      </c>
      <c r="J11" s="316">
        <f>SUMIFS(Details!$AC$4:$AC$160,Details!$C$4:$C$160,Summary!J$4)</f>
        <v>0</v>
      </c>
      <c r="K11" s="316">
        <f>SUMIFS(Details!$AC$4:$AC$160,Details!$C$4:$C$160,Summary!K$4)</f>
        <v>0</v>
      </c>
      <c r="L11" s="316">
        <f>SUMIFS(Details!$AC$4:$AC$160,Details!$C$4:$C$160,Summary!L$4)</f>
        <v>0</v>
      </c>
      <c r="M11" s="316">
        <f>SUMIFS(Details!$AC$4:$AC$160,Details!$C$4:$C$160,Summary!M$4)</f>
        <v>0</v>
      </c>
      <c r="N11" s="316">
        <f>SUMIFS(Details!$AC$4:$AC$160,Details!$C$4:$C$160,Summary!N$4)</f>
        <v>0</v>
      </c>
      <c r="O11" s="316">
        <f>SUMIFS(Details!$AC$4:$AC$160,Details!$C$4:$C$160,Summary!O$4)</f>
        <v>0</v>
      </c>
      <c r="P11" s="243">
        <f>SUM(D11:O11)</f>
        <v>0</v>
      </c>
      <c r="Q11" s="246"/>
      <c r="R11" s="245"/>
      <c r="S11" s="242"/>
    </row>
    <row r="12" spans="2:19" x14ac:dyDescent="0.3">
      <c r="C12" s="322" t="s">
        <v>196</v>
      </c>
      <c r="D12" s="316">
        <f t="shared" ref="D12:O12" si="4">D6-D7-D10-D11</f>
        <v>657023.68039999972</v>
      </c>
      <c r="E12" s="241">
        <f t="shared" si="4"/>
        <v>127058.89099999983</v>
      </c>
      <c r="F12" s="241">
        <f t="shared" si="4"/>
        <v>272141.12999999942</v>
      </c>
      <c r="G12" s="241">
        <f t="shared" si="4"/>
        <v>0</v>
      </c>
      <c r="H12" s="241">
        <f t="shared" si="4"/>
        <v>0</v>
      </c>
      <c r="I12" s="241">
        <f t="shared" si="4"/>
        <v>0</v>
      </c>
      <c r="J12" s="241">
        <f t="shared" si="4"/>
        <v>0</v>
      </c>
      <c r="K12" s="241">
        <f t="shared" si="4"/>
        <v>0</v>
      </c>
      <c r="L12" s="241">
        <f t="shared" si="4"/>
        <v>0</v>
      </c>
      <c r="M12" s="241">
        <f t="shared" si="4"/>
        <v>0</v>
      </c>
      <c r="N12" s="241">
        <f t="shared" si="4"/>
        <v>0</v>
      </c>
      <c r="O12" s="241">
        <f t="shared" si="4"/>
        <v>0</v>
      </c>
      <c r="P12" s="243">
        <f>SUM(D12:O12)</f>
        <v>1056223.701399999</v>
      </c>
      <c r="Q12" s="242" t="s">
        <v>111</v>
      </c>
    </row>
    <row r="13" spans="2:19" x14ac:dyDescent="0.3">
      <c r="C13" s="323" t="s">
        <v>244</v>
      </c>
      <c r="D13" s="315">
        <f t="shared" ref="D13:P13" si="5">IFERROR((D12/D6),0)</f>
        <v>0.29491659785940355</v>
      </c>
      <c r="E13" s="248">
        <f t="shared" si="5"/>
        <v>9.5300631229082791E-2</v>
      </c>
      <c r="F13" s="248">
        <f t="shared" si="5"/>
        <v>8.7789781744169598E-2</v>
      </c>
      <c r="G13" s="248">
        <f t="shared" si="5"/>
        <v>0</v>
      </c>
      <c r="H13" s="248">
        <f t="shared" si="5"/>
        <v>0</v>
      </c>
      <c r="I13" s="248">
        <f t="shared" si="5"/>
        <v>0</v>
      </c>
      <c r="J13" s="248">
        <f t="shared" si="5"/>
        <v>0</v>
      </c>
      <c r="K13" s="248">
        <f t="shared" si="5"/>
        <v>0</v>
      </c>
      <c r="L13" s="248">
        <f t="shared" si="5"/>
        <v>0</v>
      </c>
      <c r="M13" s="248">
        <f t="shared" si="5"/>
        <v>0</v>
      </c>
      <c r="N13" s="248">
        <f t="shared" si="5"/>
        <v>0</v>
      </c>
      <c r="O13" s="248">
        <f t="shared" si="5"/>
        <v>0</v>
      </c>
      <c r="P13" s="248">
        <f t="shared" si="5"/>
        <v>0.15856858258029816</v>
      </c>
    </row>
    <row r="14" spans="2:19" s="271" customFormat="1" x14ac:dyDescent="0.3">
      <c r="C14" s="294" t="s">
        <v>261</v>
      </c>
      <c r="D14" s="318">
        <v>0</v>
      </c>
      <c r="E14" s="318">
        <v>0</v>
      </c>
      <c r="F14" s="318">
        <v>0</v>
      </c>
      <c r="G14" s="318">
        <v>0</v>
      </c>
      <c r="H14" s="318">
        <v>0</v>
      </c>
      <c r="I14" s="318">
        <v>0</v>
      </c>
      <c r="J14" s="318">
        <v>0</v>
      </c>
      <c r="K14" s="318">
        <v>0</v>
      </c>
      <c r="L14" s="318">
        <v>0</v>
      </c>
      <c r="M14" s="318">
        <v>0</v>
      </c>
      <c r="N14" s="318">
        <v>0</v>
      </c>
      <c r="O14" s="318">
        <v>0</v>
      </c>
      <c r="P14" s="243">
        <f>SUM(D14:O14)</f>
        <v>0</v>
      </c>
    </row>
    <row r="15" spans="2:19" x14ac:dyDescent="0.3">
      <c r="C15" s="322" t="s">
        <v>3</v>
      </c>
      <c r="D15" s="329">
        <f t="shared" ref="D15:P15" si="6">IFERROR((D10/D6),0)</f>
        <v>0</v>
      </c>
      <c r="E15" s="330">
        <f t="shared" si="6"/>
        <v>0</v>
      </c>
      <c r="F15" s="330">
        <f t="shared" si="6"/>
        <v>0</v>
      </c>
      <c r="G15" s="330">
        <f t="shared" si="6"/>
        <v>0</v>
      </c>
      <c r="H15" s="330">
        <f t="shared" si="6"/>
        <v>0</v>
      </c>
      <c r="I15" s="330">
        <f t="shared" si="6"/>
        <v>0</v>
      </c>
      <c r="J15" s="330">
        <f t="shared" si="6"/>
        <v>0</v>
      </c>
      <c r="K15" s="330">
        <f t="shared" si="6"/>
        <v>0</v>
      </c>
      <c r="L15" s="330">
        <f t="shared" si="6"/>
        <v>0</v>
      </c>
      <c r="M15" s="330">
        <f t="shared" si="6"/>
        <v>0</v>
      </c>
      <c r="N15" s="330">
        <f t="shared" si="6"/>
        <v>0</v>
      </c>
      <c r="O15" s="330">
        <f t="shared" si="6"/>
        <v>0</v>
      </c>
      <c r="P15" s="330">
        <f t="shared" si="6"/>
        <v>0</v>
      </c>
      <c r="Q15" s="249"/>
    </row>
    <row r="16" spans="2:19" x14ac:dyDescent="0.3">
      <c r="C16" s="322" t="s">
        <v>255</v>
      </c>
      <c r="D16" s="326">
        <f t="shared" ref="D16:O16" si="7">IFERROR(D6/(D5*1000),0)</f>
        <v>0.34520980954668357</v>
      </c>
      <c r="E16" s="326">
        <f t="shared" si="7"/>
        <v>1.0054622254901959</v>
      </c>
      <c r="F16" s="326">
        <f t="shared" si="7"/>
        <v>0.87339841572609522</v>
      </c>
      <c r="G16" s="326">
        <f t="shared" si="7"/>
        <v>0</v>
      </c>
      <c r="H16" s="326">
        <f t="shared" si="7"/>
        <v>0</v>
      </c>
      <c r="I16" s="326">
        <f t="shared" si="7"/>
        <v>0</v>
      </c>
      <c r="J16" s="326">
        <f t="shared" si="7"/>
        <v>0</v>
      </c>
      <c r="K16" s="326">
        <f t="shared" si="7"/>
        <v>0</v>
      </c>
      <c r="L16" s="326">
        <f t="shared" si="7"/>
        <v>0</v>
      </c>
      <c r="M16" s="326">
        <f t="shared" si="7"/>
        <v>0</v>
      </c>
      <c r="N16" s="326">
        <f t="shared" si="7"/>
        <v>0</v>
      </c>
      <c r="O16" s="326">
        <f t="shared" si="7"/>
        <v>0</v>
      </c>
      <c r="P16" s="314">
        <f>+P6/(P5*1000)</f>
        <v>0.58796905750912931</v>
      </c>
      <c r="R16" s="245"/>
    </row>
    <row r="17" spans="3:19" x14ac:dyDescent="0.3">
      <c r="C17" s="322" t="s">
        <v>256</v>
      </c>
      <c r="D17" s="326">
        <f t="shared" ref="D17:O17" si="8">IFERROR(D7/(D5*1000),0)</f>
        <v>0.24340170696748301</v>
      </c>
      <c r="E17" s="326">
        <f t="shared" si="8"/>
        <v>0.90964104072398189</v>
      </c>
      <c r="F17" s="326">
        <f t="shared" si="8"/>
        <v>0.79672295943379778</v>
      </c>
      <c r="G17" s="326">
        <f t="shared" si="8"/>
        <v>0</v>
      </c>
      <c r="H17" s="326">
        <f t="shared" si="8"/>
        <v>0</v>
      </c>
      <c r="I17" s="326">
        <f t="shared" si="8"/>
        <v>0</v>
      </c>
      <c r="J17" s="326">
        <f t="shared" si="8"/>
        <v>0</v>
      </c>
      <c r="K17" s="326">
        <f t="shared" si="8"/>
        <v>0</v>
      </c>
      <c r="L17" s="326">
        <f t="shared" si="8"/>
        <v>0</v>
      </c>
      <c r="M17" s="326">
        <f t="shared" si="8"/>
        <v>0</v>
      </c>
      <c r="N17" s="326">
        <f t="shared" si="8"/>
        <v>0</v>
      </c>
      <c r="O17" s="326">
        <f t="shared" si="8"/>
        <v>0</v>
      </c>
      <c r="P17" s="314">
        <f>+P7/(P5*1000)</f>
        <v>0.49473563745883287</v>
      </c>
    </row>
    <row r="18" spans="3:19" x14ac:dyDescent="0.3">
      <c r="C18" s="322" t="s">
        <v>257</v>
      </c>
      <c r="D18" s="326">
        <f t="shared" ref="D18:O18" si="9">IFERROR(D10/(D5*1000),0)</f>
        <v>0</v>
      </c>
      <c r="E18" s="326">
        <f t="shared" si="9"/>
        <v>0</v>
      </c>
      <c r="F18" s="326">
        <f t="shared" si="9"/>
        <v>0</v>
      </c>
      <c r="G18" s="326">
        <f t="shared" si="9"/>
        <v>0</v>
      </c>
      <c r="H18" s="326">
        <f t="shared" si="9"/>
        <v>0</v>
      </c>
      <c r="I18" s="326">
        <f t="shared" si="9"/>
        <v>0</v>
      </c>
      <c r="J18" s="326">
        <f t="shared" si="9"/>
        <v>0</v>
      </c>
      <c r="K18" s="326">
        <f t="shared" si="9"/>
        <v>0</v>
      </c>
      <c r="L18" s="326">
        <f t="shared" si="9"/>
        <v>0</v>
      </c>
      <c r="M18" s="326">
        <f t="shared" si="9"/>
        <v>0</v>
      </c>
      <c r="N18" s="326">
        <f t="shared" si="9"/>
        <v>0</v>
      </c>
      <c r="O18" s="326">
        <f t="shared" si="9"/>
        <v>0</v>
      </c>
      <c r="P18" s="314">
        <f>P10/(P5*1000)</f>
        <v>0</v>
      </c>
    </row>
    <row r="19" spans="3:19" x14ac:dyDescent="0.3">
      <c r="C19" s="322" t="s">
        <v>7</v>
      </c>
      <c r="D19" s="317" cm="1">
        <f t="array" ref="D19">IFERROR(ROWS(_xlfn.UNIQUE(_xlfn._xlws.FILTER(Details!$AO$5:$AO$160, (Details!$C$5:$C$160)=Summary!D$2))),0)</f>
        <v>17</v>
      </c>
      <c r="E19" s="317" cm="1">
        <f t="array" ref="E19">IFERROR(ROWS(_xlfn.UNIQUE(_xlfn._xlws.FILTER(Details!$AO$5:$AO$160, (Details!$C$5:$C$160)=Summary!E$2))),0)</f>
        <v>9</v>
      </c>
      <c r="F19" s="317" cm="1">
        <f t="array" ref="F19">IFERROR(ROWS(_xlfn.UNIQUE(_xlfn._xlws.FILTER(Details!$AO$5:$AO$160, (Details!$C$5:$C$160)=Summary!F$2))),0)</f>
        <v>14</v>
      </c>
      <c r="G19" s="317" cm="1">
        <f t="array" ref="G19">IFERROR(ROWS(_xlfn.UNIQUE(_xlfn._xlws.FILTER(Details!$AO$5:$AO$160, (Details!$C$5:$C$160)=Summary!G$2))),0)</f>
        <v>0</v>
      </c>
      <c r="H19" s="317" cm="1">
        <f t="array" ref="H19">IFERROR(ROWS(_xlfn.UNIQUE(_xlfn._xlws.FILTER(Details!$AO$5:$AO$160, (Details!$C$5:$C$160)=Summary!H$2))),0)</f>
        <v>0</v>
      </c>
      <c r="I19" s="317" cm="1">
        <f t="array" ref="I19">IFERROR(ROWS(_xlfn.UNIQUE(_xlfn._xlws.FILTER(Details!$AO$5:$AO$160, (Details!$C$5:$C$160)=Summary!I$2))),0)</f>
        <v>0</v>
      </c>
      <c r="J19" s="317" cm="1">
        <f t="array" ref="J19">IFERROR(ROWS(_xlfn.UNIQUE(_xlfn._xlws.FILTER(Details!$AO$5:$AO$160, (Details!$C$5:$C$160)=Summary!J$2))),0)</f>
        <v>0</v>
      </c>
      <c r="K19" s="317" cm="1">
        <f t="array" ref="K19">IFERROR(ROWS(_xlfn.UNIQUE(_xlfn._xlws.FILTER(Details!$AO$5:$AO$160, (Details!$C$5:$C$160)=Summary!K$2))),0)</f>
        <v>0</v>
      </c>
      <c r="L19" s="317" cm="1">
        <f t="array" ref="L19">IFERROR(ROWS(_xlfn.UNIQUE(_xlfn._xlws.FILTER(Details!$AO$5:$AO$160, (Details!$C$5:$C$160)=Summary!L$2))),0)</f>
        <v>0</v>
      </c>
      <c r="M19" s="317" cm="1">
        <f t="array" ref="M19">IFERROR(ROWS(_xlfn.UNIQUE(_xlfn._xlws.FILTER(Details!$AO$5:$AO$160, (Details!$C$5:$C$160)=Summary!M$2))),0)</f>
        <v>0</v>
      </c>
      <c r="N19" s="317" cm="1">
        <f t="array" ref="N19">IFERROR(ROWS(_xlfn.UNIQUE(_xlfn._xlws.FILTER(Details!$AO$5:$AO$160, (Details!$C$5:$C$160)=Summary!N$2))),0)</f>
        <v>0</v>
      </c>
      <c r="O19" s="317" cm="1">
        <f t="array" ref="O19">IFERROR(ROWS(_xlfn.UNIQUE(_xlfn._xlws.FILTER(Details!$AO$5:$AO$160, (Details!$C$5:$C$160)=Summary!O$2))),0)</f>
        <v>0</v>
      </c>
      <c r="P19" s="243">
        <f>SUM(D19:O19)</f>
        <v>40</v>
      </c>
      <c r="Q19" s="242"/>
    </row>
    <row r="20" spans="3:19" x14ac:dyDescent="0.3">
      <c r="C20" s="322" t="s">
        <v>8</v>
      </c>
      <c r="D20" s="317" cm="1">
        <f t="array" ref="D20">IFERROR(ROWS(_xlfn.UNIQUE(_xlfn._xlws.FILTER(MID(Details!$G$5:$G$160,3,10), (Details!$C$5:$C$160)=Summary!D$2))),0)</f>
        <v>10</v>
      </c>
      <c r="E20" s="317" cm="1">
        <f t="array" ref="E20">IFERROR(ROWS(_xlfn.UNIQUE(_xlfn._xlws.FILTER(MID(Details!$G$5:$G$160,3,10), (Details!$C$5:$C$160)=Summary!E$2))),0)-1</f>
        <v>5</v>
      </c>
      <c r="F20" s="317" cm="1">
        <f t="array" ref="F20">IFERROR(ROWS(_xlfn.UNIQUE(_xlfn._xlws.FILTER(MID(Details!$G$5:$G$160,3,10), (Details!$C$5:$C$160)=Summary!F$2))),0)-1</f>
        <v>9</v>
      </c>
      <c r="G20" s="317" cm="1">
        <f t="array" ref="G20">IFERROR(ROWS(_xlfn.UNIQUE(_xlfn._xlws.FILTER(MID(Details!$G$5:$G$160,3,10), (Details!$C$5:$C$160)=Summary!G$2))),0)</f>
        <v>0</v>
      </c>
      <c r="H20" s="317" cm="1">
        <f t="array" ref="H20">IFERROR(ROWS(_xlfn.UNIQUE(_xlfn._xlws.FILTER(MID(Details!$G$5:$G$160,3,10), (Details!$C$5:$C$160)=Summary!H$2))),0)</f>
        <v>0</v>
      </c>
      <c r="I20" s="317" cm="1">
        <f t="array" ref="I20">IFERROR(ROWS(_xlfn.UNIQUE(_xlfn._xlws.FILTER(MID(Details!$G$5:$G$160,3,10), (Details!$C$5:$C$160)=Summary!I$2))),0)</f>
        <v>0</v>
      </c>
      <c r="J20" s="317" cm="1">
        <f t="array" ref="J20">IFERROR(ROWS(_xlfn.UNIQUE(_xlfn._xlws.FILTER(MID(Details!$G$5:$G$160,3,10), (Details!$C$5:$C$160)=Summary!J$2))),0)</f>
        <v>0</v>
      </c>
      <c r="K20" s="317" cm="1">
        <f t="array" ref="K20">IFERROR(ROWS(_xlfn.UNIQUE(_xlfn._xlws.FILTER(MID(Details!$G$5:$G$160,3,10), (Details!$C$5:$C$160)=Summary!K$2))),0)</f>
        <v>0</v>
      </c>
      <c r="L20" s="317" cm="1">
        <f t="array" ref="L20">IFERROR(ROWS(_xlfn.UNIQUE(_xlfn._xlws.FILTER(MID(Details!$G$5:$G$160,3,10), (Details!$C$5:$C$160)=Summary!L$2))),0)</f>
        <v>0</v>
      </c>
      <c r="M20" s="317" cm="1">
        <f t="array" ref="M20">IFERROR(ROWS(_xlfn.UNIQUE(_xlfn._xlws.FILTER(MID(Details!$G$5:$G$160,3,10), (Details!$C$5:$C$160)=Summary!M$2))),0)</f>
        <v>0</v>
      </c>
      <c r="N20" s="317" cm="1">
        <f t="array" ref="N20">IFERROR(ROWS(_xlfn.UNIQUE(_xlfn._xlws.FILTER(MID(Details!$G$5:$G$160,3,10), (Details!$C$5:$C$160)=Summary!N$2))),0)</f>
        <v>0</v>
      </c>
      <c r="O20" s="317" cm="1">
        <f t="array" ref="O20">IFERROR(ROWS(_xlfn.UNIQUE(_xlfn._xlws.FILTER(MID(Details!$G$5:$G$160,3,10), (Details!$C$5:$C$160)=Summary!O$2))),0)</f>
        <v>0</v>
      </c>
      <c r="P20" s="243">
        <f>'Supplier Metrics'!E2</f>
        <v>22</v>
      </c>
    </row>
    <row r="21" spans="3:19" x14ac:dyDescent="0.3">
      <c r="C21" s="322" t="s">
        <v>9</v>
      </c>
      <c r="D21" s="317" cm="1">
        <f t="array" ref="D21">IFERROR(ROWS(_xlfn.UNIQUE(_xlfn._xlws.FILTER(MID(Details!$AR$5:$AR$160,3,10), (Details!$C$5:$C$160)=Summary!D$2))),0)</f>
        <v>7</v>
      </c>
      <c r="E21" s="317" cm="1">
        <f t="array" ref="E21">IFERROR(ROWS(_xlfn.UNIQUE(_xlfn._xlws.FILTER(MID(Details!$AR$5:$AR$160,3,10), (Details!$C$5:$C$160)=Summary!E$2))),0)</f>
        <v>4</v>
      </c>
      <c r="F21" s="317" cm="1">
        <f t="array" ref="F21">IFERROR(ROWS(_xlfn.UNIQUE(_xlfn._xlws.FILTER(MID(Details!$AR$5:$AR$160,3,10), (Details!$C$5:$C$160)=Summary!F$2))),0)</f>
        <v>9</v>
      </c>
      <c r="G21" s="317" cm="1">
        <f t="array" ref="G21">IFERROR(ROWS(_xlfn.UNIQUE(_xlfn._xlws.FILTER(MID(Details!$AR$5:$AR$160,3,10), (Details!$C$5:$C$160)=Summary!G$2))),0)</f>
        <v>0</v>
      </c>
      <c r="H21" s="317" cm="1">
        <f t="array" ref="H21">IFERROR(ROWS(_xlfn.UNIQUE(_xlfn._xlws.FILTER(MID(Details!$AR$5:$AR$160,3,10), (Details!$C$5:$C$160)=Summary!H$2))),0)</f>
        <v>0</v>
      </c>
      <c r="I21" s="317" cm="1">
        <f t="array" ref="I21">IFERROR(ROWS(_xlfn.UNIQUE(_xlfn._xlws.FILTER(MID(Details!$AR$5:$AR$160,3,10), (Details!$C$5:$C$160)=Summary!I$2))),0)</f>
        <v>0</v>
      </c>
      <c r="J21" s="317" cm="1">
        <f t="array" ref="J21">IFERROR(ROWS(_xlfn.UNIQUE(_xlfn._xlws.FILTER(MID(Details!$AR$5:$AR$160,3,10), (Details!$C$5:$C$160)=Summary!J$2))),0)</f>
        <v>0</v>
      </c>
      <c r="K21" s="317" cm="1">
        <f t="array" ref="K21">IFERROR(ROWS(_xlfn.UNIQUE(_xlfn._xlws.FILTER(MID(Details!$AR$5:$AR$160,3,10), (Details!$C$5:$C$160)=Summary!K$2))),0)</f>
        <v>0</v>
      </c>
      <c r="L21" s="317" cm="1">
        <f t="array" ref="L21">IFERROR(ROWS(_xlfn.UNIQUE(_xlfn._xlws.FILTER(MID(Details!$AR$5:$AR$160,3,10), (Details!$C$5:$C$160)=Summary!L$2))),0)</f>
        <v>0</v>
      </c>
      <c r="M21" s="317" cm="1">
        <f t="array" ref="M21">IFERROR(ROWS(_xlfn.UNIQUE(_xlfn._xlws.FILTER(MID(Details!$AR$5:$AR$160,3,10), (Details!$C$5:$C$160)=Summary!M$2))),0)</f>
        <v>0</v>
      </c>
      <c r="N21" s="317" cm="1">
        <f t="array" ref="N21">IFERROR(ROWS(_xlfn.UNIQUE(_xlfn._xlws.FILTER(MID(Details!$AR$5:$AR$160,3,10), (Details!$C$5:$C$160)=Summary!N$2))),0)</f>
        <v>0</v>
      </c>
      <c r="O21" s="317" cm="1">
        <f t="array" ref="O21">IFERROR(ROWS(_xlfn.UNIQUE(_xlfn._xlws.FILTER(MID(Details!$AR$5:$AR$160,3,10), (Details!$C$5:$C$160)=Summary!O$2))),0)</f>
        <v>0</v>
      </c>
      <c r="P21" s="243">
        <f>'Buyer Metrics'!C3</f>
        <v>14</v>
      </c>
    </row>
    <row r="22" spans="3:19" x14ac:dyDescent="0.3">
      <c r="C22" s="322" t="s">
        <v>227</v>
      </c>
      <c r="D22" s="317" cm="1">
        <f t="array" ref="D22">IFERROR(ROWS(_xlfn.UNIQUE(_xlfn._xlws.FILTER(Details!$E$5:$E$160,(Details!$C$5:$C$160=Summary!D$2)*(Details!$BR$5:$BR$160=Summary!$C$22)))),0)</f>
        <v>0</v>
      </c>
      <c r="E22" s="317" cm="1">
        <f t="array" ref="E22">IFERROR(ROWS(_xlfn.UNIQUE(_xlfn._xlws.FILTER(Details!$E$5:$E$160,(Details!$C$5:$C$160=Summary!E$2)*(Details!$BR$5:$BR$160=Summary!$C$22)))),0)</f>
        <v>0</v>
      </c>
      <c r="F22" s="317" cm="1">
        <f t="array" ref="F22">IFERROR(ROWS(_xlfn.UNIQUE(_xlfn._xlws.FILTER(Details!$E$5:$E$160,(Details!$C$5:$C$160=Summary!F$2)*(Details!$BR$5:$BR$160=Summary!$C$22)))),0)</f>
        <v>0</v>
      </c>
      <c r="G22" s="317" cm="1">
        <f t="array" ref="G22">IFERROR(ROWS(_xlfn.UNIQUE(_xlfn._xlws.FILTER(Details!$E$5:$E$160,(Details!$C$5:$C$160=Summary!G$2)*(Details!$BR$5:$BR$160=Summary!$C$22)))),0)</f>
        <v>0</v>
      </c>
      <c r="H22" s="317" cm="1">
        <f t="array" ref="H22">IFERROR(ROWS(_xlfn.UNIQUE(_xlfn._xlws.FILTER(Details!$E$5:$E$160,(Details!$C$5:$C$160=Summary!H$2)*(Details!$BR$5:$BR$160=Summary!$C$22)))),0)</f>
        <v>0</v>
      </c>
      <c r="I22" s="317" cm="1">
        <f t="array" ref="I22">IFERROR(ROWS(_xlfn.UNIQUE(_xlfn._xlws.FILTER(Details!$E$5:$E$160,(Details!$C$5:$C$160=Summary!I$2)*(Details!$BR$5:$BR$160=Summary!$C$22)))),0)</f>
        <v>0</v>
      </c>
      <c r="J22" s="317" cm="1">
        <f t="array" ref="J22">IFERROR(ROWS(_xlfn.UNIQUE(_xlfn._xlws.FILTER(Details!$E$5:$E$160,(Details!$C$5:$C$160=Summary!J$2)*(Details!$BR$5:$BR$160=Summary!$C$22)))),0)</f>
        <v>0</v>
      </c>
      <c r="K22" s="317" cm="1">
        <f t="array" ref="K22">IFERROR(ROWS(_xlfn.UNIQUE(_xlfn._xlws.FILTER(Details!$E$5:$E$160,(Details!$C$5:$C$160=Summary!K$2)*(Details!$BR$5:$BR$160=Summary!$C$22)))),0)</f>
        <v>0</v>
      </c>
      <c r="L22" s="317" cm="1">
        <f t="array" ref="L22">IFERROR(ROWS(_xlfn.UNIQUE(_xlfn._xlws.FILTER(Details!$E$5:$E$160,(Details!$C$5:$C$160=Summary!L$2)*(Details!$BR$5:$BR$160=Summary!$C$22)))),0)</f>
        <v>0</v>
      </c>
      <c r="M22" s="317" cm="1">
        <f t="array" ref="M22">IFERROR(ROWS(_xlfn.UNIQUE(_xlfn._xlws.FILTER(Details!$E$5:$E$160,(Details!$C$5:$C$160=Summary!M$2)*(Details!$BR$5:$BR$160=Summary!$C$22)))),0)</f>
        <v>0</v>
      </c>
      <c r="N22" s="317" cm="1">
        <f t="array" ref="N22">IFERROR(ROWS(_xlfn.UNIQUE(_xlfn._xlws.FILTER(Details!$E$5:$E$160,(Details!$C$5:$C$160=Summary!N$2)*(Details!$BR$5:$BR$160=Summary!$C$22)))),0)</f>
        <v>0</v>
      </c>
      <c r="O22" s="317" cm="1">
        <f t="array" ref="O22">IFERROR(ROWS(_xlfn.UNIQUE(_xlfn._xlws.FILTER(Details!$E$5:$E$160,(Details!$C$5:$C$160=Summary!O$2)*(Details!$BR$5:$BR$160=Summary!$C$22)))),0)</f>
        <v>0</v>
      </c>
      <c r="P22" s="243">
        <f>SUM(D22:O22)</f>
        <v>0</v>
      </c>
    </row>
    <row r="23" spans="3:19" x14ac:dyDescent="0.3">
      <c r="C23" s="322" t="s">
        <v>5</v>
      </c>
      <c r="D23" s="318">
        <v>1423815.5999999999</v>
      </c>
      <c r="E23" s="318">
        <v>1121048.2599999995</v>
      </c>
      <c r="F23" s="318">
        <v>1389959.4300000002</v>
      </c>
      <c r="G23" s="318">
        <v>0</v>
      </c>
      <c r="H23" s="318">
        <v>0</v>
      </c>
      <c r="I23" s="318">
        <v>0</v>
      </c>
      <c r="J23" s="318">
        <v>0</v>
      </c>
      <c r="K23" s="318">
        <v>0</v>
      </c>
      <c r="L23" s="318">
        <v>0</v>
      </c>
      <c r="M23" s="318">
        <v>0</v>
      </c>
      <c r="N23" s="318">
        <v>0</v>
      </c>
      <c r="O23" s="318">
        <v>0</v>
      </c>
      <c r="P23" s="243">
        <f>F23</f>
        <v>1389959.4300000002</v>
      </c>
      <c r="S23" s="247"/>
    </row>
    <row r="24" spans="3:19" x14ac:dyDescent="0.3">
      <c r="C24" s="323" t="s">
        <v>6</v>
      </c>
      <c r="D24" s="319">
        <f t="shared" ref="D24:O24" si="10">IFERROR(((D23/(D6*1.18))*D3),0)</f>
        <v>16.248421889896669</v>
      </c>
      <c r="E24" s="253">
        <f t="shared" si="10"/>
        <v>22.089948954138951</v>
      </c>
      <c r="F24" s="252">
        <f t="shared" si="10"/>
        <v>11.399640543650323</v>
      </c>
      <c r="G24" s="253">
        <f t="shared" si="10"/>
        <v>0</v>
      </c>
      <c r="H24" s="252">
        <f t="shared" si="10"/>
        <v>0</v>
      </c>
      <c r="I24" s="253">
        <f t="shared" si="10"/>
        <v>0</v>
      </c>
      <c r="J24" s="252">
        <f>IFERROR(((J23/(J6*1.18))*J3),0)</f>
        <v>0</v>
      </c>
      <c r="K24" s="253">
        <f t="shared" si="10"/>
        <v>0</v>
      </c>
      <c r="L24" s="252">
        <f t="shared" si="10"/>
        <v>0</v>
      </c>
      <c r="M24" s="253">
        <f t="shared" si="10"/>
        <v>0</v>
      </c>
      <c r="N24" s="252">
        <f t="shared" si="10"/>
        <v>0</v>
      </c>
      <c r="O24" s="253">
        <f t="shared" si="10"/>
        <v>0</v>
      </c>
      <c r="P24" s="252">
        <f>IFERROR(((P23)/(P6*1.18)*P3),0)</f>
        <v>16.092471353453167</v>
      </c>
    </row>
    <row r="25" spans="3:19" x14ac:dyDescent="0.3">
      <c r="C25" s="322" t="s">
        <v>245</v>
      </c>
      <c r="D25" s="318">
        <v>665050.13</v>
      </c>
      <c r="E25" s="318">
        <v>1299425.51</v>
      </c>
      <c r="F25" s="318">
        <v>1730327.65</v>
      </c>
      <c r="G25" s="318">
        <v>0</v>
      </c>
      <c r="H25" s="318">
        <v>0</v>
      </c>
      <c r="I25" s="318">
        <v>0</v>
      </c>
      <c r="J25" s="318">
        <v>0</v>
      </c>
      <c r="K25" s="318">
        <v>0</v>
      </c>
      <c r="L25" s="318">
        <v>0</v>
      </c>
      <c r="M25" s="318">
        <v>0</v>
      </c>
      <c r="N25" s="318">
        <v>0</v>
      </c>
      <c r="O25" s="318">
        <v>0</v>
      </c>
      <c r="P25" s="243">
        <f>F25</f>
        <v>1730327.65</v>
      </c>
    </row>
    <row r="26" spans="3:19" x14ac:dyDescent="0.3">
      <c r="C26" s="323" t="s">
        <v>246</v>
      </c>
      <c r="D26" s="319">
        <f t="shared" ref="D26:P26" si="11">IFERROR(((D25/(D7*1.18))*D3),0)</f>
        <v>10.763941562984202</v>
      </c>
      <c r="E26" s="253">
        <f t="shared" si="11"/>
        <v>28.302024627206595</v>
      </c>
      <c r="F26" s="252">
        <f t="shared" si="11"/>
        <v>15.556878072644331</v>
      </c>
      <c r="G26" s="253">
        <f t="shared" si="11"/>
        <v>0</v>
      </c>
      <c r="H26" s="252">
        <f t="shared" si="11"/>
        <v>0</v>
      </c>
      <c r="I26" s="253">
        <f t="shared" si="11"/>
        <v>0</v>
      </c>
      <c r="J26" s="252">
        <f>IFERROR(((J25/(J7*1.18))*J3),0)</f>
        <v>0</v>
      </c>
      <c r="K26" s="253">
        <f t="shared" si="11"/>
        <v>0</v>
      </c>
      <c r="L26" s="252">
        <f t="shared" si="11"/>
        <v>0</v>
      </c>
      <c r="M26" s="253">
        <f t="shared" si="11"/>
        <v>0</v>
      </c>
      <c r="N26" s="252">
        <f t="shared" si="11"/>
        <v>0</v>
      </c>
      <c r="O26" s="253">
        <f t="shared" si="11"/>
        <v>0</v>
      </c>
      <c r="P26" s="252">
        <f t="shared" si="11"/>
        <v>23.808401863718501</v>
      </c>
    </row>
    <row r="27" spans="3:19" ht="16.2" thickBot="1" x14ac:dyDescent="0.35">
      <c r="C27" s="324" t="s">
        <v>277</v>
      </c>
      <c r="D27" s="325">
        <f>D24-D26</f>
        <v>5.4844803269124665</v>
      </c>
      <c r="E27" s="325">
        <f t="shared" ref="E27:P27" si="12">E24-E26</f>
        <v>-6.2120756730676447</v>
      </c>
      <c r="F27" s="325">
        <f t="shared" si="12"/>
        <v>-4.157237528994008</v>
      </c>
      <c r="G27" s="325">
        <f t="shared" si="12"/>
        <v>0</v>
      </c>
      <c r="H27" s="325">
        <f t="shared" si="12"/>
        <v>0</v>
      </c>
      <c r="I27" s="325">
        <f t="shared" si="12"/>
        <v>0</v>
      </c>
      <c r="J27" s="325">
        <f t="shared" si="12"/>
        <v>0</v>
      </c>
      <c r="K27" s="325">
        <f t="shared" si="12"/>
        <v>0</v>
      </c>
      <c r="L27" s="325">
        <f t="shared" si="12"/>
        <v>0</v>
      </c>
      <c r="M27" s="325">
        <f t="shared" si="12"/>
        <v>0</v>
      </c>
      <c r="N27" s="325">
        <f t="shared" si="12"/>
        <v>0</v>
      </c>
      <c r="O27" s="325">
        <f t="shared" si="12"/>
        <v>0</v>
      </c>
      <c r="P27" s="325">
        <f t="shared" si="12"/>
        <v>-7.7159305102653342</v>
      </c>
    </row>
    <row r="28" spans="3:19" x14ac:dyDescent="0.3">
      <c r="C28" s="322" t="s">
        <v>10</v>
      </c>
      <c r="D28" s="320">
        <v>0</v>
      </c>
      <c r="E28" s="320">
        <f>-SUMIFS(Details!$BW$4:$BW$160,Details!$C$4:$C$160,Summary!E4)</f>
        <v>0</v>
      </c>
      <c r="F28" s="320">
        <f>-SUMIFS(Details!$BW$4:$BW$160,Details!$C$4:$C$160,Summary!F4)</f>
        <v>0</v>
      </c>
      <c r="G28" s="320">
        <f>-SUMIFS(Details!$BW$4:$BW$160,Details!$C$4:$C$160,Summary!G4)</f>
        <v>0</v>
      </c>
      <c r="H28" s="320">
        <f>-SUMIFS(Details!$BW$4:$BW$160,Details!$C$4:$C$160,Summary!H4)</f>
        <v>0</v>
      </c>
      <c r="I28" s="320">
        <f>-SUMIFS(Details!$BW$4:$BW$160,Details!$C$4:$C$160,Summary!I4)</f>
        <v>0</v>
      </c>
      <c r="J28" s="320">
        <f>-SUMIFS(Details!$BW$4:$BW$160,Details!$C$4:$C$160,Summary!J4)</f>
        <v>0</v>
      </c>
      <c r="K28" s="320">
        <f>-SUMIFS(Details!$BW$4:$BW$160,Details!$C$4:$C$160,Summary!K4)</f>
        <v>0</v>
      </c>
      <c r="L28" s="320">
        <f>-SUMIFS(Details!$BW$4:$BW$160,Details!$C$4:$C$160,Summary!L4)</f>
        <v>0</v>
      </c>
      <c r="M28" s="320">
        <f>-SUMIFS(Details!$BW$4:$BW$160,Details!$C$4:$C$160,Summary!M4)</f>
        <v>0</v>
      </c>
      <c r="N28" s="320">
        <f>-SUMIFS(Details!$BW$4:$BW$160,Details!$C$4:$C$160,Summary!N4)</f>
        <v>0</v>
      </c>
      <c r="O28" s="320">
        <f>-SUMIFS(Details!$BW$4:$BW$160,Details!$C$4:$C$160,Summary!O4)</f>
        <v>0</v>
      </c>
      <c r="P28" s="241">
        <f>SUM(D28:O28)</f>
        <v>0</v>
      </c>
      <c r="Q28" s="249">
        <f>(-Details!BM161-Details!BN161)</f>
        <v>0</v>
      </c>
      <c r="R28" s="234">
        <f>P28-Q28</f>
        <v>0</v>
      </c>
    </row>
    <row r="29" spans="3:19" x14ac:dyDescent="0.3">
      <c r="C29" s="322" t="s">
        <v>11</v>
      </c>
      <c r="D29" s="329">
        <f t="shared" ref="D29:O29" si="13">IFERROR((D28/D6),0)</f>
        <v>0</v>
      </c>
      <c r="E29" s="329">
        <f t="shared" si="13"/>
        <v>0</v>
      </c>
      <c r="F29" s="329">
        <f t="shared" si="13"/>
        <v>0</v>
      </c>
      <c r="G29" s="329">
        <f t="shared" si="13"/>
        <v>0</v>
      </c>
      <c r="H29" s="329">
        <f t="shared" si="13"/>
        <v>0</v>
      </c>
      <c r="I29" s="329">
        <f t="shared" si="13"/>
        <v>0</v>
      </c>
      <c r="J29" s="329">
        <f t="shared" si="13"/>
        <v>0</v>
      </c>
      <c r="K29" s="329">
        <f t="shared" si="13"/>
        <v>0</v>
      </c>
      <c r="L29" s="329">
        <f t="shared" si="13"/>
        <v>0</v>
      </c>
      <c r="M29" s="329">
        <f t="shared" si="13"/>
        <v>0</v>
      </c>
      <c r="N29" s="329">
        <f t="shared" si="13"/>
        <v>0</v>
      </c>
      <c r="O29" s="329">
        <f t="shared" si="13"/>
        <v>0</v>
      </c>
      <c r="P29" s="331">
        <f>+P28/P6</f>
        <v>0</v>
      </c>
      <c r="Q29" s="249"/>
    </row>
    <row r="30" spans="3:19" x14ac:dyDescent="0.3">
      <c r="C30" s="322" t="s">
        <v>12</v>
      </c>
      <c r="D30" s="320">
        <v>0</v>
      </c>
      <c r="E30" s="320">
        <f>-SUMIFS(Details!$BX$4:$BX$160,Details!$C$4:$C$160,Summary!E4)</f>
        <v>0</v>
      </c>
      <c r="F30" s="320">
        <f>-SUMIFS(Details!$BX$4:$BX$160,Details!$C$4:$C$160,Summary!F4)</f>
        <v>0</v>
      </c>
      <c r="G30" s="320">
        <f>-SUMIFS(Details!$BX$4:$BX$160,Details!$C$4:$C$160,Summary!G4)</f>
        <v>0</v>
      </c>
      <c r="H30" s="320">
        <f>-SUMIFS(Details!$BX$4:$BX$160,Details!$C$4:$C$160,Summary!H4)</f>
        <v>0</v>
      </c>
      <c r="I30" s="320">
        <f>-SUMIFS(Details!$BX$4:$BX$160,Details!$C$4:$C$160,Summary!I4)</f>
        <v>0</v>
      </c>
      <c r="J30" s="320">
        <f>-SUMIFS(Details!$BX$4:$BX$160,Details!$C$4:$C$160,Summary!J4)</f>
        <v>0</v>
      </c>
      <c r="K30" s="320">
        <f>-SUMIFS(Details!$BX$4:$BX$160,Details!$C$4:$C$160,Summary!K4)</f>
        <v>0</v>
      </c>
      <c r="L30" s="320">
        <f>-SUMIFS(Details!$BX$4:$BX$160,Details!$C$4:$C$160,Summary!L4)</f>
        <v>0</v>
      </c>
      <c r="M30" s="320">
        <f>-SUMIFS(Details!$BX$4:$BX$160,Details!$C$4:$C$160,Summary!M4)</f>
        <v>0</v>
      </c>
      <c r="N30" s="320">
        <f>-SUMIFS(Details!$BX$4:$BX$160,Details!$C$4:$C$160,Summary!N4)</f>
        <v>0</v>
      </c>
      <c r="O30" s="320">
        <f>-SUMIFS(Details!$BX$4:$BX$160,Details!$C$4:$C$160,Summary!O4)</f>
        <v>0</v>
      </c>
      <c r="P30" s="241">
        <f>SUM(D30:O30)</f>
        <v>0</v>
      </c>
      <c r="Q30" s="249">
        <f>(-Details!AK161-Details!AL161)</f>
        <v>0</v>
      </c>
      <c r="R30" s="234">
        <f>P30-Q30</f>
        <v>0</v>
      </c>
    </row>
    <row r="31" spans="3:19" ht="16.2" thickBot="1" x14ac:dyDescent="0.35">
      <c r="C31" s="279" t="s">
        <v>13</v>
      </c>
      <c r="D31" s="332">
        <f t="shared" ref="D31:O31" si="14">IFERROR((D30/D7),0)</f>
        <v>0</v>
      </c>
      <c r="E31" s="332">
        <f t="shared" si="14"/>
        <v>0</v>
      </c>
      <c r="F31" s="332">
        <f t="shared" si="14"/>
        <v>0</v>
      </c>
      <c r="G31" s="332">
        <f t="shared" si="14"/>
        <v>0</v>
      </c>
      <c r="H31" s="332">
        <f t="shared" si="14"/>
        <v>0</v>
      </c>
      <c r="I31" s="332">
        <f t="shared" si="14"/>
        <v>0</v>
      </c>
      <c r="J31" s="332">
        <f t="shared" si="14"/>
        <v>0</v>
      </c>
      <c r="K31" s="332">
        <f t="shared" si="14"/>
        <v>0</v>
      </c>
      <c r="L31" s="332">
        <f t="shared" si="14"/>
        <v>0</v>
      </c>
      <c r="M31" s="332">
        <f t="shared" si="14"/>
        <v>0</v>
      </c>
      <c r="N31" s="332">
        <f t="shared" si="14"/>
        <v>0</v>
      </c>
      <c r="O31" s="332">
        <f t="shared" si="14"/>
        <v>0</v>
      </c>
      <c r="P31" s="333">
        <f>(P30/(P7+P10))</f>
        <v>0</v>
      </c>
      <c r="Q31" s="249"/>
    </row>
    <row r="32" spans="3:19" ht="16.2" thickBot="1" x14ac:dyDescent="0.35">
      <c r="Q32" s="249"/>
    </row>
    <row r="33" spans="3:17" x14ac:dyDescent="0.3">
      <c r="C33" s="254" t="s">
        <v>137</v>
      </c>
      <c r="D33" s="237">
        <f t="shared" ref="D33:P33" si="15">D4</f>
        <v>46113</v>
      </c>
      <c r="E33" s="237">
        <f t="shared" si="15"/>
        <v>46143</v>
      </c>
      <c r="F33" s="237">
        <f t="shared" si="15"/>
        <v>46174</v>
      </c>
      <c r="G33" s="237">
        <f t="shared" si="15"/>
        <v>46204</v>
      </c>
      <c r="H33" s="237">
        <f t="shared" si="15"/>
        <v>46235</v>
      </c>
      <c r="I33" s="237">
        <f t="shared" si="15"/>
        <v>46266</v>
      </c>
      <c r="J33" s="237">
        <f t="shared" si="15"/>
        <v>46296</v>
      </c>
      <c r="K33" s="237">
        <f t="shared" si="15"/>
        <v>46327</v>
      </c>
      <c r="L33" s="237">
        <f t="shared" si="15"/>
        <v>46357</v>
      </c>
      <c r="M33" s="237">
        <f t="shared" si="15"/>
        <v>46388</v>
      </c>
      <c r="N33" s="237">
        <f t="shared" si="15"/>
        <v>46419</v>
      </c>
      <c r="O33" s="237">
        <f t="shared" si="15"/>
        <v>46447</v>
      </c>
      <c r="P33" s="237" t="str">
        <f t="shared" si="15"/>
        <v>FY 2026-27</v>
      </c>
    </row>
    <row r="34" spans="3:17" x14ac:dyDescent="0.3">
      <c r="C34" s="255" t="s">
        <v>102</v>
      </c>
      <c r="D34" s="272">
        <f>D6-D53</f>
        <v>2227828.7663999996</v>
      </c>
      <c r="E34" s="296">
        <f t="shared" ref="E34:O34" si="16">E6+E53</f>
        <v>1333242.9109999998</v>
      </c>
      <c r="F34" s="272">
        <f t="shared" si="16"/>
        <v>3099918.0610000002</v>
      </c>
      <c r="G34" s="272">
        <f t="shared" si="16"/>
        <v>0</v>
      </c>
      <c r="H34" s="272">
        <f t="shared" si="16"/>
        <v>0</v>
      </c>
      <c r="I34" s="272">
        <f t="shared" si="16"/>
        <v>0</v>
      </c>
      <c r="J34" s="272">
        <f t="shared" si="16"/>
        <v>0</v>
      </c>
      <c r="K34" s="272">
        <f t="shared" si="16"/>
        <v>0</v>
      </c>
      <c r="L34" s="272">
        <f t="shared" si="16"/>
        <v>0</v>
      </c>
      <c r="M34" s="272">
        <f t="shared" si="16"/>
        <v>0</v>
      </c>
      <c r="N34" s="272">
        <f t="shared" si="16"/>
        <v>0</v>
      </c>
      <c r="O34" s="272">
        <f t="shared" si="16"/>
        <v>0</v>
      </c>
      <c r="P34" s="256">
        <f>SUM(D34:O34)</f>
        <v>6660989.7383999992</v>
      </c>
    </row>
    <row r="35" spans="3:17" x14ac:dyDescent="0.3">
      <c r="C35" s="255" t="s">
        <v>103</v>
      </c>
      <c r="D35" s="272">
        <f>D7+D10-D52</f>
        <v>1570805.0859999999</v>
      </c>
      <c r="E35" s="296">
        <f t="shared" ref="E35:O35" si="17">E7+E10+E52</f>
        <v>1206184.02</v>
      </c>
      <c r="F35" s="272">
        <f t="shared" si="17"/>
        <v>2827776.9310000008</v>
      </c>
      <c r="G35" s="272">
        <f t="shared" si="17"/>
        <v>0</v>
      </c>
      <c r="H35" s="272">
        <f t="shared" si="17"/>
        <v>0</v>
      </c>
      <c r="I35" s="272">
        <f t="shared" si="17"/>
        <v>0</v>
      </c>
      <c r="J35" s="272">
        <f t="shared" si="17"/>
        <v>0</v>
      </c>
      <c r="K35" s="272">
        <f t="shared" si="17"/>
        <v>0</v>
      </c>
      <c r="L35" s="272">
        <f t="shared" si="17"/>
        <v>0</v>
      </c>
      <c r="M35" s="272">
        <f t="shared" si="17"/>
        <v>0</v>
      </c>
      <c r="N35" s="272">
        <f t="shared" si="17"/>
        <v>0</v>
      </c>
      <c r="O35" s="272">
        <f t="shared" si="17"/>
        <v>0</v>
      </c>
      <c r="P35" s="256">
        <f>SUM(D35:O35)</f>
        <v>5604766.0370000005</v>
      </c>
    </row>
    <row r="36" spans="3:17" x14ac:dyDescent="0.3">
      <c r="C36" s="255" t="s">
        <v>104</v>
      </c>
      <c r="D36" s="297">
        <f>D34-D35</f>
        <v>657023.68039999972</v>
      </c>
      <c r="E36" s="298">
        <f>E34-E35</f>
        <v>127058.89099999983</v>
      </c>
      <c r="F36" s="297">
        <f t="shared" ref="F36:O36" si="18">F34-F35</f>
        <v>272141.12999999942</v>
      </c>
      <c r="G36" s="297">
        <f t="shared" si="18"/>
        <v>0</v>
      </c>
      <c r="H36" s="297">
        <f t="shared" si="18"/>
        <v>0</v>
      </c>
      <c r="I36" s="297">
        <f t="shared" si="18"/>
        <v>0</v>
      </c>
      <c r="J36" s="298">
        <f>J34-J35</f>
        <v>0</v>
      </c>
      <c r="K36" s="297">
        <f t="shared" si="18"/>
        <v>0</v>
      </c>
      <c r="L36" s="297">
        <f t="shared" si="18"/>
        <v>0</v>
      </c>
      <c r="M36" s="297">
        <f t="shared" si="18"/>
        <v>0</v>
      </c>
      <c r="N36" s="298">
        <f t="shared" si="18"/>
        <v>0</v>
      </c>
      <c r="O36" s="297">
        <f t="shared" si="18"/>
        <v>0</v>
      </c>
      <c r="P36" s="257">
        <f>P34-P35</f>
        <v>1056223.7013999987</v>
      </c>
    </row>
    <row r="37" spans="3:17" ht="16.2" thickBot="1" x14ac:dyDescent="0.35">
      <c r="C37" s="258" t="s">
        <v>4</v>
      </c>
      <c r="D37" s="259">
        <f>D36/D34</f>
        <v>0.29491659785940355</v>
      </c>
      <c r="E37" s="260">
        <f>E36/E34</f>
        <v>9.5300631229082791E-2</v>
      </c>
      <c r="F37" s="259">
        <f t="shared" ref="F37:N37" si="19">F36/F34</f>
        <v>8.7789781744169598E-2</v>
      </c>
      <c r="G37" s="259" t="e">
        <f t="shared" si="19"/>
        <v>#DIV/0!</v>
      </c>
      <c r="H37" s="259" t="e">
        <f t="shared" si="19"/>
        <v>#DIV/0!</v>
      </c>
      <c r="I37" s="259" t="e">
        <f t="shared" si="19"/>
        <v>#DIV/0!</v>
      </c>
      <c r="J37" s="260" t="e">
        <f t="shared" si="19"/>
        <v>#DIV/0!</v>
      </c>
      <c r="K37" s="259" t="e">
        <f t="shared" si="19"/>
        <v>#DIV/0!</v>
      </c>
      <c r="L37" s="259" t="e">
        <f t="shared" si="19"/>
        <v>#DIV/0!</v>
      </c>
      <c r="M37" s="259" t="e">
        <f t="shared" si="19"/>
        <v>#DIV/0!</v>
      </c>
      <c r="N37" s="260" t="e">
        <f t="shared" si="19"/>
        <v>#DIV/0!</v>
      </c>
      <c r="O37" s="259" t="e">
        <f>O36/O34</f>
        <v>#DIV/0!</v>
      </c>
      <c r="P37" s="259">
        <f>P36/P34</f>
        <v>0.15856858258029813</v>
      </c>
    </row>
    <row r="38" spans="3:17" ht="16.2" thickBot="1" x14ac:dyDescent="0.35"/>
    <row r="39" spans="3:17" x14ac:dyDescent="0.3">
      <c r="C39" s="236" t="s">
        <v>138</v>
      </c>
      <c r="D39" s="237">
        <f t="shared" ref="D39:P39" si="20">D4</f>
        <v>46113</v>
      </c>
      <c r="E39" s="237">
        <f t="shared" si="20"/>
        <v>46143</v>
      </c>
      <c r="F39" s="237">
        <f t="shared" si="20"/>
        <v>46174</v>
      </c>
      <c r="G39" s="237">
        <f t="shared" si="20"/>
        <v>46204</v>
      </c>
      <c r="H39" s="237">
        <f t="shared" si="20"/>
        <v>46235</v>
      </c>
      <c r="I39" s="237">
        <f t="shared" si="20"/>
        <v>46266</v>
      </c>
      <c r="J39" s="237">
        <f t="shared" si="20"/>
        <v>46296</v>
      </c>
      <c r="K39" s="237">
        <f t="shared" si="20"/>
        <v>46327</v>
      </c>
      <c r="L39" s="237">
        <f t="shared" si="20"/>
        <v>46357</v>
      </c>
      <c r="M39" s="237">
        <f t="shared" si="20"/>
        <v>46388</v>
      </c>
      <c r="N39" s="237">
        <f t="shared" si="20"/>
        <v>46419</v>
      </c>
      <c r="O39" s="237">
        <f t="shared" si="20"/>
        <v>46447</v>
      </c>
      <c r="P39" s="237" t="str">
        <f t="shared" si="20"/>
        <v>FY 2026-27</v>
      </c>
      <c r="Q39" s="249"/>
    </row>
    <row r="40" spans="3:17" x14ac:dyDescent="0.3">
      <c r="C40" s="240" t="s">
        <v>215</v>
      </c>
      <c r="D40" s="261">
        <f t="shared" ref="D40:O40" si="21">IFERROR(((D6/C6)-1),0)</f>
        <v>0</v>
      </c>
      <c r="E40" s="262">
        <f t="shared" si="21"/>
        <v>-0.40155054503833432</v>
      </c>
      <c r="F40" s="261">
        <f t="shared" si="21"/>
        <v>1.3250962262194999</v>
      </c>
      <c r="G40" s="261">
        <f t="shared" si="21"/>
        <v>-1</v>
      </c>
      <c r="H40" s="262">
        <f t="shared" si="21"/>
        <v>0</v>
      </c>
      <c r="I40" s="261">
        <f t="shared" si="21"/>
        <v>0</v>
      </c>
      <c r="J40" s="261">
        <f t="shared" si="21"/>
        <v>0</v>
      </c>
      <c r="K40" s="262">
        <f t="shared" si="21"/>
        <v>0</v>
      </c>
      <c r="L40" s="261">
        <f t="shared" si="21"/>
        <v>0</v>
      </c>
      <c r="M40" s="262">
        <f t="shared" si="21"/>
        <v>0</v>
      </c>
      <c r="N40" s="261">
        <f t="shared" si="21"/>
        <v>0</v>
      </c>
      <c r="O40" s="262">
        <f t="shared" si="21"/>
        <v>0</v>
      </c>
      <c r="P40" s="250">
        <v>0</v>
      </c>
      <c r="Q40" s="249"/>
    </row>
    <row r="41" spans="3:17" x14ac:dyDescent="0.3">
      <c r="C41" s="240" t="s">
        <v>216</v>
      </c>
      <c r="D41" s="261">
        <f t="shared" ref="D41:O41" si="22">IFERROR(((D5/C5)-1),0)</f>
        <v>0</v>
      </c>
      <c r="E41" s="262">
        <f t="shared" si="22"/>
        <v>-0.79453169185951922</v>
      </c>
      <c r="F41" s="261">
        <f t="shared" si="22"/>
        <v>1.6766666666666663</v>
      </c>
      <c r="G41" s="261">
        <f t="shared" si="22"/>
        <v>-1</v>
      </c>
      <c r="H41" s="262">
        <f t="shared" si="22"/>
        <v>0</v>
      </c>
      <c r="I41" s="261">
        <f t="shared" si="22"/>
        <v>0</v>
      </c>
      <c r="J41" s="261">
        <f t="shared" si="22"/>
        <v>0</v>
      </c>
      <c r="K41" s="262">
        <f t="shared" si="22"/>
        <v>0</v>
      </c>
      <c r="L41" s="261">
        <f t="shared" si="22"/>
        <v>0</v>
      </c>
      <c r="M41" s="262">
        <f t="shared" si="22"/>
        <v>0</v>
      </c>
      <c r="N41" s="261">
        <f t="shared" si="22"/>
        <v>0</v>
      </c>
      <c r="O41" s="262">
        <f t="shared" si="22"/>
        <v>0</v>
      </c>
      <c r="P41" s="250">
        <v>0</v>
      </c>
    </row>
    <row r="42" spans="3:17" ht="16.2" thickBot="1" x14ac:dyDescent="0.35">
      <c r="C42" s="263" t="s">
        <v>217</v>
      </c>
      <c r="D42" s="264">
        <f t="shared" ref="D42:O42" si="23">IFERROR(((D19/C19)-1),0)</f>
        <v>0</v>
      </c>
      <c r="E42" s="265">
        <f>IFERROR(((E19/D19)-1),0)</f>
        <v>-0.47058823529411764</v>
      </c>
      <c r="F42" s="264">
        <f t="shared" si="23"/>
        <v>0.55555555555555558</v>
      </c>
      <c r="G42" s="264">
        <f t="shared" si="23"/>
        <v>-1</v>
      </c>
      <c r="H42" s="265">
        <f>IFERROR(((#REF!/G19)-1),0)</f>
        <v>0</v>
      </c>
      <c r="I42" s="264">
        <f>IFERROR(((I19/#REF!)-1),0)</f>
        <v>0</v>
      </c>
      <c r="J42" s="264">
        <f t="shared" si="23"/>
        <v>0</v>
      </c>
      <c r="K42" s="265">
        <f t="shared" si="23"/>
        <v>0</v>
      </c>
      <c r="L42" s="264">
        <f t="shared" si="23"/>
        <v>0</v>
      </c>
      <c r="M42" s="265">
        <f t="shared" si="23"/>
        <v>0</v>
      </c>
      <c r="N42" s="264">
        <f t="shared" si="23"/>
        <v>0</v>
      </c>
      <c r="O42" s="265">
        <f t="shared" si="23"/>
        <v>0</v>
      </c>
      <c r="P42" s="266">
        <v>0</v>
      </c>
    </row>
    <row r="43" spans="3:17" ht="16.2" thickBot="1" x14ac:dyDescent="0.35">
      <c r="C43" s="233"/>
    </row>
    <row r="44" spans="3:17" x14ac:dyDescent="0.3">
      <c r="C44" s="236" t="s">
        <v>139</v>
      </c>
      <c r="D44" s="237">
        <f>D39</f>
        <v>46113</v>
      </c>
      <c r="E44" s="237">
        <f t="shared" ref="E44:P44" si="24">E39</f>
        <v>46143</v>
      </c>
      <c r="F44" s="237">
        <f t="shared" si="24"/>
        <v>46174</v>
      </c>
      <c r="G44" s="237">
        <f t="shared" si="24"/>
        <v>46204</v>
      </c>
      <c r="H44" s="237">
        <f t="shared" si="24"/>
        <v>46235</v>
      </c>
      <c r="I44" s="237">
        <f t="shared" si="24"/>
        <v>46266</v>
      </c>
      <c r="J44" s="237">
        <f t="shared" si="24"/>
        <v>46296</v>
      </c>
      <c r="K44" s="237">
        <f t="shared" si="24"/>
        <v>46327</v>
      </c>
      <c r="L44" s="237">
        <f t="shared" si="24"/>
        <v>46357</v>
      </c>
      <c r="M44" s="237">
        <f t="shared" si="24"/>
        <v>46388</v>
      </c>
      <c r="N44" s="237">
        <f t="shared" si="24"/>
        <v>46419</v>
      </c>
      <c r="O44" s="237">
        <f t="shared" si="24"/>
        <v>46447</v>
      </c>
      <c r="P44" s="237" t="str">
        <f t="shared" si="24"/>
        <v>FY 2026-27</v>
      </c>
    </row>
    <row r="45" spans="3:17" x14ac:dyDescent="0.3">
      <c r="C45" s="240" t="s">
        <v>221</v>
      </c>
      <c r="D45" s="250">
        <v>0</v>
      </c>
      <c r="E45" s="251">
        <v>1</v>
      </c>
      <c r="F45" s="250">
        <v>0</v>
      </c>
      <c r="G45" s="250">
        <v>0</v>
      </c>
      <c r="H45" s="251">
        <v>0</v>
      </c>
      <c r="I45" s="250">
        <v>0</v>
      </c>
      <c r="J45" s="250">
        <v>0</v>
      </c>
      <c r="K45" s="251">
        <v>0</v>
      </c>
      <c r="L45" s="250">
        <v>0</v>
      </c>
      <c r="M45" s="250">
        <v>0</v>
      </c>
      <c r="N45" s="251">
        <v>0</v>
      </c>
      <c r="O45" s="250">
        <v>0</v>
      </c>
      <c r="P45" s="267">
        <f>SUM(D45:O45)</f>
        <v>1</v>
      </c>
    </row>
    <row r="46" spans="3:17" x14ac:dyDescent="0.3">
      <c r="C46" s="240" t="s">
        <v>222</v>
      </c>
      <c r="D46" s="250">
        <v>0</v>
      </c>
      <c r="E46" s="251">
        <v>-331839</v>
      </c>
      <c r="F46" s="250">
        <v>0</v>
      </c>
      <c r="G46" s="250">
        <v>-36291</v>
      </c>
      <c r="H46" s="251">
        <v>0</v>
      </c>
      <c r="I46" s="250">
        <v>0</v>
      </c>
      <c r="J46" s="250">
        <v>0</v>
      </c>
      <c r="K46" s="251">
        <v>0</v>
      </c>
      <c r="L46" s="250">
        <v>0</v>
      </c>
      <c r="M46" s="250">
        <v>0</v>
      </c>
      <c r="N46" s="251">
        <v>0</v>
      </c>
      <c r="O46" s="250">
        <v>0</v>
      </c>
      <c r="P46" s="250">
        <f>SUM(D46:O46)</f>
        <v>-368130</v>
      </c>
    </row>
    <row r="47" spans="3:17" x14ac:dyDescent="0.3">
      <c r="C47" s="240" t="s">
        <v>218</v>
      </c>
      <c r="D47" s="250">
        <v>0</v>
      </c>
      <c r="E47" s="251">
        <v>1</v>
      </c>
      <c r="F47" s="250">
        <v>0</v>
      </c>
      <c r="G47" s="250">
        <v>0</v>
      </c>
      <c r="H47" s="251">
        <v>0</v>
      </c>
      <c r="I47" s="250">
        <v>0</v>
      </c>
      <c r="J47" s="250">
        <v>0</v>
      </c>
      <c r="K47" s="251">
        <v>0</v>
      </c>
      <c r="L47" s="250">
        <v>0</v>
      </c>
      <c r="M47" s="250">
        <v>0</v>
      </c>
      <c r="N47" s="251">
        <v>0</v>
      </c>
      <c r="O47" s="250">
        <v>0</v>
      </c>
      <c r="P47" s="250">
        <f>SUM(D47:O47)</f>
        <v>1</v>
      </c>
    </row>
    <row r="48" spans="3:17" x14ac:dyDescent="0.3">
      <c r="C48" s="240" t="s">
        <v>220</v>
      </c>
      <c r="D48" s="268">
        <f t="shared" ref="D48:P48" si="25">IFERROR(D47/D19,0)</f>
        <v>0</v>
      </c>
      <c r="E48" s="269">
        <f t="shared" si="25"/>
        <v>0.1111111111111111</v>
      </c>
      <c r="F48" s="268">
        <f t="shared" si="25"/>
        <v>0</v>
      </c>
      <c r="G48" s="268">
        <f t="shared" si="25"/>
        <v>0</v>
      </c>
      <c r="H48" s="269">
        <f>IFERROR(H47/#REF!,0)</f>
        <v>0</v>
      </c>
      <c r="I48" s="268">
        <f t="shared" si="25"/>
        <v>0</v>
      </c>
      <c r="J48" s="268">
        <f t="shared" si="25"/>
        <v>0</v>
      </c>
      <c r="K48" s="269">
        <f t="shared" si="25"/>
        <v>0</v>
      </c>
      <c r="L48" s="268">
        <f t="shared" si="25"/>
        <v>0</v>
      </c>
      <c r="M48" s="268">
        <f t="shared" si="25"/>
        <v>0</v>
      </c>
      <c r="N48" s="269">
        <f t="shared" si="25"/>
        <v>0</v>
      </c>
      <c r="O48" s="268">
        <f t="shared" si="25"/>
        <v>0</v>
      </c>
      <c r="P48" s="268">
        <f t="shared" si="25"/>
        <v>2.5000000000000001E-2</v>
      </c>
    </row>
    <row r="49" spans="3:18" ht="16.2" thickBot="1" x14ac:dyDescent="0.35">
      <c r="C49" s="263" t="s">
        <v>219</v>
      </c>
      <c r="D49" s="266">
        <v>0</v>
      </c>
      <c r="E49" s="270">
        <v>-331839</v>
      </c>
      <c r="F49" s="266">
        <v>0</v>
      </c>
      <c r="G49" s="266">
        <v>-36291</v>
      </c>
      <c r="H49" s="270">
        <v>0</v>
      </c>
      <c r="I49" s="266">
        <v>0</v>
      </c>
      <c r="J49" s="266">
        <v>0</v>
      </c>
      <c r="K49" s="270">
        <v>0</v>
      </c>
      <c r="L49" s="266">
        <v>0</v>
      </c>
      <c r="M49" s="266">
        <v>0</v>
      </c>
      <c r="N49" s="270">
        <v>0</v>
      </c>
      <c r="O49" s="266">
        <v>0</v>
      </c>
      <c r="P49" s="266">
        <f>SUM(D49:O49)</f>
        <v>-368130</v>
      </c>
      <c r="Q49" s="247"/>
    </row>
    <row r="50" spans="3:18" ht="16.2" thickBot="1" x14ac:dyDescent="0.35">
      <c r="C50" s="233"/>
      <c r="Q50" s="271"/>
    </row>
    <row r="51" spans="3:18" x14ac:dyDescent="0.3">
      <c r="C51" s="254" t="s">
        <v>134</v>
      </c>
      <c r="D51" s="237">
        <f>D44</f>
        <v>46113</v>
      </c>
      <c r="E51" s="237">
        <f t="shared" ref="E51:P51" si="26">E44</f>
        <v>46143</v>
      </c>
      <c r="F51" s="237">
        <f t="shared" si="26"/>
        <v>46174</v>
      </c>
      <c r="G51" s="237">
        <f t="shared" si="26"/>
        <v>46204</v>
      </c>
      <c r="H51" s="237">
        <f t="shared" si="26"/>
        <v>46235</v>
      </c>
      <c r="I51" s="237">
        <f t="shared" si="26"/>
        <v>46266</v>
      </c>
      <c r="J51" s="237">
        <f t="shared" si="26"/>
        <v>46296</v>
      </c>
      <c r="K51" s="237">
        <f t="shared" si="26"/>
        <v>46327</v>
      </c>
      <c r="L51" s="237">
        <f t="shared" si="26"/>
        <v>46357</v>
      </c>
      <c r="M51" s="237">
        <f t="shared" si="26"/>
        <v>46388</v>
      </c>
      <c r="N51" s="237">
        <f t="shared" si="26"/>
        <v>46419</v>
      </c>
      <c r="O51" s="237">
        <f t="shared" si="26"/>
        <v>46447</v>
      </c>
      <c r="P51" s="237" t="str">
        <f t="shared" si="26"/>
        <v>FY 2026-27</v>
      </c>
      <c r="Q51" s="234">
        <f>ROUND(Q52-Q53,2)+ROUND(P36-P12,2)</f>
        <v>0</v>
      </c>
    </row>
    <row r="52" spans="3:18" x14ac:dyDescent="0.3">
      <c r="C52" s="255" t="s">
        <v>100</v>
      </c>
      <c r="D52" s="272">
        <f>-SUMIFS(Details!$AL$4:$AL$160,Details!$C$4:$C$160,Summary!D51)</f>
        <v>0</v>
      </c>
      <c r="E52" s="272">
        <f>-SUMIFS(Details!$AL$4:$AL$160,Details!$C$4:$C$160,Summary!E51)</f>
        <v>0</v>
      </c>
      <c r="F52" s="272">
        <f>-SUMIFS(Details!$AL$4:$AL$160,Details!$C$4:$C$160,Summary!F51)</f>
        <v>0</v>
      </c>
      <c r="G52" s="272">
        <f>-SUMIFS(Details!$AL$4:$AL$160,Details!$C$4:$C$160,Summary!G51)</f>
        <v>0</v>
      </c>
      <c r="H52" s="272">
        <f>-SUMIFS(Details!$AL$4:$AL$160,Details!$C$4:$C$160,Summary!H51)</f>
        <v>0</v>
      </c>
      <c r="I52" s="272">
        <f>-SUMIFS(Details!$AL$4:$AL$160,Details!$C$4:$C$160,Summary!I51)</f>
        <v>0</v>
      </c>
      <c r="J52" s="272">
        <f>-SUMIFS(Details!$AL$4:$AL$160,Details!$C$4:$C$160,Summary!J51)</f>
        <v>0</v>
      </c>
      <c r="K52" s="272">
        <f>-SUMIFS(Details!$AL$4:$AL$160,Details!$C$4:$C$160,Summary!K51)</f>
        <v>0</v>
      </c>
      <c r="L52" s="272">
        <f>-SUMIFS(Details!$AL$4:$AL$160,Details!$C$4:$C$160,Summary!L51)</f>
        <v>0</v>
      </c>
      <c r="M52" s="272">
        <f>-SUMIFS(Details!$AL$4:$AL$160,Details!$C$4:$C$160,Summary!M51)</f>
        <v>0</v>
      </c>
      <c r="N52" s="272">
        <f>-SUMIFS(Details!$AL$4:$AL$160,Details!$C$4:$C$160,Summary!N51)</f>
        <v>0</v>
      </c>
      <c r="O52" s="272">
        <f>-SUMIFS(Details!$AL$4:$AL$160,Details!$C$4:$C$160,Summary!O51)</f>
        <v>0</v>
      </c>
      <c r="P52" s="273">
        <f>SUM(D52:O52)</f>
        <v>0</v>
      </c>
      <c r="Q52" s="274">
        <f>Details!AL161</f>
        <v>0</v>
      </c>
      <c r="R52" s="234">
        <f>Q52+P52</f>
        <v>0</v>
      </c>
    </row>
    <row r="53" spans="3:18" ht="16.2" thickBot="1" x14ac:dyDescent="0.35">
      <c r="C53" s="258" t="s">
        <v>101</v>
      </c>
      <c r="D53" s="275">
        <f>-SUMIFS(Details!$BN$4:$BN$160,Details!$C$4:$C$160,Summary!D51)</f>
        <v>0</v>
      </c>
      <c r="E53" s="275">
        <f>-SUMIFS(Details!$BN$4:$BN$160,Details!$C$4:$C$160,Summary!E51)</f>
        <v>0</v>
      </c>
      <c r="F53" s="275">
        <f>-SUMIFS(Details!$BN$4:$BN$160,Details!$C$4:$C$160,Summary!F51)</f>
        <v>0</v>
      </c>
      <c r="G53" s="275">
        <f>-SUMIFS(Details!$BN$4:$BN$160,Details!$C$4:$C$160,Summary!G51)</f>
        <v>0</v>
      </c>
      <c r="H53" s="275">
        <f>-SUMIFS(Details!$BN$4:$BN$160,Details!$C$4:$C$160,Summary!H51)</f>
        <v>0</v>
      </c>
      <c r="I53" s="275">
        <f>-SUMIFS(Details!$BN$4:$BN$160,Details!$C$4:$C$160,Summary!I51)</f>
        <v>0</v>
      </c>
      <c r="J53" s="275">
        <f>-SUMIFS(Details!$BN$4:$BN$160,Details!$C$4:$C$160,Summary!J51)</f>
        <v>0</v>
      </c>
      <c r="K53" s="275">
        <f>-SUMIFS(Details!$BN$4:$BN$160,Details!$C$4:$C$160,Summary!K51)</f>
        <v>0</v>
      </c>
      <c r="L53" s="275">
        <f>-SUMIFS(Details!$BN$4:$BN$160,Details!$C$4:$C$160,Summary!L51)</f>
        <v>0</v>
      </c>
      <c r="M53" s="275">
        <f>-SUMIFS(Details!$BN$4:$BN$160,Details!$C$4:$C$160,Summary!M51)</f>
        <v>0</v>
      </c>
      <c r="N53" s="275">
        <f>-SUMIFS(Details!$BN$4:$BN$160,Details!$C$4:$C$160,Summary!N51)</f>
        <v>0</v>
      </c>
      <c r="O53" s="275">
        <f>-SUMIFS(Details!$BN$4:$BN$160,Details!$C$4:$C$160,Summary!O51)</f>
        <v>0</v>
      </c>
      <c r="P53" s="276">
        <f>SUM(D53:O53)</f>
        <v>0</v>
      </c>
      <c r="Q53" s="274">
        <f>Details!BN161</f>
        <v>0</v>
      </c>
      <c r="R53" s="234">
        <f>Q53+P53</f>
        <v>0</v>
      </c>
    </row>
    <row r="54" spans="3:18" ht="16.2" thickBot="1" x14ac:dyDescent="0.35"/>
    <row r="55" spans="3:18" x14ac:dyDescent="0.3">
      <c r="C55" s="239" t="s">
        <v>175</v>
      </c>
      <c r="D55" s="238">
        <f>D51</f>
        <v>46113</v>
      </c>
      <c r="E55" s="238">
        <f t="shared" ref="E55:P55" si="27">E51</f>
        <v>46143</v>
      </c>
      <c r="F55" s="238">
        <f t="shared" si="27"/>
        <v>46174</v>
      </c>
      <c r="G55" s="238">
        <f t="shared" si="27"/>
        <v>46204</v>
      </c>
      <c r="H55" s="238">
        <f t="shared" si="27"/>
        <v>46235</v>
      </c>
      <c r="I55" s="238">
        <f t="shared" si="27"/>
        <v>46266</v>
      </c>
      <c r="J55" s="238">
        <f t="shared" si="27"/>
        <v>46296</v>
      </c>
      <c r="K55" s="238">
        <f t="shared" si="27"/>
        <v>46327</v>
      </c>
      <c r="L55" s="238">
        <f t="shared" si="27"/>
        <v>46357</v>
      </c>
      <c r="M55" s="238">
        <f t="shared" si="27"/>
        <v>46388</v>
      </c>
      <c r="N55" s="238">
        <f t="shared" si="27"/>
        <v>46419</v>
      </c>
      <c r="O55" s="238">
        <f t="shared" si="27"/>
        <v>46447</v>
      </c>
      <c r="P55" s="286" t="str">
        <f t="shared" si="27"/>
        <v>FY 2026-27</v>
      </c>
    </row>
    <row r="56" spans="3:18" ht="16.2" thickBot="1" x14ac:dyDescent="0.35">
      <c r="C56" s="279"/>
      <c r="D56" s="275">
        <f>SUMIFS(Details!$R$4:$R$160,Details!$C$4:$C$160,Summary!D55)</f>
        <v>0</v>
      </c>
      <c r="E56" s="275">
        <f>SUMIFS(Details!$R$4:$R$160,Details!$C$4:$C$160,Summary!E55)</f>
        <v>0</v>
      </c>
      <c r="F56" s="275">
        <f>SUMIFS(Details!$R$4:$R$160,Details!$C$4:$C$160,Summary!F55)</f>
        <v>0</v>
      </c>
      <c r="G56" s="275">
        <f>SUMIFS(Details!$R$4:$R$160,Details!$C$4:$C$160,Summary!G55)</f>
        <v>0</v>
      </c>
      <c r="H56" s="275">
        <f>SUMIFS(Details!$R$4:$R$160,Details!$C$4:$C$160,Summary!H55)</f>
        <v>0</v>
      </c>
      <c r="I56" s="275">
        <f>SUMIFS(Details!$R$4:$R$160,Details!$C$4:$C$160,Summary!I55)</f>
        <v>0</v>
      </c>
      <c r="J56" s="275">
        <f>SUMIFS(Details!$R$4:$R$160,Details!$C$4:$C$160,Summary!J55)</f>
        <v>0</v>
      </c>
      <c r="K56" s="275">
        <f>SUMIFS(Details!$R$4:$R$160,Details!$C$4:$C$160,Summary!K55)</f>
        <v>0</v>
      </c>
      <c r="L56" s="275">
        <f>SUMIFS(Details!$R$4:$R$160,Details!$C$4:$C$160,Summary!L55)</f>
        <v>0</v>
      </c>
      <c r="M56" s="275">
        <f>SUMIFS(Details!$R$4:$R$160,Details!$C$4:$C$160,Summary!M55)</f>
        <v>0</v>
      </c>
      <c r="N56" s="275">
        <f>SUMIFS(Details!$R$4:$R$160,Details!$C$4:$C$160,Summary!N55)</f>
        <v>0</v>
      </c>
      <c r="O56" s="275">
        <f>SUMIFS(Details!$R$4:$R$160,Details!$C$4:$C$160,Summary!O55)</f>
        <v>0</v>
      </c>
      <c r="P56" s="276">
        <f>SUM(D56:O56)</f>
        <v>0</v>
      </c>
    </row>
    <row r="57" spans="3:18" ht="16.2" thickBot="1" x14ac:dyDescent="0.35">
      <c r="D57" s="271"/>
      <c r="E57" s="271"/>
    </row>
    <row r="58" spans="3:18" ht="16.2" thickBot="1" x14ac:dyDescent="0.35">
      <c r="C58" s="239" t="s">
        <v>223</v>
      </c>
      <c r="D58" s="237">
        <v>45748</v>
      </c>
      <c r="E58" s="237">
        <v>45778</v>
      </c>
      <c r="F58" s="237">
        <v>45809</v>
      </c>
      <c r="G58" s="237">
        <v>45839</v>
      </c>
      <c r="H58" s="237">
        <v>45870</v>
      </c>
      <c r="I58" s="237">
        <v>45901</v>
      </c>
      <c r="J58" s="237">
        <v>45931</v>
      </c>
      <c r="K58" s="237">
        <v>45962</v>
      </c>
      <c r="L58" s="237">
        <v>45992</v>
      </c>
      <c r="M58" s="237">
        <v>46023</v>
      </c>
      <c r="N58" s="237">
        <v>46054</v>
      </c>
      <c r="O58" s="237">
        <v>46082</v>
      </c>
      <c r="P58" s="237" t="s">
        <v>185</v>
      </c>
    </row>
    <row r="59" spans="3:18" x14ac:dyDescent="0.3">
      <c r="C59" s="287" t="s">
        <v>194</v>
      </c>
      <c r="D59" s="287">
        <f>SUMIFS(Details!$CK$5:$CK$160,Details!$C$5:$C$160,Summary!D$58)</f>
        <v>0</v>
      </c>
      <c r="E59" s="287">
        <f>SUMIFS(Details!$CK$5:$CK$160,Details!$C$5:$C$160,Summary!E$58)</f>
        <v>0</v>
      </c>
      <c r="F59" s="287">
        <f>SUMIFS(Details!$CK$5:$CK$160,Details!$C$5:$C$160,Summary!F$58)</f>
        <v>0</v>
      </c>
      <c r="G59" s="287">
        <f>SUMIFS(Details!$CK$5:$CK$160,Details!$C$5:$C$160,Summary!G$58)</f>
        <v>0</v>
      </c>
      <c r="H59" s="287">
        <f>SUMIFS(Details!$CK$5:$CK$160,Details!$C$5:$C$160,Summary!H$58)</f>
        <v>0</v>
      </c>
      <c r="I59" s="287">
        <f>SUMIFS(Details!$CK$5:$CK$160,Details!$C$5:$C$160,Summary!I$58)</f>
        <v>0</v>
      </c>
      <c r="J59" s="287">
        <f>SUMIFS(Details!$CK$5:$CK$160,Details!$C$5:$C$160,Summary!J$58)</f>
        <v>0</v>
      </c>
      <c r="K59" s="287">
        <f>SUMIFS(Details!$CK$5:$CK$160,Details!$C$5:$C$160,Summary!K$58)</f>
        <v>0</v>
      </c>
      <c r="L59" s="287">
        <f>SUMIFS(Details!$CK$5:$CK$160,Details!$C$5:$C$160,Summary!L$58)</f>
        <v>0</v>
      </c>
      <c r="M59" s="287">
        <f>SUMIFS(Details!$CK$5:$CK$160,Details!$C$5:$C$160,Summary!M$58)</f>
        <v>0</v>
      </c>
      <c r="N59" s="287">
        <f>SUMIFS(Details!$CK$5:$CK$160,Details!$C$5:$C$160,Summary!N$58)</f>
        <v>0</v>
      </c>
      <c r="O59" s="287">
        <f>SUMIFS(Details!$CK$5:$CK$160,Details!$C$5:$C$160,Summary!O$58)</f>
        <v>0</v>
      </c>
      <c r="P59" s="291">
        <f>SUM(D59:O59)</f>
        <v>0</v>
      </c>
    </row>
    <row r="60" spans="3:18" x14ac:dyDescent="0.3">
      <c r="C60" s="280" t="s">
        <v>195</v>
      </c>
      <c r="D60" s="280">
        <f>SUMIFS(Details!$CL$5:$CL$160,Details!$C$5:$C$160,Summary!D$58)</f>
        <v>0</v>
      </c>
      <c r="E60" s="280">
        <f>SUMIFS(Details!$CL$5:$CL$160,Details!$C$5:$C$160,Summary!E$58)</f>
        <v>0</v>
      </c>
      <c r="F60" s="280">
        <f>SUMIFS(Details!$CL$5:$CL$160,Details!$C$5:$C$160,Summary!F$58)</f>
        <v>0</v>
      </c>
      <c r="G60" s="280">
        <f>SUMIFS(Details!$CL$5:$CL$160,Details!$C$5:$C$160,Summary!G$58)</f>
        <v>0</v>
      </c>
      <c r="H60" s="280">
        <f>SUMIFS(Details!$CL$5:$CL$160,Details!$C$5:$C$160,Summary!H$58)</f>
        <v>0</v>
      </c>
      <c r="I60" s="280">
        <f>SUMIFS(Details!$CL$5:$CL$160,Details!$C$5:$C$160,Summary!I$58)</f>
        <v>0</v>
      </c>
      <c r="J60" s="280">
        <f>SUMIFS(Details!$CL$5:$CL$160,Details!$C$5:$C$160,Summary!J$58)</f>
        <v>0</v>
      </c>
      <c r="K60" s="280">
        <f>SUMIFS(Details!$CL$5:$CL$160,Details!$C$5:$C$160,Summary!K$58)</f>
        <v>0</v>
      </c>
      <c r="L60" s="280">
        <f>SUMIFS(Details!$CL$5:$CL$160,Details!$C$5:$C$160,Summary!L$58)</f>
        <v>0</v>
      </c>
      <c r="M60" s="280">
        <f>SUMIFS(Details!$CL$5:$CL$160,Details!$C$5:$C$160,Summary!M$58)</f>
        <v>0</v>
      </c>
      <c r="N60" s="280">
        <f>SUMIFS(Details!$CL$5:$CL$160,Details!$C$5:$C$160,Summary!N$58)</f>
        <v>0</v>
      </c>
      <c r="O60" s="280">
        <f>SUMIFS(Details!$CL$5:$CL$160,Details!$C$5:$C$160,Summary!O$58)</f>
        <v>0</v>
      </c>
      <c r="P60" s="277">
        <f t="shared" ref="P60:P61" si="28">SUM(D60:O60)</f>
        <v>0</v>
      </c>
    </row>
    <row r="61" spans="3:18" ht="16.2" thickBot="1" x14ac:dyDescent="0.35">
      <c r="C61" s="288" t="s">
        <v>196</v>
      </c>
      <c r="D61" s="288">
        <f>SUMIFS(Details!$CM$5:$CM$160,Details!$C$5:$C$160,Summary!D$58)</f>
        <v>0</v>
      </c>
      <c r="E61" s="288">
        <f>SUMIFS(Details!$CM$5:$CM$160,Details!$C$5:$C$160,Summary!E$58)</f>
        <v>0</v>
      </c>
      <c r="F61" s="288">
        <f>SUMIFS(Details!$CM$5:$CM$160,Details!$C$5:$C$160,Summary!F$58)</f>
        <v>0</v>
      </c>
      <c r="G61" s="288">
        <f>SUMIFS(Details!$CM$5:$CM$160,Details!$C$5:$C$160,Summary!G$58)</f>
        <v>0</v>
      </c>
      <c r="H61" s="288">
        <f>SUMIFS(Details!$CM$5:$CM$160,Details!$C$5:$C$160,Summary!H$58)</f>
        <v>0</v>
      </c>
      <c r="I61" s="288">
        <f>SUMIFS(Details!$CM$5:$CM$160,Details!$C$5:$C$160,Summary!I$58)</f>
        <v>0</v>
      </c>
      <c r="J61" s="288">
        <f>SUMIFS(Details!$CM$5:$CM$160,Details!$C$5:$C$160,Summary!J$58)</f>
        <v>0</v>
      </c>
      <c r="K61" s="288">
        <f>SUMIFS(Details!$CM$5:$CM$160,Details!$C$5:$C$160,Summary!K$58)</f>
        <v>0</v>
      </c>
      <c r="L61" s="288">
        <f>SUMIFS(Details!$CM$5:$CM$160,Details!$C$5:$C$160,Summary!L$58)</f>
        <v>0</v>
      </c>
      <c r="M61" s="288">
        <f>SUMIFS(Details!$CM$5:$CM$160,Details!$C$5:$C$160,Summary!M$58)</f>
        <v>0</v>
      </c>
      <c r="N61" s="288">
        <f>SUMIFS(Details!$CM$5:$CM$160,Details!$C$5:$C$160,Summary!N$58)</f>
        <v>0</v>
      </c>
      <c r="O61" s="288">
        <f>SUMIFS(Details!$CM$5:$CM$160,Details!$C$5:$C$160,Summary!O$58)</f>
        <v>0</v>
      </c>
      <c r="P61" s="278">
        <f t="shared" si="28"/>
        <v>0</v>
      </c>
    </row>
    <row r="62" spans="3:18" ht="16.2" thickBot="1" x14ac:dyDescent="0.35">
      <c r="C62" s="233"/>
      <c r="D62" s="271"/>
      <c r="E62" s="271"/>
    </row>
    <row r="63" spans="3:18" x14ac:dyDescent="0.3">
      <c r="C63" s="289" t="s">
        <v>224</v>
      </c>
      <c r="D63" s="238" t="s">
        <v>0</v>
      </c>
      <c r="E63" s="286" t="s">
        <v>1</v>
      </c>
      <c r="G63" s="234"/>
    </row>
    <row r="64" spans="3:18" x14ac:dyDescent="0.3">
      <c r="C64" s="290">
        <f>Details!P167</f>
        <v>46203</v>
      </c>
      <c r="D64" s="292">
        <f>SUMIFS(Details!$BO$5:$BO$160,Details!$D$5:$D$160,Summary!$C64)*118%</f>
        <v>0</v>
      </c>
      <c r="E64" s="294">
        <f>SUMIFS(Details!$AM$5:$AM$160,Details!$D$5:$D$160,Summary!$C64)*118%</f>
        <v>0</v>
      </c>
      <c r="G64" s="234"/>
    </row>
    <row r="65" spans="3:7" x14ac:dyDescent="0.3">
      <c r="C65" s="240" t="str">
        <f>TEXT(C64,"mmm-yy")</f>
        <v>Jun-26</v>
      </c>
      <c r="D65" s="292">
        <f>SUMIFS(Details!$BO$5:$BO$160,Details!$C$5:$C$160,Summary!$C65)*118%</f>
        <v>3657903.3119800002</v>
      </c>
      <c r="E65" s="294">
        <f>SUMIFS(Details!$AM$5:$AM$160,Details!$C$5:$C$160,Summary!$C65)*118%</f>
        <v>3336776.7785800006</v>
      </c>
      <c r="G65" s="234"/>
    </row>
    <row r="66" spans="3:7" ht="16.2" thickBot="1" x14ac:dyDescent="0.35">
      <c r="C66" s="263" t="s">
        <v>225</v>
      </c>
      <c r="D66" s="293">
        <f>Details!BO161*118%</f>
        <v>7859967.8913119985</v>
      </c>
      <c r="E66" s="295">
        <f>Details!AM161*118%</f>
        <v>6613623.923659998</v>
      </c>
      <c r="G66" s="234"/>
    </row>
    <row r="67" spans="3:7" x14ac:dyDescent="0.3">
      <c r="D67" s="271"/>
      <c r="E67" s="271"/>
    </row>
    <row r="68" spans="3:7" x14ac:dyDescent="0.3">
      <c r="D68" s="271"/>
      <c r="E68" s="271"/>
    </row>
    <row r="69" spans="3:7" x14ac:dyDescent="0.3">
      <c r="D69" s="271"/>
      <c r="E69" s="271"/>
    </row>
    <row r="70" spans="3:7" x14ac:dyDescent="0.3">
      <c r="D70" s="271"/>
      <c r="E70" s="271"/>
    </row>
    <row r="71" spans="3:7" x14ac:dyDescent="0.3">
      <c r="D71" s="271"/>
      <c r="E71" s="271"/>
    </row>
    <row r="72" spans="3:7" x14ac:dyDescent="0.3">
      <c r="D72" s="271"/>
      <c r="E72" s="271"/>
    </row>
    <row r="73" spans="3:7" x14ac:dyDescent="0.3">
      <c r="D73" s="271"/>
      <c r="E73" s="271"/>
    </row>
    <row r="74" spans="3:7" x14ac:dyDescent="0.3">
      <c r="D74" s="271"/>
      <c r="E74" s="271"/>
    </row>
  </sheetData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W195"/>
  <sheetViews>
    <sheetView showGridLines="0" showRowColHeaders="0" topLeftCell="A2" zoomScaleNormal="110" workbookViewId="0">
      <pane xSplit="5" ySplit="3" topLeftCell="BL101" activePane="bottomRight" state="frozen"/>
      <selection activeCell="E33" sqref="E33"/>
      <selection pane="topRight" activeCell="E33" sqref="E33"/>
      <selection pane="bottomLeft" activeCell="E33" sqref="E33"/>
      <selection pane="bottomRight" activeCell="N152" sqref="A152:XFD152"/>
    </sheetView>
  </sheetViews>
  <sheetFormatPr defaultColWidth="7.88671875" defaultRowHeight="10.199999999999999" x14ac:dyDescent="0.2"/>
  <cols>
    <col min="1" max="1" width="2.88671875" style="82" customWidth="1"/>
    <col min="2" max="2" width="7.77734375" style="82" bestFit="1" customWidth="1"/>
    <col min="3" max="3" width="6.88671875" style="82" bestFit="1" customWidth="1"/>
    <col min="4" max="4" width="8.44140625" style="82" bestFit="1" customWidth="1"/>
    <col min="5" max="5" width="16.44140625" style="92" bestFit="1" customWidth="1"/>
    <col min="6" max="6" width="46.33203125" style="84" bestFit="1" customWidth="1"/>
    <col min="7" max="7" width="15.21875" style="82" bestFit="1" customWidth="1"/>
    <col min="8" max="8" width="16.33203125" style="84" bestFit="1" customWidth="1"/>
    <col min="9" max="9" width="16.44140625" style="85" bestFit="1" customWidth="1"/>
    <col min="10" max="10" width="14.44140625" style="97" bestFit="1" customWidth="1"/>
    <col min="11" max="11" width="8.44140625" style="85" bestFit="1" customWidth="1"/>
    <col min="12" max="12" width="11.77734375" style="102" bestFit="1" customWidth="1"/>
    <col min="13" max="13" width="20.44140625" style="84" bestFit="1" customWidth="1"/>
    <col min="14" max="14" width="28.44140625" style="105" bestFit="1" customWidth="1"/>
    <col min="15" max="15" width="10.21875" style="105" bestFit="1" customWidth="1"/>
    <col min="16" max="16" width="10.109375" style="97" bestFit="1" customWidth="1"/>
    <col min="17" max="17" width="12.88671875" style="82" bestFit="1" customWidth="1"/>
    <col min="18" max="18" width="10.109375" style="82" bestFit="1" customWidth="1"/>
    <col min="19" max="19" width="7.6640625" style="82" bestFit="1" customWidth="1"/>
    <col min="20" max="20" width="24.44140625" style="82" bestFit="1" customWidth="1"/>
    <col min="21" max="21" width="22.77734375" style="102" bestFit="1" customWidth="1"/>
    <col min="22" max="22" width="13.109375" style="88" bestFit="1" customWidth="1"/>
    <col min="23" max="23" width="14.44140625" style="88" bestFit="1" customWidth="1"/>
    <col min="24" max="24" width="8.44140625" style="84" bestFit="1" customWidth="1"/>
    <col min="25" max="25" width="11.5546875" style="82" bestFit="1" customWidth="1"/>
    <col min="26" max="26" width="21.88671875" style="82" bestFit="1" customWidth="1"/>
    <col min="27" max="27" width="15.6640625" style="82" bestFit="1" customWidth="1"/>
    <col min="28" max="28" width="16.21875" style="82" bestFit="1" customWidth="1"/>
    <col min="29" max="29" width="14.77734375" style="82" bestFit="1" customWidth="1"/>
    <col min="30" max="30" width="8.44140625" style="97" bestFit="1" customWidth="1"/>
    <col min="31" max="31" width="15.77734375" style="97" bestFit="1" customWidth="1"/>
    <col min="32" max="32" width="16.6640625" style="105" bestFit="1" customWidth="1"/>
    <col min="33" max="33" width="14.77734375" style="105" bestFit="1" customWidth="1"/>
    <col min="34" max="34" width="14.6640625" style="84" bestFit="1" customWidth="1"/>
    <col min="35" max="35" width="16.109375" style="82" bestFit="1" customWidth="1"/>
    <col min="36" max="36" width="13.33203125" style="82" bestFit="1" customWidth="1"/>
    <col min="37" max="37" width="17.109375" style="82" bestFit="1" customWidth="1"/>
    <col min="38" max="38" width="14.33203125" style="82" bestFit="1" customWidth="1"/>
    <col min="39" max="39" width="10.21875" style="97" bestFit="1" customWidth="1"/>
    <col min="40" max="40" width="8.5546875" style="82" bestFit="1" customWidth="1"/>
    <col min="41" max="41" width="15.109375" style="82" bestFit="1" customWidth="1"/>
    <col min="42" max="42" width="16.33203125" style="82" bestFit="1" customWidth="1"/>
    <col min="43" max="43" width="53.77734375" style="82" bestFit="1" customWidth="1"/>
    <col min="44" max="44" width="22.21875" style="108" bestFit="1" customWidth="1"/>
    <col min="45" max="45" width="33.88671875" style="82" bestFit="1" customWidth="1"/>
    <col min="46" max="46" width="23.33203125" style="82" bestFit="1" customWidth="1"/>
    <col min="47" max="47" width="16.21875" style="82" bestFit="1" customWidth="1"/>
    <col min="48" max="48" width="16.21875" style="82" customWidth="1"/>
    <col min="49" max="49" width="7.33203125" style="82" bestFit="1" customWidth="1"/>
    <col min="50" max="50" width="9.33203125" style="82" bestFit="1" customWidth="1"/>
    <col min="51" max="51" width="10.21875" style="82" bestFit="1" customWidth="1"/>
    <col min="52" max="52" width="9.44140625" style="82" bestFit="1" customWidth="1"/>
    <col min="53" max="53" width="10.109375" style="82" bestFit="1" customWidth="1"/>
    <col min="54" max="54" width="7.6640625" style="82" bestFit="1" customWidth="1"/>
    <col min="55" max="55" width="15.77734375" style="82" bestFit="1" customWidth="1"/>
    <col min="56" max="56" width="11.21875" style="82" bestFit="1" customWidth="1"/>
    <col min="57" max="57" width="16.21875" style="82" bestFit="1" customWidth="1"/>
    <col min="58" max="58" width="11" style="82" bestFit="1" customWidth="1"/>
    <col min="59" max="59" width="7.88671875" style="82" bestFit="1" customWidth="1"/>
    <col min="60" max="60" width="19.44140625" style="82" bestFit="1" customWidth="1"/>
    <col min="61" max="61" width="12.5546875" style="82" bestFit="1" customWidth="1"/>
    <col min="62" max="62" width="17.109375" style="82" bestFit="1" customWidth="1"/>
    <col min="63" max="63" width="12.5546875" style="82" bestFit="1" customWidth="1"/>
    <col min="64" max="64" width="14.5546875" style="105" bestFit="1" customWidth="1"/>
    <col min="65" max="65" width="15.88671875" style="82" bestFit="1" customWidth="1"/>
    <col min="66" max="66" width="14.21875" style="82" bestFit="1" customWidth="1"/>
    <col min="67" max="67" width="11.44140625" style="82" bestFit="1" customWidth="1"/>
    <col min="68" max="68" width="9.44140625" style="82" bestFit="1" customWidth="1"/>
    <col min="69" max="69" width="15.21875" style="84" bestFit="1" customWidth="1"/>
    <col min="70" max="70" width="12" style="110" bestFit="1" customWidth="1"/>
    <col min="71" max="71" width="14.21875" style="82" bestFit="1" customWidth="1"/>
    <col min="72" max="72" width="21.109375" style="82" bestFit="1" customWidth="1"/>
    <col min="73" max="73" width="10" style="82" bestFit="1" customWidth="1"/>
    <col min="74" max="74" width="12.77734375" style="82" bestFit="1" customWidth="1"/>
    <col min="75" max="75" width="20" style="82" bestFit="1" customWidth="1"/>
    <col min="76" max="76" width="20.21875" style="84" bestFit="1" customWidth="1"/>
    <col min="77" max="77" width="6.6640625" style="82" bestFit="1" customWidth="1"/>
    <col min="78" max="78" width="9.21875" style="82" bestFit="1" customWidth="1"/>
    <col min="79" max="79" width="9.33203125" style="82" bestFit="1" customWidth="1"/>
    <col min="80" max="80" width="6.6640625" style="92" bestFit="1" customWidth="1"/>
    <col min="81" max="81" width="25" style="82" bestFit="1" customWidth="1"/>
    <col min="82" max="82" width="12.109375" style="82" bestFit="1" customWidth="1"/>
    <col min="83" max="84" width="10.21875" style="82" bestFit="1" customWidth="1"/>
    <col min="85" max="85" width="9.21875" style="84" bestFit="1" customWidth="1"/>
    <col min="86" max="86" width="16.5546875" style="82" bestFit="1" customWidth="1"/>
    <col min="87" max="87" width="13.5546875" style="82" bestFit="1" customWidth="1"/>
    <col min="88" max="88" width="9.88671875" style="82" bestFit="1" customWidth="1"/>
    <col min="89" max="89" width="11.77734375" style="82" bestFit="1" customWidth="1"/>
    <col min="90" max="90" width="13.33203125" style="82" bestFit="1" customWidth="1"/>
    <col min="91" max="92" width="10.21875" style="82" bestFit="1" customWidth="1"/>
    <col min="93" max="93" width="10.77734375" style="82" bestFit="1" customWidth="1"/>
    <col min="94" max="94" width="10.5546875" style="82" bestFit="1" customWidth="1"/>
    <col min="95" max="95" width="10.109375" style="82" bestFit="1" customWidth="1"/>
    <col min="96" max="96" width="9.44140625" style="82" bestFit="1" customWidth="1"/>
    <col min="97" max="98" width="11.77734375" style="82" bestFit="1" customWidth="1"/>
    <col min="99" max="99" width="13.77734375" style="82" bestFit="1" customWidth="1"/>
    <col min="100" max="100" width="15.5546875" style="82" bestFit="1" customWidth="1"/>
    <col min="101" max="101" width="59.5546875" style="82" bestFit="1" customWidth="1"/>
    <col min="102" max="16384" width="7.88671875" style="82"/>
  </cols>
  <sheetData>
    <row r="2" spans="2:101" ht="5.4" customHeight="1" x14ac:dyDescent="0.2">
      <c r="D2" s="83"/>
      <c r="E2" s="84"/>
      <c r="G2" s="84"/>
      <c r="J2" s="84"/>
      <c r="L2" s="84"/>
      <c r="N2" s="84"/>
      <c r="O2" s="84"/>
      <c r="P2" s="84"/>
      <c r="Q2" s="84"/>
      <c r="R2" s="84"/>
      <c r="S2" s="84"/>
      <c r="T2" s="84"/>
      <c r="U2" s="84"/>
      <c r="V2" s="84"/>
      <c r="W2" s="84"/>
      <c r="Y2" s="84"/>
      <c r="Z2" s="84"/>
      <c r="AA2" s="84"/>
      <c r="AB2" s="84"/>
      <c r="AC2" s="84"/>
      <c r="AD2" s="84"/>
      <c r="AE2" s="84"/>
      <c r="AF2" s="84"/>
      <c r="AG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6"/>
      <c r="BA2" s="86"/>
      <c r="BB2" s="86"/>
      <c r="BC2" s="87"/>
      <c r="BD2" s="86"/>
      <c r="BE2" s="86"/>
      <c r="BF2" s="86"/>
      <c r="BG2" s="88"/>
      <c r="BH2" s="89"/>
      <c r="BI2" s="89"/>
      <c r="BJ2" s="89"/>
      <c r="BK2" s="89"/>
      <c r="BL2" s="89"/>
      <c r="BM2" s="89"/>
      <c r="BN2" s="90"/>
      <c r="BO2" s="90"/>
      <c r="BR2" s="82"/>
      <c r="BS2" s="90"/>
      <c r="BV2" s="355"/>
      <c r="BW2" s="355"/>
      <c r="BX2" s="355"/>
      <c r="BY2" s="355"/>
      <c r="BZ2" s="355"/>
      <c r="CA2" s="355"/>
      <c r="CB2" s="84"/>
      <c r="CC2" s="91"/>
      <c r="CD2" s="91"/>
    </row>
    <row r="3" spans="2:101" ht="18" customHeight="1" thickBot="1" x14ac:dyDescent="0.4">
      <c r="B3" s="353" t="s">
        <v>233</v>
      </c>
      <c r="C3" s="353"/>
      <c r="D3" s="353"/>
      <c r="F3" s="284" t="s">
        <v>145</v>
      </c>
      <c r="G3" s="284"/>
      <c r="H3" s="284"/>
      <c r="I3" s="94"/>
      <c r="J3" s="93"/>
      <c r="K3" s="94"/>
      <c r="L3" s="93"/>
      <c r="M3" s="93"/>
      <c r="N3" s="93"/>
      <c r="O3" s="93"/>
      <c r="P3" s="93"/>
      <c r="Q3" s="93"/>
      <c r="R3" s="93"/>
      <c r="S3" s="93"/>
      <c r="T3" s="95"/>
      <c r="U3" s="96" t="s">
        <v>144</v>
      </c>
      <c r="V3" s="96"/>
      <c r="W3" s="96"/>
      <c r="X3" s="96"/>
      <c r="Y3" s="96"/>
      <c r="Z3" s="96"/>
      <c r="AA3" s="96"/>
      <c r="AB3" s="96"/>
      <c r="AC3" s="96"/>
      <c r="AF3" s="93" t="s">
        <v>143</v>
      </c>
      <c r="AG3" s="93"/>
      <c r="AH3" s="93"/>
      <c r="AI3" s="93"/>
      <c r="AJ3" s="93"/>
      <c r="AK3" s="93"/>
      <c r="AM3" s="93" t="s">
        <v>142</v>
      </c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87"/>
      <c r="BD3" s="98" t="s">
        <v>140</v>
      </c>
      <c r="BE3" s="98"/>
      <c r="BF3" s="98"/>
      <c r="BG3" s="88"/>
      <c r="BH3" s="96" t="s">
        <v>141</v>
      </c>
      <c r="BI3" s="96"/>
      <c r="BJ3" s="96"/>
      <c r="BK3" s="96"/>
      <c r="BL3" s="96"/>
      <c r="BM3" s="99">
        <v>0</v>
      </c>
      <c r="BN3" s="87"/>
      <c r="BO3" s="95"/>
      <c r="BR3" s="82"/>
      <c r="BS3" s="87"/>
      <c r="BV3" s="354" t="s">
        <v>122</v>
      </c>
      <c r="BW3" s="354"/>
      <c r="BX3" s="354"/>
      <c r="BY3" s="354"/>
      <c r="BZ3" s="354"/>
      <c r="CA3" s="354"/>
      <c r="CB3" s="93"/>
      <c r="CC3" s="100"/>
      <c r="CD3" s="100"/>
      <c r="CE3" s="364" t="s">
        <v>170</v>
      </c>
      <c r="CF3" s="365"/>
      <c r="CG3" s="93"/>
      <c r="CH3" s="101"/>
      <c r="CI3" s="101"/>
      <c r="CJ3" s="357" t="s">
        <v>197</v>
      </c>
      <c r="CK3" s="357"/>
      <c r="CL3" s="357"/>
      <c r="CM3" s="356" t="s">
        <v>207</v>
      </c>
      <c r="CN3" s="357"/>
      <c r="CO3" s="357"/>
      <c r="CP3" s="357"/>
      <c r="CQ3" s="357"/>
    </row>
    <row r="4" spans="2:101" s="122" customFormat="1" ht="14.4" thickBot="1" x14ac:dyDescent="0.35">
      <c r="B4" s="115" t="s">
        <v>16</v>
      </c>
      <c r="C4" s="116" t="s">
        <v>15</v>
      </c>
      <c r="D4" s="115" t="s">
        <v>14</v>
      </c>
      <c r="E4" s="116" t="s">
        <v>176</v>
      </c>
      <c r="F4" s="116" t="s">
        <v>26</v>
      </c>
      <c r="G4" s="116" t="s">
        <v>17</v>
      </c>
      <c r="H4" s="117" t="s">
        <v>20</v>
      </c>
      <c r="I4" s="118" t="s">
        <v>21</v>
      </c>
      <c r="J4" s="116" t="s">
        <v>18</v>
      </c>
      <c r="K4" s="118" t="s">
        <v>19</v>
      </c>
      <c r="L4" s="116" t="s">
        <v>28</v>
      </c>
      <c r="M4" s="116" t="s">
        <v>30</v>
      </c>
      <c r="N4" s="117" t="s">
        <v>34</v>
      </c>
      <c r="O4" s="116" t="s">
        <v>36</v>
      </c>
      <c r="P4" s="117" t="s">
        <v>238</v>
      </c>
      <c r="Q4" s="116" t="s">
        <v>37</v>
      </c>
      <c r="R4" s="117" t="s">
        <v>105</v>
      </c>
      <c r="S4" s="116" t="s">
        <v>106</v>
      </c>
      <c r="T4" s="117" t="s">
        <v>283</v>
      </c>
      <c r="U4" s="116" t="s">
        <v>29</v>
      </c>
      <c r="V4" s="117" t="s">
        <v>31</v>
      </c>
      <c r="W4" s="116" t="s">
        <v>32</v>
      </c>
      <c r="X4" s="117" t="s">
        <v>33</v>
      </c>
      <c r="Y4" s="116" t="s">
        <v>38</v>
      </c>
      <c r="Z4" s="116" t="s">
        <v>61</v>
      </c>
      <c r="AA4" s="117" t="s">
        <v>39</v>
      </c>
      <c r="AB4" s="116" t="s">
        <v>40</v>
      </c>
      <c r="AC4" s="117" t="s">
        <v>242</v>
      </c>
      <c r="AD4" s="116" t="s">
        <v>41</v>
      </c>
      <c r="AE4" s="117" t="s">
        <v>107</v>
      </c>
      <c r="AF4" s="116" t="s">
        <v>22</v>
      </c>
      <c r="AG4" s="117" t="s">
        <v>23</v>
      </c>
      <c r="AH4" s="116" t="s">
        <v>24</v>
      </c>
      <c r="AI4" s="117" t="s">
        <v>25</v>
      </c>
      <c r="AJ4" s="116" t="s">
        <v>42</v>
      </c>
      <c r="AK4" s="116" t="s">
        <v>199</v>
      </c>
      <c r="AL4" s="116" t="s">
        <v>201</v>
      </c>
      <c r="AM4" s="116" t="s">
        <v>43</v>
      </c>
      <c r="AN4" s="117" t="s">
        <v>45</v>
      </c>
      <c r="AO4" s="116" t="s">
        <v>44</v>
      </c>
      <c r="AP4" s="117" t="s">
        <v>187</v>
      </c>
      <c r="AQ4" s="117" t="s">
        <v>46</v>
      </c>
      <c r="AR4" s="116" t="s">
        <v>146</v>
      </c>
      <c r="AS4" s="116" t="s">
        <v>27</v>
      </c>
      <c r="AT4" s="116" t="s">
        <v>47</v>
      </c>
      <c r="AU4" s="116" t="s">
        <v>48</v>
      </c>
      <c r="AV4" s="117" t="s">
        <v>363</v>
      </c>
      <c r="AW4" s="116" t="s">
        <v>49</v>
      </c>
      <c r="AX4" s="117" t="s">
        <v>238</v>
      </c>
      <c r="AY4" s="116" t="s">
        <v>50</v>
      </c>
      <c r="AZ4" s="117" t="s">
        <v>51</v>
      </c>
      <c r="BA4" s="116" t="s">
        <v>105</v>
      </c>
      <c r="BB4" s="117" t="s">
        <v>106</v>
      </c>
      <c r="BC4" s="116" t="s">
        <v>107</v>
      </c>
      <c r="BD4" s="117" t="s">
        <v>108</v>
      </c>
      <c r="BE4" s="116" t="s">
        <v>135</v>
      </c>
      <c r="BF4" s="117" t="s">
        <v>136</v>
      </c>
      <c r="BG4" s="116" t="s">
        <v>50</v>
      </c>
      <c r="BH4" s="116" t="s">
        <v>125</v>
      </c>
      <c r="BI4" s="116" t="s">
        <v>126</v>
      </c>
      <c r="BJ4" s="116" t="s">
        <v>127</v>
      </c>
      <c r="BK4" s="116" t="s">
        <v>128</v>
      </c>
      <c r="BL4" s="116" t="s">
        <v>130</v>
      </c>
      <c r="BM4" s="116" t="s">
        <v>198</v>
      </c>
      <c r="BN4" s="116" t="s">
        <v>200</v>
      </c>
      <c r="BO4" s="117" t="s">
        <v>52</v>
      </c>
      <c r="BP4" s="116" t="s">
        <v>53</v>
      </c>
      <c r="BQ4" s="116" t="s">
        <v>62</v>
      </c>
      <c r="BR4" s="117" t="s">
        <v>55</v>
      </c>
      <c r="BS4" s="116" t="s">
        <v>193</v>
      </c>
      <c r="BT4" s="119" t="s">
        <v>129</v>
      </c>
      <c r="BU4" s="116" t="s">
        <v>98</v>
      </c>
      <c r="BV4" s="116" t="s">
        <v>99</v>
      </c>
      <c r="BW4" s="116" t="s">
        <v>191</v>
      </c>
      <c r="BX4" s="116" t="s">
        <v>192</v>
      </c>
      <c r="BY4" s="116" t="s">
        <v>54</v>
      </c>
      <c r="BZ4" s="116" t="s">
        <v>123</v>
      </c>
      <c r="CA4" s="116" t="s">
        <v>124</v>
      </c>
      <c r="CB4" s="116" t="s">
        <v>54</v>
      </c>
      <c r="CC4" s="116" t="s">
        <v>35</v>
      </c>
      <c r="CD4" s="116" t="s">
        <v>163</v>
      </c>
      <c r="CE4" s="116" t="s">
        <v>169</v>
      </c>
      <c r="CF4" s="116" t="s">
        <v>151</v>
      </c>
      <c r="CG4" s="116" t="s">
        <v>181</v>
      </c>
      <c r="CH4" s="116" t="s">
        <v>160</v>
      </c>
      <c r="CI4" s="116" t="s">
        <v>182</v>
      </c>
      <c r="CJ4" s="120" t="s">
        <v>183</v>
      </c>
      <c r="CK4" s="121" t="s">
        <v>194</v>
      </c>
      <c r="CL4" s="120" t="s">
        <v>195</v>
      </c>
      <c r="CM4" s="120" t="s">
        <v>196</v>
      </c>
      <c r="CN4" s="281" t="s">
        <v>204</v>
      </c>
      <c r="CO4" s="120" t="s">
        <v>1</v>
      </c>
      <c r="CP4" s="120" t="s">
        <v>205</v>
      </c>
      <c r="CQ4" s="120" t="s">
        <v>206</v>
      </c>
      <c r="CR4" s="120" t="s">
        <v>53</v>
      </c>
      <c r="CS4" s="120" t="s">
        <v>234</v>
      </c>
      <c r="CT4" s="120" t="s">
        <v>235</v>
      </c>
      <c r="CU4" s="120" t="s">
        <v>173</v>
      </c>
      <c r="CV4" s="120" t="s">
        <v>174</v>
      </c>
    </row>
    <row r="5" spans="2:101" s="152" customFormat="1" ht="11.85" customHeight="1" x14ac:dyDescent="0.25">
      <c r="B5" s="123" t="str">
        <f t="shared" ref="B5" si="0">"Q" &amp; IF(ROUNDUP(MONTH(D5)/3,0)-1=0,4,ROUNDUP(MONTH(D5)/3,0)-1)</f>
        <v>Q1</v>
      </c>
      <c r="C5" s="124" t="str">
        <f t="shared" ref="C5" si="1">TEXT(AN5,"mmm-yy")</f>
        <v>Apr-26</v>
      </c>
      <c r="D5" s="125">
        <v>46115</v>
      </c>
      <c r="E5" s="126" t="s">
        <v>285</v>
      </c>
      <c r="F5" s="126" t="s">
        <v>286</v>
      </c>
      <c r="G5" s="126" t="s">
        <v>287</v>
      </c>
      <c r="H5" s="127" t="s">
        <v>288</v>
      </c>
      <c r="I5" s="125">
        <v>46094</v>
      </c>
      <c r="J5" s="126" t="s">
        <v>289</v>
      </c>
      <c r="K5" s="125">
        <v>46115</v>
      </c>
      <c r="L5" s="126" t="s">
        <v>230</v>
      </c>
      <c r="M5" s="126" t="s">
        <v>208</v>
      </c>
      <c r="N5" s="127" t="s">
        <v>212</v>
      </c>
      <c r="O5" s="126">
        <v>26</v>
      </c>
      <c r="P5" s="283">
        <v>1576</v>
      </c>
      <c r="Q5" s="128">
        <f t="shared" ref="Q5" si="2">O5*P5</f>
        <v>40976</v>
      </c>
      <c r="R5" s="129">
        <v>0</v>
      </c>
      <c r="S5" s="128">
        <f t="shared" ref="S5" si="3">O5-R5</f>
        <v>26</v>
      </c>
      <c r="T5" s="129">
        <v>0</v>
      </c>
      <c r="U5" s="130">
        <v>0</v>
      </c>
      <c r="V5" s="131">
        <v>0</v>
      </c>
      <c r="W5" s="130">
        <v>0</v>
      </c>
      <c r="X5" s="132">
        <v>0</v>
      </c>
      <c r="Y5" s="130">
        <v>0</v>
      </c>
      <c r="Z5" s="130">
        <v>0</v>
      </c>
      <c r="AA5" s="129">
        <v>0</v>
      </c>
      <c r="AB5" s="133">
        <f t="shared" ref="AB5" si="4">Y5+AA5+Z5</f>
        <v>0</v>
      </c>
      <c r="AC5" s="132">
        <v>0</v>
      </c>
      <c r="AD5" s="128">
        <v>0</v>
      </c>
      <c r="AE5" s="147">
        <v>0</v>
      </c>
      <c r="AF5" s="130">
        <v>0</v>
      </c>
      <c r="AG5" s="134">
        <v>0</v>
      </c>
      <c r="AH5" s="130">
        <v>0</v>
      </c>
      <c r="AI5" s="131">
        <v>0</v>
      </c>
      <c r="AJ5" s="130">
        <v>0</v>
      </c>
      <c r="AK5" s="130">
        <v>0</v>
      </c>
      <c r="AL5" s="130">
        <f t="shared" ref="AL5:AL16" si="5">(BN5*P5/AX5)+AB5/O5*(BN5/AX5)</f>
        <v>0</v>
      </c>
      <c r="AM5" s="135">
        <f t="shared" ref="AM5" si="6">Q5+AB5+AL5+AK5+AJ5+T5+AE5</f>
        <v>40976</v>
      </c>
      <c r="AN5" s="136">
        <v>46115</v>
      </c>
      <c r="AO5" s="137" t="s">
        <v>298</v>
      </c>
      <c r="AP5" s="138" t="s">
        <v>239</v>
      </c>
      <c r="AQ5" s="139" t="s">
        <v>240</v>
      </c>
      <c r="AR5" s="139" t="s">
        <v>260</v>
      </c>
      <c r="AS5" s="126" t="s">
        <v>299</v>
      </c>
      <c r="AT5" s="140" t="s">
        <v>247</v>
      </c>
      <c r="AU5" s="140" t="s">
        <v>228</v>
      </c>
      <c r="AV5" s="141"/>
      <c r="AW5" s="139">
        <v>26</v>
      </c>
      <c r="AX5" s="141">
        <v>1733.9</v>
      </c>
      <c r="AY5" s="139">
        <f t="shared" ref="AY5" si="7">AW5*AX5</f>
        <v>45081.4</v>
      </c>
      <c r="AZ5" s="142" t="b">
        <f t="shared" ref="AZ5:AZ16" si="8">AW5=O5</f>
        <v>1</v>
      </c>
      <c r="BA5" s="128">
        <v>0</v>
      </c>
      <c r="BB5" s="143">
        <f t="shared" ref="BB5" si="9">AW5-BA5</f>
        <v>26</v>
      </c>
      <c r="BC5" s="144">
        <v>0</v>
      </c>
      <c r="BD5" s="143" t="s">
        <v>109</v>
      </c>
      <c r="BE5" s="144">
        <v>0</v>
      </c>
      <c r="BF5" s="143">
        <v>0</v>
      </c>
      <c r="BG5" s="144">
        <v>0</v>
      </c>
      <c r="BH5" s="130">
        <v>0</v>
      </c>
      <c r="BI5" s="133">
        <v>0</v>
      </c>
      <c r="BJ5" s="131">
        <v>0</v>
      </c>
      <c r="BK5" s="128">
        <v>0</v>
      </c>
      <c r="BL5" s="139">
        <v>0</v>
      </c>
      <c r="BM5" s="130">
        <v>0</v>
      </c>
      <c r="BN5" s="145">
        <f t="shared" ref="BN5" si="10">AY5*$BM$3</f>
        <v>0</v>
      </c>
      <c r="BO5" s="129">
        <f t="shared" ref="BO5" si="11">AY5+BL5+BM5+BN5+BC5+BG5</f>
        <v>45081.4</v>
      </c>
      <c r="BP5" s="135">
        <f t="shared" ref="BP5:BP16" si="12">BO5-AM5</f>
        <v>4105.4000000000015</v>
      </c>
      <c r="BQ5" s="144" t="str">
        <f t="shared" ref="BQ5" si="13">IF(BP5&gt;=0,"Positive Margin","Negative Margin")</f>
        <v>Positive Margin</v>
      </c>
      <c r="BR5" s="146" t="s">
        <v>209</v>
      </c>
      <c r="BS5" s="128">
        <f t="shared" ref="BS5:BS16" si="14">AY5-Y5-Q5-AA5-T5+BC5</f>
        <v>4105.4000000000015</v>
      </c>
      <c r="BT5" s="147" t="str">
        <f t="shared" ref="BT5" si="15">IF(BS5&lt;0, "Negative Margin at Inception", "Positive Margin at Inception")</f>
        <v>Positive Margin at Inception</v>
      </c>
      <c r="BU5" s="148">
        <f t="shared" ref="BU5" si="16">IFERROR(BP5/BO5,"0")</f>
        <v>9.1066382144299005E-2</v>
      </c>
      <c r="BV5" s="147" t="str">
        <f t="shared" ref="BV5" si="17">IF(BU5&lt;1%,"Less Than 1%",IF(BU5&gt;2%,"More than 2%",IF(BU5&gt;=1%,"1% - 2%")))</f>
        <v>More than 2%</v>
      </c>
      <c r="BW5" s="128">
        <f t="shared" ref="BW5" si="18">BM5+BN5</f>
        <v>0</v>
      </c>
      <c r="BX5" s="129">
        <f t="shared" ref="BX5:BX16" si="19">AL5+AK5</f>
        <v>0</v>
      </c>
      <c r="BY5" s="128">
        <f t="shared" ref="BY5" si="20">BW5-BX5</f>
        <v>0</v>
      </c>
      <c r="BZ5" s="149">
        <f t="shared" ref="BZ5" si="21">BM5</f>
        <v>0</v>
      </c>
      <c r="CA5" s="149">
        <f t="shared" ref="CA5:CA16" si="22">AK5</f>
        <v>0</v>
      </c>
      <c r="CB5" s="130">
        <f t="shared" ref="CB5" si="23">BZ5-CA5</f>
        <v>0</v>
      </c>
      <c r="CC5" s="149" t="s">
        <v>282</v>
      </c>
      <c r="CD5" s="130">
        <v>0</v>
      </c>
      <c r="CE5" s="130">
        <f t="shared" ref="CE5:CE16" si="24">AM5-AL5-AA5</f>
        <v>40976</v>
      </c>
      <c r="CF5" s="130">
        <f t="shared" ref="CF5" si="25">BO5-BN5</f>
        <v>45081.4</v>
      </c>
      <c r="CG5" s="130">
        <f t="shared" ref="CG5:CG16" si="26">INT((D5- IF(MONTH(D5) &gt;= 4, DATE(YEAR(D5), 4, 1), DATE(YEAR(D5)-1, 4, 1))) / 7) + 1</f>
        <v>1</v>
      </c>
      <c r="CH5" s="150">
        <v>0</v>
      </c>
      <c r="CI5" s="130">
        <v>0</v>
      </c>
      <c r="CJ5" s="130" t="e">
        <f>_xlfn.XLOOKUP(AP5,POC!B:B,POC!D:D)</f>
        <v>#N/A</v>
      </c>
      <c r="CK5" s="130">
        <f t="shared" ref="CK5:CK16" si="27">AY5-Q5</f>
        <v>4105.4000000000015</v>
      </c>
      <c r="CL5" s="130">
        <f t="shared" ref="CL5:CL16" si="28">CK5-Y5+Z5</f>
        <v>4105.4000000000015</v>
      </c>
      <c r="CM5" s="130">
        <f t="shared" ref="CM5:CM16" si="29">BO5-AM5</f>
        <v>4105.4000000000015</v>
      </c>
      <c r="CN5" s="130">
        <f t="shared" ref="CN5" si="30">AY5*118%</f>
        <v>53196.051999999996</v>
      </c>
      <c r="CO5" s="130">
        <f t="shared" ref="CO5:CO16" si="31">-Q5*118%</f>
        <v>-48351.68</v>
      </c>
      <c r="CP5" s="130">
        <f t="shared" ref="CP5" si="32">-BZ5*118%</f>
        <v>0</v>
      </c>
      <c r="CQ5" s="130">
        <f t="shared" ref="CQ5" si="33">-CA5*118%</f>
        <v>0</v>
      </c>
      <c r="CR5" s="130">
        <f t="shared" ref="CR5" si="34">SUM(CN5:CQ5)</f>
        <v>4844.3719999999958</v>
      </c>
      <c r="CS5" s="130" t="s">
        <v>236</v>
      </c>
      <c r="CT5" s="130" t="s">
        <v>236</v>
      </c>
      <c r="CU5" s="145" t="str">
        <f t="shared" ref="CU5:CU16" si="35">MID(G5,3,10)</f>
        <v>AADCC6184H</v>
      </c>
      <c r="CV5" s="145" t="str">
        <f t="shared" ref="CV5:CV16" si="36">MID(AR5,3,10)</f>
        <v>AARFT3586D</v>
      </c>
      <c r="CW5" s="152" t="str">
        <f>H5&amp;F5</f>
        <v>2026290000000088CHAITANYA INDIA FIN CREDIT PRIVATE LIMITED</v>
      </c>
    </row>
    <row r="6" spans="2:101" s="152" customFormat="1" ht="11.85" customHeight="1" x14ac:dyDescent="0.25">
      <c r="B6" s="123" t="str">
        <f t="shared" ref="B6:B15" si="37">"Q" &amp; IF(ROUNDUP(MONTH(D6)/3,0)-1=0,4,ROUNDUP(MONTH(D6)/3,0)-1)</f>
        <v>Q1</v>
      </c>
      <c r="C6" s="124" t="str">
        <f t="shared" ref="C6:C15" si="38">TEXT(AN6,"mmm-yy")</f>
        <v>Apr-26</v>
      </c>
      <c r="D6" s="125">
        <v>46115</v>
      </c>
      <c r="E6" s="126" t="s">
        <v>285</v>
      </c>
      <c r="F6" s="126" t="s">
        <v>286</v>
      </c>
      <c r="G6" s="126" t="s">
        <v>287</v>
      </c>
      <c r="H6" s="127" t="s">
        <v>288</v>
      </c>
      <c r="I6" s="125">
        <v>46094</v>
      </c>
      <c r="J6" s="126" t="s">
        <v>289</v>
      </c>
      <c r="K6" s="125">
        <v>46115</v>
      </c>
      <c r="L6" s="126" t="s">
        <v>230</v>
      </c>
      <c r="M6" s="126" t="s">
        <v>208</v>
      </c>
      <c r="N6" s="127" t="s">
        <v>212</v>
      </c>
      <c r="O6" s="126">
        <v>1</v>
      </c>
      <c r="P6" s="283">
        <v>85</v>
      </c>
      <c r="Q6" s="128">
        <f t="shared" ref="Q6:Q15" si="39">O6*P6</f>
        <v>85</v>
      </c>
      <c r="R6" s="129">
        <v>0</v>
      </c>
      <c r="S6" s="128">
        <f t="shared" ref="S6:S15" si="40">O6-R6</f>
        <v>1</v>
      </c>
      <c r="T6" s="129">
        <v>0</v>
      </c>
      <c r="U6" s="130">
        <v>0</v>
      </c>
      <c r="V6" s="131">
        <v>0</v>
      </c>
      <c r="W6" s="130">
        <v>0</v>
      </c>
      <c r="X6" s="132">
        <v>0</v>
      </c>
      <c r="Y6" s="130">
        <v>0</v>
      </c>
      <c r="Z6" s="130">
        <v>0</v>
      </c>
      <c r="AA6" s="129">
        <v>0</v>
      </c>
      <c r="AB6" s="133">
        <f t="shared" ref="AB6:AB15" si="41">Y6+AA6+Z6</f>
        <v>0</v>
      </c>
      <c r="AC6" s="132">
        <v>0</v>
      </c>
      <c r="AD6" s="128">
        <v>0</v>
      </c>
      <c r="AE6" s="147">
        <v>0</v>
      </c>
      <c r="AF6" s="130">
        <v>0</v>
      </c>
      <c r="AG6" s="134">
        <v>0</v>
      </c>
      <c r="AH6" s="130">
        <v>0</v>
      </c>
      <c r="AI6" s="131">
        <v>0</v>
      </c>
      <c r="AJ6" s="130">
        <v>0</v>
      </c>
      <c r="AK6" s="130">
        <v>0</v>
      </c>
      <c r="AL6" s="130">
        <f t="shared" si="5"/>
        <v>0</v>
      </c>
      <c r="AM6" s="135">
        <f t="shared" ref="AM6:AM15" si="42">Q6+AB6+AL6+AK6+AJ6+T6+AE6</f>
        <v>85</v>
      </c>
      <c r="AN6" s="136">
        <v>46115</v>
      </c>
      <c r="AO6" s="137" t="s">
        <v>298</v>
      </c>
      <c r="AP6" s="138" t="s">
        <v>239</v>
      </c>
      <c r="AQ6" s="139" t="s">
        <v>240</v>
      </c>
      <c r="AR6" s="139" t="s">
        <v>260</v>
      </c>
      <c r="AS6" s="126" t="s">
        <v>299</v>
      </c>
      <c r="AT6" s="140" t="s">
        <v>247</v>
      </c>
      <c r="AU6" s="140" t="s">
        <v>228</v>
      </c>
      <c r="AV6" s="141"/>
      <c r="AW6" s="139">
        <v>1</v>
      </c>
      <c r="AX6" s="141">
        <v>93.22</v>
      </c>
      <c r="AY6" s="139">
        <f t="shared" ref="AY6:AY15" si="43">AW6*AX6</f>
        <v>93.22</v>
      </c>
      <c r="AZ6" s="142" t="b">
        <f t="shared" si="8"/>
        <v>1</v>
      </c>
      <c r="BA6" s="128">
        <v>0</v>
      </c>
      <c r="BB6" s="143">
        <f t="shared" ref="BB6:BB15" si="44">AW6-BA6</f>
        <v>1</v>
      </c>
      <c r="BC6" s="144">
        <v>0</v>
      </c>
      <c r="BD6" s="143" t="s">
        <v>109</v>
      </c>
      <c r="BE6" s="144">
        <v>0</v>
      </c>
      <c r="BF6" s="143">
        <v>0</v>
      </c>
      <c r="BG6" s="144">
        <v>0</v>
      </c>
      <c r="BH6" s="130">
        <v>0</v>
      </c>
      <c r="BI6" s="133">
        <v>0</v>
      </c>
      <c r="BJ6" s="131">
        <v>0</v>
      </c>
      <c r="BK6" s="128">
        <v>0</v>
      </c>
      <c r="BL6" s="139">
        <v>0</v>
      </c>
      <c r="BM6" s="130">
        <v>0</v>
      </c>
      <c r="BN6" s="145">
        <f t="shared" ref="BN6:BN15" si="45">AY6*$BM$3</f>
        <v>0</v>
      </c>
      <c r="BO6" s="129">
        <f t="shared" ref="BO6:BO15" si="46">AY6+BL6+BM6+BN6+BC6+BG6</f>
        <v>93.22</v>
      </c>
      <c r="BP6" s="135">
        <f t="shared" si="12"/>
        <v>8.2199999999999989</v>
      </c>
      <c r="BQ6" s="144" t="str">
        <f t="shared" ref="BQ6:BQ15" si="47">IF(BP6&gt;=0,"Positive Margin","Negative Margin")</f>
        <v>Positive Margin</v>
      </c>
      <c r="BR6" s="146" t="s">
        <v>209</v>
      </c>
      <c r="BS6" s="128">
        <f t="shared" si="14"/>
        <v>8.2199999999999989</v>
      </c>
      <c r="BT6" s="147" t="str">
        <f t="shared" ref="BT6:BT15" si="48">IF(BS6&lt;0, "Negative Margin at Inception", "Positive Margin at Inception")</f>
        <v>Positive Margin at Inception</v>
      </c>
      <c r="BU6" s="148">
        <f t="shared" ref="BU6:BU15" si="49">IFERROR(BP6/BO6,"0")</f>
        <v>8.8178502467281691E-2</v>
      </c>
      <c r="BV6" s="147" t="str">
        <f t="shared" ref="BV6:BV15" si="50">IF(BU6&lt;1%,"Less Than 1%",IF(BU6&gt;2%,"More than 2%",IF(BU6&gt;=1%,"1% - 2%")))</f>
        <v>More than 2%</v>
      </c>
      <c r="BW6" s="128">
        <f t="shared" ref="BW6:BW15" si="51">BM6+BN6</f>
        <v>0</v>
      </c>
      <c r="BX6" s="129">
        <f t="shared" si="19"/>
        <v>0</v>
      </c>
      <c r="BY6" s="128">
        <f t="shared" ref="BY6:BY15" si="52">BW6-BX6</f>
        <v>0</v>
      </c>
      <c r="BZ6" s="149">
        <f t="shared" ref="BZ6:BZ15" si="53">BM6</f>
        <v>0</v>
      </c>
      <c r="CA6" s="149">
        <f t="shared" si="22"/>
        <v>0</v>
      </c>
      <c r="CB6" s="130">
        <f t="shared" ref="CB6:CB15" si="54">BZ6-CA6</f>
        <v>0</v>
      </c>
      <c r="CC6" s="149" t="s">
        <v>282</v>
      </c>
      <c r="CD6" s="130">
        <v>0</v>
      </c>
      <c r="CE6" s="130">
        <f t="shared" si="24"/>
        <v>85</v>
      </c>
      <c r="CF6" s="130">
        <f t="shared" ref="CF6:CF15" si="55">BO6-BN6</f>
        <v>93.22</v>
      </c>
      <c r="CG6" s="130">
        <f t="shared" si="26"/>
        <v>1</v>
      </c>
      <c r="CH6" s="150">
        <v>0</v>
      </c>
      <c r="CI6" s="130">
        <v>0</v>
      </c>
      <c r="CJ6" s="130" t="e">
        <f>_xlfn.XLOOKUP(AP6,POC!B:B,POC!D:D)</f>
        <v>#N/A</v>
      </c>
      <c r="CK6" s="130">
        <f t="shared" si="27"/>
        <v>8.2199999999999989</v>
      </c>
      <c r="CL6" s="130">
        <f t="shared" si="28"/>
        <v>8.2199999999999989</v>
      </c>
      <c r="CM6" s="130">
        <f t="shared" si="29"/>
        <v>8.2199999999999989</v>
      </c>
      <c r="CN6" s="130">
        <f t="shared" ref="CN6:CN15" si="56">AY6*118%</f>
        <v>109.99959999999999</v>
      </c>
      <c r="CO6" s="130">
        <f t="shared" si="31"/>
        <v>-100.3</v>
      </c>
      <c r="CP6" s="130">
        <f t="shared" ref="CP6:CP15" si="57">-BZ6*118%</f>
        <v>0</v>
      </c>
      <c r="CQ6" s="130">
        <f t="shared" ref="CQ6:CQ15" si="58">-CA6*118%</f>
        <v>0</v>
      </c>
      <c r="CR6" s="130">
        <f t="shared" ref="CR6:CR15" si="59">SUM(CN6:CQ6)</f>
        <v>9.6995999999999896</v>
      </c>
      <c r="CS6" s="130" t="s">
        <v>236</v>
      </c>
      <c r="CT6" s="130" t="s">
        <v>236</v>
      </c>
      <c r="CU6" s="145" t="str">
        <f t="shared" si="35"/>
        <v>AADCC6184H</v>
      </c>
      <c r="CV6" s="145" t="str">
        <f t="shared" si="36"/>
        <v>AARFT3586D</v>
      </c>
      <c r="CW6" s="152" t="str">
        <f t="shared" ref="CW6:CW16" si="60">H6&amp;F6</f>
        <v>2026290000000088CHAITANYA INDIA FIN CREDIT PRIVATE LIMITED</v>
      </c>
    </row>
    <row r="7" spans="2:101" s="152" customFormat="1" ht="11.85" customHeight="1" x14ac:dyDescent="0.25">
      <c r="B7" s="123" t="str">
        <f t="shared" si="37"/>
        <v>Q1</v>
      </c>
      <c r="C7" s="124" t="str">
        <f t="shared" si="38"/>
        <v>Apr-26</v>
      </c>
      <c r="D7" s="125">
        <v>46115</v>
      </c>
      <c r="E7" s="126" t="s">
        <v>285</v>
      </c>
      <c r="F7" s="126" t="s">
        <v>286</v>
      </c>
      <c r="G7" s="126" t="s">
        <v>287</v>
      </c>
      <c r="H7" s="127" t="s">
        <v>288</v>
      </c>
      <c r="I7" s="125">
        <v>46094</v>
      </c>
      <c r="J7" s="126" t="s">
        <v>289</v>
      </c>
      <c r="K7" s="125">
        <v>46115</v>
      </c>
      <c r="L7" s="126" t="s">
        <v>230</v>
      </c>
      <c r="M7" s="126" t="s">
        <v>208</v>
      </c>
      <c r="N7" s="127" t="s">
        <v>212</v>
      </c>
      <c r="O7" s="126">
        <v>1</v>
      </c>
      <c r="P7" s="283">
        <v>85</v>
      </c>
      <c r="Q7" s="128">
        <f t="shared" si="39"/>
        <v>85</v>
      </c>
      <c r="R7" s="129">
        <v>0</v>
      </c>
      <c r="S7" s="128">
        <f t="shared" si="40"/>
        <v>1</v>
      </c>
      <c r="T7" s="129">
        <v>0</v>
      </c>
      <c r="U7" s="130">
        <v>0</v>
      </c>
      <c r="V7" s="131">
        <v>0</v>
      </c>
      <c r="W7" s="130">
        <v>0</v>
      </c>
      <c r="X7" s="132">
        <v>0</v>
      </c>
      <c r="Y7" s="130">
        <v>0</v>
      </c>
      <c r="Z7" s="130">
        <v>0</v>
      </c>
      <c r="AA7" s="129">
        <v>0</v>
      </c>
      <c r="AB7" s="133">
        <f t="shared" si="41"/>
        <v>0</v>
      </c>
      <c r="AC7" s="132">
        <v>0</v>
      </c>
      <c r="AD7" s="128">
        <v>0</v>
      </c>
      <c r="AE7" s="147">
        <v>0</v>
      </c>
      <c r="AF7" s="130">
        <v>0</v>
      </c>
      <c r="AG7" s="134">
        <v>0</v>
      </c>
      <c r="AH7" s="130">
        <v>0</v>
      </c>
      <c r="AI7" s="131">
        <v>0</v>
      </c>
      <c r="AJ7" s="130">
        <v>0</v>
      </c>
      <c r="AK7" s="130">
        <v>0</v>
      </c>
      <c r="AL7" s="130">
        <f t="shared" si="5"/>
        <v>0</v>
      </c>
      <c r="AM7" s="135">
        <f t="shared" si="42"/>
        <v>85</v>
      </c>
      <c r="AN7" s="136">
        <v>46115</v>
      </c>
      <c r="AO7" s="137" t="s">
        <v>298</v>
      </c>
      <c r="AP7" s="138" t="s">
        <v>239</v>
      </c>
      <c r="AQ7" s="139" t="s">
        <v>240</v>
      </c>
      <c r="AR7" s="139" t="s">
        <v>260</v>
      </c>
      <c r="AS7" s="126" t="s">
        <v>299</v>
      </c>
      <c r="AT7" s="140" t="s">
        <v>247</v>
      </c>
      <c r="AU7" s="140" t="s">
        <v>228</v>
      </c>
      <c r="AV7" s="141"/>
      <c r="AW7" s="139">
        <v>1</v>
      </c>
      <c r="AX7" s="141">
        <v>93.22</v>
      </c>
      <c r="AY7" s="139">
        <f t="shared" si="43"/>
        <v>93.22</v>
      </c>
      <c r="AZ7" s="142" t="b">
        <f t="shared" si="8"/>
        <v>1</v>
      </c>
      <c r="BA7" s="128">
        <v>0</v>
      </c>
      <c r="BB7" s="143">
        <f t="shared" si="44"/>
        <v>1</v>
      </c>
      <c r="BC7" s="144">
        <v>0</v>
      </c>
      <c r="BD7" s="143" t="s">
        <v>109</v>
      </c>
      <c r="BE7" s="144">
        <v>0</v>
      </c>
      <c r="BF7" s="143">
        <v>0</v>
      </c>
      <c r="BG7" s="144">
        <v>0</v>
      </c>
      <c r="BH7" s="130">
        <v>0</v>
      </c>
      <c r="BI7" s="133">
        <v>0</v>
      </c>
      <c r="BJ7" s="131">
        <v>0</v>
      </c>
      <c r="BK7" s="128">
        <v>0</v>
      </c>
      <c r="BL7" s="139">
        <v>0</v>
      </c>
      <c r="BM7" s="130">
        <v>0</v>
      </c>
      <c r="BN7" s="145">
        <f t="shared" si="45"/>
        <v>0</v>
      </c>
      <c r="BO7" s="129">
        <f t="shared" si="46"/>
        <v>93.22</v>
      </c>
      <c r="BP7" s="135">
        <f t="shared" si="12"/>
        <v>8.2199999999999989</v>
      </c>
      <c r="BQ7" s="144" t="str">
        <f t="shared" si="47"/>
        <v>Positive Margin</v>
      </c>
      <c r="BR7" s="146" t="s">
        <v>209</v>
      </c>
      <c r="BS7" s="128">
        <f t="shared" si="14"/>
        <v>8.2199999999999989</v>
      </c>
      <c r="BT7" s="147" t="str">
        <f t="shared" si="48"/>
        <v>Positive Margin at Inception</v>
      </c>
      <c r="BU7" s="148">
        <f t="shared" si="49"/>
        <v>8.8178502467281691E-2</v>
      </c>
      <c r="BV7" s="147" t="str">
        <f t="shared" si="50"/>
        <v>More than 2%</v>
      </c>
      <c r="BW7" s="128">
        <f t="shared" si="51"/>
        <v>0</v>
      </c>
      <c r="BX7" s="129">
        <f t="shared" si="19"/>
        <v>0</v>
      </c>
      <c r="BY7" s="128">
        <f t="shared" si="52"/>
        <v>0</v>
      </c>
      <c r="BZ7" s="149">
        <f t="shared" si="53"/>
        <v>0</v>
      </c>
      <c r="CA7" s="149">
        <f t="shared" si="22"/>
        <v>0</v>
      </c>
      <c r="CB7" s="130">
        <f t="shared" si="54"/>
        <v>0</v>
      </c>
      <c r="CC7" s="149" t="s">
        <v>282</v>
      </c>
      <c r="CD7" s="130">
        <v>0</v>
      </c>
      <c r="CE7" s="130">
        <f t="shared" si="24"/>
        <v>85</v>
      </c>
      <c r="CF7" s="130">
        <f t="shared" si="55"/>
        <v>93.22</v>
      </c>
      <c r="CG7" s="130">
        <f t="shared" si="26"/>
        <v>1</v>
      </c>
      <c r="CH7" s="150">
        <v>0</v>
      </c>
      <c r="CI7" s="130">
        <v>0</v>
      </c>
      <c r="CJ7" s="130" t="e">
        <f>_xlfn.XLOOKUP(AP7,POC!B:B,POC!D:D)</f>
        <v>#N/A</v>
      </c>
      <c r="CK7" s="130">
        <f t="shared" si="27"/>
        <v>8.2199999999999989</v>
      </c>
      <c r="CL7" s="130">
        <f t="shared" si="28"/>
        <v>8.2199999999999989</v>
      </c>
      <c r="CM7" s="130">
        <f t="shared" si="29"/>
        <v>8.2199999999999989</v>
      </c>
      <c r="CN7" s="130">
        <f t="shared" si="56"/>
        <v>109.99959999999999</v>
      </c>
      <c r="CO7" s="130">
        <f t="shared" si="31"/>
        <v>-100.3</v>
      </c>
      <c r="CP7" s="130">
        <f t="shared" si="57"/>
        <v>0</v>
      </c>
      <c r="CQ7" s="130">
        <f t="shared" si="58"/>
        <v>0</v>
      </c>
      <c r="CR7" s="130">
        <f t="shared" si="59"/>
        <v>9.6995999999999896</v>
      </c>
      <c r="CS7" s="130" t="s">
        <v>236</v>
      </c>
      <c r="CT7" s="130" t="s">
        <v>236</v>
      </c>
      <c r="CU7" s="145" t="str">
        <f t="shared" si="35"/>
        <v>AADCC6184H</v>
      </c>
      <c r="CV7" s="145" t="str">
        <f t="shared" si="36"/>
        <v>AARFT3586D</v>
      </c>
      <c r="CW7" s="152" t="str">
        <f t="shared" si="60"/>
        <v>2026290000000088CHAITANYA INDIA FIN CREDIT PRIVATE LIMITED</v>
      </c>
    </row>
    <row r="8" spans="2:101" s="152" customFormat="1" ht="11.85" customHeight="1" x14ac:dyDescent="0.25">
      <c r="B8" s="123" t="str">
        <f t="shared" si="37"/>
        <v>Q1</v>
      </c>
      <c r="C8" s="124" t="str">
        <f t="shared" si="38"/>
        <v>Apr-26</v>
      </c>
      <c r="D8" s="125">
        <v>46115</v>
      </c>
      <c r="E8" s="126" t="s">
        <v>290</v>
      </c>
      <c r="F8" s="126" t="s">
        <v>286</v>
      </c>
      <c r="G8" s="126" t="s">
        <v>291</v>
      </c>
      <c r="H8" s="127" t="s">
        <v>292</v>
      </c>
      <c r="I8" s="125">
        <v>46094</v>
      </c>
      <c r="J8" s="126" t="s">
        <v>293</v>
      </c>
      <c r="K8" s="125">
        <v>46115</v>
      </c>
      <c r="L8" s="126" t="s">
        <v>249</v>
      </c>
      <c r="M8" s="126" t="s">
        <v>208</v>
      </c>
      <c r="N8" s="127" t="s">
        <v>212</v>
      </c>
      <c r="O8" s="126">
        <v>15</v>
      </c>
      <c r="P8" s="283">
        <v>1576</v>
      </c>
      <c r="Q8" s="128">
        <f t="shared" si="39"/>
        <v>23640</v>
      </c>
      <c r="R8" s="129">
        <v>0</v>
      </c>
      <c r="S8" s="128">
        <f t="shared" si="40"/>
        <v>15</v>
      </c>
      <c r="T8" s="129">
        <v>0</v>
      </c>
      <c r="U8" s="130">
        <v>0</v>
      </c>
      <c r="V8" s="131">
        <v>0</v>
      </c>
      <c r="W8" s="130">
        <v>0</v>
      </c>
      <c r="X8" s="132">
        <v>0</v>
      </c>
      <c r="Y8" s="130">
        <v>0</v>
      </c>
      <c r="Z8" s="130">
        <v>0</v>
      </c>
      <c r="AA8" s="129">
        <v>0</v>
      </c>
      <c r="AB8" s="133">
        <f t="shared" si="41"/>
        <v>0</v>
      </c>
      <c r="AC8" s="132">
        <v>0</v>
      </c>
      <c r="AD8" s="128">
        <v>0</v>
      </c>
      <c r="AE8" s="147">
        <v>0</v>
      </c>
      <c r="AF8" s="130">
        <v>0</v>
      </c>
      <c r="AG8" s="134">
        <v>0</v>
      </c>
      <c r="AH8" s="130">
        <v>0</v>
      </c>
      <c r="AI8" s="131">
        <v>0</v>
      </c>
      <c r="AJ8" s="130">
        <v>0</v>
      </c>
      <c r="AK8" s="130">
        <v>0</v>
      </c>
      <c r="AL8" s="130">
        <f t="shared" si="5"/>
        <v>0</v>
      </c>
      <c r="AM8" s="135">
        <f t="shared" si="42"/>
        <v>23640</v>
      </c>
      <c r="AN8" s="136">
        <v>46115</v>
      </c>
      <c r="AO8" s="137" t="s">
        <v>300</v>
      </c>
      <c r="AP8" s="138" t="s">
        <v>239</v>
      </c>
      <c r="AQ8" s="139" t="s">
        <v>240</v>
      </c>
      <c r="AR8" s="139" t="s">
        <v>260</v>
      </c>
      <c r="AS8" s="126" t="s">
        <v>301</v>
      </c>
      <c r="AT8" s="140" t="s">
        <v>247</v>
      </c>
      <c r="AU8" s="140" t="s">
        <v>228</v>
      </c>
      <c r="AV8" s="141"/>
      <c r="AW8" s="139">
        <v>15</v>
      </c>
      <c r="AX8" s="141">
        <v>1733.9</v>
      </c>
      <c r="AY8" s="139">
        <f t="shared" si="43"/>
        <v>26008.5</v>
      </c>
      <c r="AZ8" s="142" t="b">
        <f t="shared" si="8"/>
        <v>1</v>
      </c>
      <c r="BA8" s="128">
        <v>0</v>
      </c>
      <c r="BB8" s="143">
        <f t="shared" si="44"/>
        <v>15</v>
      </c>
      <c r="BC8" s="144">
        <v>0</v>
      </c>
      <c r="BD8" s="143" t="s">
        <v>109</v>
      </c>
      <c r="BE8" s="144">
        <v>0</v>
      </c>
      <c r="BF8" s="143">
        <v>0</v>
      </c>
      <c r="BG8" s="144">
        <v>0</v>
      </c>
      <c r="BH8" s="130">
        <v>0</v>
      </c>
      <c r="BI8" s="133">
        <v>0</v>
      </c>
      <c r="BJ8" s="131">
        <v>0</v>
      </c>
      <c r="BK8" s="128">
        <v>0</v>
      </c>
      <c r="BL8" s="139">
        <v>0</v>
      </c>
      <c r="BM8" s="130">
        <v>0</v>
      </c>
      <c r="BN8" s="145">
        <f t="shared" si="45"/>
        <v>0</v>
      </c>
      <c r="BO8" s="129">
        <f t="shared" si="46"/>
        <v>26008.5</v>
      </c>
      <c r="BP8" s="135">
        <f t="shared" si="12"/>
        <v>2368.5</v>
      </c>
      <c r="BQ8" s="144" t="str">
        <f t="shared" si="47"/>
        <v>Positive Margin</v>
      </c>
      <c r="BR8" s="146" t="s">
        <v>209</v>
      </c>
      <c r="BS8" s="128">
        <f t="shared" si="14"/>
        <v>2368.5</v>
      </c>
      <c r="BT8" s="147" t="str">
        <f t="shared" si="48"/>
        <v>Positive Margin at Inception</v>
      </c>
      <c r="BU8" s="148">
        <f t="shared" si="49"/>
        <v>9.1066382144298977E-2</v>
      </c>
      <c r="BV8" s="147" t="str">
        <f t="shared" si="50"/>
        <v>More than 2%</v>
      </c>
      <c r="BW8" s="128">
        <f t="shared" si="51"/>
        <v>0</v>
      </c>
      <c r="BX8" s="129">
        <f t="shared" si="19"/>
        <v>0</v>
      </c>
      <c r="BY8" s="128">
        <f t="shared" si="52"/>
        <v>0</v>
      </c>
      <c r="BZ8" s="149">
        <f t="shared" si="53"/>
        <v>0</v>
      </c>
      <c r="CA8" s="149">
        <f t="shared" si="22"/>
        <v>0</v>
      </c>
      <c r="CB8" s="130">
        <f t="shared" si="54"/>
        <v>0</v>
      </c>
      <c r="CC8" s="149" t="s">
        <v>282</v>
      </c>
      <c r="CD8" s="130">
        <v>0</v>
      </c>
      <c r="CE8" s="130">
        <f t="shared" si="24"/>
        <v>23640</v>
      </c>
      <c r="CF8" s="130">
        <f t="shared" si="55"/>
        <v>26008.5</v>
      </c>
      <c r="CG8" s="130">
        <f t="shared" si="26"/>
        <v>1</v>
      </c>
      <c r="CH8" s="150">
        <v>0</v>
      </c>
      <c r="CI8" s="130">
        <v>0</v>
      </c>
      <c r="CJ8" s="130" t="e">
        <f>_xlfn.XLOOKUP(AP8,POC!B:B,POC!D:D)</f>
        <v>#N/A</v>
      </c>
      <c r="CK8" s="130">
        <f t="shared" si="27"/>
        <v>2368.5</v>
      </c>
      <c r="CL8" s="130">
        <f t="shared" si="28"/>
        <v>2368.5</v>
      </c>
      <c r="CM8" s="130">
        <f t="shared" si="29"/>
        <v>2368.5</v>
      </c>
      <c r="CN8" s="130">
        <f t="shared" si="56"/>
        <v>30690.03</v>
      </c>
      <c r="CO8" s="130">
        <f t="shared" si="31"/>
        <v>-27895.199999999997</v>
      </c>
      <c r="CP8" s="130">
        <f t="shared" si="57"/>
        <v>0</v>
      </c>
      <c r="CQ8" s="130">
        <f t="shared" si="58"/>
        <v>0</v>
      </c>
      <c r="CR8" s="130">
        <f t="shared" si="59"/>
        <v>2794.8300000000017</v>
      </c>
      <c r="CS8" s="130" t="s">
        <v>236</v>
      </c>
      <c r="CT8" s="130" t="s">
        <v>236</v>
      </c>
      <c r="CU8" s="145" t="str">
        <f t="shared" si="35"/>
        <v>AADCC6184H</v>
      </c>
      <c r="CV8" s="145" t="str">
        <f t="shared" si="36"/>
        <v>AARFT3586D</v>
      </c>
      <c r="CW8" s="152" t="str">
        <f t="shared" si="60"/>
        <v>2026290000000087CHAITANYA INDIA FIN CREDIT PRIVATE LIMITED</v>
      </c>
    </row>
    <row r="9" spans="2:101" s="152" customFormat="1" ht="11.85" customHeight="1" x14ac:dyDescent="0.25">
      <c r="B9" s="123" t="str">
        <f t="shared" si="37"/>
        <v>Q1</v>
      </c>
      <c r="C9" s="124" t="str">
        <f t="shared" si="38"/>
        <v>Apr-26</v>
      </c>
      <c r="D9" s="125">
        <v>46115</v>
      </c>
      <c r="E9" s="126" t="s">
        <v>290</v>
      </c>
      <c r="F9" s="126" t="s">
        <v>286</v>
      </c>
      <c r="G9" s="126" t="s">
        <v>291</v>
      </c>
      <c r="H9" s="127" t="s">
        <v>292</v>
      </c>
      <c r="I9" s="125">
        <v>46094</v>
      </c>
      <c r="J9" s="126" t="s">
        <v>293</v>
      </c>
      <c r="K9" s="125">
        <v>46115</v>
      </c>
      <c r="L9" s="126" t="s">
        <v>249</v>
      </c>
      <c r="M9" s="126" t="s">
        <v>208</v>
      </c>
      <c r="N9" s="127" t="s">
        <v>212</v>
      </c>
      <c r="O9" s="126">
        <v>1</v>
      </c>
      <c r="P9" s="283">
        <v>85</v>
      </c>
      <c r="Q9" s="128">
        <f t="shared" si="39"/>
        <v>85</v>
      </c>
      <c r="R9" s="129">
        <v>0</v>
      </c>
      <c r="S9" s="128">
        <f t="shared" si="40"/>
        <v>1</v>
      </c>
      <c r="T9" s="129">
        <v>0</v>
      </c>
      <c r="U9" s="130">
        <v>0</v>
      </c>
      <c r="V9" s="131">
        <v>0</v>
      </c>
      <c r="W9" s="130">
        <v>0</v>
      </c>
      <c r="X9" s="132">
        <v>0</v>
      </c>
      <c r="Y9" s="130">
        <v>0</v>
      </c>
      <c r="Z9" s="130">
        <v>0</v>
      </c>
      <c r="AA9" s="129">
        <v>0</v>
      </c>
      <c r="AB9" s="133">
        <f t="shared" si="41"/>
        <v>0</v>
      </c>
      <c r="AC9" s="132">
        <v>0</v>
      </c>
      <c r="AD9" s="128">
        <v>0</v>
      </c>
      <c r="AE9" s="147">
        <v>0</v>
      </c>
      <c r="AF9" s="130">
        <v>0</v>
      </c>
      <c r="AG9" s="134">
        <v>0</v>
      </c>
      <c r="AH9" s="130">
        <v>0</v>
      </c>
      <c r="AI9" s="131">
        <v>0</v>
      </c>
      <c r="AJ9" s="130">
        <v>0</v>
      </c>
      <c r="AK9" s="130">
        <v>0</v>
      </c>
      <c r="AL9" s="130">
        <f t="shared" si="5"/>
        <v>0</v>
      </c>
      <c r="AM9" s="135">
        <f t="shared" si="42"/>
        <v>85</v>
      </c>
      <c r="AN9" s="136">
        <v>46115</v>
      </c>
      <c r="AO9" s="137" t="s">
        <v>300</v>
      </c>
      <c r="AP9" s="138" t="s">
        <v>239</v>
      </c>
      <c r="AQ9" s="139" t="s">
        <v>240</v>
      </c>
      <c r="AR9" s="139" t="s">
        <v>260</v>
      </c>
      <c r="AS9" s="126" t="s">
        <v>301</v>
      </c>
      <c r="AT9" s="140" t="s">
        <v>247</v>
      </c>
      <c r="AU9" s="140" t="s">
        <v>228</v>
      </c>
      <c r="AV9" s="141"/>
      <c r="AW9" s="139">
        <v>1</v>
      </c>
      <c r="AX9" s="141">
        <v>93.22</v>
      </c>
      <c r="AY9" s="139">
        <f t="shared" si="43"/>
        <v>93.22</v>
      </c>
      <c r="AZ9" s="142" t="b">
        <f t="shared" si="8"/>
        <v>1</v>
      </c>
      <c r="BA9" s="128">
        <v>0</v>
      </c>
      <c r="BB9" s="143">
        <f t="shared" si="44"/>
        <v>1</v>
      </c>
      <c r="BC9" s="144">
        <v>0</v>
      </c>
      <c r="BD9" s="143" t="s">
        <v>109</v>
      </c>
      <c r="BE9" s="144">
        <v>0</v>
      </c>
      <c r="BF9" s="143">
        <v>0</v>
      </c>
      <c r="BG9" s="144">
        <v>0</v>
      </c>
      <c r="BH9" s="130">
        <v>0</v>
      </c>
      <c r="BI9" s="133">
        <v>0</v>
      </c>
      <c r="BJ9" s="131">
        <v>0</v>
      </c>
      <c r="BK9" s="128">
        <v>0</v>
      </c>
      <c r="BL9" s="139">
        <v>0</v>
      </c>
      <c r="BM9" s="130">
        <v>0</v>
      </c>
      <c r="BN9" s="145">
        <f t="shared" si="45"/>
        <v>0</v>
      </c>
      <c r="BO9" s="129">
        <f t="shared" si="46"/>
        <v>93.22</v>
      </c>
      <c r="BP9" s="135">
        <f t="shared" si="12"/>
        <v>8.2199999999999989</v>
      </c>
      <c r="BQ9" s="144" t="str">
        <f t="shared" si="47"/>
        <v>Positive Margin</v>
      </c>
      <c r="BR9" s="146" t="s">
        <v>209</v>
      </c>
      <c r="BS9" s="128">
        <f t="shared" si="14"/>
        <v>8.2199999999999989</v>
      </c>
      <c r="BT9" s="147" t="str">
        <f t="shared" si="48"/>
        <v>Positive Margin at Inception</v>
      </c>
      <c r="BU9" s="148">
        <f t="shared" si="49"/>
        <v>8.8178502467281691E-2</v>
      </c>
      <c r="BV9" s="147" t="str">
        <f t="shared" si="50"/>
        <v>More than 2%</v>
      </c>
      <c r="BW9" s="128">
        <f t="shared" si="51"/>
        <v>0</v>
      </c>
      <c r="BX9" s="129">
        <f t="shared" si="19"/>
        <v>0</v>
      </c>
      <c r="BY9" s="128">
        <f t="shared" si="52"/>
        <v>0</v>
      </c>
      <c r="BZ9" s="149">
        <f t="shared" si="53"/>
        <v>0</v>
      </c>
      <c r="CA9" s="149">
        <f t="shared" si="22"/>
        <v>0</v>
      </c>
      <c r="CB9" s="130">
        <f t="shared" si="54"/>
        <v>0</v>
      </c>
      <c r="CC9" s="149" t="s">
        <v>282</v>
      </c>
      <c r="CD9" s="130">
        <v>0</v>
      </c>
      <c r="CE9" s="130">
        <f t="shared" si="24"/>
        <v>85</v>
      </c>
      <c r="CF9" s="130">
        <f t="shared" si="55"/>
        <v>93.22</v>
      </c>
      <c r="CG9" s="130">
        <f t="shared" si="26"/>
        <v>1</v>
      </c>
      <c r="CH9" s="150">
        <v>0</v>
      </c>
      <c r="CI9" s="130">
        <v>0</v>
      </c>
      <c r="CJ9" s="130" t="e">
        <f>_xlfn.XLOOKUP(AP9,POC!B:B,POC!D:D)</f>
        <v>#N/A</v>
      </c>
      <c r="CK9" s="130">
        <f t="shared" si="27"/>
        <v>8.2199999999999989</v>
      </c>
      <c r="CL9" s="130">
        <f t="shared" si="28"/>
        <v>8.2199999999999989</v>
      </c>
      <c r="CM9" s="130">
        <f t="shared" si="29"/>
        <v>8.2199999999999989</v>
      </c>
      <c r="CN9" s="130">
        <f t="shared" si="56"/>
        <v>109.99959999999999</v>
      </c>
      <c r="CO9" s="130">
        <f t="shared" si="31"/>
        <v>-100.3</v>
      </c>
      <c r="CP9" s="130">
        <f t="shared" si="57"/>
        <v>0</v>
      </c>
      <c r="CQ9" s="130">
        <f t="shared" si="58"/>
        <v>0</v>
      </c>
      <c r="CR9" s="130">
        <f t="shared" si="59"/>
        <v>9.6995999999999896</v>
      </c>
      <c r="CS9" s="130" t="s">
        <v>236</v>
      </c>
      <c r="CT9" s="130" t="s">
        <v>236</v>
      </c>
      <c r="CU9" s="145" t="str">
        <f t="shared" si="35"/>
        <v>AADCC6184H</v>
      </c>
      <c r="CV9" s="145" t="str">
        <f t="shared" si="36"/>
        <v>AARFT3586D</v>
      </c>
      <c r="CW9" s="152" t="str">
        <f t="shared" si="60"/>
        <v>2026290000000087CHAITANYA INDIA FIN CREDIT PRIVATE LIMITED</v>
      </c>
    </row>
    <row r="10" spans="2:101" s="152" customFormat="1" ht="11.85" customHeight="1" x14ac:dyDescent="0.25">
      <c r="B10" s="123" t="str">
        <f t="shared" si="37"/>
        <v>Q1</v>
      </c>
      <c r="C10" s="124" t="str">
        <f t="shared" si="38"/>
        <v>Apr-26</v>
      </c>
      <c r="D10" s="125">
        <v>46115</v>
      </c>
      <c r="E10" s="126" t="s">
        <v>290</v>
      </c>
      <c r="F10" s="126" t="s">
        <v>286</v>
      </c>
      <c r="G10" s="126" t="s">
        <v>291</v>
      </c>
      <c r="H10" s="127" t="s">
        <v>292</v>
      </c>
      <c r="I10" s="125">
        <v>46094</v>
      </c>
      <c r="J10" s="126" t="s">
        <v>293</v>
      </c>
      <c r="K10" s="125">
        <v>46115</v>
      </c>
      <c r="L10" s="126" t="s">
        <v>249</v>
      </c>
      <c r="M10" s="126" t="s">
        <v>208</v>
      </c>
      <c r="N10" s="127" t="s">
        <v>212</v>
      </c>
      <c r="O10" s="126">
        <v>1</v>
      </c>
      <c r="P10" s="283">
        <v>1576</v>
      </c>
      <c r="Q10" s="128">
        <f t="shared" si="39"/>
        <v>1576</v>
      </c>
      <c r="R10" s="129">
        <v>0</v>
      </c>
      <c r="S10" s="128">
        <f t="shared" si="40"/>
        <v>1</v>
      </c>
      <c r="T10" s="129">
        <v>0</v>
      </c>
      <c r="U10" s="130">
        <v>0</v>
      </c>
      <c r="V10" s="131">
        <v>0</v>
      </c>
      <c r="W10" s="130">
        <v>0</v>
      </c>
      <c r="X10" s="132">
        <v>0</v>
      </c>
      <c r="Y10" s="130">
        <v>0</v>
      </c>
      <c r="Z10" s="130">
        <v>0</v>
      </c>
      <c r="AA10" s="129">
        <v>0</v>
      </c>
      <c r="AB10" s="133">
        <f t="shared" si="41"/>
        <v>0</v>
      </c>
      <c r="AC10" s="132">
        <v>0</v>
      </c>
      <c r="AD10" s="128">
        <v>0</v>
      </c>
      <c r="AE10" s="147">
        <v>0</v>
      </c>
      <c r="AF10" s="130">
        <v>0</v>
      </c>
      <c r="AG10" s="134">
        <v>0</v>
      </c>
      <c r="AH10" s="130">
        <v>0</v>
      </c>
      <c r="AI10" s="131">
        <v>0</v>
      </c>
      <c r="AJ10" s="130">
        <v>0</v>
      </c>
      <c r="AK10" s="130">
        <v>0</v>
      </c>
      <c r="AL10" s="130">
        <f t="shared" si="5"/>
        <v>0</v>
      </c>
      <c r="AM10" s="135">
        <f t="shared" si="42"/>
        <v>1576</v>
      </c>
      <c r="AN10" s="136">
        <v>46115</v>
      </c>
      <c r="AO10" s="137" t="s">
        <v>300</v>
      </c>
      <c r="AP10" s="138" t="s">
        <v>239</v>
      </c>
      <c r="AQ10" s="139" t="s">
        <v>240</v>
      </c>
      <c r="AR10" s="139" t="s">
        <v>260</v>
      </c>
      <c r="AS10" s="126" t="s">
        <v>301</v>
      </c>
      <c r="AT10" s="140" t="s">
        <v>247</v>
      </c>
      <c r="AU10" s="140" t="s">
        <v>228</v>
      </c>
      <c r="AV10" s="141"/>
      <c r="AW10" s="139">
        <v>1</v>
      </c>
      <c r="AX10" s="141">
        <v>1733.9</v>
      </c>
      <c r="AY10" s="139">
        <f t="shared" si="43"/>
        <v>1733.9</v>
      </c>
      <c r="AZ10" s="142" t="b">
        <f t="shared" si="8"/>
        <v>1</v>
      </c>
      <c r="BA10" s="128">
        <v>0</v>
      </c>
      <c r="BB10" s="143">
        <f t="shared" si="44"/>
        <v>1</v>
      </c>
      <c r="BC10" s="144">
        <v>0</v>
      </c>
      <c r="BD10" s="143" t="s">
        <v>109</v>
      </c>
      <c r="BE10" s="144">
        <v>0</v>
      </c>
      <c r="BF10" s="143">
        <v>0</v>
      </c>
      <c r="BG10" s="144">
        <v>0</v>
      </c>
      <c r="BH10" s="130">
        <v>0</v>
      </c>
      <c r="BI10" s="133">
        <v>0</v>
      </c>
      <c r="BJ10" s="131">
        <v>0</v>
      </c>
      <c r="BK10" s="128">
        <v>0</v>
      </c>
      <c r="BL10" s="139">
        <v>0</v>
      </c>
      <c r="BM10" s="130">
        <v>0</v>
      </c>
      <c r="BN10" s="145">
        <f t="shared" si="45"/>
        <v>0</v>
      </c>
      <c r="BO10" s="129">
        <f t="shared" si="46"/>
        <v>1733.9</v>
      </c>
      <c r="BP10" s="135">
        <f t="shared" si="12"/>
        <v>157.90000000000009</v>
      </c>
      <c r="BQ10" s="144" t="str">
        <f t="shared" si="47"/>
        <v>Positive Margin</v>
      </c>
      <c r="BR10" s="146" t="s">
        <v>209</v>
      </c>
      <c r="BS10" s="128">
        <f t="shared" si="14"/>
        <v>157.90000000000009</v>
      </c>
      <c r="BT10" s="147" t="str">
        <f t="shared" si="48"/>
        <v>Positive Margin at Inception</v>
      </c>
      <c r="BU10" s="148">
        <f t="shared" si="49"/>
        <v>9.1066382144299032E-2</v>
      </c>
      <c r="BV10" s="147" t="str">
        <f t="shared" si="50"/>
        <v>More than 2%</v>
      </c>
      <c r="BW10" s="128">
        <f t="shared" si="51"/>
        <v>0</v>
      </c>
      <c r="BX10" s="129">
        <f t="shared" si="19"/>
        <v>0</v>
      </c>
      <c r="BY10" s="128">
        <f t="shared" si="52"/>
        <v>0</v>
      </c>
      <c r="BZ10" s="149">
        <f t="shared" si="53"/>
        <v>0</v>
      </c>
      <c r="CA10" s="149">
        <f t="shared" si="22"/>
        <v>0</v>
      </c>
      <c r="CB10" s="130">
        <f t="shared" si="54"/>
        <v>0</v>
      </c>
      <c r="CC10" s="149" t="s">
        <v>282</v>
      </c>
      <c r="CD10" s="130">
        <v>0</v>
      </c>
      <c r="CE10" s="130">
        <f t="shared" si="24"/>
        <v>1576</v>
      </c>
      <c r="CF10" s="130">
        <f t="shared" si="55"/>
        <v>1733.9</v>
      </c>
      <c r="CG10" s="130">
        <f t="shared" si="26"/>
        <v>1</v>
      </c>
      <c r="CH10" s="150">
        <v>0</v>
      </c>
      <c r="CI10" s="130">
        <v>0</v>
      </c>
      <c r="CJ10" s="130" t="e">
        <f>_xlfn.XLOOKUP(AP10,POC!B:B,POC!D:D)</f>
        <v>#N/A</v>
      </c>
      <c r="CK10" s="130">
        <f t="shared" si="27"/>
        <v>157.90000000000009</v>
      </c>
      <c r="CL10" s="130">
        <f t="shared" si="28"/>
        <v>157.90000000000009</v>
      </c>
      <c r="CM10" s="130">
        <f t="shared" si="29"/>
        <v>157.90000000000009</v>
      </c>
      <c r="CN10" s="130">
        <f t="shared" si="56"/>
        <v>2046.002</v>
      </c>
      <c r="CO10" s="130">
        <f t="shared" si="31"/>
        <v>-1859.6799999999998</v>
      </c>
      <c r="CP10" s="130">
        <f t="shared" si="57"/>
        <v>0</v>
      </c>
      <c r="CQ10" s="130">
        <f t="shared" si="58"/>
        <v>0</v>
      </c>
      <c r="CR10" s="130">
        <f t="shared" si="59"/>
        <v>186.32200000000012</v>
      </c>
      <c r="CS10" s="130" t="s">
        <v>236</v>
      </c>
      <c r="CT10" s="130" t="s">
        <v>236</v>
      </c>
      <c r="CU10" s="145" t="str">
        <f t="shared" si="35"/>
        <v>AADCC6184H</v>
      </c>
      <c r="CV10" s="145" t="str">
        <f t="shared" si="36"/>
        <v>AARFT3586D</v>
      </c>
      <c r="CW10" s="152" t="str">
        <f t="shared" si="60"/>
        <v>2026290000000087CHAITANYA INDIA FIN CREDIT PRIVATE LIMITED</v>
      </c>
    </row>
    <row r="11" spans="2:101" s="152" customFormat="1" ht="11.85" customHeight="1" x14ac:dyDescent="0.25">
      <c r="B11" s="123" t="str">
        <f t="shared" si="37"/>
        <v>Q1</v>
      </c>
      <c r="C11" s="124" t="str">
        <f t="shared" si="38"/>
        <v>Apr-26</v>
      </c>
      <c r="D11" s="125">
        <v>46115</v>
      </c>
      <c r="E11" s="126" t="s">
        <v>294</v>
      </c>
      <c r="F11" s="126" t="s">
        <v>272</v>
      </c>
      <c r="G11" s="126" t="s">
        <v>273</v>
      </c>
      <c r="H11" s="127" t="s">
        <v>295</v>
      </c>
      <c r="I11" s="125">
        <v>46105</v>
      </c>
      <c r="J11" s="126" t="s">
        <v>296</v>
      </c>
      <c r="K11" s="125">
        <v>46115</v>
      </c>
      <c r="L11" s="126" t="s">
        <v>237</v>
      </c>
      <c r="M11" s="126" t="s">
        <v>208</v>
      </c>
      <c r="N11" s="127" t="s">
        <v>297</v>
      </c>
      <c r="O11" s="126">
        <v>44</v>
      </c>
      <c r="P11" s="283">
        <v>4340.95</v>
      </c>
      <c r="Q11" s="128">
        <f t="shared" si="39"/>
        <v>191001.8</v>
      </c>
      <c r="R11" s="129">
        <v>0</v>
      </c>
      <c r="S11" s="128">
        <f t="shared" si="40"/>
        <v>44</v>
      </c>
      <c r="T11" s="129">
        <v>0</v>
      </c>
      <c r="U11" s="130">
        <v>0</v>
      </c>
      <c r="V11" s="131">
        <v>0</v>
      </c>
      <c r="W11" s="130">
        <v>0</v>
      </c>
      <c r="X11" s="132">
        <v>0</v>
      </c>
      <c r="Y11" s="130">
        <v>0</v>
      </c>
      <c r="Z11" s="130">
        <v>0</v>
      </c>
      <c r="AA11" s="129">
        <v>0</v>
      </c>
      <c r="AB11" s="133">
        <f t="shared" si="41"/>
        <v>0</v>
      </c>
      <c r="AC11" s="132">
        <v>0</v>
      </c>
      <c r="AD11" s="128">
        <v>0</v>
      </c>
      <c r="AE11" s="147">
        <v>0</v>
      </c>
      <c r="AF11" s="130">
        <v>0</v>
      </c>
      <c r="AG11" s="134">
        <v>0</v>
      </c>
      <c r="AH11" s="130">
        <v>0</v>
      </c>
      <c r="AI11" s="131">
        <v>0</v>
      </c>
      <c r="AJ11" s="130">
        <v>0</v>
      </c>
      <c r="AK11" s="130">
        <v>0</v>
      </c>
      <c r="AL11" s="130">
        <f t="shared" si="5"/>
        <v>0</v>
      </c>
      <c r="AM11" s="135">
        <f t="shared" si="42"/>
        <v>191001.8</v>
      </c>
      <c r="AN11" s="136">
        <v>46116</v>
      </c>
      <c r="AO11" s="137" t="s">
        <v>302</v>
      </c>
      <c r="AP11" s="138" t="s">
        <v>250</v>
      </c>
      <c r="AQ11" s="139" t="s">
        <v>251</v>
      </c>
      <c r="AR11" s="139" t="s">
        <v>252</v>
      </c>
      <c r="AS11" s="126" t="s">
        <v>248</v>
      </c>
      <c r="AT11" s="140" t="s">
        <v>274</v>
      </c>
      <c r="AU11" s="140" t="s">
        <v>147</v>
      </c>
      <c r="AV11" s="141"/>
      <c r="AW11" s="139">
        <v>44</v>
      </c>
      <c r="AX11" s="141">
        <v>4672.9049999999997</v>
      </c>
      <c r="AY11" s="139">
        <f t="shared" si="43"/>
        <v>205607.81999999998</v>
      </c>
      <c r="AZ11" s="142" t="b">
        <f t="shared" si="8"/>
        <v>1</v>
      </c>
      <c r="BA11" s="128">
        <v>0</v>
      </c>
      <c r="BB11" s="143">
        <f t="shared" si="44"/>
        <v>44</v>
      </c>
      <c r="BC11" s="144">
        <v>0</v>
      </c>
      <c r="BD11" s="143" t="s">
        <v>109</v>
      </c>
      <c r="BE11" s="144">
        <v>0</v>
      </c>
      <c r="BF11" s="143">
        <v>0</v>
      </c>
      <c r="BG11" s="144">
        <v>0</v>
      </c>
      <c r="BH11" s="130">
        <v>0</v>
      </c>
      <c r="BI11" s="133">
        <v>0</v>
      </c>
      <c r="BJ11" s="131">
        <v>0</v>
      </c>
      <c r="BK11" s="128">
        <v>0</v>
      </c>
      <c r="BL11" s="139">
        <v>0</v>
      </c>
      <c r="BM11" s="130">
        <v>0</v>
      </c>
      <c r="BN11" s="145">
        <f t="shared" si="45"/>
        <v>0</v>
      </c>
      <c r="BO11" s="129">
        <f t="shared" si="46"/>
        <v>205607.81999999998</v>
      </c>
      <c r="BP11" s="135">
        <f t="shared" si="12"/>
        <v>14606.01999999999</v>
      </c>
      <c r="BQ11" s="144" t="str">
        <f t="shared" si="47"/>
        <v>Positive Margin</v>
      </c>
      <c r="BR11" s="146" t="s">
        <v>209</v>
      </c>
      <c r="BS11" s="128">
        <f t="shared" si="14"/>
        <v>14606.01999999999</v>
      </c>
      <c r="BT11" s="147" t="str">
        <f t="shared" si="48"/>
        <v>Positive Margin at Inception</v>
      </c>
      <c r="BU11" s="148">
        <f t="shared" si="49"/>
        <v>7.1038251366120173E-2</v>
      </c>
      <c r="BV11" s="147" t="str">
        <f t="shared" si="50"/>
        <v>More than 2%</v>
      </c>
      <c r="BW11" s="128">
        <f t="shared" si="51"/>
        <v>0</v>
      </c>
      <c r="BX11" s="129">
        <f t="shared" si="19"/>
        <v>0</v>
      </c>
      <c r="BY11" s="128">
        <f t="shared" si="52"/>
        <v>0</v>
      </c>
      <c r="BZ11" s="149">
        <f t="shared" si="53"/>
        <v>0</v>
      </c>
      <c r="CA11" s="149">
        <f t="shared" si="22"/>
        <v>0</v>
      </c>
      <c r="CB11" s="130">
        <f t="shared" si="54"/>
        <v>0</v>
      </c>
      <c r="CC11" s="149" t="s">
        <v>282</v>
      </c>
      <c r="CD11" s="130">
        <v>0</v>
      </c>
      <c r="CE11" s="130">
        <f t="shared" si="24"/>
        <v>191001.8</v>
      </c>
      <c r="CF11" s="130">
        <f t="shared" si="55"/>
        <v>205607.81999999998</v>
      </c>
      <c r="CG11" s="130">
        <f t="shared" si="26"/>
        <v>1</v>
      </c>
      <c r="CH11" s="150">
        <v>0</v>
      </c>
      <c r="CI11" s="130">
        <v>0</v>
      </c>
      <c r="CJ11" s="130" t="e">
        <f>_xlfn.XLOOKUP(AP11,POC!B:B,POC!D:D)</f>
        <v>#N/A</v>
      </c>
      <c r="CK11" s="130">
        <f t="shared" si="27"/>
        <v>14606.01999999999</v>
      </c>
      <c r="CL11" s="130">
        <f t="shared" si="28"/>
        <v>14606.01999999999</v>
      </c>
      <c r="CM11" s="130">
        <f t="shared" si="29"/>
        <v>14606.01999999999</v>
      </c>
      <c r="CN11" s="130">
        <f t="shared" si="56"/>
        <v>242617.22759999995</v>
      </c>
      <c r="CO11" s="130">
        <f t="shared" si="31"/>
        <v>-225382.12399999998</v>
      </c>
      <c r="CP11" s="130">
        <f t="shared" si="57"/>
        <v>0</v>
      </c>
      <c r="CQ11" s="130">
        <f t="shared" si="58"/>
        <v>0</v>
      </c>
      <c r="CR11" s="130">
        <f t="shared" si="59"/>
        <v>17235.103599999973</v>
      </c>
      <c r="CS11" s="130" t="s">
        <v>236</v>
      </c>
      <c r="CT11" s="130" t="s">
        <v>236</v>
      </c>
      <c r="CU11" s="145" t="str">
        <f t="shared" si="35"/>
        <v>AAACI4487J</v>
      </c>
      <c r="CV11" s="145" t="str">
        <f t="shared" si="36"/>
        <v>AAHCR2638B</v>
      </c>
      <c r="CW11" s="152" t="str">
        <f t="shared" si="60"/>
        <v>9102515564CYIENT LIMITED</v>
      </c>
    </row>
    <row r="12" spans="2:101" s="152" customFormat="1" ht="11.85" customHeight="1" x14ac:dyDescent="0.25">
      <c r="B12" s="123" t="str">
        <f t="shared" si="37"/>
        <v>Q1</v>
      </c>
      <c r="C12" s="124" t="str">
        <f t="shared" si="38"/>
        <v>Apr-26</v>
      </c>
      <c r="D12" s="125">
        <v>46115</v>
      </c>
      <c r="E12" s="126" t="s">
        <v>294</v>
      </c>
      <c r="F12" s="126" t="s">
        <v>272</v>
      </c>
      <c r="G12" s="126" t="s">
        <v>273</v>
      </c>
      <c r="H12" s="127" t="s">
        <v>295</v>
      </c>
      <c r="I12" s="125">
        <v>46105</v>
      </c>
      <c r="J12" s="126" t="s">
        <v>296</v>
      </c>
      <c r="K12" s="125">
        <v>46115</v>
      </c>
      <c r="L12" s="126" t="s">
        <v>237</v>
      </c>
      <c r="M12" s="126" t="s">
        <v>208</v>
      </c>
      <c r="N12" s="127" t="s">
        <v>297</v>
      </c>
      <c r="O12" s="126">
        <v>40</v>
      </c>
      <c r="P12" s="283">
        <v>464.95</v>
      </c>
      <c r="Q12" s="128">
        <f t="shared" si="39"/>
        <v>18598</v>
      </c>
      <c r="R12" s="129">
        <v>0</v>
      </c>
      <c r="S12" s="128">
        <f t="shared" si="40"/>
        <v>40</v>
      </c>
      <c r="T12" s="129">
        <v>0</v>
      </c>
      <c r="U12" s="130">
        <v>0</v>
      </c>
      <c r="V12" s="131">
        <v>0</v>
      </c>
      <c r="W12" s="130">
        <v>0</v>
      </c>
      <c r="X12" s="132">
        <v>0</v>
      </c>
      <c r="Y12" s="130">
        <v>0</v>
      </c>
      <c r="Z12" s="130">
        <v>0</v>
      </c>
      <c r="AA12" s="129">
        <v>0</v>
      </c>
      <c r="AB12" s="133">
        <f t="shared" si="41"/>
        <v>0</v>
      </c>
      <c r="AC12" s="132">
        <v>0</v>
      </c>
      <c r="AD12" s="128">
        <v>0</v>
      </c>
      <c r="AE12" s="147">
        <v>0</v>
      </c>
      <c r="AF12" s="130">
        <v>0</v>
      </c>
      <c r="AG12" s="134">
        <v>0</v>
      </c>
      <c r="AH12" s="130">
        <v>0</v>
      </c>
      <c r="AI12" s="131">
        <v>0</v>
      </c>
      <c r="AJ12" s="130">
        <v>0</v>
      </c>
      <c r="AK12" s="130">
        <v>0</v>
      </c>
      <c r="AL12" s="130">
        <f t="shared" si="5"/>
        <v>0</v>
      </c>
      <c r="AM12" s="135">
        <f t="shared" si="42"/>
        <v>18598</v>
      </c>
      <c r="AN12" s="136">
        <v>46116</v>
      </c>
      <c r="AO12" s="137" t="s">
        <v>302</v>
      </c>
      <c r="AP12" s="138" t="s">
        <v>250</v>
      </c>
      <c r="AQ12" s="139" t="s">
        <v>251</v>
      </c>
      <c r="AR12" s="139" t="s">
        <v>252</v>
      </c>
      <c r="AS12" s="126" t="s">
        <v>248</v>
      </c>
      <c r="AT12" s="140" t="s">
        <v>274</v>
      </c>
      <c r="AU12" s="140" t="s">
        <v>147</v>
      </c>
      <c r="AV12" s="141"/>
      <c r="AW12" s="139">
        <v>40</v>
      </c>
      <c r="AX12" s="141">
        <v>500.505</v>
      </c>
      <c r="AY12" s="139">
        <f t="shared" si="43"/>
        <v>20020.2</v>
      </c>
      <c r="AZ12" s="142" t="b">
        <f t="shared" si="8"/>
        <v>1</v>
      </c>
      <c r="BA12" s="128">
        <v>0</v>
      </c>
      <c r="BB12" s="143">
        <f t="shared" si="44"/>
        <v>40</v>
      </c>
      <c r="BC12" s="144">
        <v>0</v>
      </c>
      <c r="BD12" s="143" t="s">
        <v>109</v>
      </c>
      <c r="BE12" s="144">
        <v>0</v>
      </c>
      <c r="BF12" s="143">
        <v>0</v>
      </c>
      <c r="BG12" s="144">
        <v>0</v>
      </c>
      <c r="BH12" s="130">
        <v>0</v>
      </c>
      <c r="BI12" s="133">
        <v>0</v>
      </c>
      <c r="BJ12" s="131">
        <v>0</v>
      </c>
      <c r="BK12" s="128">
        <v>0</v>
      </c>
      <c r="BL12" s="139">
        <v>0</v>
      </c>
      <c r="BM12" s="130">
        <v>0</v>
      </c>
      <c r="BN12" s="145">
        <f t="shared" si="45"/>
        <v>0</v>
      </c>
      <c r="BO12" s="129">
        <f t="shared" si="46"/>
        <v>20020.2</v>
      </c>
      <c r="BP12" s="135">
        <f t="shared" si="12"/>
        <v>1422.2000000000007</v>
      </c>
      <c r="BQ12" s="144" t="str">
        <f t="shared" si="47"/>
        <v>Positive Margin</v>
      </c>
      <c r="BR12" s="146" t="s">
        <v>209</v>
      </c>
      <c r="BS12" s="128">
        <f t="shared" si="14"/>
        <v>1422.2000000000007</v>
      </c>
      <c r="BT12" s="147" t="str">
        <f t="shared" si="48"/>
        <v>Positive Margin at Inception</v>
      </c>
      <c r="BU12" s="148">
        <f t="shared" si="49"/>
        <v>7.1038251366120256E-2</v>
      </c>
      <c r="BV12" s="147" t="str">
        <f t="shared" si="50"/>
        <v>More than 2%</v>
      </c>
      <c r="BW12" s="128">
        <f t="shared" si="51"/>
        <v>0</v>
      </c>
      <c r="BX12" s="129">
        <f t="shared" si="19"/>
        <v>0</v>
      </c>
      <c r="BY12" s="128">
        <f t="shared" si="52"/>
        <v>0</v>
      </c>
      <c r="BZ12" s="149">
        <f t="shared" si="53"/>
        <v>0</v>
      </c>
      <c r="CA12" s="149">
        <f t="shared" si="22"/>
        <v>0</v>
      </c>
      <c r="CB12" s="130">
        <f t="shared" si="54"/>
        <v>0</v>
      </c>
      <c r="CC12" s="149" t="s">
        <v>282</v>
      </c>
      <c r="CD12" s="130">
        <v>0</v>
      </c>
      <c r="CE12" s="130">
        <f t="shared" si="24"/>
        <v>18598</v>
      </c>
      <c r="CF12" s="130">
        <f t="shared" si="55"/>
        <v>20020.2</v>
      </c>
      <c r="CG12" s="130">
        <f t="shared" si="26"/>
        <v>1</v>
      </c>
      <c r="CH12" s="150">
        <v>0</v>
      </c>
      <c r="CI12" s="130">
        <v>0</v>
      </c>
      <c r="CJ12" s="130" t="e">
        <f>_xlfn.XLOOKUP(AP12,POC!B:B,POC!D:D)</f>
        <v>#N/A</v>
      </c>
      <c r="CK12" s="130">
        <f t="shared" si="27"/>
        <v>1422.2000000000007</v>
      </c>
      <c r="CL12" s="130">
        <f t="shared" si="28"/>
        <v>1422.2000000000007</v>
      </c>
      <c r="CM12" s="130">
        <f t="shared" si="29"/>
        <v>1422.2000000000007</v>
      </c>
      <c r="CN12" s="130">
        <f t="shared" si="56"/>
        <v>23623.835999999999</v>
      </c>
      <c r="CO12" s="130">
        <f t="shared" si="31"/>
        <v>-21945.64</v>
      </c>
      <c r="CP12" s="130">
        <f t="shared" si="57"/>
        <v>0</v>
      </c>
      <c r="CQ12" s="130">
        <f t="shared" si="58"/>
        <v>0</v>
      </c>
      <c r="CR12" s="130">
        <f t="shared" si="59"/>
        <v>1678.1959999999999</v>
      </c>
      <c r="CS12" s="130" t="s">
        <v>236</v>
      </c>
      <c r="CT12" s="130" t="s">
        <v>236</v>
      </c>
      <c r="CU12" s="145" t="str">
        <f t="shared" si="35"/>
        <v>AAACI4487J</v>
      </c>
      <c r="CV12" s="145" t="str">
        <f t="shared" si="36"/>
        <v>AAHCR2638B</v>
      </c>
      <c r="CW12" s="152" t="str">
        <f t="shared" si="60"/>
        <v>9102515564CYIENT LIMITED</v>
      </c>
    </row>
    <row r="13" spans="2:101" s="152" customFormat="1" ht="11.85" customHeight="1" x14ac:dyDescent="0.25">
      <c r="B13" s="123" t="str">
        <f t="shared" si="37"/>
        <v>Q1</v>
      </c>
      <c r="C13" s="124" t="str">
        <f t="shared" si="38"/>
        <v>Apr-26</v>
      </c>
      <c r="D13" s="125">
        <v>46115</v>
      </c>
      <c r="E13" s="126" t="s">
        <v>294</v>
      </c>
      <c r="F13" s="126" t="s">
        <v>272</v>
      </c>
      <c r="G13" s="126" t="s">
        <v>273</v>
      </c>
      <c r="H13" s="127" t="s">
        <v>295</v>
      </c>
      <c r="I13" s="125">
        <v>46105</v>
      </c>
      <c r="J13" s="126" t="s">
        <v>296</v>
      </c>
      <c r="K13" s="125">
        <v>46115</v>
      </c>
      <c r="L13" s="126" t="s">
        <v>237</v>
      </c>
      <c r="M13" s="126" t="s">
        <v>208</v>
      </c>
      <c r="N13" s="127" t="s">
        <v>297</v>
      </c>
      <c r="O13" s="126">
        <v>15</v>
      </c>
      <c r="P13" s="283">
        <v>763.73</v>
      </c>
      <c r="Q13" s="128">
        <f t="shared" si="39"/>
        <v>11455.95</v>
      </c>
      <c r="R13" s="129">
        <v>0</v>
      </c>
      <c r="S13" s="128">
        <f t="shared" si="40"/>
        <v>15</v>
      </c>
      <c r="T13" s="129">
        <v>0</v>
      </c>
      <c r="U13" s="130">
        <v>0</v>
      </c>
      <c r="V13" s="131">
        <v>0</v>
      </c>
      <c r="W13" s="130">
        <v>0</v>
      </c>
      <c r="X13" s="132">
        <v>0</v>
      </c>
      <c r="Y13" s="130">
        <v>0</v>
      </c>
      <c r="Z13" s="130">
        <v>0</v>
      </c>
      <c r="AA13" s="129">
        <v>0</v>
      </c>
      <c r="AB13" s="133">
        <f t="shared" si="41"/>
        <v>0</v>
      </c>
      <c r="AC13" s="132">
        <v>0</v>
      </c>
      <c r="AD13" s="128">
        <v>0</v>
      </c>
      <c r="AE13" s="147">
        <v>0</v>
      </c>
      <c r="AF13" s="130">
        <v>0</v>
      </c>
      <c r="AG13" s="134">
        <v>0</v>
      </c>
      <c r="AH13" s="130">
        <v>0</v>
      </c>
      <c r="AI13" s="131">
        <v>0</v>
      </c>
      <c r="AJ13" s="130">
        <v>0</v>
      </c>
      <c r="AK13" s="130">
        <v>0</v>
      </c>
      <c r="AL13" s="130">
        <f t="shared" si="5"/>
        <v>0</v>
      </c>
      <c r="AM13" s="135">
        <f t="shared" si="42"/>
        <v>11455.95</v>
      </c>
      <c r="AN13" s="136">
        <v>46116</v>
      </c>
      <c r="AO13" s="137" t="s">
        <v>302</v>
      </c>
      <c r="AP13" s="138" t="s">
        <v>250</v>
      </c>
      <c r="AQ13" s="139" t="s">
        <v>251</v>
      </c>
      <c r="AR13" s="139" t="s">
        <v>252</v>
      </c>
      <c r="AS13" s="126" t="s">
        <v>248</v>
      </c>
      <c r="AT13" s="140" t="s">
        <v>274</v>
      </c>
      <c r="AU13" s="140" t="s">
        <v>147</v>
      </c>
      <c r="AV13" s="141"/>
      <c r="AW13" s="139">
        <v>15</v>
      </c>
      <c r="AX13" s="141">
        <v>822.12800000000004</v>
      </c>
      <c r="AY13" s="139">
        <f t="shared" si="43"/>
        <v>12331.92</v>
      </c>
      <c r="AZ13" s="142" t="b">
        <f t="shared" si="8"/>
        <v>1</v>
      </c>
      <c r="BA13" s="128">
        <v>0</v>
      </c>
      <c r="BB13" s="143">
        <f t="shared" si="44"/>
        <v>15</v>
      </c>
      <c r="BC13" s="144">
        <v>0</v>
      </c>
      <c r="BD13" s="143" t="s">
        <v>109</v>
      </c>
      <c r="BE13" s="144">
        <v>0</v>
      </c>
      <c r="BF13" s="143">
        <v>0</v>
      </c>
      <c r="BG13" s="144">
        <v>0</v>
      </c>
      <c r="BH13" s="130">
        <v>0</v>
      </c>
      <c r="BI13" s="133">
        <v>0</v>
      </c>
      <c r="BJ13" s="131">
        <v>0</v>
      </c>
      <c r="BK13" s="128">
        <v>0</v>
      </c>
      <c r="BL13" s="139">
        <v>0</v>
      </c>
      <c r="BM13" s="130">
        <v>0</v>
      </c>
      <c r="BN13" s="145">
        <f t="shared" si="45"/>
        <v>0</v>
      </c>
      <c r="BO13" s="129">
        <f t="shared" si="46"/>
        <v>12331.92</v>
      </c>
      <c r="BP13" s="135">
        <f t="shared" si="12"/>
        <v>875.96999999999935</v>
      </c>
      <c r="BQ13" s="144" t="str">
        <f t="shared" si="47"/>
        <v>Positive Margin</v>
      </c>
      <c r="BR13" s="146" t="s">
        <v>209</v>
      </c>
      <c r="BS13" s="128">
        <f t="shared" si="14"/>
        <v>875.96999999999935</v>
      </c>
      <c r="BT13" s="147" t="str">
        <f t="shared" si="48"/>
        <v>Positive Margin at Inception</v>
      </c>
      <c r="BU13" s="148">
        <f t="shared" si="49"/>
        <v>7.1032734562014616E-2</v>
      </c>
      <c r="BV13" s="147" t="str">
        <f t="shared" si="50"/>
        <v>More than 2%</v>
      </c>
      <c r="BW13" s="128">
        <f t="shared" si="51"/>
        <v>0</v>
      </c>
      <c r="BX13" s="129">
        <f t="shared" si="19"/>
        <v>0</v>
      </c>
      <c r="BY13" s="128">
        <f t="shared" si="52"/>
        <v>0</v>
      </c>
      <c r="BZ13" s="149">
        <f t="shared" si="53"/>
        <v>0</v>
      </c>
      <c r="CA13" s="149">
        <f t="shared" si="22"/>
        <v>0</v>
      </c>
      <c r="CB13" s="130">
        <f t="shared" si="54"/>
        <v>0</v>
      </c>
      <c r="CC13" s="149" t="s">
        <v>282</v>
      </c>
      <c r="CD13" s="130">
        <v>0</v>
      </c>
      <c r="CE13" s="130">
        <f t="shared" si="24"/>
        <v>11455.95</v>
      </c>
      <c r="CF13" s="130">
        <f t="shared" si="55"/>
        <v>12331.92</v>
      </c>
      <c r="CG13" s="130">
        <f t="shared" si="26"/>
        <v>1</v>
      </c>
      <c r="CH13" s="150">
        <v>0</v>
      </c>
      <c r="CI13" s="130">
        <v>0</v>
      </c>
      <c r="CJ13" s="130" t="e">
        <f>_xlfn.XLOOKUP(AP13,POC!B:B,POC!D:D)</f>
        <v>#N/A</v>
      </c>
      <c r="CK13" s="130">
        <f t="shared" si="27"/>
        <v>875.96999999999935</v>
      </c>
      <c r="CL13" s="130">
        <f t="shared" si="28"/>
        <v>875.96999999999935</v>
      </c>
      <c r="CM13" s="130">
        <f t="shared" si="29"/>
        <v>875.96999999999935</v>
      </c>
      <c r="CN13" s="130">
        <f t="shared" si="56"/>
        <v>14551.665599999998</v>
      </c>
      <c r="CO13" s="130">
        <f t="shared" si="31"/>
        <v>-13518.021000000001</v>
      </c>
      <c r="CP13" s="130">
        <f t="shared" si="57"/>
        <v>0</v>
      </c>
      <c r="CQ13" s="130">
        <f t="shared" si="58"/>
        <v>0</v>
      </c>
      <c r="CR13" s="130">
        <f t="shared" si="59"/>
        <v>1033.6445999999978</v>
      </c>
      <c r="CS13" s="130" t="s">
        <v>236</v>
      </c>
      <c r="CT13" s="130" t="s">
        <v>236</v>
      </c>
      <c r="CU13" s="145" t="str">
        <f t="shared" si="35"/>
        <v>AAACI4487J</v>
      </c>
      <c r="CV13" s="145" t="str">
        <f t="shared" si="36"/>
        <v>AAHCR2638B</v>
      </c>
      <c r="CW13" s="152" t="str">
        <f t="shared" si="60"/>
        <v>9102515564CYIENT LIMITED</v>
      </c>
    </row>
    <row r="14" spans="2:101" s="152" customFormat="1" ht="11.85" customHeight="1" x14ac:dyDescent="0.25">
      <c r="B14" s="123" t="str">
        <f t="shared" si="37"/>
        <v>Q1</v>
      </c>
      <c r="C14" s="124" t="str">
        <f t="shared" si="38"/>
        <v>Apr-26</v>
      </c>
      <c r="D14" s="125">
        <v>46115</v>
      </c>
      <c r="E14" s="126" t="s">
        <v>294</v>
      </c>
      <c r="F14" s="126" t="s">
        <v>272</v>
      </c>
      <c r="G14" s="126" t="s">
        <v>273</v>
      </c>
      <c r="H14" s="127" t="s">
        <v>295</v>
      </c>
      <c r="I14" s="125">
        <v>46105</v>
      </c>
      <c r="J14" s="126" t="s">
        <v>296</v>
      </c>
      <c r="K14" s="125">
        <v>46115</v>
      </c>
      <c r="L14" s="126" t="s">
        <v>237</v>
      </c>
      <c r="M14" s="126" t="s">
        <v>208</v>
      </c>
      <c r="N14" s="127" t="s">
        <v>297</v>
      </c>
      <c r="O14" s="126">
        <v>6</v>
      </c>
      <c r="P14" s="283">
        <v>461.55</v>
      </c>
      <c r="Q14" s="128">
        <f t="shared" si="39"/>
        <v>2769.3</v>
      </c>
      <c r="R14" s="129">
        <v>0</v>
      </c>
      <c r="S14" s="128">
        <f t="shared" si="40"/>
        <v>6</v>
      </c>
      <c r="T14" s="129">
        <v>0</v>
      </c>
      <c r="U14" s="130">
        <v>0</v>
      </c>
      <c r="V14" s="131">
        <v>0</v>
      </c>
      <c r="W14" s="130">
        <v>0</v>
      </c>
      <c r="X14" s="132">
        <v>0</v>
      </c>
      <c r="Y14" s="130">
        <v>0</v>
      </c>
      <c r="Z14" s="130">
        <v>0</v>
      </c>
      <c r="AA14" s="129">
        <v>0</v>
      </c>
      <c r="AB14" s="133">
        <f t="shared" si="41"/>
        <v>0</v>
      </c>
      <c r="AC14" s="132">
        <v>0</v>
      </c>
      <c r="AD14" s="128">
        <v>0</v>
      </c>
      <c r="AE14" s="147">
        <v>0</v>
      </c>
      <c r="AF14" s="130">
        <v>0</v>
      </c>
      <c r="AG14" s="134">
        <v>0</v>
      </c>
      <c r="AH14" s="130">
        <v>0</v>
      </c>
      <c r="AI14" s="131">
        <v>0</v>
      </c>
      <c r="AJ14" s="130">
        <v>0</v>
      </c>
      <c r="AK14" s="130">
        <v>0</v>
      </c>
      <c r="AL14" s="130">
        <f t="shared" si="5"/>
        <v>0</v>
      </c>
      <c r="AM14" s="135">
        <f t="shared" si="42"/>
        <v>2769.3</v>
      </c>
      <c r="AN14" s="136">
        <v>46116</v>
      </c>
      <c r="AO14" s="137" t="s">
        <v>302</v>
      </c>
      <c r="AP14" s="138" t="s">
        <v>250</v>
      </c>
      <c r="AQ14" s="139" t="s">
        <v>251</v>
      </c>
      <c r="AR14" s="139" t="s">
        <v>252</v>
      </c>
      <c r="AS14" s="126" t="s">
        <v>248</v>
      </c>
      <c r="AT14" s="140" t="s">
        <v>274</v>
      </c>
      <c r="AU14" s="140" t="s">
        <v>147</v>
      </c>
      <c r="AV14" s="141"/>
      <c r="AW14" s="139">
        <v>6</v>
      </c>
      <c r="AX14" s="141">
        <v>486.78</v>
      </c>
      <c r="AY14" s="139">
        <f t="shared" si="43"/>
        <v>2920.68</v>
      </c>
      <c r="AZ14" s="142" t="b">
        <f t="shared" si="8"/>
        <v>1</v>
      </c>
      <c r="BA14" s="128">
        <v>0</v>
      </c>
      <c r="BB14" s="143">
        <f t="shared" si="44"/>
        <v>6</v>
      </c>
      <c r="BC14" s="144">
        <v>0</v>
      </c>
      <c r="BD14" s="143" t="s">
        <v>109</v>
      </c>
      <c r="BE14" s="144">
        <v>0</v>
      </c>
      <c r="BF14" s="143">
        <v>0</v>
      </c>
      <c r="BG14" s="144">
        <v>0</v>
      </c>
      <c r="BH14" s="130">
        <v>0</v>
      </c>
      <c r="BI14" s="133">
        <v>0</v>
      </c>
      <c r="BJ14" s="131">
        <v>0</v>
      </c>
      <c r="BK14" s="128">
        <v>0</v>
      </c>
      <c r="BL14" s="139">
        <v>0</v>
      </c>
      <c r="BM14" s="130">
        <v>0</v>
      </c>
      <c r="BN14" s="145">
        <f t="shared" si="45"/>
        <v>0</v>
      </c>
      <c r="BO14" s="129">
        <f t="shared" si="46"/>
        <v>2920.68</v>
      </c>
      <c r="BP14" s="135">
        <f t="shared" si="12"/>
        <v>151.37999999999965</v>
      </c>
      <c r="BQ14" s="144" t="str">
        <f t="shared" si="47"/>
        <v>Positive Margin</v>
      </c>
      <c r="BR14" s="146" t="s">
        <v>209</v>
      </c>
      <c r="BS14" s="128">
        <f t="shared" si="14"/>
        <v>151.37999999999965</v>
      </c>
      <c r="BT14" s="147" t="str">
        <f t="shared" si="48"/>
        <v>Positive Margin at Inception</v>
      </c>
      <c r="BU14" s="148">
        <f t="shared" si="49"/>
        <v>5.1830395661284244E-2</v>
      </c>
      <c r="BV14" s="147" t="str">
        <f t="shared" si="50"/>
        <v>More than 2%</v>
      </c>
      <c r="BW14" s="128">
        <f t="shared" si="51"/>
        <v>0</v>
      </c>
      <c r="BX14" s="129">
        <f t="shared" si="19"/>
        <v>0</v>
      </c>
      <c r="BY14" s="128">
        <f t="shared" si="52"/>
        <v>0</v>
      </c>
      <c r="BZ14" s="149">
        <f t="shared" si="53"/>
        <v>0</v>
      </c>
      <c r="CA14" s="149">
        <f t="shared" si="22"/>
        <v>0</v>
      </c>
      <c r="CB14" s="130">
        <f t="shared" si="54"/>
        <v>0</v>
      </c>
      <c r="CC14" s="149" t="s">
        <v>282</v>
      </c>
      <c r="CD14" s="130">
        <v>0</v>
      </c>
      <c r="CE14" s="130">
        <f t="shared" si="24"/>
        <v>2769.3</v>
      </c>
      <c r="CF14" s="130">
        <f t="shared" si="55"/>
        <v>2920.68</v>
      </c>
      <c r="CG14" s="130">
        <f t="shared" si="26"/>
        <v>1</v>
      </c>
      <c r="CH14" s="150">
        <v>0</v>
      </c>
      <c r="CI14" s="130">
        <v>0</v>
      </c>
      <c r="CJ14" s="130" t="e">
        <f>_xlfn.XLOOKUP(AP14,POC!B:B,POC!D:D)</f>
        <v>#N/A</v>
      </c>
      <c r="CK14" s="130">
        <f t="shared" si="27"/>
        <v>151.37999999999965</v>
      </c>
      <c r="CL14" s="130">
        <f t="shared" si="28"/>
        <v>151.37999999999965</v>
      </c>
      <c r="CM14" s="130">
        <f t="shared" si="29"/>
        <v>151.37999999999965</v>
      </c>
      <c r="CN14" s="130">
        <f t="shared" si="56"/>
        <v>3446.4023999999995</v>
      </c>
      <c r="CO14" s="130">
        <f t="shared" si="31"/>
        <v>-3267.7739999999999</v>
      </c>
      <c r="CP14" s="130">
        <f t="shared" si="57"/>
        <v>0</v>
      </c>
      <c r="CQ14" s="130">
        <f t="shared" si="58"/>
        <v>0</v>
      </c>
      <c r="CR14" s="130">
        <f t="shared" si="59"/>
        <v>178.6283999999996</v>
      </c>
      <c r="CS14" s="130" t="s">
        <v>236</v>
      </c>
      <c r="CT14" s="130" t="s">
        <v>236</v>
      </c>
      <c r="CU14" s="145" t="str">
        <f t="shared" si="35"/>
        <v>AAACI4487J</v>
      </c>
      <c r="CV14" s="145" t="str">
        <f t="shared" si="36"/>
        <v>AAHCR2638B</v>
      </c>
      <c r="CW14" s="152" t="str">
        <f t="shared" si="60"/>
        <v>9102515564CYIENT LIMITED</v>
      </c>
    </row>
    <row r="15" spans="2:101" s="152" customFormat="1" ht="11.85" customHeight="1" x14ac:dyDescent="0.25">
      <c r="B15" s="123" t="str">
        <f t="shared" si="37"/>
        <v>Q1</v>
      </c>
      <c r="C15" s="124" t="str">
        <f t="shared" si="38"/>
        <v>Apr-26</v>
      </c>
      <c r="D15" s="125">
        <v>46115</v>
      </c>
      <c r="E15" s="126" t="s">
        <v>294</v>
      </c>
      <c r="F15" s="126" t="s">
        <v>272</v>
      </c>
      <c r="G15" s="126" t="s">
        <v>273</v>
      </c>
      <c r="H15" s="127" t="s">
        <v>295</v>
      </c>
      <c r="I15" s="125">
        <v>46105</v>
      </c>
      <c r="J15" s="126" t="s">
        <v>296</v>
      </c>
      <c r="K15" s="125">
        <v>46115</v>
      </c>
      <c r="L15" s="126" t="s">
        <v>237</v>
      </c>
      <c r="M15" s="126" t="s">
        <v>208</v>
      </c>
      <c r="N15" s="127" t="s">
        <v>297</v>
      </c>
      <c r="O15" s="126">
        <v>8</v>
      </c>
      <c r="P15" s="283">
        <v>314.93</v>
      </c>
      <c r="Q15" s="128">
        <f t="shared" si="39"/>
        <v>2519.44</v>
      </c>
      <c r="R15" s="129">
        <v>0</v>
      </c>
      <c r="S15" s="128">
        <f t="shared" si="40"/>
        <v>8</v>
      </c>
      <c r="T15" s="129">
        <v>0</v>
      </c>
      <c r="U15" s="130">
        <v>0</v>
      </c>
      <c r="V15" s="131">
        <v>0</v>
      </c>
      <c r="W15" s="130">
        <v>0</v>
      </c>
      <c r="X15" s="132">
        <v>0</v>
      </c>
      <c r="Y15" s="130">
        <v>0</v>
      </c>
      <c r="Z15" s="130">
        <v>0</v>
      </c>
      <c r="AA15" s="129">
        <v>0</v>
      </c>
      <c r="AB15" s="133">
        <f t="shared" si="41"/>
        <v>0</v>
      </c>
      <c r="AC15" s="132">
        <v>0</v>
      </c>
      <c r="AD15" s="128">
        <v>0</v>
      </c>
      <c r="AE15" s="147">
        <v>0</v>
      </c>
      <c r="AF15" s="130">
        <v>0</v>
      </c>
      <c r="AG15" s="134">
        <v>0</v>
      </c>
      <c r="AH15" s="130">
        <v>0</v>
      </c>
      <c r="AI15" s="131">
        <v>0</v>
      </c>
      <c r="AJ15" s="130">
        <v>0</v>
      </c>
      <c r="AK15" s="130">
        <v>0</v>
      </c>
      <c r="AL15" s="130">
        <f t="shared" si="5"/>
        <v>0</v>
      </c>
      <c r="AM15" s="135">
        <f t="shared" si="42"/>
        <v>2519.44</v>
      </c>
      <c r="AN15" s="136">
        <v>46116</v>
      </c>
      <c r="AO15" s="137" t="s">
        <v>302</v>
      </c>
      <c r="AP15" s="138" t="s">
        <v>250</v>
      </c>
      <c r="AQ15" s="139" t="s">
        <v>251</v>
      </c>
      <c r="AR15" s="139" t="s">
        <v>252</v>
      </c>
      <c r="AS15" s="126" t="s">
        <v>248</v>
      </c>
      <c r="AT15" s="140" t="s">
        <v>274</v>
      </c>
      <c r="AU15" s="140" t="s">
        <v>147</v>
      </c>
      <c r="AV15" s="141"/>
      <c r="AW15" s="139">
        <v>8</v>
      </c>
      <c r="AX15" s="141">
        <v>339.00799999999998</v>
      </c>
      <c r="AY15" s="139">
        <f t="shared" si="43"/>
        <v>2712.0639999999999</v>
      </c>
      <c r="AZ15" s="142" t="b">
        <f t="shared" si="8"/>
        <v>1</v>
      </c>
      <c r="BA15" s="128">
        <v>0</v>
      </c>
      <c r="BB15" s="143">
        <f t="shared" si="44"/>
        <v>8</v>
      </c>
      <c r="BC15" s="144">
        <v>0</v>
      </c>
      <c r="BD15" s="143" t="s">
        <v>109</v>
      </c>
      <c r="BE15" s="144">
        <v>0</v>
      </c>
      <c r="BF15" s="143">
        <v>0</v>
      </c>
      <c r="BG15" s="144">
        <v>0</v>
      </c>
      <c r="BH15" s="130">
        <v>0</v>
      </c>
      <c r="BI15" s="133">
        <v>0</v>
      </c>
      <c r="BJ15" s="131">
        <v>0</v>
      </c>
      <c r="BK15" s="128">
        <v>0</v>
      </c>
      <c r="BL15" s="139">
        <v>0</v>
      </c>
      <c r="BM15" s="130">
        <v>0</v>
      </c>
      <c r="BN15" s="145">
        <f t="shared" si="45"/>
        <v>0</v>
      </c>
      <c r="BO15" s="129">
        <f t="shared" si="46"/>
        <v>2712.0639999999999</v>
      </c>
      <c r="BP15" s="135">
        <f t="shared" si="12"/>
        <v>192.6239999999998</v>
      </c>
      <c r="BQ15" s="144" t="str">
        <f t="shared" si="47"/>
        <v>Positive Margin</v>
      </c>
      <c r="BR15" s="146" t="s">
        <v>209</v>
      </c>
      <c r="BS15" s="128">
        <f t="shared" si="14"/>
        <v>192.6239999999998</v>
      </c>
      <c r="BT15" s="147" t="str">
        <f t="shared" si="48"/>
        <v>Positive Margin at Inception</v>
      </c>
      <c r="BU15" s="148">
        <f t="shared" si="49"/>
        <v>7.1024872569378825E-2</v>
      </c>
      <c r="BV15" s="147" t="str">
        <f t="shared" si="50"/>
        <v>More than 2%</v>
      </c>
      <c r="BW15" s="128">
        <f t="shared" si="51"/>
        <v>0</v>
      </c>
      <c r="BX15" s="129">
        <f t="shared" si="19"/>
        <v>0</v>
      </c>
      <c r="BY15" s="128">
        <f t="shared" si="52"/>
        <v>0</v>
      </c>
      <c r="BZ15" s="149">
        <f t="shared" si="53"/>
        <v>0</v>
      </c>
      <c r="CA15" s="149">
        <f t="shared" si="22"/>
        <v>0</v>
      </c>
      <c r="CB15" s="130">
        <f t="shared" si="54"/>
        <v>0</v>
      </c>
      <c r="CC15" s="149" t="s">
        <v>282</v>
      </c>
      <c r="CD15" s="130">
        <v>0</v>
      </c>
      <c r="CE15" s="130">
        <f t="shared" si="24"/>
        <v>2519.44</v>
      </c>
      <c r="CF15" s="130">
        <f t="shared" si="55"/>
        <v>2712.0639999999999</v>
      </c>
      <c r="CG15" s="130">
        <f t="shared" si="26"/>
        <v>1</v>
      </c>
      <c r="CH15" s="150">
        <v>0</v>
      </c>
      <c r="CI15" s="130">
        <v>0</v>
      </c>
      <c r="CJ15" s="130" t="e">
        <f>_xlfn.XLOOKUP(AP15,POC!B:B,POC!D:D)</f>
        <v>#N/A</v>
      </c>
      <c r="CK15" s="130">
        <f t="shared" si="27"/>
        <v>192.6239999999998</v>
      </c>
      <c r="CL15" s="130">
        <f t="shared" si="28"/>
        <v>192.6239999999998</v>
      </c>
      <c r="CM15" s="130">
        <f t="shared" si="29"/>
        <v>192.6239999999998</v>
      </c>
      <c r="CN15" s="130">
        <f t="shared" si="56"/>
        <v>3200.2355199999997</v>
      </c>
      <c r="CO15" s="130">
        <f t="shared" si="31"/>
        <v>-2972.9391999999998</v>
      </c>
      <c r="CP15" s="130">
        <f t="shared" si="57"/>
        <v>0</v>
      </c>
      <c r="CQ15" s="130">
        <f t="shared" si="58"/>
        <v>0</v>
      </c>
      <c r="CR15" s="130">
        <f t="shared" si="59"/>
        <v>227.29631999999992</v>
      </c>
      <c r="CS15" s="130" t="s">
        <v>236</v>
      </c>
      <c r="CT15" s="130" t="s">
        <v>236</v>
      </c>
      <c r="CU15" s="145" t="str">
        <f t="shared" si="35"/>
        <v>AAACI4487J</v>
      </c>
      <c r="CV15" s="145" t="str">
        <f t="shared" si="36"/>
        <v>AAHCR2638B</v>
      </c>
      <c r="CW15" s="152" t="str">
        <f t="shared" si="60"/>
        <v>9102515564CYIENT LIMITED</v>
      </c>
    </row>
    <row r="16" spans="2:101" s="152" customFormat="1" ht="11.85" customHeight="1" x14ac:dyDescent="0.25">
      <c r="B16" s="123" t="str">
        <f t="shared" ref="B16" si="61">"Q" &amp; IF(ROUNDUP(MONTH(D16)/3,0)-1=0,4,ROUNDUP(MONTH(D16)/3,0)-1)</f>
        <v>Q1</v>
      </c>
      <c r="C16" s="124" t="str">
        <f t="shared" ref="C16" si="62">TEXT(AN16,"mmm-yy")</f>
        <v>Apr-26</v>
      </c>
      <c r="D16" s="125">
        <v>46115</v>
      </c>
      <c r="E16" s="126" t="s">
        <v>348</v>
      </c>
      <c r="F16" s="126" t="s">
        <v>349</v>
      </c>
      <c r="G16" s="126" t="s">
        <v>350</v>
      </c>
      <c r="H16" s="127" t="s">
        <v>351</v>
      </c>
      <c r="I16" s="125">
        <v>46115</v>
      </c>
      <c r="J16" s="126" t="s">
        <v>352</v>
      </c>
      <c r="K16" s="125">
        <v>46120</v>
      </c>
      <c r="L16" s="126" t="s">
        <v>353</v>
      </c>
      <c r="M16" s="126" t="s">
        <v>354</v>
      </c>
      <c r="N16" s="127" t="s">
        <v>212</v>
      </c>
      <c r="O16" s="126">
        <v>700</v>
      </c>
      <c r="P16" s="283">
        <v>141.4</v>
      </c>
      <c r="Q16" s="128">
        <f t="shared" ref="Q16" si="63">O16*P16</f>
        <v>98980</v>
      </c>
      <c r="R16" s="129">
        <v>0</v>
      </c>
      <c r="S16" s="128">
        <f t="shared" ref="S16" si="64">O16-R16</f>
        <v>700</v>
      </c>
      <c r="T16" s="129">
        <v>0</v>
      </c>
      <c r="U16" s="130">
        <v>0</v>
      </c>
      <c r="V16" s="131">
        <v>0</v>
      </c>
      <c r="W16" s="130">
        <v>0</v>
      </c>
      <c r="X16" s="132">
        <v>0</v>
      </c>
      <c r="Y16" s="130">
        <v>0</v>
      </c>
      <c r="Z16" s="130">
        <v>0</v>
      </c>
      <c r="AA16" s="129">
        <v>0</v>
      </c>
      <c r="AB16" s="133">
        <f t="shared" ref="AB16" si="65">Y16+AA16+Z16</f>
        <v>0</v>
      </c>
      <c r="AC16" s="132">
        <v>0</v>
      </c>
      <c r="AD16" s="128">
        <v>0</v>
      </c>
      <c r="AE16" s="147">
        <v>0</v>
      </c>
      <c r="AF16" s="130">
        <v>0</v>
      </c>
      <c r="AG16" s="134">
        <v>0</v>
      </c>
      <c r="AH16" s="130">
        <v>0</v>
      </c>
      <c r="AI16" s="131">
        <v>0</v>
      </c>
      <c r="AJ16" s="130">
        <v>0</v>
      </c>
      <c r="AK16" s="130">
        <v>0</v>
      </c>
      <c r="AL16" s="130">
        <f t="shared" si="5"/>
        <v>0</v>
      </c>
      <c r="AM16" s="135">
        <f t="shared" ref="AM16" si="66">Q16+AB16+AL16+AK16+AJ16+T16+AE16</f>
        <v>98980</v>
      </c>
      <c r="AN16" s="136">
        <v>46120</v>
      </c>
      <c r="AO16" s="137" t="s">
        <v>355</v>
      </c>
      <c r="AP16" s="138" t="s">
        <v>356</v>
      </c>
      <c r="AQ16" s="139" t="s">
        <v>357</v>
      </c>
      <c r="AR16" s="139" t="s">
        <v>358</v>
      </c>
      <c r="AS16" s="126" t="s">
        <v>359</v>
      </c>
      <c r="AT16" s="140" t="s">
        <v>360</v>
      </c>
      <c r="AU16" s="140" t="s">
        <v>361</v>
      </c>
      <c r="AV16" s="141" t="s">
        <v>362</v>
      </c>
      <c r="AW16" s="139">
        <v>700</v>
      </c>
      <c r="AX16" s="141">
        <v>208.232</v>
      </c>
      <c r="AY16" s="139">
        <f t="shared" ref="AY16" si="67">AW16*AX16</f>
        <v>145762.4</v>
      </c>
      <c r="AZ16" s="142" t="b">
        <f t="shared" si="8"/>
        <v>1</v>
      </c>
      <c r="BA16" s="128">
        <v>0</v>
      </c>
      <c r="BB16" s="143">
        <f t="shared" ref="BB16" si="68">AW16-BA16</f>
        <v>700</v>
      </c>
      <c r="BC16" s="144">
        <v>0</v>
      </c>
      <c r="BD16" s="143" t="s">
        <v>109</v>
      </c>
      <c r="BE16" s="144">
        <v>0</v>
      </c>
      <c r="BF16" s="143">
        <v>0</v>
      </c>
      <c r="BG16" s="144">
        <v>0</v>
      </c>
      <c r="BH16" s="130">
        <v>0</v>
      </c>
      <c r="BI16" s="133">
        <v>0</v>
      </c>
      <c r="BJ16" s="131">
        <v>0</v>
      </c>
      <c r="BK16" s="128">
        <v>0</v>
      </c>
      <c r="BL16" s="139">
        <v>0</v>
      </c>
      <c r="BM16" s="130">
        <v>0</v>
      </c>
      <c r="BN16" s="145">
        <f t="shared" ref="BN16" si="69">AY16*$BM$3</f>
        <v>0</v>
      </c>
      <c r="BO16" s="129">
        <f t="shared" ref="BO16" si="70">AY16+BL16+BM16+BN16+BC16+BG16</f>
        <v>145762.4</v>
      </c>
      <c r="BP16" s="135">
        <f t="shared" si="12"/>
        <v>46782.399999999994</v>
      </c>
      <c r="BQ16" s="144" t="str">
        <f t="shared" ref="BQ16" si="71">IF(BP16&gt;=0,"Positive Margin","Negative Margin")</f>
        <v>Positive Margin</v>
      </c>
      <c r="BR16" s="146" t="s">
        <v>209</v>
      </c>
      <c r="BS16" s="128">
        <f t="shared" si="14"/>
        <v>46782.399999999994</v>
      </c>
      <c r="BT16" s="147" t="str">
        <f t="shared" ref="BT16" si="72">IF(BS16&lt;0, "Negative Margin at Inception", "Positive Margin at Inception")</f>
        <v>Positive Margin at Inception</v>
      </c>
      <c r="BU16" s="148">
        <f t="shared" ref="BU16" si="73">IFERROR(BP16/BO16,"0")</f>
        <v>0.32094970993891425</v>
      </c>
      <c r="BV16" s="147" t="str">
        <f t="shared" ref="BV16" si="74">IF(BU16&lt;1%,"Less Than 1%",IF(BU16&gt;2%,"More than 2%",IF(BU16&gt;=1%,"1% - 2%")))</f>
        <v>More than 2%</v>
      </c>
      <c r="BW16" s="128">
        <f t="shared" ref="BW16" si="75">BM16+BN16</f>
        <v>0</v>
      </c>
      <c r="BX16" s="129">
        <f t="shared" si="19"/>
        <v>0</v>
      </c>
      <c r="BY16" s="128">
        <f t="shared" ref="BY16" si="76">BW16-BX16</f>
        <v>0</v>
      </c>
      <c r="BZ16" s="149">
        <f t="shared" ref="BZ16" si="77">BM16</f>
        <v>0</v>
      </c>
      <c r="CA16" s="149">
        <f t="shared" si="22"/>
        <v>0</v>
      </c>
      <c r="CB16" s="130">
        <f t="shared" ref="CB16" si="78">BZ16-CA16</f>
        <v>0</v>
      </c>
      <c r="CC16" s="149" t="s">
        <v>282</v>
      </c>
      <c r="CD16" s="130">
        <v>0</v>
      </c>
      <c r="CE16" s="130">
        <f t="shared" si="24"/>
        <v>98980</v>
      </c>
      <c r="CF16" s="130">
        <f t="shared" ref="CF16" si="79">BO16-BN16</f>
        <v>145762.4</v>
      </c>
      <c r="CG16" s="130">
        <f t="shared" si="26"/>
        <v>1</v>
      </c>
      <c r="CH16" s="150">
        <v>0</v>
      </c>
      <c r="CI16" s="130">
        <v>0</v>
      </c>
      <c r="CJ16" s="130" t="e">
        <f>_xlfn.XLOOKUP(AP16,POC!B:B,POC!D:D)</f>
        <v>#N/A</v>
      </c>
      <c r="CK16" s="130">
        <f t="shared" si="27"/>
        <v>46782.399999999994</v>
      </c>
      <c r="CL16" s="130">
        <f t="shared" si="28"/>
        <v>46782.399999999994</v>
      </c>
      <c r="CM16" s="130">
        <f t="shared" si="29"/>
        <v>46782.399999999994</v>
      </c>
      <c r="CN16" s="130">
        <f t="shared" ref="CN16" si="80">AY16*118%</f>
        <v>171999.63199999998</v>
      </c>
      <c r="CO16" s="130">
        <f t="shared" si="31"/>
        <v>-116796.4</v>
      </c>
      <c r="CP16" s="130">
        <f t="shared" ref="CP16" si="81">-BZ16*118%</f>
        <v>0</v>
      </c>
      <c r="CQ16" s="130">
        <f t="shared" ref="CQ16" si="82">-CA16*118%</f>
        <v>0</v>
      </c>
      <c r="CR16" s="130">
        <f t="shared" ref="CR16" si="83">SUM(CN16:CQ16)</f>
        <v>55203.231999999989</v>
      </c>
      <c r="CS16" s="130" t="s">
        <v>236</v>
      </c>
      <c r="CT16" s="130" t="s">
        <v>236</v>
      </c>
      <c r="CU16" s="145" t="str">
        <f t="shared" si="35"/>
        <v>BGNPG9019D</v>
      </c>
      <c r="CV16" s="145" t="str">
        <f t="shared" si="36"/>
        <v>DAKPA5526G</v>
      </c>
      <c r="CW16" s="152" t="str">
        <f t="shared" si="60"/>
        <v>01M/S YAKSHIT TRADING</v>
      </c>
    </row>
    <row r="17" spans="2:101" s="152" customFormat="1" ht="11.85" customHeight="1" x14ac:dyDescent="0.25">
      <c r="B17" s="123" t="str">
        <f t="shared" ref="B17:B30" si="84">"Q" &amp; IF(ROUNDUP(MONTH(D17)/3,0)-1=0,4,ROUNDUP(MONTH(D17)/3,0)-1)</f>
        <v>Q1</v>
      </c>
      <c r="C17" s="124" t="str">
        <f t="shared" ref="C17:C30" si="85">TEXT(AN17,"mmm-yy")</f>
        <v>Apr-26</v>
      </c>
      <c r="D17" s="125">
        <v>46121</v>
      </c>
      <c r="E17" s="126" t="s">
        <v>365</v>
      </c>
      <c r="F17" s="126" t="s">
        <v>366</v>
      </c>
      <c r="G17" s="126" t="s">
        <v>367</v>
      </c>
      <c r="H17" s="127" t="s">
        <v>368</v>
      </c>
      <c r="I17" s="125">
        <v>46121</v>
      </c>
      <c r="J17" s="126" t="s">
        <v>369</v>
      </c>
      <c r="K17" s="125">
        <v>46128</v>
      </c>
      <c r="L17" s="126" t="s">
        <v>353</v>
      </c>
      <c r="M17" s="126" t="s">
        <v>370</v>
      </c>
      <c r="N17" s="127" t="s">
        <v>371</v>
      </c>
      <c r="O17" s="126">
        <v>730</v>
      </c>
      <c r="P17" s="283">
        <v>33.9</v>
      </c>
      <c r="Q17" s="128">
        <f t="shared" ref="Q17:Q30" si="86">O17*P17</f>
        <v>24747</v>
      </c>
      <c r="R17" s="129">
        <v>0</v>
      </c>
      <c r="S17" s="128">
        <f t="shared" ref="S17:S30" si="87">O17-R17</f>
        <v>730</v>
      </c>
      <c r="T17" s="129">
        <v>0</v>
      </c>
      <c r="U17" s="130">
        <v>0</v>
      </c>
      <c r="V17" s="131">
        <v>0</v>
      </c>
      <c r="W17" s="130">
        <v>0</v>
      </c>
      <c r="X17" s="132">
        <v>0</v>
      </c>
      <c r="Y17" s="130">
        <v>0</v>
      </c>
      <c r="Z17" s="130">
        <v>0</v>
      </c>
      <c r="AA17" s="129">
        <v>0</v>
      </c>
      <c r="AB17" s="133">
        <f t="shared" ref="AB17:AB30" si="88">Y17+AA17+Z17</f>
        <v>0</v>
      </c>
      <c r="AC17" s="132">
        <v>0</v>
      </c>
      <c r="AD17" s="128">
        <v>0</v>
      </c>
      <c r="AE17" s="147">
        <v>0</v>
      </c>
      <c r="AF17" s="130">
        <v>0</v>
      </c>
      <c r="AG17" s="134">
        <v>0</v>
      </c>
      <c r="AH17" s="130">
        <v>0</v>
      </c>
      <c r="AI17" s="131">
        <v>0</v>
      </c>
      <c r="AJ17" s="130">
        <v>0</v>
      </c>
      <c r="AK17" s="130">
        <v>0</v>
      </c>
      <c r="AL17" s="130">
        <f t="shared" ref="AL17:AL30" si="89">(BN17*P17/AX17)+AB17/O17*(BN17/AX17)</f>
        <v>0</v>
      </c>
      <c r="AM17" s="135">
        <f t="shared" ref="AM17:AM30" si="90">Q17+AB17+AL17+AK17+AJ17+T17+AE17</f>
        <v>24747</v>
      </c>
      <c r="AN17" s="136">
        <v>46128</v>
      </c>
      <c r="AO17" s="137" t="s">
        <v>384</v>
      </c>
      <c r="AP17" s="138" t="s">
        <v>356</v>
      </c>
      <c r="AQ17" s="139" t="s">
        <v>357</v>
      </c>
      <c r="AR17" s="139" t="s">
        <v>358</v>
      </c>
      <c r="AS17" s="126" t="s">
        <v>385</v>
      </c>
      <c r="AT17" s="140" t="s">
        <v>360</v>
      </c>
      <c r="AU17" s="140" t="s">
        <v>361</v>
      </c>
      <c r="AV17" s="141" t="s">
        <v>208</v>
      </c>
      <c r="AW17" s="139">
        <v>730</v>
      </c>
      <c r="AX17" s="141">
        <v>54.005000000000003</v>
      </c>
      <c r="AY17" s="139">
        <f t="shared" ref="AY17:AY30" si="91">AW17*AX17</f>
        <v>39423.65</v>
      </c>
      <c r="AZ17" s="142" t="b">
        <f t="shared" ref="AZ17:AZ30" si="92">AW17=O17</f>
        <v>1</v>
      </c>
      <c r="BA17" s="128">
        <v>0</v>
      </c>
      <c r="BB17" s="143">
        <f t="shared" ref="BB17:BB30" si="93">AW17-BA17</f>
        <v>730</v>
      </c>
      <c r="BC17" s="144">
        <v>0</v>
      </c>
      <c r="BD17" s="143" t="s">
        <v>109</v>
      </c>
      <c r="BE17" s="144">
        <v>0</v>
      </c>
      <c r="BF17" s="143">
        <v>0</v>
      </c>
      <c r="BG17" s="144">
        <v>0</v>
      </c>
      <c r="BH17" s="130">
        <v>0</v>
      </c>
      <c r="BI17" s="133">
        <v>0</v>
      </c>
      <c r="BJ17" s="131">
        <v>0</v>
      </c>
      <c r="BK17" s="128">
        <v>0</v>
      </c>
      <c r="BL17" s="139">
        <v>0</v>
      </c>
      <c r="BM17" s="130">
        <v>0</v>
      </c>
      <c r="BN17" s="145">
        <f t="shared" ref="BN17:BN30" si="94">AY17*$BM$3</f>
        <v>0</v>
      </c>
      <c r="BO17" s="129">
        <f t="shared" ref="BO17:BO30" si="95">AY17+BL17+BM17+BN17+BC17+BG17</f>
        <v>39423.65</v>
      </c>
      <c r="BP17" s="135">
        <f t="shared" ref="BP17:BP30" si="96">BO17-AM17</f>
        <v>14676.650000000001</v>
      </c>
      <c r="BQ17" s="144" t="str">
        <f t="shared" ref="BQ17:BQ30" si="97">IF(BP17&gt;=0,"Positive Margin","Negative Margin")</f>
        <v>Positive Margin</v>
      </c>
      <c r="BR17" s="146" t="s">
        <v>209</v>
      </c>
      <c r="BS17" s="128">
        <f t="shared" ref="BS17:BS30" si="98">AY17-Y17-Q17-AA17-T17+BC17</f>
        <v>14676.650000000001</v>
      </c>
      <c r="BT17" s="147" t="str">
        <f t="shared" ref="BT17:BT30" si="99">IF(BS17&lt;0, "Negative Margin at Inception", "Positive Margin at Inception")</f>
        <v>Positive Margin at Inception</v>
      </c>
      <c r="BU17" s="148">
        <f t="shared" ref="BU17:BU30" si="100">IFERROR(BP17/BO17,"0")</f>
        <v>0.37228034441255442</v>
      </c>
      <c r="BV17" s="147" t="str">
        <f t="shared" ref="BV17:BV30" si="101">IF(BU17&lt;1%,"Less Than 1%",IF(BU17&gt;2%,"More than 2%",IF(BU17&gt;=1%,"1% - 2%")))</f>
        <v>More than 2%</v>
      </c>
      <c r="BW17" s="128">
        <f t="shared" ref="BW17:BW30" si="102">BM17+BN17</f>
        <v>0</v>
      </c>
      <c r="BX17" s="129">
        <f t="shared" ref="BX17:BX30" si="103">AL17+AK17</f>
        <v>0</v>
      </c>
      <c r="BY17" s="128">
        <f t="shared" ref="BY17:BY30" si="104">BW17-BX17</f>
        <v>0</v>
      </c>
      <c r="BZ17" s="149">
        <f t="shared" ref="BZ17:BZ30" si="105">BM17</f>
        <v>0</v>
      </c>
      <c r="CA17" s="149">
        <f t="shared" ref="CA17:CA30" si="106">AK17</f>
        <v>0</v>
      </c>
      <c r="CB17" s="130">
        <f t="shared" ref="CB17:CB30" si="107">BZ17-CA17</f>
        <v>0</v>
      </c>
      <c r="CC17" s="149" t="s">
        <v>282</v>
      </c>
      <c r="CD17" s="130">
        <v>0</v>
      </c>
      <c r="CE17" s="130">
        <f t="shared" ref="CE17:CE30" si="108">AM17-AL17-AA17</f>
        <v>24747</v>
      </c>
      <c r="CF17" s="130">
        <f t="shared" ref="CF17:CF30" si="109">BO17-BN17</f>
        <v>39423.65</v>
      </c>
      <c r="CG17" s="130">
        <f t="shared" ref="CG17:CG30" si="110">INT((D17- IF(MONTH(D17) &gt;= 4, DATE(YEAR(D17), 4, 1), DATE(YEAR(D17)-1, 4, 1))) / 7) + 1</f>
        <v>2</v>
      </c>
      <c r="CH17" s="150">
        <v>0</v>
      </c>
      <c r="CI17" s="130">
        <v>0</v>
      </c>
      <c r="CJ17" s="130" t="e">
        <f>_xlfn.XLOOKUP(AP17,POC!B:B,POC!D:D)</f>
        <v>#N/A</v>
      </c>
      <c r="CK17" s="130">
        <f t="shared" ref="CK17:CK30" si="111">AY17-Q17</f>
        <v>14676.650000000001</v>
      </c>
      <c r="CL17" s="130">
        <f t="shared" ref="CL17:CL30" si="112">CK17-Y17+Z17</f>
        <v>14676.650000000001</v>
      </c>
      <c r="CM17" s="130">
        <f t="shared" ref="CM17:CM30" si="113">BO17-AM17</f>
        <v>14676.650000000001</v>
      </c>
      <c r="CN17" s="130">
        <f t="shared" ref="CN17:CN30" si="114">AY17*118%</f>
        <v>46519.906999999999</v>
      </c>
      <c r="CO17" s="130">
        <f t="shared" ref="CO17:CO30" si="115">-Q17*118%</f>
        <v>-29201.46</v>
      </c>
      <c r="CP17" s="130">
        <f t="shared" ref="CP17:CP30" si="116">-BZ17*118%</f>
        <v>0</v>
      </c>
      <c r="CQ17" s="130">
        <f t="shared" ref="CQ17:CQ30" si="117">-CA17*118%</f>
        <v>0</v>
      </c>
      <c r="CR17" s="130">
        <f t="shared" ref="CR17:CR30" si="118">SUM(CN17:CQ17)</f>
        <v>17318.447</v>
      </c>
      <c r="CS17" s="130" t="s">
        <v>236</v>
      </c>
      <c r="CT17" s="130" t="s">
        <v>236</v>
      </c>
      <c r="CU17" s="145" t="str">
        <f t="shared" ref="CU17:CU30" si="119">MID(G17,3,10)</f>
        <v>AAATH0878B</v>
      </c>
      <c r="CV17" s="145" t="str">
        <f t="shared" ref="CV17:CV30" si="120">MID(AR17,3,10)</f>
        <v>DAKPA5526G</v>
      </c>
      <c r="CW17" s="152" t="str">
        <f t="shared" ref="CW17:CW30" si="121">H17&amp;F17</f>
        <v>203000016HYDERABAD EYE INSTITUTE</v>
      </c>
    </row>
    <row r="18" spans="2:101" s="152" customFormat="1" ht="11.85" customHeight="1" x14ac:dyDescent="0.25">
      <c r="B18" s="123" t="str">
        <f t="shared" si="84"/>
        <v>Q1</v>
      </c>
      <c r="C18" s="124" t="str">
        <f t="shared" si="85"/>
        <v>Apr-26</v>
      </c>
      <c r="D18" s="125">
        <v>46126</v>
      </c>
      <c r="E18" s="126" t="s">
        <v>372</v>
      </c>
      <c r="F18" s="126" t="s">
        <v>286</v>
      </c>
      <c r="G18" s="126" t="s">
        <v>343</v>
      </c>
      <c r="H18" s="127" t="s">
        <v>373</v>
      </c>
      <c r="I18" s="125">
        <v>46094</v>
      </c>
      <c r="J18" s="126" t="s">
        <v>374</v>
      </c>
      <c r="K18" s="125">
        <v>46126</v>
      </c>
      <c r="L18" s="126" t="s">
        <v>375</v>
      </c>
      <c r="M18" s="126" t="s">
        <v>208</v>
      </c>
      <c r="N18" s="127" t="s">
        <v>212</v>
      </c>
      <c r="O18" s="126">
        <v>37</v>
      </c>
      <c r="P18" s="283">
        <v>847</v>
      </c>
      <c r="Q18" s="128">
        <f t="shared" si="86"/>
        <v>31339</v>
      </c>
      <c r="R18" s="129">
        <v>0</v>
      </c>
      <c r="S18" s="128">
        <f t="shared" si="87"/>
        <v>37</v>
      </c>
      <c r="T18" s="129">
        <v>0</v>
      </c>
      <c r="U18" s="130">
        <v>0</v>
      </c>
      <c r="V18" s="131">
        <v>0</v>
      </c>
      <c r="W18" s="130">
        <v>0</v>
      </c>
      <c r="X18" s="132">
        <v>0</v>
      </c>
      <c r="Y18" s="130">
        <v>0</v>
      </c>
      <c r="Z18" s="130">
        <v>0</v>
      </c>
      <c r="AA18" s="129">
        <v>0</v>
      </c>
      <c r="AB18" s="133">
        <f t="shared" si="88"/>
        <v>0</v>
      </c>
      <c r="AC18" s="132">
        <v>0</v>
      </c>
      <c r="AD18" s="128">
        <v>0</v>
      </c>
      <c r="AE18" s="147">
        <v>0</v>
      </c>
      <c r="AF18" s="130">
        <v>0</v>
      </c>
      <c r="AG18" s="134">
        <v>0</v>
      </c>
      <c r="AH18" s="130">
        <v>0</v>
      </c>
      <c r="AI18" s="131">
        <v>0</v>
      </c>
      <c r="AJ18" s="130">
        <v>0</v>
      </c>
      <c r="AK18" s="130">
        <v>0</v>
      </c>
      <c r="AL18" s="130">
        <f t="shared" si="89"/>
        <v>0</v>
      </c>
      <c r="AM18" s="135">
        <f t="shared" si="90"/>
        <v>31339</v>
      </c>
      <c r="AN18" s="136">
        <v>46126</v>
      </c>
      <c r="AO18" s="137" t="s">
        <v>386</v>
      </c>
      <c r="AP18" s="138" t="s">
        <v>239</v>
      </c>
      <c r="AQ18" s="139" t="s">
        <v>240</v>
      </c>
      <c r="AR18" s="139" t="s">
        <v>260</v>
      </c>
      <c r="AS18" s="126" t="s">
        <v>387</v>
      </c>
      <c r="AT18" s="140" t="s">
        <v>247</v>
      </c>
      <c r="AU18" s="140" t="s">
        <v>228</v>
      </c>
      <c r="AV18" s="141" t="s">
        <v>208</v>
      </c>
      <c r="AW18" s="139">
        <v>37</v>
      </c>
      <c r="AX18" s="141">
        <v>932.2</v>
      </c>
      <c r="AY18" s="139">
        <f t="shared" si="91"/>
        <v>34491.4</v>
      </c>
      <c r="AZ18" s="142" t="b">
        <f t="shared" si="92"/>
        <v>1</v>
      </c>
      <c r="BA18" s="128">
        <v>0</v>
      </c>
      <c r="BB18" s="143">
        <f t="shared" si="93"/>
        <v>37</v>
      </c>
      <c r="BC18" s="144">
        <v>0</v>
      </c>
      <c r="BD18" s="143" t="s">
        <v>109</v>
      </c>
      <c r="BE18" s="144">
        <v>0</v>
      </c>
      <c r="BF18" s="143">
        <v>0</v>
      </c>
      <c r="BG18" s="144">
        <v>0</v>
      </c>
      <c r="BH18" s="130">
        <v>0</v>
      </c>
      <c r="BI18" s="133">
        <v>0</v>
      </c>
      <c r="BJ18" s="131">
        <v>0</v>
      </c>
      <c r="BK18" s="128">
        <v>0</v>
      </c>
      <c r="BL18" s="139">
        <v>0</v>
      </c>
      <c r="BM18" s="130">
        <v>0</v>
      </c>
      <c r="BN18" s="145">
        <f t="shared" si="94"/>
        <v>0</v>
      </c>
      <c r="BO18" s="129">
        <f t="shared" si="95"/>
        <v>34491.4</v>
      </c>
      <c r="BP18" s="135">
        <f t="shared" si="96"/>
        <v>3152.4000000000015</v>
      </c>
      <c r="BQ18" s="144" t="str">
        <f t="shared" si="97"/>
        <v>Positive Margin</v>
      </c>
      <c r="BR18" s="146" t="s">
        <v>209</v>
      </c>
      <c r="BS18" s="128">
        <f t="shared" si="98"/>
        <v>3152.4000000000015</v>
      </c>
      <c r="BT18" s="147" t="str">
        <f t="shared" si="99"/>
        <v>Positive Margin at Inception</v>
      </c>
      <c r="BU18" s="148">
        <f t="shared" si="100"/>
        <v>9.1396695987985443E-2</v>
      </c>
      <c r="BV18" s="147" t="str">
        <f t="shared" si="101"/>
        <v>More than 2%</v>
      </c>
      <c r="BW18" s="128">
        <f t="shared" si="102"/>
        <v>0</v>
      </c>
      <c r="BX18" s="129">
        <f t="shared" si="103"/>
        <v>0</v>
      </c>
      <c r="BY18" s="128">
        <f t="shared" si="104"/>
        <v>0</v>
      </c>
      <c r="BZ18" s="149">
        <f t="shared" si="105"/>
        <v>0</v>
      </c>
      <c r="CA18" s="149">
        <f t="shared" si="106"/>
        <v>0</v>
      </c>
      <c r="CB18" s="130">
        <f t="shared" si="107"/>
        <v>0</v>
      </c>
      <c r="CC18" s="149" t="s">
        <v>282</v>
      </c>
      <c r="CD18" s="130">
        <v>0</v>
      </c>
      <c r="CE18" s="130">
        <f t="shared" si="108"/>
        <v>31339</v>
      </c>
      <c r="CF18" s="130">
        <f t="shared" si="109"/>
        <v>34491.4</v>
      </c>
      <c r="CG18" s="130">
        <f t="shared" si="110"/>
        <v>2</v>
      </c>
      <c r="CH18" s="150">
        <v>0</v>
      </c>
      <c r="CI18" s="130">
        <v>0</v>
      </c>
      <c r="CJ18" s="130" t="e">
        <f>_xlfn.XLOOKUP(AP18,POC!B:B,POC!D:D)</f>
        <v>#N/A</v>
      </c>
      <c r="CK18" s="130">
        <f t="shared" si="111"/>
        <v>3152.4000000000015</v>
      </c>
      <c r="CL18" s="130">
        <f t="shared" si="112"/>
        <v>3152.4000000000015</v>
      </c>
      <c r="CM18" s="130">
        <f t="shared" si="113"/>
        <v>3152.4000000000015</v>
      </c>
      <c r="CN18" s="130">
        <f t="shared" si="114"/>
        <v>40699.851999999999</v>
      </c>
      <c r="CO18" s="130">
        <f t="shared" si="115"/>
        <v>-36980.019999999997</v>
      </c>
      <c r="CP18" s="130">
        <f t="shared" si="116"/>
        <v>0</v>
      </c>
      <c r="CQ18" s="130">
        <f t="shared" si="117"/>
        <v>0</v>
      </c>
      <c r="CR18" s="130">
        <f t="shared" si="118"/>
        <v>3719.8320000000022</v>
      </c>
      <c r="CS18" s="130" t="s">
        <v>236</v>
      </c>
      <c r="CT18" s="130" t="s">
        <v>236</v>
      </c>
      <c r="CU18" s="145" t="str">
        <f t="shared" si="119"/>
        <v>AADCC6184H</v>
      </c>
      <c r="CV18" s="145" t="str">
        <f t="shared" si="120"/>
        <v>AARFT3586D</v>
      </c>
      <c r="CW18" s="152" t="str">
        <f t="shared" si="121"/>
        <v>2026290000000086CHAITANYA INDIA FIN CREDIT PRIVATE LIMITED</v>
      </c>
    </row>
    <row r="19" spans="2:101" s="152" customFormat="1" ht="11.85" customHeight="1" x14ac:dyDescent="0.25">
      <c r="B19" s="123" t="str">
        <f t="shared" si="84"/>
        <v>Q1</v>
      </c>
      <c r="C19" s="124" t="str">
        <f t="shared" si="85"/>
        <v>Apr-26</v>
      </c>
      <c r="D19" s="125">
        <v>46126</v>
      </c>
      <c r="E19" s="126" t="s">
        <v>372</v>
      </c>
      <c r="F19" s="126" t="s">
        <v>286</v>
      </c>
      <c r="G19" s="126" t="s">
        <v>343</v>
      </c>
      <c r="H19" s="127" t="s">
        <v>373</v>
      </c>
      <c r="I19" s="125">
        <v>46094</v>
      </c>
      <c r="J19" s="126" t="s">
        <v>374</v>
      </c>
      <c r="K19" s="125">
        <v>46126</v>
      </c>
      <c r="L19" s="126" t="s">
        <v>375</v>
      </c>
      <c r="M19" s="126" t="s">
        <v>208</v>
      </c>
      <c r="N19" s="127" t="s">
        <v>212</v>
      </c>
      <c r="O19" s="126">
        <v>101</v>
      </c>
      <c r="P19" s="283">
        <v>1576</v>
      </c>
      <c r="Q19" s="128">
        <f t="shared" si="86"/>
        <v>159176</v>
      </c>
      <c r="R19" s="129">
        <v>0</v>
      </c>
      <c r="S19" s="128">
        <f t="shared" si="87"/>
        <v>101</v>
      </c>
      <c r="T19" s="129">
        <v>0</v>
      </c>
      <c r="U19" s="130">
        <v>0</v>
      </c>
      <c r="V19" s="131">
        <v>0</v>
      </c>
      <c r="W19" s="130">
        <v>0</v>
      </c>
      <c r="X19" s="132">
        <v>0</v>
      </c>
      <c r="Y19" s="130">
        <v>0</v>
      </c>
      <c r="Z19" s="130">
        <v>0</v>
      </c>
      <c r="AA19" s="129">
        <v>0</v>
      </c>
      <c r="AB19" s="133">
        <f t="shared" si="88"/>
        <v>0</v>
      </c>
      <c r="AC19" s="132">
        <v>0</v>
      </c>
      <c r="AD19" s="128">
        <v>0</v>
      </c>
      <c r="AE19" s="147">
        <v>0</v>
      </c>
      <c r="AF19" s="130">
        <v>0</v>
      </c>
      <c r="AG19" s="134">
        <v>0</v>
      </c>
      <c r="AH19" s="130">
        <v>0</v>
      </c>
      <c r="AI19" s="131">
        <v>0</v>
      </c>
      <c r="AJ19" s="130">
        <v>0</v>
      </c>
      <c r="AK19" s="130">
        <v>0</v>
      </c>
      <c r="AL19" s="130">
        <f t="shared" si="89"/>
        <v>0</v>
      </c>
      <c r="AM19" s="135">
        <f t="shared" si="90"/>
        <v>159176</v>
      </c>
      <c r="AN19" s="136">
        <v>46126</v>
      </c>
      <c r="AO19" s="137" t="s">
        <v>386</v>
      </c>
      <c r="AP19" s="138" t="s">
        <v>239</v>
      </c>
      <c r="AQ19" s="139" t="s">
        <v>240</v>
      </c>
      <c r="AR19" s="139" t="s">
        <v>260</v>
      </c>
      <c r="AS19" s="126" t="s">
        <v>387</v>
      </c>
      <c r="AT19" s="140" t="s">
        <v>247</v>
      </c>
      <c r="AU19" s="140" t="s">
        <v>228</v>
      </c>
      <c r="AV19" s="141" t="s">
        <v>208</v>
      </c>
      <c r="AW19" s="139">
        <v>101</v>
      </c>
      <c r="AX19" s="141">
        <v>1733.9</v>
      </c>
      <c r="AY19" s="139">
        <f t="shared" si="91"/>
        <v>175123.90000000002</v>
      </c>
      <c r="AZ19" s="142" t="b">
        <f t="shared" si="92"/>
        <v>1</v>
      </c>
      <c r="BA19" s="128">
        <v>0</v>
      </c>
      <c r="BB19" s="143">
        <f t="shared" si="93"/>
        <v>101</v>
      </c>
      <c r="BC19" s="144">
        <v>0</v>
      </c>
      <c r="BD19" s="143" t="s">
        <v>109</v>
      </c>
      <c r="BE19" s="144">
        <v>0</v>
      </c>
      <c r="BF19" s="143">
        <v>0</v>
      </c>
      <c r="BG19" s="144">
        <v>0</v>
      </c>
      <c r="BH19" s="130">
        <v>0</v>
      </c>
      <c r="BI19" s="133">
        <v>0</v>
      </c>
      <c r="BJ19" s="131">
        <v>0</v>
      </c>
      <c r="BK19" s="128">
        <v>0</v>
      </c>
      <c r="BL19" s="139">
        <v>0</v>
      </c>
      <c r="BM19" s="130">
        <v>0</v>
      </c>
      <c r="BN19" s="145">
        <f t="shared" si="94"/>
        <v>0</v>
      </c>
      <c r="BO19" s="129">
        <f t="shared" si="95"/>
        <v>175123.90000000002</v>
      </c>
      <c r="BP19" s="135">
        <f t="shared" si="96"/>
        <v>15947.900000000023</v>
      </c>
      <c r="BQ19" s="144" t="str">
        <f t="shared" si="97"/>
        <v>Positive Margin</v>
      </c>
      <c r="BR19" s="146" t="s">
        <v>209</v>
      </c>
      <c r="BS19" s="128">
        <f t="shared" si="98"/>
        <v>15947.900000000023</v>
      </c>
      <c r="BT19" s="147" t="str">
        <f t="shared" si="99"/>
        <v>Positive Margin at Inception</v>
      </c>
      <c r="BU19" s="148">
        <f t="shared" si="100"/>
        <v>9.1066382144299102E-2</v>
      </c>
      <c r="BV19" s="147" t="str">
        <f t="shared" si="101"/>
        <v>More than 2%</v>
      </c>
      <c r="BW19" s="128">
        <f t="shared" si="102"/>
        <v>0</v>
      </c>
      <c r="BX19" s="129">
        <f t="shared" si="103"/>
        <v>0</v>
      </c>
      <c r="BY19" s="128">
        <f t="shared" si="104"/>
        <v>0</v>
      </c>
      <c r="BZ19" s="149">
        <f t="shared" si="105"/>
        <v>0</v>
      </c>
      <c r="CA19" s="149">
        <f t="shared" si="106"/>
        <v>0</v>
      </c>
      <c r="CB19" s="130">
        <f t="shared" si="107"/>
        <v>0</v>
      </c>
      <c r="CC19" s="149" t="s">
        <v>282</v>
      </c>
      <c r="CD19" s="130">
        <v>0</v>
      </c>
      <c r="CE19" s="130">
        <f t="shared" si="108"/>
        <v>159176</v>
      </c>
      <c r="CF19" s="130">
        <f t="shared" si="109"/>
        <v>175123.90000000002</v>
      </c>
      <c r="CG19" s="130">
        <f t="shared" si="110"/>
        <v>2</v>
      </c>
      <c r="CH19" s="150">
        <v>0</v>
      </c>
      <c r="CI19" s="130">
        <v>0</v>
      </c>
      <c r="CJ19" s="130" t="e">
        <f>_xlfn.XLOOKUP(AP19,POC!B:B,POC!D:D)</f>
        <v>#N/A</v>
      </c>
      <c r="CK19" s="130">
        <f t="shared" si="111"/>
        <v>15947.900000000023</v>
      </c>
      <c r="CL19" s="130">
        <f t="shared" si="112"/>
        <v>15947.900000000023</v>
      </c>
      <c r="CM19" s="130">
        <f t="shared" si="113"/>
        <v>15947.900000000023</v>
      </c>
      <c r="CN19" s="130">
        <f t="shared" si="114"/>
        <v>206646.20200000002</v>
      </c>
      <c r="CO19" s="130">
        <f t="shared" si="115"/>
        <v>-187827.68</v>
      </c>
      <c r="CP19" s="130">
        <f t="shared" si="116"/>
        <v>0</v>
      </c>
      <c r="CQ19" s="130">
        <f t="shared" si="117"/>
        <v>0</v>
      </c>
      <c r="CR19" s="130">
        <f t="shared" si="118"/>
        <v>18818.522000000026</v>
      </c>
      <c r="CS19" s="130" t="s">
        <v>236</v>
      </c>
      <c r="CT19" s="130" t="s">
        <v>236</v>
      </c>
      <c r="CU19" s="145" t="str">
        <f t="shared" si="119"/>
        <v>AADCC6184H</v>
      </c>
      <c r="CV19" s="145" t="str">
        <f t="shared" si="120"/>
        <v>AARFT3586D</v>
      </c>
      <c r="CW19" s="152" t="str">
        <f t="shared" si="121"/>
        <v>2026290000000086CHAITANYA INDIA FIN CREDIT PRIVATE LIMITED</v>
      </c>
    </row>
    <row r="20" spans="2:101" s="152" customFormat="1" ht="11.85" customHeight="1" x14ac:dyDescent="0.25">
      <c r="B20" s="123" t="str">
        <f t="shared" si="84"/>
        <v>Q1</v>
      </c>
      <c r="C20" s="124" t="str">
        <f t="shared" si="85"/>
        <v>Apr-26</v>
      </c>
      <c r="D20" s="125">
        <v>46126</v>
      </c>
      <c r="E20" s="126" t="s">
        <v>372</v>
      </c>
      <c r="F20" s="126" t="s">
        <v>286</v>
      </c>
      <c r="G20" s="126" t="s">
        <v>343</v>
      </c>
      <c r="H20" s="127" t="s">
        <v>373</v>
      </c>
      <c r="I20" s="125">
        <v>46094</v>
      </c>
      <c r="J20" s="126" t="s">
        <v>374</v>
      </c>
      <c r="K20" s="125">
        <v>46126</v>
      </c>
      <c r="L20" s="126" t="s">
        <v>375</v>
      </c>
      <c r="M20" s="126" t="s">
        <v>208</v>
      </c>
      <c r="N20" s="127" t="s">
        <v>212</v>
      </c>
      <c r="O20" s="126">
        <v>41</v>
      </c>
      <c r="P20" s="283">
        <v>85</v>
      </c>
      <c r="Q20" s="128">
        <f t="shared" si="86"/>
        <v>3485</v>
      </c>
      <c r="R20" s="129">
        <v>0</v>
      </c>
      <c r="S20" s="128">
        <f t="shared" si="87"/>
        <v>41</v>
      </c>
      <c r="T20" s="129">
        <v>0</v>
      </c>
      <c r="U20" s="130">
        <v>0</v>
      </c>
      <c r="V20" s="131">
        <v>0</v>
      </c>
      <c r="W20" s="130">
        <v>0</v>
      </c>
      <c r="X20" s="132">
        <v>0</v>
      </c>
      <c r="Y20" s="130">
        <v>0</v>
      </c>
      <c r="Z20" s="130">
        <v>0</v>
      </c>
      <c r="AA20" s="129">
        <v>0</v>
      </c>
      <c r="AB20" s="133">
        <f t="shared" si="88"/>
        <v>0</v>
      </c>
      <c r="AC20" s="132">
        <v>0</v>
      </c>
      <c r="AD20" s="128">
        <v>0</v>
      </c>
      <c r="AE20" s="147">
        <v>0</v>
      </c>
      <c r="AF20" s="130">
        <v>0</v>
      </c>
      <c r="AG20" s="134">
        <v>0</v>
      </c>
      <c r="AH20" s="130">
        <v>0</v>
      </c>
      <c r="AI20" s="131">
        <v>0</v>
      </c>
      <c r="AJ20" s="130">
        <v>0</v>
      </c>
      <c r="AK20" s="130">
        <v>0</v>
      </c>
      <c r="AL20" s="130">
        <f t="shared" si="89"/>
        <v>0</v>
      </c>
      <c r="AM20" s="135">
        <f t="shared" si="90"/>
        <v>3485</v>
      </c>
      <c r="AN20" s="136">
        <v>46126</v>
      </c>
      <c r="AO20" s="137" t="s">
        <v>386</v>
      </c>
      <c r="AP20" s="138" t="s">
        <v>239</v>
      </c>
      <c r="AQ20" s="139" t="s">
        <v>240</v>
      </c>
      <c r="AR20" s="139" t="s">
        <v>260</v>
      </c>
      <c r="AS20" s="126" t="s">
        <v>387</v>
      </c>
      <c r="AT20" s="140" t="s">
        <v>247</v>
      </c>
      <c r="AU20" s="140" t="s">
        <v>228</v>
      </c>
      <c r="AV20" s="141" t="s">
        <v>208</v>
      </c>
      <c r="AW20" s="139">
        <v>41</v>
      </c>
      <c r="AX20" s="141">
        <v>93.22</v>
      </c>
      <c r="AY20" s="139">
        <f t="shared" si="91"/>
        <v>3822.02</v>
      </c>
      <c r="AZ20" s="142" t="b">
        <f t="shared" si="92"/>
        <v>1</v>
      </c>
      <c r="BA20" s="128">
        <v>0</v>
      </c>
      <c r="BB20" s="143">
        <f t="shared" si="93"/>
        <v>41</v>
      </c>
      <c r="BC20" s="144">
        <v>0</v>
      </c>
      <c r="BD20" s="143" t="s">
        <v>109</v>
      </c>
      <c r="BE20" s="144">
        <v>0</v>
      </c>
      <c r="BF20" s="143">
        <v>0</v>
      </c>
      <c r="BG20" s="144">
        <v>0</v>
      </c>
      <c r="BH20" s="130">
        <v>0</v>
      </c>
      <c r="BI20" s="133">
        <v>0</v>
      </c>
      <c r="BJ20" s="131">
        <v>0</v>
      </c>
      <c r="BK20" s="128">
        <v>0</v>
      </c>
      <c r="BL20" s="139">
        <v>0</v>
      </c>
      <c r="BM20" s="130">
        <v>0</v>
      </c>
      <c r="BN20" s="145">
        <f t="shared" si="94"/>
        <v>0</v>
      </c>
      <c r="BO20" s="129">
        <f t="shared" si="95"/>
        <v>3822.02</v>
      </c>
      <c r="BP20" s="135">
        <f t="shared" si="96"/>
        <v>337.02</v>
      </c>
      <c r="BQ20" s="144" t="str">
        <f t="shared" si="97"/>
        <v>Positive Margin</v>
      </c>
      <c r="BR20" s="146" t="s">
        <v>209</v>
      </c>
      <c r="BS20" s="128">
        <f t="shared" si="98"/>
        <v>337.02</v>
      </c>
      <c r="BT20" s="147" t="str">
        <f t="shared" si="99"/>
        <v>Positive Margin at Inception</v>
      </c>
      <c r="BU20" s="148">
        <f t="shared" si="100"/>
        <v>8.8178502467281691E-2</v>
      </c>
      <c r="BV20" s="147" t="str">
        <f t="shared" si="101"/>
        <v>More than 2%</v>
      </c>
      <c r="BW20" s="128">
        <f t="shared" si="102"/>
        <v>0</v>
      </c>
      <c r="BX20" s="129">
        <f t="shared" si="103"/>
        <v>0</v>
      </c>
      <c r="BY20" s="128">
        <f t="shared" si="104"/>
        <v>0</v>
      </c>
      <c r="BZ20" s="149">
        <f t="shared" si="105"/>
        <v>0</v>
      </c>
      <c r="CA20" s="149">
        <f t="shared" si="106"/>
        <v>0</v>
      </c>
      <c r="CB20" s="130">
        <f t="shared" si="107"/>
        <v>0</v>
      </c>
      <c r="CC20" s="149" t="s">
        <v>282</v>
      </c>
      <c r="CD20" s="130">
        <v>0</v>
      </c>
      <c r="CE20" s="130">
        <f t="shared" si="108"/>
        <v>3485</v>
      </c>
      <c r="CF20" s="130">
        <f t="shared" si="109"/>
        <v>3822.02</v>
      </c>
      <c r="CG20" s="130">
        <f t="shared" si="110"/>
        <v>2</v>
      </c>
      <c r="CH20" s="150">
        <v>0</v>
      </c>
      <c r="CI20" s="130">
        <v>0</v>
      </c>
      <c r="CJ20" s="130" t="e">
        <f>_xlfn.XLOOKUP(AP20,POC!B:B,POC!D:D)</f>
        <v>#N/A</v>
      </c>
      <c r="CK20" s="130">
        <f t="shared" si="111"/>
        <v>337.02</v>
      </c>
      <c r="CL20" s="130">
        <f t="shared" si="112"/>
        <v>337.02</v>
      </c>
      <c r="CM20" s="130">
        <f t="shared" si="113"/>
        <v>337.02</v>
      </c>
      <c r="CN20" s="130">
        <f t="shared" si="114"/>
        <v>4509.9835999999996</v>
      </c>
      <c r="CO20" s="130">
        <f t="shared" si="115"/>
        <v>-4112.3</v>
      </c>
      <c r="CP20" s="130">
        <f t="shared" si="116"/>
        <v>0</v>
      </c>
      <c r="CQ20" s="130">
        <f t="shared" si="117"/>
        <v>0</v>
      </c>
      <c r="CR20" s="130">
        <f t="shared" si="118"/>
        <v>397.68359999999939</v>
      </c>
      <c r="CS20" s="130" t="s">
        <v>236</v>
      </c>
      <c r="CT20" s="130" t="s">
        <v>236</v>
      </c>
      <c r="CU20" s="145" t="str">
        <f t="shared" si="119"/>
        <v>AADCC6184H</v>
      </c>
      <c r="CV20" s="145" t="str">
        <f t="shared" si="120"/>
        <v>AARFT3586D</v>
      </c>
      <c r="CW20" s="152" t="str">
        <f t="shared" si="121"/>
        <v>2026290000000086CHAITANYA INDIA FIN CREDIT PRIVATE LIMITED</v>
      </c>
    </row>
    <row r="21" spans="2:101" s="152" customFormat="1" ht="11.85" customHeight="1" x14ac:dyDescent="0.25">
      <c r="B21" s="123" t="str">
        <f t="shared" si="84"/>
        <v>Q1</v>
      </c>
      <c r="C21" s="124" t="str">
        <f t="shared" si="85"/>
        <v>Apr-26</v>
      </c>
      <c r="D21" s="125">
        <v>46126</v>
      </c>
      <c r="E21" s="126" t="s">
        <v>372</v>
      </c>
      <c r="F21" s="126" t="s">
        <v>286</v>
      </c>
      <c r="G21" s="126" t="s">
        <v>343</v>
      </c>
      <c r="H21" s="127" t="s">
        <v>373</v>
      </c>
      <c r="I21" s="125">
        <v>46094</v>
      </c>
      <c r="J21" s="126" t="s">
        <v>374</v>
      </c>
      <c r="K21" s="125">
        <v>46126</v>
      </c>
      <c r="L21" s="126" t="s">
        <v>375</v>
      </c>
      <c r="M21" s="126" t="s">
        <v>208</v>
      </c>
      <c r="N21" s="127" t="s">
        <v>212</v>
      </c>
      <c r="O21" s="126">
        <v>1</v>
      </c>
      <c r="P21" s="283">
        <v>85</v>
      </c>
      <c r="Q21" s="128">
        <f t="shared" si="86"/>
        <v>85</v>
      </c>
      <c r="R21" s="129">
        <v>0</v>
      </c>
      <c r="S21" s="128">
        <f t="shared" si="87"/>
        <v>1</v>
      </c>
      <c r="T21" s="129">
        <v>0</v>
      </c>
      <c r="U21" s="130">
        <v>0</v>
      </c>
      <c r="V21" s="131">
        <v>0</v>
      </c>
      <c r="W21" s="130">
        <v>0</v>
      </c>
      <c r="X21" s="132">
        <v>0</v>
      </c>
      <c r="Y21" s="130">
        <v>0</v>
      </c>
      <c r="Z21" s="130">
        <v>0</v>
      </c>
      <c r="AA21" s="129">
        <v>0</v>
      </c>
      <c r="AB21" s="133">
        <f t="shared" si="88"/>
        <v>0</v>
      </c>
      <c r="AC21" s="132">
        <v>0</v>
      </c>
      <c r="AD21" s="128">
        <v>0</v>
      </c>
      <c r="AE21" s="147">
        <v>0</v>
      </c>
      <c r="AF21" s="130">
        <v>0</v>
      </c>
      <c r="AG21" s="134">
        <v>0</v>
      </c>
      <c r="AH21" s="130">
        <v>0</v>
      </c>
      <c r="AI21" s="131">
        <v>0</v>
      </c>
      <c r="AJ21" s="130">
        <v>0</v>
      </c>
      <c r="AK21" s="130">
        <v>0</v>
      </c>
      <c r="AL21" s="130">
        <f t="shared" si="89"/>
        <v>0</v>
      </c>
      <c r="AM21" s="135">
        <f t="shared" si="90"/>
        <v>85</v>
      </c>
      <c r="AN21" s="136">
        <v>46126</v>
      </c>
      <c r="AO21" s="137" t="s">
        <v>386</v>
      </c>
      <c r="AP21" s="138" t="s">
        <v>239</v>
      </c>
      <c r="AQ21" s="139" t="s">
        <v>240</v>
      </c>
      <c r="AR21" s="139" t="s">
        <v>260</v>
      </c>
      <c r="AS21" s="126" t="s">
        <v>387</v>
      </c>
      <c r="AT21" s="140" t="s">
        <v>247</v>
      </c>
      <c r="AU21" s="140" t="s">
        <v>228</v>
      </c>
      <c r="AV21" s="141" t="s">
        <v>208</v>
      </c>
      <c r="AW21" s="139">
        <v>1</v>
      </c>
      <c r="AX21" s="141">
        <v>93.22</v>
      </c>
      <c r="AY21" s="139">
        <f t="shared" si="91"/>
        <v>93.22</v>
      </c>
      <c r="AZ21" s="142" t="b">
        <f t="shared" si="92"/>
        <v>1</v>
      </c>
      <c r="BA21" s="128">
        <v>0</v>
      </c>
      <c r="BB21" s="143">
        <f t="shared" si="93"/>
        <v>1</v>
      </c>
      <c r="BC21" s="144">
        <v>0</v>
      </c>
      <c r="BD21" s="143" t="s">
        <v>109</v>
      </c>
      <c r="BE21" s="144">
        <v>0</v>
      </c>
      <c r="BF21" s="143">
        <v>0</v>
      </c>
      <c r="BG21" s="144">
        <v>0</v>
      </c>
      <c r="BH21" s="130">
        <v>0</v>
      </c>
      <c r="BI21" s="133">
        <v>0</v>
      </c>
      <c r="BJ21" s="131">
        <v>0</v>
      </c>
      <c r="BK21" s="128">
        <v>0</v>
      </c>
      <c r="BL21" s="139">
        <v>0</v>
      </c>
      <c r="BM21" s="130">
        <v>0</v>
      </c>
      <c r="BN21" s="145">
        <f t="shared" si="94"/>
        <v>0</v>
      </c>
      <c r="BO21" s="129">
        <f t="shared" si="95"/>
        <v>93.22</v>
      </c>
      <c r="BP21" s="135">
        <f t="shared" si="96"/>
        <v>8.2199999999999989</v>
      </c>
      <c r="BQ21" s="144" t="str">
        <f t="shared" si="97"/>
        <v>Positive Margin</v>
      </c>
      <c r="BR21" s="146" t="s">
        <v>209</v>
      </c>
      <c r="BS21" s="128">
        <f t="shared" si="98"/>
        <v>8.2199999999999989</v>
      </c>
      <c r="BT21" s="147" t="str">
        <f t="shared" si="99"/>
        <v>Positive Margin at Inception</v>
      </c>
      <c r="BU21" s="148">
        <f t="shared" si="100"/>
        <v>8.8178502467281691E-2</v>
      </c>
      <c r="BV21" s="147" t="str">
        <f t="shared" si="101"/>
        <v>More than 2%</v>
      </c>
      <c r="BW21" s="128">
        <f t="shared" si="102"/>
        <v>0</v>
      </c>
      <c r="BX21" s="129">
        <f t="shared" si="103"/>
        <v>0</v>
      </c>
      <c r="BY21" s="128">
        <f t="shared" si="104"/>
        <v>0</v>
      </c>
      <c r="BZ21" s="149">
        <f t="shared" si="105"/>
        <v>0</v>
      </c>
      <c r="CA21" s="149">
        <f t="shared" si="106"/>
        <v>0</v>
      </c>
      <c r="CB21" s="130">
        <f t="shared" si="107"/>
        <v>0</v>
      </c>
      <c r="CC21" s="149" t="s">
        <v>282</v>
      </c>
      <c r="CD21" s="130">
        <v>0</v>
      </c>
      <c r="CE21" s="130">
        <f t="shared" si="108"/>
        <v>85</v>
      </c>
      <c r="CF21" s="130">
        <f t="shared" si="109"/>
        <v>93.22</v>
      </c>
      <c r="CG21" s="130">
        <f t="shared" si="110"/>
        <v>2</v>
      </c>
      <c r="CH21" s="150">
        <v>0</v>
      </c>
      <c r="CI21" s="130">
        <v>0</v>
      </c>
      <c r="CJ21" s="130" t="e">
        <f>_xlfn.XLOOKUP(AP21,POC!B:B,POC!D:D)</f>
        <v>#N/A</v>
      </c>
      <c r="CK21" s="130">
        <f t="shared" si="111"/>
        <v>8.2199999999999989</v>
      </c>
      <c r="CL21" s="130">
        <f t="shared" si="112"/>
        <v>8.2199999999999989</v>
      </c>
      <c r="CM21" s="130">
        <f t="shared" si="113"/>
        <v>8.2199999999999989</v>
      </c>
      <c r="CN21" s="130">
        <f t="shared" si="114"/>
        <v>109.99959999999999</v>
      </c>
      <c r="CO21" s="130">
        <f t="shared" si="115"/>
        <v>-100.3</v>
      </c>
      <c r="CP21" s="130">
        <f t="shared" si="116"/>
        <v>0</v>
      </c>
      <c r="CQ21" s="130">
        <f t="shared" si="117"/>
        <v>0</v>
      </c>
      <c r="CR21" s="130">
        <f t="shared" si="118"/>
        <v>9.6995999999999896</v>
      </c>
      <c r="CS21" s="130" t="s">
        <v>236</v>
      </c>
      <c r="CT21" s="130" t="s">
        <v>236</v>
      </c>
      <c r="CU21" s="145" t="str">
        <f t="shared" si="119"/>
        <v>AADCC6184H</v>
      </c>
      <c r="CV21" s="145" t="str">
        <f t="shared" si="120"/>
        <v>AARFT3586D</v>
      </c>
      <c r="CW21" s="152" t="str">
        <f t="shared" si="121"/>
        <v>2026290000000086CHAITANYA INDIA FIN CREDIT PRIVATE LIMITED</v>
      </c>
    </row>
    <row r="22" spans="2:101" s="152" customFormat="1" ht="11.85" customHeight="1" x14ac:dyDescent="0.25">
      <c r="B22" s="123" t="str">
        <f t="shared" si="84"/>
        <v>Q1</v>
      </c>
      <c r="C22" s="124" t="str">
        <f t="shared" si="85"/>
        <v>Apr-26</v>
      </c>
      <c r="D22" s="125">
        <v>46126</v>
      </c>
      <c r="E22" s="126" t="s">
        <v>372</v>
      </c>
      <c r="F22" s="126" t="s">
        <v>286</v>
      </c>
      <c r="G22" s="126" t="s">
        <v>343</v>
      </c>
      <c r="H22" s="127" t="s">
        <v>373</v>
      </c>
      <c r="I22" s="125">
        <v>46094</v>
      </c>
      <c r="J22" s="126" t="s">
        <v>374</v>
      </c>
      <c r="K22" s="125">
        <v>46126</v>
      </c>
      <c r="L22" s="126" t="s">
        <v>375</v>
      </c>
      <c r="M22" s="126" t="s">
        <v>208</v>
      </c>
      <c r="N22" s="127" t="s">
        <v>212</v>
      </c>
      <c r="O22" s="126">
        <v>1</v>
      </c>
      <c r="P22" s="283">
        <v>1780</v>
      </c>
      <c r="Q22" s="128">
        <f t="shared" si="86"/>
        <v>1780</v>
      </c>
      <c r="R22" s="129">
        <v>0</v>
      </c>
      <c r="S22" s="128">
        <f t="shared" si="87"/>
        <v>1</v>
      </c>
      <c r="T22" s="129">
        <v>0</v>
      </c>
      <c r="U22" s="130">
        <v>0</v>
      </c>
      <c r="V22" s="131">
        <v>0</v>
      </c>
      <c r="W22" s="130">
        <v>0</v>
      </c>
      <c r="X22" s="132">
        <v>0</v>
      </c>
      <c r="Y22" s="130">
        <v>0</v>
      </c>
      <c r="Z22" s="130">
        <v>0</v>
      </c>
      <c r="AA22" s="129">
        <v>0</v>
      </c>
      <c r="AB22" s="133">
        <f t="shared" si="88"/>
        <v>0</v>
      </c>
      <c r="AC22" s="132">
        <v>0</v>
      </c>
      <c r="AD22" s="128">
        <v>0</v>
      </c>
      <c r="AE22" s="147">
        <v>0</v>
      </c>
      <c r="AF22" s="130">
        <v>0</v>
      </c>
      <c r="AG22" s="134">
        <v>0</v>
      </c>
      <c r="AH22" s="130">
        <v>0</v>
      </c>
      <c r="AI22" s="131">
        <v>0</v>
      </c>
      <c r="AJ22" s="130">
        <v>0</v>
      </c>
      <c r="AK22" s="130">
        <v>0</v>
      </c>
      <c r="AL22" s="130">
        <f t="shared" si="89"/>
        <v>0</v>
      </c>
      <c r="AM22" s="135">
        <f t="shared" si="90"/>
        <v>1780</v>
      </c>
      <c r="AN22" s="136">
        <v>46126</v>
      </c>
      <c r="AO22" s="137" t="s">
        <v>386</v>
      </c>
      <c r="AP22" s="138" t="s">
        <v>239</v>
      </c>
      <c r="AQ22" s="139" t="s">
        <v>240</v>
      </c>
      <c r="AR22" s="139" t="s">
        <v>260</v>
      </c>
      <c r="AS22" s="126" t="s">
        <v>387</v>
      </c>
      <c r="AT22" s="140" t="s">
        <v>247</v>
      </c>
      <c r="AU22" s="140" t="s">
        <v>228</v>
      </c>
      <c r="AV22" s="141" t="s">
        <v>208</v>
      </c>
      <c r="AW22" s="139">
        <v>1</v>
      </c>
      <c r="AX22" s="141">
        <v>2669.49</v>
      </c>
      <c r="AY22" s="139">
        <f t="shared" si="91"/>
        <v>2669.49</v>
      </c>
      <c r="AZ22" s="142" t="b">
        <f t="shared" si="92"/>
        <v>1</v>
      </c>
      <c r="BA22" s="128">
        <v>0</v>
      </c>
      <c r="BB22" s="143">
        <f t="shared" si="93"/>
        <v>1</v>
      </c>
      <c r="BC22" s="144">
        <v>0</v>
      </c>
      <c r="BD22" s="143" t="s">
        <v>109</v>
      </c>
      <c r="BE22" s="144">
        <v>0</v>
      </c>
      <c r="BF22" s="143">
        <v>0</v>
      </c>
      <c r="BG22" s="144">
        <v>0</v>
      </c>
      <c r="BH22" s="130">
        <v>0</v>
      </c>
      <c r="BI22" s="133">
        <v>0</v>
      </c>
      <c r="BJ22" s="131">
        <v>0</v>
      </c>
      <c r="BK22" s="128">
        <v>0</v>
      </c>
      <c r="BL22" s="139">
        <v>0</v>
      </c>
      <c r="BM22" s="130">
        <v>0</v>
      </c>
      <c r="BN22" s="145">
        <f t="shared" si="94"/>
        <v>0</v>
      </c>
      <c r="BO22" s="129">
        <f t="shared" si="95"/>
        <v>2669.49</v>
      </c>
      <c r="BP22" s="135">
        <f t="shared" si="96"/>
        <v>889.48999999999978</v>
      </c>
      <c r="BQ22" s="144" t="str">
        <f t="shared" si="97"/>
        <v>Positive Margin</v>
      </c>
      <c r="BR22" s="146" t="s">
        <v>209</v>
      </c>
      <c r="BS22" s="128">
        <f t="shared" si="98"/>
        <v>889.48999999999978</v>
      </c>
      <c r="BT22" s="147" t="str">
        <f t="shared" si="99"/>
        <v>Positive Margin at Inception</v>
      </c>
      <c r="BU22" s="148">
        <f t="shared" si="100"/>
        <v>0.33320596818118814</v>
      </c>
      <c r="BV22" s="147" t="str">
        <f t="shared" si="101"/>
        <v>More than 2%</v>
      </c>
      <c r="BW22" s="128">
        <f t="shared" si="102"/>
        <v>0</v>
      </c>
      <c r="BX22" s="129">
        <f t="shared" si="103"/>
        <v>0</v>
      </c>
      <c r="BY22" s="128">
        <f t="shared" si="104"/>
        <v>0</v>
      </c>
      <c r="BZ22" s="149">
        <f t="shared" si="105"/>
        <v>0</v>
      </c>
      <c r="CA22" s="149">
        <f t="shared" si="106"/>
        <v>0</v>
      </c>
      <c r="CB22" s="130">
        <f t="shared" si="107"/>
        <v>0</v>
      </c>
      <c r="CC22" s="149" t="s">
        <v>282</v>
      </c>
      <c r="CD22" s="130">
        <v>0</v>
      </c>
      <c r="CE22" s="130">
        <f t="shared" si="108"/>
        <v>1780</v>
      </c>
      <c r="CF22" s="130">
        <f t="shared" si="109"/>
        <v>2669.49</v>
      </c>
      <c r="CG22" s="130">
        <f t="shared" si="110"/>
        <v>2</v>
      </c>
      <c r="CH22" s="150">
        <v>0</v>
      </c>
      <c r="CI22" s="130">
        <v>0</v>
      </c>
      <c r="CJ22" s="130" t="e">
        <f>_xlfn.XLOOKUP(AP22,POC!B:B,POC!D:D)</f>
        <v>#N/A</v>
      </c>
      <c r="CK22" s="130">
        <f t="shared" si="111"/>
        <v>889.48999999999978</v>
      </c>
      <c r="CL22" s="130">
        <f t="shared" si="112"/>
        <v>889.48999999999978</v>
      </c>
      <c r="CM22" s="130">
        <f t="shared" si="113"/>
        <v>889.48999999999978</v>
      </c>
      <c r="CN22" s="130">
        <f t="shared" si="114"/>
        <v>3149.9981999999995</v>
      </c>
      <c r="CO22" s="130">
        <f t="shared" si="115"/>
        <v>-2100.4</v>
      </c>
      <c r="CP22" s="130">
        <f t="shared" si="116"/>
        <v>0</v>
      </c>
      <c r="CQ22" s="130">
        <f t="shared" si="117"/>
        <v>0</v>
      </c>
      <c r="CR22" s="130">
        <f t="shared" si="118"/>
        <v>1049.5981999999995</v>
      </c>
      <c r="CS22" s="130" t="s">
        <v>236</v>
      </c>
      <c r="CT22" s="130" t="s">
        <v>236</v>
      </c>
      <c r="CU22" s="145" t="str">
        <f t="shared" si="119"/>
        <v>AADCC6184H</v>
      </c>
      <c r="CV22" s="145" t="str">
        <f t="shared" si="120"/>
        <v>AARFT3586D</v>
      </c>
      <c r="CW22" s="152" t="str">
        <f t="shared" si="121"/>
        <v>2026290000000086CHAITANYA INDIA FIN CREDIT PRIVATE LIMITED</v>
      </c>
    </row>
    <row r="23" spans="2:101" s="152" customFormat="1" ht="11.85" customHeight="1" x14ac:dyDescent="0.25">
      <c r="B23" s="123" t="str">
        <f t="shared" si="84"/>
        <v>Q1</v>
      </c>
      <c r="C23" s="124" t="str">
        <f t="shared" si="85"/>
        <v>Apr-26</v>
      </c>
      <c r="D23" s="125">
        <v>46126</v>
      </c>
      <c r="E23" s="126" t="s">
        <v>372</v>
      </c>
      <c r="F23" s="126" t="s">
        <v>286</v>
      </c>
      <c r="G23" s="126" t="s">
        <v>343</v>
      </c>
      <c r="H23" s="127" t="s">
        <v>373</v>
      </c>
      <c r="I23" s="125">
        <v>46094</v>
      </c>
      <c r="J23" s="126" t="s">
        <v>374</v>
      </c>
      <c r="K23" s="125">
        <v>46126</v>
      </c>
      <c r="L23" s="126" t="s">
        <v>375</v>
      </c>
      <c r="M23" s="126" t="s">
        <v>208</v>
      </c>
      <c r="N23" s="127" t="s">
        <v>212</v>
      </c>
      <c r="O23" s="126">
        <v>1</v>
      </c>
      <c r="P23" s="283">
        <v>1356</v>
      </c>
      <c r="Q23" s="128">
        <f t="shared" si="86"/>
        <v>1356</v>
      </c>
      <c r="R23" s="129">
        <v>0</v>
      </c>
      <c r="S23" s="128">
        <f t="shared" si="87"/>
        <v>1</v>
      </c>
      <c r="T23" s="129">
        <v>0</v>
      </c>
      <c r="U23" s="130">
        <v>0</v>
      </c>
      <c r="V23" s="131">
        <v>0</v>
      </c>
      <c r="W23" s="130">
        <v>0</v>
      </c>
      <c r="X23" s="132">
        <v>0</v>
      </c>
      <c r="Y23" s="130">
        <v>0</v>
      </c>
      <c r="Z23" s="130">
        <v>0</v>
      </c>
      <c r="AA23" s="129">
        <v>0</v>
      </c>
      <c r="AB23" s="133">
        <f t="shared" si="88"/>
        <v>0</v>
      </c>
      <c r="AC23" s="132">
        <v>0</v>
      </c>
      <c r="AD23" s="128">
        <v>0</v>
      </c>
      <c r="AE23" s="147">
        <v>0</v>
      </c>
      <c r="AF23" s="130">
        <v>0</v>
      </c>
      <c r="AG23" s="134">
        <v>0</v>
      </c>
      <c r="AH23" s="130">
        <v>0</v>
      </c>
      <c r="AI23" s="131">
        <v>0</v>
      </c>
      <c r="AJ23" s="130">
        <v>0</v>
      </c>
      <c r="AK23" s="130">
        <v>0</v>
      </c>
      <c r="AL23" s="130">
        <f t="shared" si="89"/>
        <v>0</v>
      </c>
      <c r="AM23" s="135">
        <f t="shared" si="90"/>
        <v>1356</v>
      </c>
      <c r="AN23" s="136">
        <v>46126</v>
      </c>
      <c r="AO23" s="137" t="s">
        <v>386</v>
      </c>
      <c r="AP23" s="138" t="s">
        <v>239</v>
      </c>
      <c r="AQ23" s="139" t="s">
        <v>240</v>
      </c>
      <c r="AR23" s="139" t="s">
        <v>260</v>
      </c>
      <c r="AS23" s="126" t="s">
        <v>387</v>
      </c>
      <c r="AT23" s="140" t="s">
        <v>247</v>
      </c>
      <c r="AU23" s="140" t="s">
        <v>228</v>
      </c>
      <c r="AV23" s="141" t="s">
        <v>208</v>
      </c>
      <c r="AW23" s="139">
        <v>1</v>
      </c>
      <c r="AX23" s="141">
        <v>2033.9</v>
      </c>
      <c r="AY23" s="139">
        <f t="shared" si="91"/>
        <v>2033.9</v>
      </c>
      <c r="AZ23" s="142" t="b">
        <f t="shared" si="92"/>
        <v>1</v>
      </c>
      <c r="BA23" s="128">
        <v>0</v>
      </c>
      <c r="BB23" s="143">
        <f t="shared" si="93"/>
        <v>1</v>
      </c>
      <c r="BC23" s="144">
        <v>0</v>
      </c>
      <c r="BD23" s="143" t="s">
        <v>109</v>
      </c>
      <c r="BE23" s="144">
        <v>0</v>
      </c>
      <c r="BF23" s="143">
        <v>0</v>
      </c>
      <c r="BG23" s="144">
        <v>0</v>
      </c>
      <c r="BH23" s="130">
        <v>0</v>
      </c>
      <c r="BI23" s="133">
        <v>0</v>
      </c>
      <c r="BJ23" s="131">
        <v>0</v>
      </c>
      <c r="BK23" s="128">
        <v>0</v>
      </c>
      <c r="BL23" s="139">
        <v>0</v>
      </c>
      <c r="BM23" s="130">
        <v>0</v>
      </c>
      <c r="BN23" s="145">
        <f t="shared" si="94"/>
        <v>0</v>
      </c>
      <c r="BO23" s="129">
        <f t="shared" si="95"/>
        <v>2033.9</v>
      </c>
      <c r="BP23" s="135">
        <f t="shared" si="96"/>
        <v>677.90000000000009</v>
      </c>
      <c r="BQ23" s="144" t="str">
        <f t="shared" si="97"/>
        <v>Positive Margin</v>
      </c>
      <c r="BR23" s="146" t="s">
        <v>209</v>
      </c>
      <c r="BS23" s="128">
        <f t="shared" si="98"/>
        <v>677.90000000000009</v>
      </c>
      <c r="BT23" s="147" t="str">
        <f t="shared" si="99"/>
        <v>Positive Margin at Inception</v>
      </c>
      <c r="BU23" s="148">
        <f t="shared" si="100"/>
        <v>0.33330055558287036</v>
      </c>
      <c r="BV23" s="147" t="str">
        <f t="shared" si="101"/>
        <v>More than 2%</v>
      </c>
      <c r="BW23" s="128">
        <f t="shared" si="102"/>
        <v>0</v>
      </c>
      <c r="BX23" s="129">
        <f t="shared" si="103"/>
        <v>0</v>
      </c>
      <c r="BY23" s="128">
        <f t="shared" si="104"/>
        <v>0</v>
      </c>
      <c r="BZ23" s="149">
        <f t="shared" si="105"/>
        <v>0</v>
      </c>
      <c r="CA23" s="149">
        <f t="shared" si="106"/>
        <v>0</v>
      </c>
      <c r="CB23" s="130">
        <f t="shared" si="107"/>
        <v>0</v>
      </c>
      <c r="CC23" s="149" t="s">
        <v>282</v>
      </c>
      <c r="CD23" s="130">
        <v>0</v>
      </c>
      <c r="CE23" s="130">
        <f t="shared" si="108"/>
        <v>1356</v>
      </c>
      <c r="CF23" s="130">
        <f t="shared" si="109"/>
        <v>2033.9</v>
      </c>
      <c r="CG23" s="130">
        <f t="shared" si="110"/>
        <v>2</v>
      </c>
      <c r="CH23" s="150">
        <v>0</v>
      </c>
      <c r="CI23" s="130">
        <v>0</v>
      </c>
      <c r="CJ23" s="130" t="e">
        <f>_xlfn.XLOOKUP(AP23,POC!B:B,POC!D:D)</f>
        <v>#N/A</v>
      </c>
      <c r="CK23" s="130">
        <f t="shared" si="111"/>
        <v>677.90000000000009</v>
      </c>
      <c r="CL23" s="130">
        <f t="shared" si="112"/>
        <v>677.90000000000009</v>
      </c>
      <c r="CM23" s="130">
        <f t="shared" si="113"/>
        <v>677.90000000000009</v>
      </c>
      <c r="CN23" s="130">
        <f t="shared" si="114"/>
        <v>2400.002</v>
      </c>
      <c r="CO23" s="130">
        <f t="shared" si="115"/>
        <v>-1600.08</v>
      </c>
      <c r="CP23" s="130">
        <f t="shared" si="116"/>
        <v>0</v>
      </c>
      <c r="CQ23" s="130">
        <f t="shared" si="117"/>
        <v>0</v>
      </c>
      <c r="CR23" s="130">
        <f t="shared" si="118"/>
        <v>799.92200000000003</v>
      </c>
      <c r="CS23" s="130" t="s">
        <v>236</v>
      </c>
      <c r="CT23" s="130" t="s">
        <v>236</v>
      </c>
      <c r="CU23" s="145" t="str">
        <f t="shared" si="119"/>
        <v>AADCC6184H</v>
      </c>
      <c r="CV23" s="145" t="str">
        <f t="shared" si="120"/>
        <v>AARFT3586D</v>
      </c>
      <c r="CW23" s="152" t="str">
        <f t="shared" si="121"/>
        <v>2026290000000086CHAITANYA INDIA FIN CREDIT PRIVATE LIMITED</v>
      </c>
    </row>
    <row r="24" spans="2:101" s="152" customFormat="1" ht="11.85" customHeight="1" x14ac:dyDescent="0.25">
      <c r="B24" s="123" t="str">
        <f t="shared" si="84"/>
        <v>Q1</v>
      </c>
      <c r="C24" s="124" t="str">
        <f t="shared" si="85"/>
        <v>Apr-26</v>
      </c>
      <c r="D24" s="125">
        <v>46128</v>
      </c>
      <c r="E24" s="126" t="s">
        <v>376</v>
      </c>
      <c r="F24" s="126" t="s">
        <v>286</v>
      </c>
      <c r="G24" s="126" t="s">
        <v>343</v>
      </c>
      <c r="H24" s="127" t="s">
        <v>377</v>
      </c>
      <c r="I24" s="125">
        <v>46094</v>
      </c>
      <c r="J24" s="126" t="s">
        <v>378</v>
      </c>
      <c r="K24" s="125">
        <v>46128</v>
      </c>
      <c r="L24" s="126" t="s">
        <v>375</v>
      </c>
      <c r="M24" s="126" t="s">
        <v>208</v>
      </c>
      <c r="N24" s="127" t="s">
        <v>212</v>
      </c>
      <c r="O24" s="126">
        <v>15</v>
      </c>
      <c r="P24" s="283">
        <v>847</v>
      </c>
      <c r="Q24" s="128">
        <f t="shared" si="86"/>
        <v>12705</v>
      </c>
      <c r="R24" s="129">
        <v>0</v>
      </c>
      <c r="S24" s="128">
        <f t="shared" si="87"/>
        <v>15</v>
      </c>
      <c r="T24" s="129">
        <v>0</v>
      </c>
      <c r="U24" s="130">
        <v>0</v>
      </c>
      <c r="V24" s="131">
        <v>0</v>
      </c>
      <c r="W24" s="130">
        <v>0</v>
      </c>
      <c r="X24" s="132">
        <v>0</v>
      </c>
      <c r="Y24" s="130">
        <v>0</v>
      </c>
      <c r="Z24" s="130">
        <v>0</v>
      </c>
      <c r="AA24" s="129">
        <v>0</v>
      </c>
      <c r="AB24" s="133">
        <f t="shared" si="88"/>
        <v>0</v>
      </c>
      <c r="AC24" s="132">
        <v>0</v>
      </c>
      <c r="AD24" s="128">
        <v>0</v>
      </c>
      <c r="AE24" s="147">
        <v>0</v>
      </c>
      <c r="AF24" s="130">
        <v>0</v>
      </c>
      <c r="AG24" s="134">
        <v>0</v>
      </c>
      <c r="AH24" s="130">
        <v>0</v>
      </c>
      <c r="AI24" s="131">
        <v>0</v>
      </c>
      <c r="AJ24" s="130">
        <v>0</v>
      </c>
      <c r="AK24" s="130">
        <v>0</v>
      </c>
      <c r="AL24" s="130">
        <f t="shared" si="89"/>
        <v>0</v>
      </c>
      <c r="AM24" s="135">
        <f t="shared" si="90"/>
        <v>12705</v>
      </c>
      <c r="AN24" s="136">
        <v>46128</v>
      </c>
      <c r="AO24" s="137" t="s">
        <v>388</v>
      </c>
      <c r="AP24" s="138" t="s">
        <v>239</v>
      </c>
      <c r="AQ24" s="139" t="s">
        <v>240</v>
      </c>
      <c r="AR24" s="139" t="s">
        <v>260</v>
      </c>
      <c r="AS24" s="126" t="s">
        <v>387</v>
      </c>
      <c r="AT24" s="140" t="s">
        <v>247</v>
      </c>
      <c r="AU24" s="140" t="s">
        <v>228</v>
      </c>
      <c r="AV24" s="141" t="s">
        <v>208</v>
      </c>
      <c r="AW24" s="139">
        <v>15</v>
      </c>
      <c r="AX24" s="141">
        <v>932.2</v>
      </c>
      <c r="AY24" s="139">
        <f t="shared" si="91"/>
        <v>13983</v>
      </c>
      <c r="AZ24" s="142" t="b">
        <f t="shared" si="92"/>
        <v>1</v>
      </c>
      <c r="BA24" s="128">
        <v>0</v>
      </c>
      <c r="BB24" s="143">
        <f t="shared" si="93"/>
        <v>15</v>
      </c>
      <c r="BC24" s="144">
        <v>0</v>
      </c>
      <c r="BD24" s="143" t="s">
        <v>109</v>
      </c>
      <c r="BE24" s="144">
        <v>0</v>
      </c>
      <c r="BF24" s="143">
        <v>0</v>
      </c>
      <c r="BG24" s="144">
        <v>0</v>
      </c>
      <c r="BH24" s="130">
        <v>0</v>
      </c>
      <c r="BI24" s="133">
        <v>0</v>
      </c>
      <c r="BJ24" s="131">
        <v>0</v>
      </c>
      <c r="BK24" s="128">
        <v>0</v>
      </c>
      <c r="BL24" s="139">
        <v>0</v>
      </c>
      <c r="BM24" s="130">
        <v>0</v>
      </c>
      <c r="BN24" s="145">
        <f t="shared" si="94"/>
        <v>0</v>
      </c>
      <c r="BO24" s="129">
        <f t="shared" si="95"/>
        <v>13983</v>
      </c>
      <c r="BP24" s="135">
        <f t="shared" si="96"/>
        <v>1278</v>
      </c>
      <c r="BQ24" s="144" t="str">
        <f t="shared" si="97"/>
        <v>Positive Margin</v>
      </c>
      <c r="BR24" s="146" t="s">
        <v>209</v>
      </c>
      <c r="BS24" s="128">
        <f t="shared" si="98"/>
        <v>1278</v>
      </c>
      <c r="BT24" s="147" t="str">
        <f t="shared" si="99"/>
        <v>Positive Margin at Inception</v>
      </c>
      <c r="BU24" s="148">
        <f t="shared" si="100"/>
        <v>9.1396695987985416E-2</v>
      </c>
      <c r="BV24" s="147" t="str">
        <f t="shared" si="101"/>
        <v>More than 2%</v>
      </c>
      <c r="BW24" s="128">
        <f t="shared" si="102"/>
        <v>0</v>
      </c>
      <c r="BX24" s="129">
        <f t="shared" si="103"/>
        <v>0</v>
      </c>
      <c r="BY24" s="128">
        <f t="shared" si="104"/>
        <v>0</v>
      </c>
      <c r="BZ24" s="149">
        <f t="shared" si="105"/>
        <v>0</v>
      </c>
      <c r="CA24" s="149">
        <f t="shared" si="106"/>
        <v>0</v>
      </c>
      <c r="CB24" s="130">
        <f t="shared" si="107"/>
        <v>0</v>
      </c>
      <c r="CC24" s="149" t="s">
        <v>282</v>
      </c>
      <c r="CD24" s="130">
        <v>0</v>
      </c>
      <c r="CE24" s="130">
        <f t="shared" si="108"/>
        <v>12705</v>
      </c>
      <c r="CF24" s="130">
        <f t="shared" si="109"/>
        <v>13983</v>
      </c>
      <c r="CG24" s="130">
        <f t="shared" si="110"/>
        <v>3</v>
      </c>
      <c r="CH24" s="150">
        <v>0</v>
      </c>
      <c r="CI24" s="130">
        <v>0</v>
      </c>
      <c r="CJ24" s="130" t="e">
        <f>_xlfn.XLOOKUP(AP24,POC!B:B,POC!D:D)</f>
        <v>#N/A</v>
      </c>
      <c r="CK24" s="130">
        <f t="shared" si="111"/>
        <v>1278</v>
      </c>
      <c r="CL24" s="130">
        <f t="shared" si="112"/>
        <v>1278</v>
      </c>
      <c r="CM24" s="130">
        <f t="shared" si="113"/>
        <v>1278</v>
      </c>
      <c r="CN24" s="130">
        <f t="shared" si="114"/>
        <v>16499.939999999999</v>
      </c>
      <c r="CO24" s="130">
        <f t="shared" si="115"/>
        <v>-14991.9</v>
      </c>
      <c r="CP24" s="130">
        <f t="shared" si="116"/>
        <v>0</v>
      </c>
      <c r="CQ24" s="130">
        <f t="shared" si="117"/>
        <v>0</v>
      </c>
      <c r="CR24" s="130">
        <f t="shared" si="118"/>
        <v>1508.0399999999991</v>
      </c>
      <c r="CS24" s="130" t="s">
        <v>236</v>
      </c>
      <c r="CT24" s="130" t="s">
        <v>236</v>
      </c>
      <c r="CU24" s="145" t="str">
        <f t="shared" si="119"/>
        <v>AADCC6184H</v>
      </c>
      <c r="CV24" s="145" t="str">
        <f t="shared" si="120"/>
        <v>AARFT3586D</v>
      </c>
      <c r="CW24" s="152" t="str">
        <f t="shared" si="121"/>
        <v>2026290000000099CHAITANYA INDIA FIN CREDIT PRIVATE LIMITED</v>
      </c>
    </row>
    <row r="25" spans="2:101" s="152" customFormat="1" ht="11.85" customHeight="1" x14ac:dyDescent="0.25">
      <c r="B25" s="123" t="str">
        <f t="shared" si="84"/>
        <v>Q1</v>
      </c>
      <c r="C25" s="124" t="str">
        <f t="shared" si="85"/>
        <v>Apr-26</v>
      </c>
      <c r="D25" s="125">
        <v>46128</v>
      </c>
      <c r="E25" s="126" t="s">
        <v>376</v>
      </c>
      <c r="F25" s="126" t="s">
        <v>286</v>
      </c>
      <c r="G25" s="126" t="s">
        <v>343</v>
      </c>
      <c r="H25" s="127" t="s">
        <v>377</v>
      </c>
      <c r="I25" s="125">
        <v>46094</v>
      </c>
      <c r="J25" s="126" t="s">
        <v>378</v>
      </c>
      <c r="K25" s="125">
        <v>46128</v>
      </c>
      <c r="L25" s="126" t="s">
        <v>375</v>
      </c>
      <c r="M25" s="126" t="s">
        <v>208</v>
      </c>
      <c r="N25" s="127" t="s">
        <v>212</v>
      </c>
      <c r="O25" s="126">
        <v>66</v>
      </c>
      <c r="P25" s="283">
        <v>1576</v>
      </c>
      <c r="Q25" s="128">
        <f t="shared" si="86"/>
        <v>104016</v>
      </c>
      <c r="R25" s="129">
        <v>0</v>
      </c>
      <c r="S25" s="128">
        <f t="shared" si="87"/>
        <v>66</v>
      </c>
      <c r="T25" s="129">
        <v>0</v>
      </c>
      <c r="U25" s="130">
        <v>0</v>
      </c>
      <c r="V25" s="131">
        <v>0</v>
      </c>
      <c r="W25" s="130">
        <v>0</v>
      </c>
      <c r="X25" s="132">
        <v>0</v>
      </c>
      <c r="Y25" s="130">
        <v>0</v>
      </c>
      <c r="Z25" s="130">
        <v>0</v>
      </c>
      <c r="AA25" s="129">
        <v>0</v>
      </c>
      <c r="AB25" s="133">
        <f t="shared" si="88"/>
        <v>0</v>
      </c>
      <c r="AC25" s="132">
        <v>0</v>
      </c>
      <c r="AD25" s="128">
        <v>0</v>
      </c>
      <c r="AE25" s="147">
        <v>0</v>
      </c>
      <c r="AF25" s="130">
        <v>0</v>
      </c>
      <c r="AG25" s="134">
        <v>0</v>
      </c>
      <c r="AH25" s="130">
        <v>0</v>
      </c>
      <c r="AI25" s="131">
        <v>0</v>
      </c>
      <c r="AJ25" s="130">
        <v>0</v>
      </c>
      <c r="AK25" s="130">
        <v>0</v>
      </c>
      <c r="AL25" s="130">
        <f t="shared" si="89"/>
        <v>0</v>
      </c>
      <c r="AM25" s="135">
        <f t="shared" si="90"/>
        <v>104016</v>
      </c>
      <c r="AN25" s="136">
        <v>46128</v>
      </c>
      <c r="AO25" s="137" t="s">
        <v>388</v>
      </c>
      <c r="AP25" s="138" t="s">
        <v>239</v>
      </c>
      <c r="AQ25" s="139" t="s">
        <v>240</v>
      </c>
      <c r="AR25" s="139" t="s">
        <v>260</v>
      </c>
      <c r="AS25" s="126" t="s">
        <v>387</v>
      </c>
      <c r="AT25" s="140" t="s">
        <v>247</v>
      </c>
      <c r="AU25" s="140" t="s">
        <v>228</v>
      </c>
      <c r="AV25" s="141" t="s">
        <v>208</v>
      </c>
      <c r="AW25" s="139">
        <v>66</v>
      </c>
      <c r="AX25" s="141">
        <v>1733.9</v>
      </c>
      <c r="AY25" s="139">
        <f t="shared" si="91"/>
        <v>114437.40000000001</v>
      </c>
      <c r="AZ25" s="142" t="b">
        <f t="shared" si="92"/>
        <v>1</v>
      </c>
      <c r="BA25" s="128">
        <v>0</v>
      </c>
      <c r="BB25" s="143">
        <f t="shared" si="93"/>
        <v>66</v>
      </c>
      <c r="BC25" s="144">
        <v>0</v>
      </c>
      <c r="BD25" s="143" t="s">
        <v>109</v>
      </c>
      <c r="BE25" s="144">
        <v>0</v>
      </c>
      <c r="BF25" s="143">
        <v>0</v>
      </c>
      <c r="BG25" s="144">
        <v>0</v>
      </c>
      <c r="BH25" s="130">
        <v>0</v>
      </c>
      <c r="BI25" s="133">
        <v>0</v>
      </c>
      <c r="BJ25" s="131">
        <v>0</v>
      </c>
      <c r="BK25" s="128">
        <v>0</v>
      </c>
      <c r="BL25" s="139">
        <v>0</v>
      </c>
      <c r="BM25" s="130">
        <v>0</v>
      </c>
      <c r="BN25" s="145">
        <f t="shared" si="94"/>
        <v>0</v>
      </c>
      <c r="BO25" s="129">
        <f t="shared" si="95"/>
        <v>114437.40000000001</v>
      </c>
      <c r="BP25" s="135">
        <f t="shared" si="96"/>
        <v>10421.400000000009</v>
      </c>
      <c r="BQ25" s="144" t="str">
        <f t="shared" si="97"/>
        <v>Positive Margin</v>
      </c>
      <c r="BR25" s="146" t="s">
        <v>209</v>
      </c>
      <c r="BS25" s="128">
        <f t="shared" si="98"/>
        <v>10421.400000000009</v>
      </c>
      <c r="BT25" s="147" t="str">
        <f t="shared" si="99"/>
        <v>Positive Margin at Inception</v>
      </c>
      <c r="BU25" s="148">
        <f t="shared" si="100"/>
        <v>9.1066382144299046E-2</v>
      </c>
      <c r="BV25" s="147" t="str">
        <f t="shared" si="101"/>
        <v>More than 2%</v>
      </c>
      <c r="BW25" s="128">
        <f t="shared" si="102"/>
        <v>0</v>
      </c>
      <c r="BX25" s="129">
        <f t="shared" si="103"/>
        <v>0</v>
      </c>
      <c r="BY25" s="128">
        <f t="shared" si="104"/>
        <v>0</v>
      </c>
      <c r="BZ25" s="149">
        <f t="shared" si="105"/>
        <v>0</v>
      </c>
      <c r="CA25" s="149">
        <f t="shared" si="106"/>
        <v>0</v>
      </c>
      <c r="CB25" s="130">
        <f t="shared" si="107"/>
        <v>0</v>
      </c>
      <c r="CC25" s="149" t="s">
        <v>282</v>
      </c>
      <c r="CD25" s="130">
        <v>0</v>
      </c>
      <c r="CE25" s="130">
        <f t="shared" si="108"/>
        <v>104016</v>
      </c>
      <c r="CF25" s="130">
        <f t="shared" si="109"/>
        <v>114437.40000000001</v>
      </c>
      <c r="CG25" s="130">
        <f t="shared" si="110"/>
        <v>3</v>
      </c>
      <c r="CH25" s="150">
        <v>0</v>
      </c>
      <c r="CI25" s="130">
        <v>0</v>
      </c>
      <c r="CJ25" s="130" t="e">
        <f>_xlfn.XLOOKUP(AP25,POC!B:B,POC!D:D)</f>
        <v>#N/A</v>
      </c>
      <c r="CK25" s="130">
        <f t="shared" si="111"/>
        <v>10421.400000000009</v>
      </c>
      <c r="CL25" s="130">
        <f t="shared" si="112"/>
        <v>10421.400000000009</v>
      </c>
      <c r="CM25" s="130">
        <f t="shared" si="113"/>
        <v>10421.400000000009</v>
      </c>
      <c r="CN25" s="130">
        <f t="shared" si="114"/>
        <v>135036.13200000001</v>
      </c>
      <c r="CO25" s="130">
        <f t="shared" si="115"/>
        <v>-122738.87999999999</v>
      </c>
      <c r="CP25" s="130">
        <f t="shared" si="116"/>
        <v>0</v>
      </c>
      <c r="CQ25" s="130">
        <f t="shared" si="117"/>
        <v>0</v>
      </c>
      <c r="CR25" s="130">
        <f t="shared" si="118"/>
        <v>12297.252000000022</v>
      </c>
      <c r="CS25" s="130" t="s">
        <v>236</v>
      </c>
      <c r="CT25" s="130" t="s">
        <v>236</v>
      </c>
      <c r="CU25" s="145" t="str">
        <f t="shared" si="119"/>
        <v>AADCC6184H</v>
      </c>
      <c r="CV25" s="145" t="str">
        <f t="shared" si="120"/>
        <v>AARFT3586D</v>
      </c>
      <c r="CW25" s="152" t="str">
        <f t="shared" si="121"/>
        <v>2026290000000099CHAITANYA INDIA FIN CREDIT PRIVATE LIMITED</v>
      </c>
    </row>
    <row r="26" spans="2:101" s="152" customFormat="1" ht="11.85" customHeight="1" x14ac:dyDescent="0.25">
      <c r="B26" s="123" t="str">
        <f t="shared" si="84"/>
        <v>Q1</v>
      </c>
      <c r="C26" s="124" t="str">
        <f t="shared" si="85"/>
        <v>Apr-26</v>
      </c>
      <c r="D26" s="125">
        <v>46128</v>
      </c>
      <c r="E26" s="126" t="s">
        <v>376</v>
      </c>
      <c r="F26" s="126" t="s">
        <v>286</v>
      </c>
      <c r="G26" s="126" t="s">
        <v>343</v>
      </c>
      <c r="H26" s="127" t="s">
        <v>377</v>
      </c>
      <c r="I26" s="125">
        <v>46094</v>
      </c>
      <c r="J26" s="126" t="s">
        <v>378</v>
      </c>
      <c r="K26" s="125">
        <v>46128</v>
      </c>
      <c r="L26" s="126" t="s">
        <v>375</v>
      </c>
      <c r="M26" s="126" t="s">
        <v>208</v>
      </c>
      <c r="N26" s="127" t="s">
        <v>212</v>
      </c>
      <c r="O26" s="126">
        <v>17</v>
      </c>
      <c r="P26" s="283">
        <v>85</v>
      </c>
      <c r="Q26" s="128">
        <f t="shared" si="86"/>
        <v>1445</v>
      </c>
      <c r="R26" s="129">
        <v>0</v>
      </c>
      <c r="S26" s="128">
        <f t="shared" si="87"/>
        <v>17</v>
      </c>
      <c r="T26" s="129">
        <v>0</v>
      </c>
      <c r="U26" s="130">
        <v>0</v>
      </c>
      <c r="V26" s="131">
        <v>0</v>
      </c>
      <c r="W26" s="130">
        <v>0</v>
      </c>
      <c r="X26" s="132">
        <v>0</v>
      </c>
      <c r="Y26" s="130">
        <v>0</v>
      </c>
      <c r="Z26" s="130">
        <v>0</v>
      </c>
      <c r="AA26" s="129">
        <v>0</v>
      </c>
      <c r="AB26" s="133">
        <f t="shared" si="88"/>
        <v>0</v>
      </c>
      <c r="AC26" s="132">
        <v>0</v>
      </c>
      <c r="AD26" s="128">
        <v>0</v>
      </c>
      <c r="AE26" s="147">
        <v>0</v>
      </c>
      <c r="AF26" s="130">
        <v>0</v>
      </c>
      <c r="AG26" s="134">
        <v>0</v>
      </c>
      <c r="AH26" s="130">
        <v>0</v>
      </c>
      <c r="AI26" s="131">
        <v>0</v>
      </c>
      <c r="AJ26" s="130">
        <v>0</v>
      </c>
      <c r="AK26" s="130">
        <v>0</v>
      </c>
      <c r="AL26" s="130">
        <f t="shared" si="89"/>
        <v>0</v>
      </c>
      <c r="AM26" s="135">
        <f t="shared" si="90"/>
        <v>1445</v>
      </c>
      <c r="AN26" s="136">
        <v>46128</v>
      </c>
      <c r="AO26" s="137" t="s">
        <v>388</v>
      </c>
      <c r="AP26" s="138" t="s">
        <v>239</v>
      </c>
      <c r="AQ26" s="139" t="s">
        <v>240</v>
      </c>
      <c r="AR26" s="139" t="s">
        <v>260</v>
      </c>
      <c r="AS26" s="126" t="s">
        <v>387</v>
      </c>
      <c r="AT26" s="140" t="s">
        <v>247</v>
      </c>
      <c r="AU26" s="140" t="s">
        <v>228</v>
      </c>
      <c r="AV26" s="141" t="s">
        <v>208</v>
      </c>
      <c r="AW26" s="139">
        <v>17</v>
      </c>
      <c r="AX26" s="141">
        <v>93.22</v>
      </c>
      <c r="AY26" s="139">
        <f t="shared" si="91"/>
        <v>1584.74</v>
      </c>
      <c r="AZ26" s="142" t="b">
        <f t="shared" si="92"/>
        <v>1</v>
      </c>
      <c r="BA26" s="128">
        <v>0</v>
      </c>
      <c r="BB26" s="143">
        <f t="shared" si="93"/>
        <v>17</v>
      </c>
      <c r="BC26" s="144">
        <v>0</v>
      </c>
      <c r="BD26" s="143" t="s">
        <v>109</v>
      </c>
      <c r="BE26" s="144">
        <v>0</v>
      </c>
      <c r="BF26" s="143">
        <v>0</v>
      </c>
      <c r="BG26" s="144">
        <v>0</v>
      </c>
      <c r="BH26" s="130">
        <v>0</v>
      </c>
      <c r="BI26" s="133">
        <v>0</v>
      </c>
      <c r="BJ26" s="131">
        <v>0</v>
      </c>
      <c r="BK26" s="128">
        <v>0</v>
      </c>
      <c r="BL26" s="139">
        <v>0</v>
      </c>
      <c r="BM26" s="130">
        <v>0</v>
      </c>
      <c r="BN26" s="145">
        <f t="shared" si="94"/>
        <v>0</v>
      </c>
      <c r="BO26" s="129">
        <f t="shared" si="95"/>
        <v>1584.74</v>
      </c>
      <c r="BP26" s="135">
        <f t="shared" si="96"/>
        <v>139.74</v>
      </c>
      <c r="BQ26" s="144" t="str">
        <f t="shared" si="97"/>
        <v>Positive Margin</v>
      </c>
      <c r="BR26" s="146" t="s">
        <v>209</v>
      </c>
      <c r="BS26" s="128">
        <f t="shared" si="98"/>
        <v>139.74</v>
      </c>
      <c r="BT26" s="147" t="str">
        <f t="shared" si="99"/>
        <v>Positive Margin at Inception</v>
      </c>
      <c r="BU26" s="148">
        <f t="shared" si="100"/>
        <v>8.8178502467281705E-2</v>
      </c>
      <c r="BV26" s="147" t="str">
        <f t="shared" si="101"/>
        <v>More than 2%</v>
      </c>
      <c r="BW26" s="128">
        <f t="shared" si="102"/>
        <v>0</v>
      </c>
      <c r="BX26" s="129">
        <f t="shared" si="103"/>
        <v>0</v>
      </c>
      <c r="BY26" s="128">
        <f t="shared" si="104"/>
        <v>0</v>
      </c>
      <c r="BZ26" s="149">
        <f t="shared" si="105"/>
        <v>0</v>
      </c>
      <c r="CA26" s="149">
        <f t="shared" si="106"/>
        <v>0</v>
      </c>
      <c r="CB26" s="130">
        <f t="shared" si="107"/>
        <v>0</v>
      </c>
      <c r="CC26" s="149" t="s">
        <v>282</v>
      </c>
      <c r="CD26" s="130">
        <v>0</v>
      </c>
      <c r="CE26" s="130">
        <f t="shared" si="108"/>
        <v>1445</v>
      </c>
      <c r="CF26" s="130">
        <f t="shared" si="109"/>
        <v>1584.74</v>
      </c>
      <c r="CG26" s="130">
        <f t="shared" si="110"/>
        <v>3</v>
      </c>
      <c r="CH26" s="150">
        <v>0</v>
      </c>
      <c r="CI26" s="130">
        <v>0</v>
      </c>
      <c r="CJ26" s="130" t="e">
        <f>_xlfn.XLOOKUP(AP26,POC!B:B,POC!D:D)</f>
        <v>#N/A</v>
      </c>
      <c r="CK26" s="130">
        <f t="shared" si="111"/>
        <v>139.74</v>
      </c>
      <c r="CL26" s="130">
        <f t="shared" si="112"/>
        <v>139.74</v>
      </c>
      <c r="CM26" s="130">
        <f t="shared" si="113"/>
        <v>139.74</v>
      </c>
      <c r="CN26" s="130">
        <f t="shared" si="114"/>
        <v>1869.9931999999999</v>
      </c>
      <c r="CO26" s="130">
        <f t="shared" si="115"/>
        <v>-1705.1</v>
      </c>
      <c r="CP26" s="130">
        <f t="shared" si="116"/>
        <v>0</v>
      </c>
      <c r="CQ26" s="130">
        <f t="shared" si="117"/>
        <v>0</v>
      </c>
      <c r="CR26" s="130">
        <f t="shared" si="118"/>
        <v>164.89319999999998</v>
      </c>
      <c r="CS26" s="130" t="s">
        <v>236</v>
      </c>
      <c r="CT26" s="130" t="s">
        <v>236</v>
      </c>
      <c r="CU26" s="145" t="str">
        <f t="shared" si="119"/>
        <v>AADCC6184H</v>
      </c>
      <c r="CV26" s="145" t="str">
        <f t="shared" si="120"/>
        <v>AARFT3586D</v>
      </c>
      <c r="CW26" s="152" t="str">
        <f t="shared" si="121"/>
        <v>2026290000000099CHAITANYA INDIA FIN CREDIT PRIVATE LIMITED</v>
      </c>
    </row>
    <row r="27" spans="2:101" s="152" customFormat="1" ht="11.85" customHeight="1" x14ac:dyDescent="0.25">
      <c r="B27" s="123" t="str">
        <f t="shared" si="84"/>
        <v>Q1</v>
      </c>
      <c r="C27" s="124" t="str">
        <f t="shared" si="85"/>
        <v>Apr-26</v>
      </c>
      <c r="D27" s="125">
        <v>46128</v>
      </c>
      <c r="E27" s="126" t="s">
        <v>376</v>
      </c>
      <c r="F27" s="126" t="s">
        <v>286</v>
      </c>
      <c r="G27" s="126" t="s">
        <v>343</v>
      </c>
      <c r="H27" s="127" t="s">
        <v>377</v>
      </c>
      <c r="I27" s="125">
        <v>46094</v>
      </c>
      <c r="J27" s="126" t="s">
        <v>378</v>
      </c>
      <c r="K27" s="125">
        <v>46128</v>
      </c>
      <c r="L27" s="126" t="s">
        <v>375</v>
      </c>
      <c r="M27" s="126" t="s">
        <v>208</v>
      </c>
      <c r="N27" s="127" t="s">
        <v>212</v>
      </c>
      <c r="O27" s="126">
        <v>1</v>
      </c>
      <c r="P27" s="283">
        <v>85</v>
      </c>
      <c r="Q27" s="128">
        <f t="shared" si="86"/>
        <v>85</v>
      </c>
      <c r="R27" s="129">
        <v>0</v>
      </c>
      <c r="S27" s="128">
        <f t="shared" si="87"/>
        <v>1</v>
      </c>
      <c r="T27" s="129">
        <v>0</v>
      </c>
      <c r="U27" s="130">
        <v>0</v>
      </c>
      <c r="V27" s="131">
        <v>0</v>
      </c>
      <c r="W27" s="130">
        <v>0</v>
      </c>
      <c r="X27" s="132">
        <v>0</v>
      </c>
      <c r="Y27" s="130">
        <v>0</v>
      </c>
      <c r="Z27" s="130">
        <v>0</v>
      </c>
      <c r="AA27" s="129">
        <v>0</v>
      </c>
      <c r="AB27" s="133">
        <f t="shared" si="88"/>
        <v>0</v>
      </c>
      <c r="AC27" s="132">
        <v>0</v>
      </c>
      <c r="AD27" s="128">
        <v>0</v>
      </c>
      <c r="AE27" s="147">
        <v>0</v>
      </c>
      <c r="AF27" s="130">
        <v>0</v>
      </c>
      <c r="AG27" s="134">
        <v>0</v>
      </c>
      <c r="AH27" s="130">
        <v>0</v>
      </c>
      <c r="AI27" s="131">
        <v>0</v>
      </c>
      <c r="AJ27" s="130">
        <v>0</v>
      </c>
      <c r="AK27" s="130">
        <v>0</v>
      </c>
      <c r="AL27" s="130">
        <f t="shared" si="89"/>
        <v>0</v>
      </c>
      <c r="AM27" s="135">
        <f t="shared" si="90"/>
        <v>85</v>
      </c>
      <c r="AN27" s="136">
        <v>46128</v>
      </c>
      <c r="AO27" s="137" t="s">
        <v>388</v>
      </c>
      <c r="AP27" s="138" t="s">
        <v>239</v>
      </c>
      <c r="AQ27" s="139" t="s">
        <v>240</v>
      </c>
      <c r="AR27" s="139" t="s">
        <v>260</v>
      </c>
      <c r="AS27" s="126" t="s">
        <v>387</v>
      </c>
      <c r="AT27" s="140" t="s">
        <v>247</v>
      </c>
      <c r="AU27" s="140" t="s">
        <v>228</v>
      </c>
      <c r="AV27" s="141" t="s">
        <v>208</v>
      </c>
      <c r="AW27" s="139">
        <v>1</v>
      </c>
      <c r="AX27" s="141">
        <v>93.22</v>
      </c>
      <c r="AY27" s="139">
        <f t="shared" si="91"/>
        <v>93.22</v>
      </c>
      <c r="AZ27" s="142" t="b">
        <f t="shared" si="92"/>
        <v>1</v>
      </c>
      <c r="BA27" s="128">
        <v>0</v>
      </c>
      <c r="BB27" s="143">
        <f t="shared" si="93"/>
        <v>1</v>
      </c>
      <c r="BC27" s="144">
        <v>0</v>
      </c>
      <c r="BD27" s="143" t="s">
        <v>109</v>
      </c>
      <c r="BE27" s="144">
        <v>0</v>
      </c>
      <c r="BF27" s="143">
        <v>0</v>
      </c>
      <c r="BG27" s="144">
        <v>0</v>
      </c>
      <c r="BH27" s="130">
        <v>0</v>
      </c>
      <c r="BI27" s="133">
        <v>0</v>
      </c>
      <c r="BJ27" s="131">
        <v>0</v>
      </c>
      <c r="BK27" s="128">
        <v>0</v>
      </c>
      <c r="BL27" s="139">
        <v>0</v>
      </c>
      <c r="BM27" s="130">
        <v>0</v>
      </c>
      <c r="BN27" s="145">
        <f t="shared" si="94"/>
        <v>0</v>
      </c>
      <c r="BO27" s="129">
        <f t="shared" si="95"/>
        <v>93.22</v>
      </c>
      <c r="BP27" s="135">
        <f t="shared" si="96"/>
        <v>8.2199999999999989</v>
      </c>
      <c r="BQ27" s="144" t="str">
        <f t="shared" si="97"/>
        <v>Positive Margin</v>
      </c>
      <c r="BR27" s="146" t="s">
        <v>209</v>
      </c>
      <c r="BS27" s="128">
        <f t="shared" si="98"/>
        <v>8.2199999999999989</v>
      </c>
      <c r="BT27" s="147" t="str">
        <f t="shared" si="99"/>
        <v>Positive Margin at Inception</v>
      </c>
      <c r="BU27" s="148">
        <f t="shared" si="100"/>
        <v>8.8178502467281691E-2</v>
      </c>
      <c r="BV27" s="147" t="str">
        <f t="shared" si="101"/>
        <v>More than 2%</v>
      </c>
      <c r="BW27" s="128">
        <f t="shared" si="102"/>
        <v>0</v>
      </c>
      <c r="BX27" s="129">
        <f t="shared" si="103"/>
        <v>0</v>
      </c>
      <c r="BY27" s="128">
        <f t="shared" si="104"/>
        <v>0</v>
      </c>
      <c r="BZ27" s="149">
        <f t="shared" si="105"/>
        <v>0</v>
      </c>
      <c r="CA27" s="149">
        <f t="shared" si="106"/>
        <v>0</v>
      </c>
      <c r="CB27" s="130">
        <f t="shared" si="107"/>
        <v>0</v>
      </c>
      <c r="CC27" s="149" t="s">
        <v>282</v>
      </c>
      <c r="CD27" s="130">
        <v>0</v>
      </c>
      <c r="CE27" s="130">
        <f t="shared" si="108"/>
        <v>85</v>
      </c>
      <c r="CF27" s="130">
        <f t="shared" si="109"/>
        <v>93.22</v>
      </c>
      <c r="CG27" s="130">
        <f t="shared" si="110"/>
        <v>3</v>
      </c>
      <c r="CH27" s="150">
        <v>0</v>
      </c>
      <c r="CI27" s="130">
        <v>0</v>
      </c>
      <c r="CJ27" s="130" t="e">
        <f>_xlfn.XLOOKUP(AP27,POC!B:B,POC!D:D)</f>
        <v>#N/A</v>
      </c>
      <c r="CK27" s="130">
        <f t="shared" si="111"/>
        <v>8.2199999999999989</v>
      </c>
      <c r="CL27" s="130">
        <f t="shared" si="112"/>
        <v>8.2199999999999989</v>
      </c>
      <c r="CM27" s="130">
        <f t="shared" si="113"/>
        <v>8.2199999999999989</v>
      </c>
      <c r="CN27" s="130">
        <f t="shared" si="114"/>
        <v>109.99959999999999</v>
      </c>
      <c r="CO27" s="130">
        <f t="shared" si="115"/>
        <v>-100.3</v>
      </c>
      <c r="CP27" s="130">
        <f t="shared" si="116"/>
        <v>0</v>
      </c>
      <c r="CQ27" s="130">
        <f t="shared" si="117"/>
        <v>0</v>
      </c>
      <c r="CR27" s="130">
        <f t="shared" si="118"/>
        <v>9.6995999999999896</v>
      </c>
      <c r="CS27" s="130" t="s">
        <v>236</v>
      </c>
      <c r="CT27" s="130" t="s">
        <v>236</v>
      </c>
      <c r="CU27" s="145" t="str">
        <f t="shared" si="119"/>
        <v>AADCC6184H</v>
      </c>
      <c r="CV27" s="145" t="str">
        <f t="shared" si="120"/>
        <v>AARFT3586D</v>
      </c>
      <c r="CW27" s="152" t="str">
        <f t="shared" si="121"/>
        <v>2026290000000099CHAITANYA INDIA FIN CREDIT PRIVATE LIMITED</v>
      </c>
    </row>
    <row r="28" spans="2:101" s="152" customFormat="1" ht="11.85" customHeight="1" x14ac:dyDescent="0.25">
      <c r="B28" s="123" t="str">
        <f t="shared" si="84"/>
        <v>Q1</v>
      </c>
      <c r="C28" s="124" t="str">
        <f t="shared" si="85"/>
        <v>Apr-26</v>
      </c>
      <c r="D28" s="125">
        <v>46128</v>
      </c>
      <c r="E28" s="126" t="s">
        <v>376</v>
      </c>
      <c r="F28" s="126" t="s">
        <v>286</v>
      </c>
      <c r="G28" s="126" t="s">
        <v>343</v>
      </c>
      <c r="H28" s="127" t="s">
        <v>377</v>
      </c>
      <c r="I28" s="125">
        <v>46094</v>
      </c>
      <c r="J28" s="126" t="s">
        <v>378</v>
      </c>
      <c r="K28" s="125">
        <v>46128</v>
      </c>
      <c r="L28" s="126" t="s">
        <v>375</v>
      </c>
      <c r="M28" s="126" t="s">
        <v>208</v>
      </c>
      <c r="N28" s="127" t="s">
        <v>212</v>
      </c>
      <c r="O28" s="126">
        <v>4</v>
      </c>
      <c r="P28" s="283">
        <v>85</v>
      </c>
      <c r="Q28" s="128">
        <f t="shared" si="86"/>
        <v>340</v>
      </c>
      <c r="R28" s="129">
        <v>0</v>
      </c>
      <c r="S28" s="128">
        <f t="shared" si="87"/>
        <v>4</v>
      </c>
      <c r="T28" s="129">
        <v>0</v>
      </c>
      <c r="U28" s="130">
        <v>0</v>
      </c>
      <c r="V28" s="131">
        <v>0</v>
      </c>
      <c r="W28" s="130">
        <v>0</v>
      </c>
      <c r="X28" s="132">
        <v>0</v>
      </c>
      <c r="Y28" s="130">
        <v>0</v>
      </c>
      <c r="Z28" s="130">
        <v>0</v>
      </c>
      <c r="AA28" s="129">
        <v>0</v>
      </c>
      <c r="AB28" s="133">
        <f t="shared" si="88"/>
        <v>0</v>
      </c>
      <c r="AC28" s="132">
        <v>0</v>
      </c>
      <c r="AD28" s="128">
        <v>0</v>
      </c>
      <c r="AE28" s="147">
        <v>0</v>
      </c>
      <c r="AF28" s="130">
        <v>0</v>
      </c>
      <c r="AG28" s="134">
        <v>0</v>
      </c>
      <c r="AH28" s="130">
        <v>0</v>
      </c>
      <c r="AI28" s="131">
        <v>0</v>
      </c>
      <c r="AJ28" s="130">
        <v>0</v>
      </c>
      <c r="AK28" s="130">
        <v>0</v>
      </c>
      <c r="AL28" s="130">
        <f t="shared" si="89"/>
        <v>0</v>
      </c>
      <c r="AM28" s="135">
        <f t="shared" si="90"/>
        <v>340</v>
      </c>
      <c r="AN28" s="136">
        <v>46128</v>
      </c>
      <c r="AO28" s="137" t="s">
        <v>388</v>
      </c>
      <c r="AP28" s="138" t="s">
        <v>239</v>
      </c>
      <c r="AQ28" s="139" t="s">
        <v>240</v>
      </c>
      <c r="AR28" s="139" t="s">
        <v>260</v>
      </c>
      <c r="AS28" s="126" t="s">
        <v>387</v>
      </c>
      <c r="AT28" s="140" t="s">
        <v>247</v>
      </c>
      <c r="AU28" s="140" t="s">
        <v>228</v>
      </c>
      <c r="AV28" s="141" t="s">
        <v>208</v>
      </c>
      <c r="AW28" s="139">
        <v>4</v>
      </c>
      <c r="AX28" s="141">
        <v>93.22</v>
      </c>
      <c r="AY28" s="139">
        <f t="shared" si="91"/>
        <v>372.88</v>
      </c>
      <c r="AZ28" s="142" t="b">
        <f t="shared" si="92"/>
        <v>1</v>
      </c>
      <c r="BA28" s="128">
        <v>0</v>
      </c>
      <c r="BB28" s="143">
        <f t="shared" si="93"/>
        <v>4</v>
      </c>
      <c r="BC28" s="144">
        <v>0</v>
      </c>
      <c r="BD28" s="143" t="s">
        <v>109</v>
      </c>
      <c r="BE28" s="144">
        <v>0</v>
      </c>
      <c r="BF28" s="143">
        <v>0</v>
      </c>
      <c r="BG28" s="144">
        <v>0</v>
      </c>
      <c r="BH28" s="130">
        <v>0</v>
      </c>
      <c r="BI28" s="133">
        <v>0</v>
      </c>
      <c r="BJ28" s="131">
        <v>0</v>
      </c>
      <c r="BK28" s="128">
        <v>0</v>
      </c>
      <c r="BL28" s="139">
        <v>0</v>
      </c>
      <c r="BM28" s="130">
        <v>0</v>
      </c>
      <c r="BN28" s="145">
        <f t="shared" si="94"/>
        <v>0</v>
      </c>
      <c r="BO28" s="129">
        <f t="shared" si="95"/>
        <v>372.88</v>
      </c>
      <c r="BP28" s="135">
        <f t="shared" si="96"/>
        <v>32.879999999999995</v>
      </c>
      <c r="BQ28" s="144" t="str">
        <f t="shared" si="97"/>
        <v>Positive Margin</v>
      </c>
      <c r="BR28" s="146" t="s">
        <v>209</v>
      </c>
      <c r="BS28" s="128">
        <f t="shared" si="98"/>
        <v>32.879999999999995</v>
      </c>
      <c r="BT28" s="147" t="str">
        <f t="shared" si="99"/>
        <v>Positive Margin at Inception</v>
      </c>
      <c r="BU28" s="148">
        <f t="shared" si="100"/>
        <v>8.8178502467281691E-2</v>
      </c>
      <c r="BV28" s="147" t="str">
        <f t="shared" si="101"/>
        <v>More than 2%</v>
      </c>
      <c r="BW28" s="128">
        <f t="shared" si="102"/>
        <v>0</v>
      </c>
      <c r="BX28" s="129">
        <f t="shared" si="103"/>
        <v>0</v>
      </c>
      <c r="BY28" s="128">
        <f t="shared" si="104"/>
        <v>0</v>
      </c>
      <c r="BZ28" s="149">
        <f t="shared" si="105"/>
        <v>0</v>
      </c>
      <c r="CA28" s="149">
        <f t="shared" si="106"/>
        <v>0</v>
      </c>
      <c r="CB28" s="130">
        <f t="shared" si="107"/>
        <v>0</v>
      </c>
      <c r="CC28" s="149" t="s">
        <v>282</v>
      </c>
      <c r="CD28" s="130">
        <v>0</v>
      </c>
      <c r="CE28" s="130">
        <f t="shared" si="108"/>
        <v>340</v>
      </c>
      <c r="CF28" s="130">
        <f t="shared" si="109"/>
        <v>372.88</v>
      </c>
      <c r="CG28" s="130">
        <f t="shared" si="110"/>
        <v>3</v>
      </c>
      <c r="CH28" s="150">
        <v>0</v>
      </c>
      <c r="CI28" s="130">
        <v>0</v>
      </c>
      <c r="CJ28" s="130" t="e">
        <f>_xlfn.XLOOKUP(AP28,POC!B:B,POC!D:D)</f>
        <v>#N/A</v>
      </c>
      <c r="CK28" s="130">
        <f t="shared" si="111"/>
        <v>32.879999999999995</v>
      </c>
      <c r="CL28" s="130">
        <f t="shared" si="112"/>
        <v>32.879999999999995</v>
      </c>
      <c r="CM28" s="130">
        <f t="shared" si="113"/>
        <v>32.879999999999995</v>
      </c>
      <c r="CN28" s="130">
        <f t="shared" si="114"/>
        <v>439.99839999999995</v>
      </c>
      <c r="CO28" s="130">
        <f t="shared" si="115"/>
        <v>-401.2</v>
      </c>
      <c r="CP28" s="130">
        <f t="shared" si="116"/>
        <v>0</v>
      </c>
      <c r="CQ28" s="130">
        <f t="shared" si="117"/>
        <v>0</v>
      </c>
      <c r="CR28" s="130">
        <f t="shared" si="118"/>
        <v>38.798399999999958</v>
      </c>
      <c r="CS28" s="130" t="s">
        <v>236</v>
      </c>
      <c r="CT28" s="130" t="s">
        <v>236</v>
      </c>
      <c r="CU28" s="145" t="str">
        <f t="shared" si="119"/>
        <v>AADCC6184H</v>
      </c>
      <c r="CV28" s="145" t="str">
        <f t="shared" si="120"/>
        <v>AARFT3586D</v>
      </c>
      <c r="CW28" s="152" t="str">
        <f t="shared" si="121"/>
        <v>2026290000000099CHAITANYA INDIA FIN CREDIT PRIVATE LIMITED</v>
      </c>
    </row>
    <row r="29" spans="2:101" s="152" customFormat="1" ht="11.85" customHeight="1" x14ac:dyDescent="0.25">
      <c r="B29" s="123" t="str">
        <f t="shared" si="84"/>
        <v>Q1</v>
      </c>
      <c r="C29" s="124" t="str">
        <f t="shared" si="85"/>
        <v>Apr-26</v>
      </c>
      <c r="D29" s="125">
        <v>46128</v>
      </c>
      <c r="E29" s="126" t="s">
        <v>379</v>
      </c>
      <c r="F29" s="126" t="s">
        <v>286</v>
      </c>
      <c r="G29" s="126" t="s">
        <v>380</v>
      </c>
      <c r="H29" s="127" t="s">
        <v>381</v>
      </c>
      <c r="I29" s="125">
        <v>46094</v>
      </c>
      <c r="J29" s="126" t="s">
        <v>382</v>
      </c>
      <c r="K29" s="125">
        <v>46128</v>
      </c>
      <c r="L29" s="126" t="s">
        <v>383</v>
      </c>
      <c r="M29" s="126" t="s">
        <v>208</v>
      </c>
      <c r="N29" s="127" t="s">
        <v>212</v>
      </c>
      <c r="O29" s="126">
        <v>3</v>
      </c>
      <c r="P29" s="283">
        <v>1576</v>
      </c>
      <c r="Q29" s="128">
        <f t="shared" si="86"/>
        <v>4728</v>
      </c>
      <c r="R29" s="129">
        <v>0</v>
      </c>
      <c r="S29" s="128">
        <f t="shared" si="87"/>
        <v>3</v>
      </c>
      <c r="T29" s="129">
        <v>0</v>
      </c>
      <c r="U29" s="130">
        <v>0</v>
      </c>
      <c r="V29" s="131">
        <v>0</v>
      </c>
      <c r="W29" s="130">
        <v>0</v>
      </c>
      <c r="X29" s="132">
        <v>0</v>
      </c>
      <c r="Y29" s="130">
        <v>0</v>
      </c>
      <c r="Z29" s="130">
        <v>0</v>
      </c>
      <c r="AA29" s="129">
        <v>0</v>
      </c>
      <c r="AB29" s="133">
        <f t="shared" si="88"/>
        <v>0</v>
      </c>
      <c r="AC29" s="132">
        <v>0</v>
      </c>
      <c r="AD29" s="128">
        <v>0</v>
      </c>
      <c r="AE29" s="147">
        <v>0</v>
      </c>
      <c r="AF29" s="130">
        <v>0</v>
      </c>
      <c r="AG29" s="134">
        <v>0</v>
      </c>
      <c r="AH29" s="130">
        <v>0</v>
      </c>
      <c r="AI29" s="131">
        <v>0</v>
      </c>
      <c r="AJ29" s="130">
        <v>0</v>
      </c>
      <c r="AK29" s="130">
        <v>0</v>
      </c>
      <c r="AL29" s="130">
        <f t="shared" si="89"/>
        <v>0</v>
      </c>
      <c r="AM29" s="135">
        <f t="shared" si="90"/>
        <v>4728</v>
      </c>
      <c r="AN29" s="136">
        <v>46128</v>
      </c>
      <c r="AO29" s="137" t="s">
        <v>389</v>
      </c>
      <c r="AP29" s="138" t="s">
        <v>239</v>
      </c>
      <c r="AQ29" s="139" t="s">
        <v>240</v>
      </c>
      <c r="AR29" s="139" t="s">
        <v>260</v>
      </c>
      <c r="AS29" s="126" t="s">
        <v>390</v>
      </c>
      <c r="AT29" s="140" t="s">
        <v>247</v>
      </c>
      <c r="AU29" s="140" t="s">
        <v>228</v>
      </c>
      <c r="AV29" s="141" t="s">
        <v>208</v>
      </c>
      <c r="AW29" s="139">
        <v>3</v>
      </c>
      <c r="AX29" s="141">
        <v>1733.9</v>
      </c>
      <c r="AY29" s="139">
        <f t="shared" si="91"/>
        <v>5201.7000000000007</v>
      </c>
      <c r="AZ29" s="142" t="b">
        <f t="shared" si="92"/>
        <v>1</v>
      </c>
      <c r="BA29" s="128">
        <v>0</v>
      </c>
      <c r="BB29" s="143">
        <f t="shared" si="93"/>
        <v>3</v>
      </c>
      <c r="BC29" s="144">
        <v>0</v>
      </c>
      <c r="BD29" s="143" t="s">
        <v>109</v>
      </c>
      <c r="BE29" s="144">
        <v>0</v>
      </c>
      <c r="BF29" s="143">
        <v>0</v>
      </c>
      <c r="BG29" s="144">
        <v>0</v>
      </c>
      <c r="BH29" s="130">
        <v>0</v>
      </c>
      <c r="BI29" s="133">
        <v>0</v>
      </c>
      <c r="BJ29" s="131">
        <v>0</v>
      </c>
      <c r="BK29" s="128">
        <v>0</v>
      </c>
      <c r="BL29" s="139">
        <v>0</v>
      </c>
      <c r="BM29" s="130">
        <v>0</v>
      </c>
      <c r="BN29" s="145">
        <f t="shared" si="94"/>
        <v>0</v>
      </c>
      <c r="BO29" s="129">
        <f t="shared" si="95"/>
        <v>5201.7000000000007</v>
      </c>
      <c r="BP29" s="135">
        <f t="shared" si="96"/>
        <v>473.70000000000073</v>
      </c>
      <c r="BQ29" s="144" t="str">
        <f t="shared" si="97"/>
        <v>Positive Margin</v>
      </c>
      <c r="BR29" s="146" t="s">
        <v>209</v>
      </c>
      <c r="BS29" s="128">
        <f t="shared" si="98"/>
        <v>473.70000000000073</v>
      </c>
      <c r="BT29" s="147" t="str">
        <f t="shared" si="99"/>
        <v>Positive Margin at Inception</v>
      </c>
      <c r="BU29" s="148">
        <f t="shared" si="100"/>
        <v>9.1066382144299102E-2</v>
      </c>
      <c r="BV29" s="147" t="str">
        <f t="shared" si="101"/>
        <v>More than 2%</v>
      </c>
      <c r="BW29" s="128">
        <f t="shared" si="102"/>
        <v>0</v>
      </c>
      <c r="BX29" s="129">
        <f t="shared" si="103"/>
        <v>0</v>
      </c>
      <c r="BY29" s="128">
        <f t="shared" si="104"/>
        <v>0</v>
      </c>
      <c r="BZ29" s="149">
        <f t="shared" si="105"/>
        <v>0</v>
      </c>
      <c r="CA29" s="149">
        <f t="shared" si="106"/>
        <v>0</v>
      </c>
      <c r="CB29" s="130">
        <f t="shared" si="107"/>
        <v>0</v>
      </c>
      <c r="CC29" s="149" t="s">
        <v>282</v>
      </c>
      <c r="CD29" s="130">
        <v>0</v>
      </c>
      <c r="CE29" s="130">
        <f t="shared" si="108"/>
        <v>4728</v>
      </c>
      <c r="CF29" s="130">
        <f t="shared" si="109"/>
        <v>5201.7000000000007</v>
      </c>
      <c r="CG29" s="130">
        <f t="shared" si="110"/>
        <v>3</v>
      </c>
      <c r="CH29" s="150">
        <v>0</v>
      </c>
      <c r="CI29" s="130">
        <v>0</v>
      </c>
      <c r="CJ29" s="130" t="e">
        <f>_xlfn.XLOOKUP(AP29,POC!B:B,POC!D:D)</f>
        <v>#N/A</v>
      </c>
      <c r="CK29" s="130">
        <f t="shared" si="111"/>
        <v>473.70000000000073</v>
      </c>
      <c r="CL29" s="130">
        <f t="shared" si="112"/>
        <v>473.70000000000073</v>
      </c>
      <c r="CM29" s="130">
        <f t="shared" si="113"/>
        <v>473.70000000000073</v>
      </c>
      <c r="CN29" s="130">
        <f t="shared" si="114"/>
        <v>6138.0060000000003</v>
      </c>
      <c r="CO29" s="130">
        <f t="shared" si="115"/>
        <v>-5579.04</v>
      </c>
      <c r="CP29" s="130">
        <f t="shared" si="116"/>
        <v>0</v>
      </c>
      <c r="CQ29" s="130">
        <f t="shared" si="117"/>
        <v>0</v>
      </c>
      <c r="CR29" s="130">
        <f t="shared" si="118"/>
        <v>558.96600000000035</v>
      </c>
      <c r="CS29" s="130" t="s">
        <v>236</v>
      </c>
      <c r="CT29" s="130" t="s">
        <v>236</v>
      </c>
      <c r="CU29" s="145" t="str">
        <f t="shared" si="119"/>
        <v>AADCC6184H</v>
      </c>
      <c r="CV29" s="145" t="str">
        <f t="shared" si="120"/>
        <v>AARFT3586D</v>
      </c>
      <c r="CW29" s="152" t="str">
        <f t="shared" si="121"/>
        <v>2026290000000092CHAITANYA INDIA FIN CREDIT PRIVATE LIMITED</v>
      </c>
    </row>
    <row r="30" spans="2:101" s="152" customFormat="1" ht="11.85" customHeight="1" x14ac:dyDescent="0.25">
      <c r="B30" s="123" t="str">
        <f t="shared" si="84"/>
        <v>Q1</v>
      </c>
      <c r="C30" s="124" t="str">
        <f t="shared" si="85"/>
        <v>Apr-26</v>
      </c>
      <c r="D30" s="125">
        <v>46128</v>
      </c>
      <c r="E30" s="126" t="s">
        <v>379</v>
      </c>
      <c r="F30" s="126" t="s">
        <v>286</v>
      </c>
      <c r="G30" s="126" t="s">
        <v>380</v>
      </c>
      <c r="H30" s="127" t="s">
        <v>381</v>
      </c>
      <c r="I30" s="125">
        <v>46094</v>
      </c>
      <c r="J30" s="126" t="s">
        <v>382</v>
      </c>
      <c r="K30" s="125">
        <v>46128</v>
      </c>
      <c r="L30" s="126" t="s">
        <v>383</v>
      </c>
      <c r="M30" s="126" t="s">
        <v>208</v>
      </c>
      <c r="N30" s="127" t="s">
        <v>212</v>
      </c>
      <c r="O30" s="126">
        <v>6</v>
      </c>
      <c r="P30" s="283">
        <v>84.665999999999997</v>
      </c>
      <c r="Q30" s="128">
        <f t="shared" si="86"/>
        <v>507.99599999999998</v>
      </c>
      <c r="R30" s="129">
        <v>0</v>
      </c>
      <c r="S30" s="128">
        <f t="shared" si="87"/>
        <v>6</v>
      </c>
      <c r="T30" s="129">
        <v>0</v>
      </c>
      <c r="U30" s="130">
        <v>0</v>
      </c>
      <c r="V30" s="131">
        <v>0</v>
      </c>
      <c r="W30" s="130">
        <v>0</v>
      </c>
      <c r="X30" s="132">
        <v>0</v>
      </c>
      <c r="Y30" s="130">
        <v>0</v>
      </c>
      <c r="Z30" s="130">
        <v>0</v>
      </c>
      <c r="AA30" s="129">
        <v>0</v>
      </c>
      <c r="AB30" s="133">
        <f t="shared" si="88"/>
        <v>0</v>
      </c>
      <c r="AC30" s="132">
        <v>0</v>
      </c>
      <c r="AD30" s="128">
        <v>0</v>
      </c>
      <c r="AE30" s="147">
        <v>0</v>
      </c>
      <c r="AF30" s="130">
        <v>0</v>
      </c>
      <c r="AG30" s="134">
        <v>0</v>
      </c>
      <c r="AH30" s="130">
        <v>0</v>
      </c>
      <c r="AI30" s="131">
        <v>0</v>
      </c>
      <c r="AJ30" s="130">
        <v>0</v>
      </c>
      <c r="AK30" s="130">
        <v>0</v>
      </c>
      <c r="AL30" s="130">
        <f t="shared" si="89"/>
        <v>0</v>
      </c>
      <c r="AM30" s="135">
        <f t="shared" si="90"/>
        <v>507.99599999999998</v>
      </c>
      <c r="AN30" s="136">
        <v>46128</v>
      </c>
      <c r="AO30" s="137" t="s">
        <v>389</v>
      </c>
      <c r="AP30" s="138" t="s">
        <v>239</v>
      </c>
      <c r="AQ30" s="139" t="s">
        <v>240</v>
      </c>
      <c r="AR30" s="139" t="s">
        <v>260</v>
      </c>
      <c r="AS30" s="126" t="s">
        <v>390</v>
      </c>
      <c r="AT30" s="140" t="s">
        <v>247</v>
      </c>
      <c r="AU30" s="140" t="s">
        <v>228</v>
      </c>
      <c r="AV30" s="141" t="s">
        <v>208</v>
      </c>
      <c r="AW30" s="139">
        <v>6</v>
      </c>
      <c r="AX30" s="141">
        <v>93.22</v>
      </c>
      <c r="AY30" s="139">
        <f t="shared" si="91"/>
        <v>559.31999999999994</v>
      </c>
      <c r="AZ30" s="142" t="b">
        <f t="shared" si="92"/>
        <v>1</v>
      </c>
      <c r="BA30" s="128">
        <v>0</v>
      </c>
      <c r="BB30" s="143">
        <f t="shared" si="93"/>
        <v>6</v>
      </c>
      <c r="BC30" s="144">
        <v>0</v>
      </c>
      <c r="BD30" s="143" t="s">
        <v>109</v>
      </c>
      <c r="BE30" s="144">
        <v>0</v>
      </c>
      <c r="BF30" s="143">
        <v>0</v>
      </c>
      <c r="BG30" s="144">
        <v>0</v>
      </c>
      <c r="BH30" s="130">
        <v>0</v>
      </c>
      <c r="BI30" s="133">
        <v>0</v>
      </c>
      <c r="BJ30" s="131">
        <v>0</v>
      </c>
      <c r="BK30" s="128">
        <v>0</v>
      </c>
      <c r="BL30" s="139">
        <v>0</v>
      </c>
      <c r="BM30" s="130">
        <v>0</v>
      </c>
      <c r="BN30" s="145">
        <f t="shared" si="94"/>
        <v>0</v>
      </c>
      <c r="BO30" s="129">
        <f t="shared" si="95"/>
        <v>559.31999999999994</v>
      </c>
      <c r="BP30" s="135">
        <f t="shared" si="96"/>
        <v>51.323999999999955</v>
      </c>
      <c r="BQ30" s="144" t="str">
        <f t="shared" si="97"/>
        <v>Positive Margin</v>
      </c>
      <c r="BR30" s="146" t="s">
        <v>209</v>
      </c>
      <c r="BS30" s="128">
        <f t="shared" si="98"/>
        <v>51.323999999999955</v>
      </c>
      <c r="BT30" s="147" t="str">
        <f t="shared" si="99"/>
        <v>Positive Margin at Inception</v>
      </c>
      <c r="BU30" s="148">
        <f t="shared" si="100"/>
        <v>9.176142458699843E-2</v>
      </c>
      <c r="BV30" s="147" t="str">
        <f t="shared" si="101"/>
        <v>More than 2%</v>
      </c>
      <c r="BW30" s="128">
        <f t="shared" si="102"/>
        <v>0</v>
      </c>
      <c r="BX30" s="129">
        <f t="shared" si="103"/>
        <v>0</v>
      </c>
      <c r="BY30" s="128">
        <f t="shared" si="104"/>
        <v>0</v>
      </c>
      <c r="BZ30" s="149">
        <f t="shared" si="105"/>
        <v>0</v>
      </c>
      <c r="CA30" s="149">
        <f t="shared" si="106"/>
        <v>0</v>
      </c>
      <c r="CB30" s="130">
        <f t="shared" si="107"/>
        <v>0</v>
      </c>
      <c r="CC30" s="149" t="s">
        <v>282</v>
      </c>
      <c r="CD30" s="130">
        <v>0</v>
      </c>
      <c r="CE30" s="130">
        <f t="shared" si="108"/>
        <v>507.99599999999998</v>
      </c>
      <c r="CF30" s="130">
        <f t="shared" si="109"/>
        <v>559.31999999999994</v>
      </c>
      <c r="CG30" s="130">
        <f t="shared" si="110"/>
        <v>3</v>
      </c>
      <c r="CH30" s="150">
        <v>0</v>
      </c>
      <c r="CI30" s="130">
        <v>0</v>
      </c>
      <c r="CJ30" s="130" t="e">
        <f>_xlfn.XLOOKUP(AP30,POC!B:B,POC!D:D)</f>
        <v>#N/A</v>
      </c>
      <c r="CK30" s="130">
        <f t="shared" si="111"/>
        <v>51.323999999999955</v>
      </c>
      <c r="CL30" s="130">
        <f t="shared" si="112"/>
        <v>51.323999999999955</v>
      </c>
      <c r="CM30" s="130">
        <f t="shared" si="113"/>
        <v>51.323999999999955</v>
      </c>
      <c r="CN30" s="130">
        <f t="shared" si="114"/>
        <v>659.99759999999992</v>
      </c>
      <c r="CO30" s="130">
        <f t="shared" si="115"/>
        <v>-599.43527999999992</v>
      </c>
      <c r="CP30" s="130">
        <f t="shared" si="116"/>
        <v>0</v>
      </c>
      <c r="CQ30" s="130">
        <f t="shared" si="117"/>
        <v>0</v>
      </c>
      <c r="CR30" s="130">
        <f t="shared" si="118"/>
        <v>60.56232</v>
      </c>
      <c r="CS30" s="130" t="s">
        <v>236</v>
      </c>
      <c r="CT30" s="130" t="s">
        <v>236</v>
      </c>
      <c r="CU30" s="145" t="str">
        <f t="shared" si="119"/>
        <v>AADCC6184H</v>
      </c>
      <c r="CV30" s="145" t="str">
        <f t="shared" si="120"/>
        <v>AARFT3586D</v>
      </c>
      <c r="CW30" s="152" t="str">
        <f t="shared" si="121"/>
        <v>2026290000000092CHAITANYA INDIA FIN CREDIT PRIVATE LIMITED</v>
      </c>
    </row>
    <row r="31" spans="2:101" s="152" customFormat="1" ht="11.85" customHeight="1" x14ac:dyDescent="0.25">
      <c r="B31" s="123" t="str">
        <f t="shared" ref="B31:B40" si="122">"Q" &amp; IF(ROUNDUP(MONTH(D31)/3,0)-1=0,4,ROUNDUP(MONTH(D31)/3,0)-1)</f>
        <v>Q1</v>
      </c>
      <c r="C31" s="124" t="str">
        <f t="shared" ref="C31:C40" si="123">TEXT(AN31,"mmm-yy")</f>
        <v>Apr-26</v>
      </c>
      <c r="D31" s="125">
        <v>46132</v>
      </c>
      <c r="E31" s="126" t="s">
        <v>392</v>
      </c>
      <c r="F31" s="126" t="s">
        <v>393</v>
      </c>
      <c r="G31" s="126" t="s">
        <v>394</v>
      </c>
      <c r="H31" s="127" t="s">
        <v>395</v>
      </c>
      <c r="I31" s="125">
        <v>46132</v>
      </c>
      <c r="J31" s="126" t="s">
        <v>396</v>
      </c>
      <c r="K31" s="125">
        <v>46134</v>
      </c>
      <c r="L31" s="126" t="s">
        <v>397</v>
      </c>
      <c r="M31" s="126" t="s">
        <v>398</v>
      </c>
      <c r="N31" s="127" t="s">
        <v>212</v>
      </c>
      <c r="O31" s="126">
        <v>1</v>
      </c>
      <c r="P31" s="283">
        <v>161170</v>
      </c>
      <c r="Q31" s="128">
        <f t="shared" ref="Q31:Q40" si="124">O31*P31</f>
        <v>161170</v>
      </c>
      <c r="R31" s="129">
        <v>0</v>
      </c>
      <c r="S31" s="128">
        <f t="shared" ref="S31:S40" si="125">O31-R31</f>
        <v>1</v>
      </c>
      <c r="T31" s="129">
        <v>0</v>
      </c>
      <c r="U31" s="130">
        <v>0</v>
      </c>
      <c r="V31" s="131">
        <v>0</v>
      </c>
      <c r="W31" s="130">
        <v>0</v>
      </c>
      <c r="X31" s="132">
        <v>0</v>
      </c>
      <c r="Y31" s="130">
        <v>0</v>
      </c>
      <c r="Z31" s="130">
        <v>0</v>
      </c>
      <c r="AA31" s="129">
        <v>0</v>
      </c>
      <c r="AB31" s="133">
        <f t="shared" ref="AB31:AB40" si="126">Y31+AA31+Z31</f>
        <v>0</v>
      </c>
      <c r="AC31" s="132">
        <v>0</v>
      </c>
      <c r="AD31" s="128">
        <v>0</v>
      </c>
      <c r="AE31" s="147">
        <v>0</v>
      </c>
      <c r="AF31" s="130">
        <v>0</v>
      </c>
      <c r="AG31" s="134">
        <v>0</v>
      </c>
      <c r="AH31" s="130">
        <v>0</v>
      </c>
      <c r="AI31" s="131">
        <v>0</v>
      </c>
      <c r="AJ31" s="130">
        <v>0</v>
      </c>
      <c r="AK31" s="130">
        <v>0</v>
      </c>
      <c r="AL31" s="130">
        <f t="shared" ref="AL31:AL40" si="127">(BN31*P31/AX31)+AB31/O31*(BN31/AX31)</f>
        <v>0</v>
      </c>
      <c r="AM31" s="135">
        <f t="shared" ref="AM31:AM40" si="128">Q31+AB31+AL31+AK31+AJ31+T31+AE31</f>
        <v>161170</v>
      </c>
      <c r="AN31" s="136">
        <v>46134</v>
      </c>
      <c r="AO31" s="137" t="s">
        <v>410</v>
      </c>
      <c r="AP31" s="138" t="s">
        <v>411</v>
      </c>
      <c r="AQ31" s="139" t="s">
        <v>412</v>
      </c>
      <c r="AR31" s="139" t="s">
        <v>413</v>
      </c>
      <c r="AS31" s="126" t="s">
        <v>414</v>
      </c>
      <c r="AT31" s="140" t="s">
        <v>415</v>
      </c>
      <c r="AU31" s="140" t="s">
        <v>147</v>
      </c>
      <c r="AV31" s="141" t="s">
        <v>416</v>
      </c>
      <c r="AW31" s="139">
        <v>1</v>
      </c>
      <c r="AX31" s="141">
        <v>242524.09</v>
      </c>
      <c r="AY31" s="139">
        <f t="shared" ref="AY31:AY52" si="129">AW31*AX31</f>
        <v>242524.09</v>
      </c>
      <c r="AZ31" s="142" t="b">
        <f t="shared" ref="AZ31:AZ52" si="130">AW31=O31</f>
        <v>1</v>
      </c>
      <c r="BA31" s="128">
        <v>0</v>
      </c>
      <c r="BB31" s="143">
        <f t="shared" ref="BB31:BB52" si="131">AW31-BA31</f>
        <v>1</v>
      </c>
      <c r="BC31" s="144">
        <v>0</v>
      </c>
      <c r="BD31" s="143" t="s">
        <v>109</v>
      </c>
      <c r="BE31" s="144">
        <v>0</v>
      </c>
      <c r="BF31" s="143">
        <v>0</v>
      </c>
      <c r="BG31" s="144">
        <v>0</v>
      </c>
      <c r="BH31" s="130">
        <v>0</v>
      </c>
      <c r="BI31" s="133">
        <v>0</v>
      </c>
      <c r="BJ31" s="131">
        <v>0</v>
      </c>
      <c r="BK31" s="128">
        <v>0</v>
      </c>
      <c r="BL31" s="139">
        <v>0</v>
      </c>
      <c r="BM31" s="130">
        <v>0</v>
      </c>
      <c r="BN31" s="145">
        <f t="shared" ref="BN31:BN52" si="132">AY31*$BM$3</f>
        <v>0</v>
      </c>
      <c r="BO31" s="129">
        <f t="shared" ref="BO31:BO52" si="133">AY31+BL31+BM31+BN31+BC31+BG31</f>
        <v>242524.09</v>
      </c>
      <c r="BP31" s="135">
        <f t="shared" ref="BP31:BP52" si="134">BO31-AM31</f>
        <v>81354.09</v>
      </c>
      <c r="BQ31" s="144" t="str">
        <f t="shared" ref="BQ31:BQ52" si="135">IF(BP31&gt;=0,"Positive Margin","Negative Margin")</f>
        <v>Positive Margin</v>
      </c>
      <c r="BR31" s="146" t="s">
        <v>209</v>
      </c>
      <c r="BS31" s="128">
        <f t="shared" ref="BS31:BS52" si="136">AY31-Y31-Q31-AA31-T31+BC31</f>
        <v>81354.09</v>
      </c>
      <c r="BT31" s="147" t="str">
        <f t="shared" ref="BT31:BT52" si="137">IF(BS31&lt;0, "Negative Margin at Inception", "Positive Margin at Inception")</f>
        <v>Positive Margin at Inception</v>
      </c>
      <c r="BU31" s="148">
        <f t="shared" ref="BU31:BU52" si="138">IFERROR(BP31/BO31,"0")</f>
        <v>0.33544746008530535</v>
      </c>
      <c r="BV31" s="147" t="str">
        <f t="shared" ref="BV31:BV52" si="139">IF(BU31&lt;1%,"Less Than 1%",IF(BU31&gt;2%,"More than 2%",IF(BU31&gt;=1%,"1% - 2%")))</f>
        <v>More than 2%</v>
      </c>
      <c r="BW31" s="128">
        <f t="shared" ref="BW31:BW52" si="140">BM31+BN31</f>
        <v>0</v>
      </c>
      <c r="BX31" s="129">
        <f t="shared" ref="BX31:BX52" si="141">AL31+AK31</f>
        <v>0</v>
      </c>
      <c r="BY31" s="128">
        <f t="shared" ref="BY31:BY52" si="142">BW31-BX31</f>
        <v>0</v>
      </c>
      <c r="BZ31" s="149">
        <f t="shared" ref="BZ31:BZ52" si="143">BM31</f>
        <v>0</v>
      </c>
      <c r="CA31" s="149">
        <f t="shared" ref="CA31:CA52" si="144">AK31</f>
        <v>0</v>
      </c>
      <c r="CB31" s="130">
        <f t="shared" ref="CB31:CB52" si="145">BZ31-CA31</f>
        <v>0</v>
      </c>
      <c r="CC31" s="149" t="s">
        <v>282</v>
      </c>
      <c r="CD31" s="130">
        <v>0</v>
      </c>
      <c r="CE31" s="130">
        <f t="shared" ref="CE31:CE52" si="146">AM31-AL31-AA31</f>
        <v>161170</v>
      </c>
      <c r="CF31" s="130">
        <f t="shared" ref="CF31:CF52" si="147">BO31-BN31</f>
        <v>242524.09</v>
      </c>
      <c r="CG31" s="130">
        <f t="shared" ref="CG31:CG52" si="148">INT((D31- IF(MONTH(D31) &gt;= 4, DATE(YEAR(D31), 4, 1), DATE(YEAR(D31)-1, 4, 1))) / 7) + 1</f>
        <v>3</v>
      </c>
      <c r="CH31" s="150">
        <v>0</v>
      </c>
      <c r="CI31" s="130">
        <v>0</v>
      </c>
      <c r="CJ31" s="130" t="e">
        <f>_xlfn.XLOOKUP(AP31,POC!B:B,POC!D:D)</f>
        <v>#N/A</v>
      </c>
      <c r="CK31" s="130">
        <f t="shared" ref="CK31:CK52" si="149">AY31-Q31</f>
        <v>81354.09</v>
      </c>
      <c r="CL31" s="130">
        <f t="shared" ref="CL31:CL52" si="150">CK31-Y31+Z31</f>
        <v>81354.09</v>
      </c>
      <c r="CM31" s="130">
        <f t="shared" ref="CM31:CM52" si="151">BO31-AM31</f>
        <v>81354.09</v>
      </c>
      <c r="CN31" s="130">
        <f t="shared" ref="CN31:CN52" si="152">AY31*118%</f>
        <v>286178.42619999999</v>
      </c>
      <c r="CO31" s="130">
        <f t="shared" ref="CO31:CO52" si="153">-Q31*118%</f>
        <v>-190180.59999999998</v>
      </c>
      <c r="CP31" s="130">
        <f t="shared" ref="CP31:CP52" si="154">-BZ31*118%</f>
        <v>0</v>
      </c>
      <c r="CQ31" s="130">
        <f t="shared" ref="CQ31:CQ52" si="155">-CA31*118%</f>
        <v>0</v>
      </c>
      <c r="CR31" s="130">
        <f t="shared" ref="CR31:CR52" si="156">SUM(CN31:CQ31)</f>
        <v>95997.82620000001</v>
      </c>
      <c r="CS31" s="130" t="s">
        <v>236</v>
      </c>
      <c r="CT31" s="130" t="s">
        <v>236</v>
      </c>
      <c r="CU31" s="145" t="str">
        <f t="shared" ref="CU31:CU52" si="157">MID(G31,3,10)</f>
        <v>AAACI4550Q</v>
      </c>
      <c r="CV31" s="145" t="str">
        <f t="shared" ref="CV31:CV52" si="158">MID(AR31,3,10)</f>
        <v>AAJCG6268L</v>
      </c>
      <c r="CW31" s="152" t="str">
        <f t="shared" ref="CW31:CW52" si="159">H31&amp;F31</f>
        <v>261008721ITW INDIA PRIVATE LIMITED</v>
      </c>
    </row>
    <row r="32" spans="2:101" s="152" customFormat="1" ht="11.85" customHeight="1" x14ac:dyDescent="0.25">
      <c r="B32" s="123" t="str">
        <f t="shared" si="122"/>
        <v>Q1</v>
      </c>
      <c r="C32" s="124" t="str">
        <f t="shared" si="123"/>
        <v>Apr-26</v>
      </c>
      <c r="D32" s="125">
        <v>46132</v>
      </c>
      <c r="E32" s="126" t="s">
        <v>399</v>
      </c>
      <c r="F32" s="126" t="s">
        <v>286</v>
      </c>
      <c r="G32" s="126" t="s">
        <v>291</v>
      </c>
      <c r="H32" s="127" t="s">
        <v>400</v>
      </c>
      <c r="I32" s="125">
        <v>46094</v>
      </c>
      <c r="J32" s="126" t="s">
        <v>401</v>
      </c>
      <c r="K32" s="125">
        <v>46132</v>
      </c>
      <c r="L32" s="126" t="s">
        <v>249</v>
      </c>
      <c r="M32" s="126" t="s">
        <v>208</v>
      </c>
      <c r="N32" s="127" t="s">
        <v>212</v>
      </c>
      <c r="O32" s="126">
        <v>23</v>
      </c>
      <c r="P32" s="283">
        <v>1576</v>
      </c>
      <c r="Q32" s="128">
        <f t="shared" si="124"/>
        <v>36248</v>
      </c>
      <c r="R32" s="129">
        <v>0</v>
      </c>
      <c r="S32" s="128">
        <f t="shared" si="125"/>
        <v>23</v>
      </c>
      <c r="T32" s="129">
        <v>0</v>
      </c>
      <c r="U32" s="130">
        <v>0</v>
      </c>
      <c r="V32" s="131">
        <v>0</v>
      </c>
      <c r="W32" s="130">
        <v>0</v>
      </c>
      <c r="X32" s="132">
        <v>0</v>
      </c>
      <c r="Y32" s="130">
        <v>0</v>
      </c>
      <c r="Z32" s="130">
        <v>0</v>
      </c>
      <c r="AA32" s="129">
        <v>0</v>
      </c>
      <c r="AB32" s="133">
        <f t="shared" si="126"/>
        <v>0</v>
      </c>
      <c r="AC32" s="132">
        <v>0</v>
      </c>
      <c r="AD32" s="128">
        <v>0</v>
      </c>
      <c r="AE32" s="147">
        <v>0</v>
      </c>
      <c r="AF32" s="130">
        <v>0</v>
      </c>
      <c r="AG32" s="134">
        <v>0</v>
      </c>
      <c r="AH32" s="130">
        <v>0</v>
      </c>
      <c r="AI32" s="131">
        <v>0</v>
      </c>
      <c r="AJ32" s="130">
        <v>0</v>
      </c>
      <c r="AK32" s="130">
        <v>0</v>
      </c>
      <c r="AL32" s="130">
        <f t="shared" si="127"/>
        <v>0</v>
      </c>
      <c r="AM32" s="135">
        <f t="shared" si="128"/>
        <v>36248</v>
      </c>
      <c r="AN32" s="136">
        <v>46132</v>
      </c>
      <c r="AO32" s="137" t="s">
        <v>417</v>
      </c>
      <c r="AP32" s="138" t="s">
        <v>239</v>
      </c>
      <c r="AQ32" s="139" t="s">
        <v>240</v>
      </c>
      <c r="AR32" s="139" t="s">
        <v>260</v>
      </c>
      <c r="AS32" s="126" t="s">
        <v>301</v>
      </c>
      <c r="AT32" s="140" t="s">
        <v>247</v>
      </c>
      <c r="AU32" s="140" t="s">
        <v>228</v>
      </c>
      <c r="AV32" s="141" t="s">
        <v>208</v>
      </c>
      <c r="AW32" s="139">
        <v>23</v>
      </c>
      <c r="AX32" s="141">
        <v>1733.9</v>
      </c>
      <c r="AY32" s="139">
        <f t="shared" si="129"/>
        <v>39879.700000000004</v>
      </c>
      <c r="AZ32" s="142" t="b">
        <f t="shared" si="130"/>
        <v>1</v>
      </c>
      <c r="BA32" s="128">
        <v>0</v>
      </c>
      <c r="BB32" s="143">
        <f t="shared" si="131"/>
        <v>23</v>
      </c>
      <c r="BC32" s="144">
        <v>0</v>
      </c>
      <c r="BD32" s="143" t="s">
        <v>109</v>
      </c>
      <c r="BE32" s="144">
        <v>0</v>
      </c>
      <c r="BF32" s="143">
        <v>0</v>
      </c>
      <c r="BG32" s="144">
        <v>0</v>
      </c>
      <c r="BH32" s="130">
        <v>0</v>
      </c>
      <c r="BI32" s="133">
        <v>0</v>
      </c>
      <c r="BJ32" s="131">
        <v>0</v>
      </c>
      <c r="BK32" s="128">
        <v>0</v>
      </c>
      <c r="BL32" s="139">
        <v>0</v>
      </c>
      <c r="BM32" s="130">
        <v>0</v>
      </c>
      <c r="BN32" s="145">
        <f t="shared" si="132"/>
        <v>0</v>
      </c>
      <c r="BO32" s="129">
        <f t="shared" si="133"/>
        <v>39879.700000000004</v>
      </c>
      <c r="BP32" s="135">
        <f t="shared" si="134"/>
        <v>3631.7000000000044</v>
      </c>
      <c r="BQ32" s="144" t="str">
        <f t="shared" si="135"/>
        <v>Positive Margin</v>
      </c>
      <c r="BR32" s="146" t="s">
        <v>209</v>
      </c>
      <c r="BS32" s="128">
        <f t="shared" si="136"/>
        <v>3631.7000000000044</v>
      </c>
      <c r="BT32" s="147" t="str">
        <f t="shared" si="137"/>
        <v>Positive Margin at Inception</v>
      </c>
      <c r="BU32" s="148">
        <f t="shared" si="138"/>
        <v>9.1066382144299074E-2</v>
      </c>
      <c r="BV32" s="147" t="str">
        <f t="shared" si="139"/>
        <v>More than 2%</v>
      </c>
      <c r="BW32" s="128">
        <f t="shared" si="140"/>
        <v>0</v>
      </c>
      <c r="BX32" s="129">
        <f t="shared" si="141"/>
        <v>0</v>
      </c>
      <c r="BY32" s="128">
        <f t="shared" si="142"/>
        <v>0</v>
      </c>
      <c r="BZ32" s="149">
        <f t="shared" si="143"/>
        <v>0</v>
      </c>
      <c r="CA32" s="149">
        <f t="shared" si="144"/>
        <v>0</v>
      </c>
      <c r="CB32" s="130">
        <f t="shared" si="145"/>
        <v>0</v>
      </c>
      <c r="CC32" s="149" t="s">
        <v>282</v>
      </c>
      <c r="CD32" s="130">
        <v>0</v>
      </c>
      <c r="CE32" s="130">
        <f t="shared" si="146"/>
        <v>36248</v>
      </c>
      <c r="CF32" s="130">
        <f t="shared" si="147"/>
        <v>39879.700000000004</v>
      </c>
      <c r="CG32" s="130">
        <f t="shared" si="148"/>
        <v>3</v>
      </c>
      <c r="CH32" s="150">
        <v>0</v>
      </c>
      <c r="CI32" s="130">
        <v>0</v>
      </c>
      <c r="CJ32" s="130" t="e">
        <f>_xlfn.XLOOKUP(AP32,POC!B:B,POC!D:D)</f>
        <v>#N/A</v>
      </c>
      <c r="CK32" s="130">
        <f t="shared" si="149"/>
        <v>3631.7000000000044</v>
      </c>
      <c r="CL32" s="130">
        <f t="shared" si="150"/>
        <v>3631.7000000000044</v>
      </c>
      <c r="CM32" s="130">
        <f t="shared" si="151"/>
        <v>3631.7000000000044</v>
      </c>
      <c r="CN32" s="130">
        <f t="shared" si="152"/>
        <v>47058.046000000002</v>
      </c>
      <c r="CO32" s="130">
        <f t="shared" si="153"/>
        <v>-42772.639999999999</v>
      </c>
      <c r="CP32" s="130">
        <f t="shared" si="154"/>
        <v>0</v>
      </c>
      <c r="CQ32" s="130">
        <f t="shared" si="155"/>
        <v>0</v>
      </c>
      <c r="CR32" s="130">
        <f t="shared" si="156"/>
        <v>4285.4060000000027</v>
      </c>
      <c r="CS32" s="130" t="s">
        <v>236</v>
      </c>
      <c r="CT32" s="130" t="s">
        <v>236</v>
      </c>
      <c r="CU32" s="145" t="str">
        <f t="shared" si="157"/>
        <v>AADCC6184H</v>
      </c>
      <c r="CV32" s="145" t="str">
        <f t="shared" si="158"/>
        <v>AARFT3586D</v>
      </c>
      <c r="CW32" s="152" t="str">
        <f t="shared" si="159"/>
        <v>2026290000000096CHAITANYA INDIA FIN CREDIT PRIVATE LIMITED</v>
      </c>
    </row>
    <row r="33" spans="2:101" s="152" customFormat="1" ht="11.85" customHeight="1" x14ac:dyDescent="0.25">
      <c r="B33" s="123" t="str">
        <f t="shared" si="122"/>
        <v>Q1</v>
      </c>
      <c r="C33" s="124" t="str">
        <f t="shared" si="123"/>
        <v>Apr-26</v>
      </c>
      <c r="D33" s="125">
        <v>46133</v>
      </c>
      <c r="E33" s="126" t="s">
        <v>402</v>
      </c>
      <c r="F33" s="126" t="s">
        <v>286</v>
      </c>
      <c r="G33" s="126" t="s">
        <v>287</v>
      </c>
      <c r="H33" s="127" t="s">
        <v>403</v>
      </c>
      <c r="I33" s="125">
        <v>46094</v>
      </c>
      <c r="J33" s="126" t="s">
        <v>404</v>
      </c>
      <c r="K33" s="125">
        <v>46133</v>
      </c>
      <c r="L33" s="126" t="s">
        <v>230</v>
      </c>
      <c r="M33" s="126" t="s">
        <v>208</v>
      </c>
      <c r="N33" s="127" t="s">
        <v>212</v>
      </c>
      <c r="O33" s="126">
        <v>2</v>
      </c>
      <c r="P33" s="283">
        <v>847</v>
      </c>
      <c r="Q33" s="128">
        <f t="shared" si="124"/>
        <v>1694</v>
      </c>
      <c r="R33" s="129">
        <v>0</v>
      </c>
      <c r="S33" s="128">
        <f t="shared" si="125"/>
        <v>2</v>
      </c>
      <c r="T33" s="129">
        <v>0</v>
      </c>
      <c r="U33" s="130">
        <v>0</v>
      </c>
      <c r="V33" s="131">
        <v>0</v>
      </c>
      <c r="W33" s="130">
        <v>0</v>
      </c>
      <c r="X33" s="132">
        <v>0</v>
      </c>
      <c r="Y33" s="130">
        <v>0</v>
      </c>
      <c r="Z33" s="130">
        <v>0</v>
      </c>
      <c r="AA33" s="129">
        <v>0</v>
      </c>
      <c r="AB33" s="133">
        <f t="shared" si="126"/>
        <v>0</v>
      </c>
      <c r="AC33" s="132">
        <v>0</v>
      </c>
      <c r="AD33" s="128">
        <v>0</v>
      </c>
      <c r="AE33" s="147">
        <v>0</v>
      </c>
      <c r="AF33" s="130">
        <v>0</v>
      </c>
      <c r="AG33" s="134">
        <v>0</v>
      </c>
      <c r="AH33" s="130">
        <v>0</v>
      </c>
      <c r="AI33" s="131">
        <v>0</v>
      </c>
      <c r="AJ33" s="130">
        <v>0</v>
      </c>
      <c r="AK33" s="130">
        <v>0</v>
      </c>
      <c r="AL33" s="130">
        <f t="shared" si="127"/>
        <v>0</v>
      </c>
      <c r="AM33" s="135">
        <f t="shared" si="128"/>
        <v>1694</v>
      </c>
      <c r="AN33" s="136">
        <v>46133</v>
      </c>
      <c r="AO33" s="137" t="s">
        <v>418</v>
      </c>
      <c r="AP33" s="138" t="s">
        <v>239</v>
      </c>
      <c r="AQ33" s="139" t="s">
        <v>240</v>
      </c>
      <c r="AR33" s="139" t="s">
        <v>260</v>
      </c>
      <c r="AS33" s="126" t="s">
        <v>299</v>
      </c>
      <c r="AT33" s="140" t="s">
        <v>247</v>
      </c>
      <c r="AU33" s="140" t="s">
        <v>228</v>
      </c>
      <c r="AV33" s="141" t="s">
        <v>208</v>
      </c>
      <c r="AW33" s="139">
        <v>2</v>
      </c>
      <c r="AX33" s="141">
        <v>932.2</v>
      </c>
      <c r="AY33" s="139">
        <f t="shared" si="129"/>
        <v>1864.4</v>
      </c>
      <c r="AZ33" s="142" t="b">
        <f t="shared" si="130"/>
        <v>1</v>
      </c>
      <c r="BA33" s="128">
        <v>0</v>
      </c>
      <c r="BB33" s="143">
        <f t="shared" si="131"/>
        <v>2</v>
      </c>
      <c r="BC33" s="144">
        <v>0</v>
      </c>
      <c r="BD33" s="143" t="s">
        <v>109</v>
      </c>
      <c r="BE33" s="144">
        <v>0</v>
      </c>
      <c r="BF33" s="143">
        <v>0</v>
      </c>
      <c r="BG33" s="144">
        <v>0</v>
      </c>
      <c r="BH33" s="130">
        <v>0</v>
      </c>
      <c r="BI33" s="133">
        <v>0</v>
      </c>
      <c r="BJ33" s="131">
        <v>0</v>
      </c>
      <c r="BK33" s="128">
        <v>0</v>
      </c>
      <c r="BL33" s="139">
        <v>0</v>
      </c>
      <c r="BM33" s="130">
        <v>0</v>
      </c>
      <c r="BN33" s="145">
        <f t="shared" si="132"/>
        <v>0</v>
      </c>
      <c r="BO33" s="129">
        <f t="shared" si="133"/>
        <v>1864.4</v>
      </c>
      <c r="BP33" s="135">
        <f t="shared" si="134"/>
        <v>170.40000000000009</v>
      </c>
      <c r="BQ33" s="144" t="str">
        <f t="shared" si="135"/>
        <v>Positive Margin</v>
      </c>
      <c r="BR33" s="146" t="s">
        <v>209</v>
      </c>
      <c r="BS33" s="128">
        <f t="shared" si="136"/>
        <v>170.40000000000009</v>
      </c>
      <c r="BT33" s="147" t="str">
        <f t="shared" si="137"/>
        <v>Positive Margin at Inception</v>
      </c>
      <c r="BU33" s="148">
        <f t="shared" si="138"/>
        <v>9.1396695987985457E-2</v>
      </c>
      <c r="BV33" s="147" t="str">
        <f t="shared" si="139"/>
        <v>More than 2%</v>
      </c>
      <c r="BW33" s="128">
        <f t="shared" si="140"/>
        <v>0</v>
      </c>
      <c r="BX33" s="129">
        <f t="shared" si="141"/>
        <v>0</v>
      </c>
      <c r="BY33" s="128">
        <f t="shared" si="142"/>
        <v>0</v>
      </c>
      <c r="BZ33" s="149">
        <f t="shared" si="143"/>
        <v>0</v>
      </c>
      <c r="CA33" s="149">
        <f t="shared" si="144"/>
        <v>0</v>
      </c>
      <c r="CB33" s="130">
        <f t="shared" si="145"/>
        <v>0</v>
      </c>
      <c r="CC33" s="149" t="s">
        <v>282</v>
      </c>
      <c r="CD33" s="130">
        <v>0</v>
      </c>
      <c r="CE33" s="130">
        <f t="shared" si="146"/>
        <v>1694</v>
      </c>
      <c r="CF33" s="130">
        <f t="shared" si="147"/>
        <v>1864.4</v>
      </c>
      <c r="CG33" s="130">
        <f t="shared" si="148"/>
        <v>3</v>
      </c>
      <c r="CH33" s="150">
        <v>0</v>
      </c>
      <c r="CI33" s="130">
        <v>0</v>
      </c>
      <c r="CJ33" s="130" t="e">
        <f>_xlfn.XLOOKUP(AP33,POC!B:B,POC!D:D)</f>
        <v>#N/A</v>
      </c>
      <c r="CK33" s="130">
        <f t="shared" si="149"/>
        <v>170.40000000000009</v>
      </c>
      <c r="CL33" s="130">
        <f t="shared" si="150"/>
        <v>170.40000000000009</v>
      </c>
      <c r="CM33" s="130">
        <f t="shared" si="151"/>
        <v>170.40000000000009</v>
      </c>
      <c r="CN33" s="130">
        <f t="shared" si="152"/>
        <v>2199.9920000000002</v>
      </c>
      <c r="CO33" s="130">
        <f t="shared" si="153"/>
        <v>-1998.9199999999998</v>
      </c>
      <c r="CP33" s="130">
        <f t="shared" si="154"/>
        <v>0</v>
      </c>
      <c r="CQ33" s="130">
        <f t="shared" si="155"/>
        <v>0</v>
      </c>
      <c r="CR33" s="130">
        <f t="shared" si="156"/>
        <v>201.07200000000034</v>
      </c>
      <c r="CS33" s="130" t="s">
        <v>236</v>
      </c>
      <c r="CT33" s="130" t="s">
        <v>236</v>
      </c>
      <c r="CU33" s="145" t="str">
        <f t="shared" si="157"/>
        <v>AADCC6184H</v>
      </c>
      <c r="CV33" s="145" t="str">
        <f t="shared" si="158"/>
        <v>AARFT3586D</v>
      </c>
      <c r="CW33" s="152" t="str">
        <f t="shared" si="159"/>
        <v>2026290000000097CHAITANYA INDIA FIN CREDIT PRIVATE LIMITED</v>
      </c>
    </row>
    <row r="34" spans="2:101" s="152" customFormat="1" ht="11.85" customHeight="1" x14ac:dyDescent="0.25">
      <c r="B34" s="123" t="str">
        <f t="shared" si="122"/>
        <v>Q1</v>
      </c>
      <c r="C34" s="124" t="str">
        <f t="shared" si="123"/>
        <v>Apr-26</v>
      </c>
      <c r="D34" s="125">
        <v>46133</v>
      </c>
      <c r="E34" s="126" t="s">
        <v>402</v>
      </c>
      <c r="F34" s="126" t="s">
        <v>286</v>
      </c>
      <c r="G34" s="126" t="s">
        <v>287</v>
      </c>
      <c r="H34" s="127" t="s">
        <v>403</v>
      </c>
      <c r="I34" s="125">
        <v>46094</v>
      </c>
      <c r="J34" s="126" t="s">
        <v>404</v>
      </c>
      <c r="K34" s="125">
        <v>46133</v>
      </c>
      <c r="L34" s="126" t="s">
        <v>230</v>
      </c>
      <c r="M34" s="126" t="s">
        <v>208</v>
      </c>
      <c r="N34" s="127" t="s">
        <v>212</v>
      </c>
      <c r="O34" s="126">
        <v>32</v>
      </c>
      <c r="P34" s="283">
        <v>1576</v>
      </c>
      <c r="Q34" s="128">
        <f t="shared" si="124"/>
        <v>50432</v>
      </c>
      <c r="R34" s="129">
        <v>0</v>
      </c>
      <c r="S34" s="128">
        <f t="shared" si="125"/>
        <v>32</v>
      </c>
      <c r="T34" s="129">
        <v>0</v>
      </c>
      <c r="U34" s="130">
        <v>0</v>
      </c>
      <c r="V34" s="131">
        <v>0</v>
      </c>
      <c r="W34" s="130">
        <v>0</v>
      </c>
      <c r="X34" s="132">
        <v>0</v>
      </c>
      <c r="Y34" s="130">
        <v>0</v>
      </c>
      <c r="Z34" s="130">
        <v>0</v>
      </c>
      <c r="AA34" s="129">
        <v>0</v>
      </c>
      <c r="AB34" s="133">
        <f t="shared" si="126"/>
        <v>0</v>
      </c>
      <c r="AC34" s="132">
        <v>0</v>
      </c>
      <c r="AD34" s="128">
        <v>0</v>
      </c>
      <c r="AE34" s="147">
        <v>0</v>
      </c>
      <c r="AF34" s="130">
        <v>0</v>
      </c>
      <c r="AG34" s="134">
        <v>0</v>
      </c>
      <c r="AH34" s="130">
        <v>0</v>
      </c>
      <c r="AI34" s="131">
        <v>0</v>
      </c>
      <c r="AJ34" s="130">
        <v>0</v>
      </c>
      <c r="AK34" s="130">
        <v>0</v>
      </c>
      <c r="AL34" s="130">
        <f t="shared" si="127"/>
        <v>0</v>
      </c>
      <c r="AM34" s="135">
        <f t="shared" si="128"/>
        <v>50432</v>
      </c>
      <c r="AN34" s="136">
        <v>46133</v>
      </c>
      <c r="AO34" s="137" t="s">
        <v>418</v>
      </c>
      <c r="AP34" s="138" t="s">
        <v>239</v>
      </c>
      <c r="AQ34" s="139" t="s">
        <v>240</v>
      </c>
      <c r="AR34" s="139" t="s">
        <v>260</v>
      </c>
      <c r="AS34" s="126" t="s">
        <v>299</v>
      </c>
      <c r="AT34" s="140" t="s">
        <v>247</v>
      </c>
      <c r="AU34" s="140" t="s">
        <v>228</v>
      </c>
      <c r="AV34" s="141" t="s">
        <v>208</v>
      </c>
      <c r="AW34" s="139">
        <v>32</v>
      </c>
      <c r="AX34" s="141">
        <v>1733.9</v>
      </c>
      <c r="AY34" s="139">
        <f t="shared" si="129"/>
        <v>55484.800000000003</v>
      </c>
      <c r="AZ34" s="142" t="b">
        <f t="shared" si="130"/>
        <v>1</v>
      </c>
      <c r="BA34" s="128">
        <v>0</v>
      </c>
      <c r="BB34" s="143">
        <f t="shared" si="131"/>
        <v>32</v>
      </c>
      <c r="BC34" s="144">
        <v>0</v>
      </c>
      <c r="BD34" s="143" t="s">
        <v>109</v>
      </c>
      <c r="BE34" s="144">
        <v>0</v>
      </c>
      <c r="BF34" s="143">
        <v>0</v>
      </c>
      <c r="BG34" s="144">
        <v>0</v>
      </c>
      <c r="BH34" s="130">
        <v>0</v>
      </c>
      <c r="BI34" s="133">
        <v>0</v>
      </c>
      <c r="BJ34" s="131">
        <v>0</v>
      </c>
      <c r="BK34" s="128">
        <v>0</v>
      </c>
      <c r="BL34" s="139">
        <v>0</v>
      </c>
      <c r="BM34" s="130">
        <v>0</v>
      </c>
      <c r="BN34" s="145">
        <f t="shared" si="132"/>
        <v>0</v>
      </c>
      <c r="BO34" s="129">
        <f t="shared" si="133"/>
        <v>55484.800000000003</v>
      </c>
      <c r="BP34" s="135">
        <f t="shared" si="134"/>
        <v>5052.8000000000029</v>
      </c>
      <c r="BQ34" s="144" t="str">
        <f t="shared" si="135"/>
        <v>Positive Margin</v>
      </c>
      <c r="BR34" s="146" t="s">
        <v>209</v>
      </c>
      <c r="BS34" s="128">
        <f t="shared" si="136"/>
        <v>5052.8000000000029</v>
      </c>
      <c r="BT34" s="147" t="str">
        <f t="shared" si="137"/>
        <v>Positive Margin at Inception</v>
      </c>
      <c r="BU34" s="148">
        <f t="shared" si="138"/>
        <v>9.1066382144299032E-2</v>
      </c>
      <c r="BV34" s="147" t="str">
        <f t="shared" si="139"/>
        <v>More than 2%</v>
      </c>
      <c r="BW34" s="128">
        <f t="shared" si="140"/>
        <v>0</v>
      </c>
      <c r="BX34" s="129">
        <f t="shared" si="141"/>
        <v>0</v>
      </c>
      <c r="BY34" s="128">
        <f t="shared" si="142"/>
        <v>0</v>
      </c>
      <c r="BZ34" s="149">
        <f t="shared" si="143"/>
        <v>0</v>
      </c>
      <c r="CA34" s="149">
        <f t="shared" si="144"/>
        <v>0</v>
      </c>
      <c r="CB34" s="130">
        <f t="shared" si="145"/>
        <v>0</v>
      </c>
      <c r="CC34" s="149" t="s">
        <v>282</v>
      </c>
      <c r="CD34" s="130">
        <v>0</v>
      </c>
      <c r="CE34" s="130">
        <f t="shared" si="146"/>
        <v>50432</v>
      </c>
      <c r="CF34" s="130">
        <f t="shared" si="147"/>
        <v>55484.800000000003</v>
      </c>
      <c r="CG34" s="130">
        <f t="shared" si="148"/>
        <v>3</v>
      </c>
      <c r="CH34" s="150">
        <v>0</v>
      </c>
      <c r="CI34" s="130">
        <v>0</v>
      </c>
      <c r="CJ34" s="130" t="e">
        <f>_xlfn.XLOOKUP(AP34,POC!B:B,POC!D:D)</f>
        <v>#N/A</v>
      </c>
      <c r="CK34" s="130">
        <f t="shared" si="149"/>
        <v>5052.8000000000029</v>
      </c>
      <c r="CL34" s="130">
        <f t="shared" si="150"/>
        <v>5052.8000000000029</v>
      </c>
      <c r="CM34" s="130">
        <f t="shared" si="151"/>
        <v>5052.8000000000029</v>
      </c>
      <c r="CN34" s="130">
        <f t="shared" si="152"/>
        <v>65472.063999999998</v>
      </c>
      <c r="CO34" s="130">
        <f t="shared" si="153"/>
        <v>-59509.759999999995</v>
      </c>
      <c r="CP34" s="130">
        <f t="shared" si="154"/>
        <v>0</v>
      </c>
      <c r="CQ34" s="130">
        <f t="shared" si="155"/>
        <v>0</v>
      </c>
      <c r="CR34" s="130">
        <f t="shared" si="156"/>
        <v>5962.3040000000037</v>
      </c>
      <c r="CS34" s="130" t="s">
        <v>236</v>
      </c>
      <c r="CT34" s="130" t="s">
        <v>236</v>
      </c>
      <c r="CU34" s="145" t="str">
        <f t="shared" si="157"/>
        <v>AADCC6184H</v>
      </c>
      <c r="CV34" s="145" t="str">
        <f t="shared" si="158"/>
        <v>AARFT3586D</v>
      </c>
      <c r="CW34" s="152" t="str">
        <f t="shared" si="159"/>
        <v>2026290000000097CHAITANYA INDIA FIN CREDIT PRIVATE LIMITED</v>
      </c>
    </row>
    <row r="35" spans="2:101" s="152" customFormat="1" ht="11.85" customHeight="1" x14ac:dyDescent="0.25">
      <c r="B35" s="123" t="str">
        <f t="shared" si="122"/>
        <v>Q1</v>
      </c>
      <c r="C35" s="124" t="str">
        <f t="shared" si="123"/>
        <v>Apr-26</v>
      </c>
      <c r="D35" s="125">
        <v>46133</v>
      </c>
      <c r="E35" s="126" t="s">
        <v>402</v>
      </c>
      <c r="F35" s="126" t="s">
        <v>286</v>
      </c>
      <c r="G35" s="126" t="s">
        <v>287</v>
      </c>
      <c r="H35" s="127" t="s">
        <v>403</v>
      </c>
      <c r="I35" s="125">
        <v>46094</v>
      </c>
      <c r="J35" s="126" t="s">
        <v>404</v>
      </c>
      <c r="K35" s="125">
        <v>46133</v>
      </c>
      <c r="L35" s="126" t="s">
        <v>230</v>
      </c>
      <c r="M35" s="126" t="s">
        <v>208</v>
      </c>
      <c r="N35" s="127" t="s">
        <v>212</v>
      </c>
      <c r="O35" s="126">
        <v>36</v>
      </c>
      <c r="P35" s="283">
        <v>85</v>
      </c>
      <c r="Q35" s="128">
        <f t="shared" si="124"/>
        <v>3060</v>
      </c>
      <c r="R35" s="129">
        <v>0</v>
      </c>
      <c r="S35" s="128">
        <f t="shared" si="125"/>
        <v>36</v>
      </c>
      <c r="T35" s="129">
        <v>0</v>
      </c>
      <c r="U35" s="130">
        <v>0</v>
      </c>
      <c r="V35" s="131">
        <v>0</v>
      </c>
      <c r="W35" s="130">
        <v>0</v>
      </c>
      <c r="X35" s="132">
        <v>0</v>
      </c>
      <c r="Y35" s="130">
        <v>0</v>
      </c>
      <c r="Z35" s="130">
        <v>0</v>
      </c>
      <c r="AA35" s="129">
        <v>0</v>
      </c>
      <c r="AB35" s="133">
        <f t="shared" si="126"/>
        <v>0</v>
      </c>
      <c r="AC35" s="132">
        <v>0</v>
      </c>
      <c r="AD35" s="128">
        <v>0</v>
      </c>
      <c r="AE35" s="147">
        <v>0</v>
      </c>
      <c r="AF35" s="130">
        <v>0</v>
      </c>
      <c r="AG35" s="134">
        <v>0</v>
      </c>
      <c r="AH35" s="130">
        <v>0</v>
      </c>
      <c r="AI35" s="131">
        <v>0</v>
      </c>
      <c r="AJ35" s="130">
        <v>0</v>
      </c>
      <c r="AK35" s="130">
        <v>0</v>
      </c>
      <c r="AL35" s="130">
        <f t="shared" si="127"/>
        <v>0</v>
      </c>
      <c r="AM35" s="135">
        <f t="shared" si="128"/>
        <v>3060</v>
      </c>
      <c r="AN35" s="136">
        <v>46133</v>
      </c>
      <c r="AO35" s="137" t="s">
        <v>418</v>
      </c>
      <c r="AP35" s="138" t="s">
        <v>239</v>
      </c>
      <c r="AQ35" s="139" t="s">
        <v>240</v>
      </c>
      <c r="AR35" s="139" t="s">
        <v>260</v>
      </c>
      <c r="AS35" s="126" t="s">
        <v>299</v>
      </c>
      <c r="AT35" s="140" t="s">
        <v>247</v>
      </c>
      <c r="AU35" s="140" t="s">
        <v>228</v>
      </c>
      <c r="AV35" s="141" t="s">
        <v>208</v>
      </c>
      <c r="AW35" s="139">
        <v>36</v>
      </c>
      <c r="AX35" s="141">
        <v>93.22</v>
      </c>
      <c r="AY35" s="139">
        <f t="shared" si="129"/>
        <v>3355.92</v>
      </c>
      <c r="AZ35" s="142" t="b">
        <f t="shared" si="130"/>
        <v>1</v>
      </c>
      <c r="BA35" s="128">
        <v>0</v>
      </c>
      <c r="BB35" s="143">
        <f t="shared" si="131"/>
        <v>36</v>
      </c>
      <c r="BC35" s="144">
        <v>0</v>
      </c>
      <c r="BD35" s="143" t="s">
        <v>109</v>
      </c>
      <c r="BE35" s="144">
        <v>0</v>
      </c>
      <c r="BF35" s="143">
        <v>0</v>
      </c>
      <c r="BG35" s="144">
        <v>0</v>
      </c>
      <c r="BH35" s="130">
        <v>0</v>
      </c>
      <c r="BI35" s="133">
        <v>0</v>
      </c>
      <c r="BJ35" s="131">
        <v>0</v>
      </c>
      <c r="BK35" s="128">
        <v>0</v>
      </c>
      <c r="BL35" s="139">
        <v>0</v>
      </c>
      <c r="BM35" s="130">
        <v>0</v>
      </c>
      <c r="BN35" s="145">
        <f t="shared" si="132"/>
        <v>0</v>
      </c>
      <c r="BO35" s="129">
        <f t="shared" si="133"/>
        <v>3355.92</v>
      </c>
      <c r="BP35" s="135">
        <f t="shared" si="134"/>
        <v>295.92000000000007</v>
      </c>
      <c r="BQ35" s="144" t="str">
        <f t="shared" si="135"/>
        <v>Positive Margin</v>
      </c>
      <c r="BR35" s="146" t="s">
        <v>209</v>
      </c>
      <c r="BS35" s="128">
        <f t="shared" si="136"/>
        <v>295.92000000000007</v>
      </c>
      <c r="BT35" s="147" t="str">
        <f t="shared" si="137"/>
        <v>Positive Margin at Inception</v>
      </c>
      <c r="BU35" s="148">
        <f t="shared" si="138"/>
        <v>8.8178502467281719E-2</v>
      </c>
      <c r="BV35" s="147" t="str">
        <f t="shared" si="139"/>
        <v>More than 2%</v>
      </c>
      <c r="BW35" s="128">
        <f t="shared" si="140"/>
        <v>0</v>
      </c>
      <c r="BX35" s="129">
        <f t="shared" si="141"/>
        <v>0</v>
      </c>
      <c r="BY35" s="128">
        <f t="shared" si="142"/>
        <v>0</v>
      </c>
      <c r="BZ35" s="149">
        <f t="shared" si="143"/>
        <v>0</v>
      </c>
      <c r="CA35" s="149">
        <f t="shared" si="144"/>
        <v>0</v>
      </c>
      <c r="CB35" s="130">
        <f t="shared" si="145"/>
        <v>0</v>
      </c>
      <c r="CC35" s="149" t="s">
        <v>282</v>
      </c>
      <c r="CD35" s="130">
        <v>0</v>
      </c>
      <c r="CE35" s="130">
        <f t="shared" si="146"/>
        <v>3060</v>
      </c>
      <c r="CF35" s="130">
        <f t="shared" si="147"/>
        <v>3355.92</v>
      </c>
      <c r="CG35" s="130">
        <f t="shared" si="148"/>
        <v>3</v>
      </c>
      <c r="CH35" s="150">
        <v>0</v>
      </c>
      <c r="CI35" s="130">
        <v>0</v>
      </c>
      <c r="CJ35" s="130" t="e">
        <f>_xlfn.XLOOKUP(AP35,POC!B:B,POC!D:D)</f>
        <v>#N/A</v>
      </c>
      <c r="CK35" s="130">
        <f t="shared" si="149"/>
        <v>295.92000000000007</v>
      </c>
      <c r="CL35" s="130">
        <f t="shared" si="150"/>
        <v>295.92000000000007</v>
      </c>
      <c r="CM35" s="130">
        <f t="shared" si="151"/>
        <v>295.92000000000007</v>
      </c>
      <c r="CN35" s="130">
        <f t="shared" si="152"/>
        <v>3959.9856</v>
      </c>
      <c r="CO35" s="130">
        <f t="shared" si="153"/>
        <v>-3610.7999999999997</v>
      </c>
      <c r="CP35" s="130">
        <f t="shared" si="154"/>
        <v>0</v>
      </c>
      <c r="CQ35" s="130">
        <f t="shared" si="155"/>
        <v>0</v>
      </c>
      <c r="CR35" s="130">
        <f t="shared" si="156"/>
        <v>349.18560000000025</v>
      </c>
      <c r="CS35" s="130" t="s">
        <v>236</v>
      </c>
      <c r="CT35" s="130" t="s">
        <v>236</v>
      </c>
      <c r="CU35" s="145" t="str">
        <f t="shared" si="157"/>
        <v>AADCC6184H</v>
      </c>
      <c r="CV35" s="145" t="str">
        <f t="shared" si="158"/>
        <v>AARFT3586D</v>
      </c>
      <c r="CW35" s="152" t="str">
        <f t="shared" si="159"/>
        <v>2026290000000097CHAITANYA INDIA FIN CREDIT PRIVATE LIMITED</v>
      </c>
    </row>
    <row r="36" spans="2:101" s="152" customFormat="1" ht="11.85" customHeight="1" x14ac:dyDescent="0.25">
      <c r="B36" s="123" t="str">
        <f t="shared" si="122"/>
        <v>Q1</v>
      </c>
      <c r="C36" s="124" t="str">
        <f t="shared" si="123"/>
        <v>Apr-26</v>
      </c>
      <c r="D36" s="125">
        <v>46133</v>
      </c>
      <c r="E36" s="126" t="s">
        <v>402</v>
      </c>
      <c r="F36" s="126" t="s">
        <v>286</v>
      </c>
      <c r="G36" s="126" t="s">
        <v>287</v>
      </c>
      <c r="H36" s="127" t="s">
        <v>403</v>
      </c>
      <c r="I36" s="125">
        <v>46094</v>
      </c>
      <c r="J36" s="126" t="s">
        <v>404</v>
      </c>
      <c r="K36" s="125">
        <v>46133</v>
      </c>
      <c r="L36" s="126" t="s">
        <v>230</v>
      </c>
      <c r="M36" s="126" t="s">
        <v>208</v>
      </c>
      <c r="N36" s="127" t="s">
        <v>212</v>
      </c>
      <c r="O36" s="126">
        <v>1</v>
      </c>
      <c r="P36" s="283">
        <v>85</v>
      </c>
      <c r="Q36" s="128">
        <f t="shared" si="124"/>
        <v>85</v>
      </c>
      <c r="R36" s="129">
        <v>0</v>
      </c>
      <c r="S36" s="128">
        <f t="shared" si="125"/>
        <v>1</v>
      </c>
      <c r="T36" s="129">
        <v>0</v>
      </c>
      <c r="U36" s="130">
        <v>0</v>
      </c>
      <c r="V36" s="131">
        <v>0</v>
      </c>
      <c r="W36" s="130">
        <v>0</v>
      </c>
      <c r="X36" s="132">
        <v>0</v>
      </c>
      <c r="Y36" s="130">
        <v>0</v>
      </c>
      <c r="Z36" s="130">
        <v>0</v>
      </c>
      <c r="AA36" s="129">
        <v>0</v>
      </c>
      <c r="AB36" s="133">
        <f t="shared" si="126"/>
        <v>0</v>
      </c>
      <c r="AC36" s="132">
        <v>0</v>
      </c>
      <c r="AD36" s="128">
        <v>0</v>
      </c>
      <c r="AE36" s="147">
        <v>0</v>
      </c>
      <c r="AF36" s="130">
        <v>0</v>
      </c>
      <c r="AG36" s="134">
        <v>0</v>
      </c>
      <c r="AH36" s="130">
        <v>0</v>
      </c>
      <c r="AI36" s="131">
        <v>0</v>
      </c>
      <c r="AJ36" s="130">
        <v>0</v>
      </c>
      <c r="AK36" s="130">
        <v>0</v>
      </c>
      <c r="AL36" s="130">
        <f t="shared" si="127"/>
        <v>0</v>
      </c>
      <c r="AM36" s="135">
        <f t="shared" si="128"/>
        <v>85</v>
      </c>
      <c r="AN36" s="136">
        <v>46133</v>
      </c>
      <c r="AO36" s="137" t="s">
        <v>418</v>
      </c>
      <c r="AP36" s="138" t="s">
        <v>239</v>
      </c>
      <c r="AQ36" s="139" t="s">
        <v>240</v>
      </c>
      <c r="AR36" s="139" t="s">
        <v>260</v>
      </c>
      <c r="AS36" s="126" t="s">
        <v>299</v>
      </c>
      <c r="AT36" s="140" t="s">
        <v>247</v>
      </c>
      <c r="AU36" s="140" t="s">
        <v>228</v>
      </c>
      <c r="AV36" s="141" t="s">
        <v>208</v>
      </c>
      <c r="AW36" s="139">
        <v>1</v>
      </c>
      <c r="AX36" s="141">
        <v>93.22</v>
      </c>
      <c r="AY36" s="139">
        <f t="shared" si="129"/>
        <v>93.22</v>
      </c>
      <c r="AZ36" s="142" t="b">
        <f t="shared" si="130"/>
        <v>1</v>
      </c>
      <c r="BA36" s="128">
        <v>0</v>
      </c>
      <c r="BB36" s="143">
        <f t="shared" si="131"/>
        <v>1</v>
      </c>
      <c r="BC36" s="144">
        <v>0</v>
      </c>
      <c r="BD36" s="143" t="s">
        <v>109</v>
      </c>
      <c r="BE36" s="144">
        <v>0</v>
      </c>
      <c r="BF36" s="143">
        <v>0</v>
      </c>
      <c r="BG36" s="144">
        <v>0</v>
      </c>
      <c r="BH36" s="130">
        <v>0</v>
      </c>
      <c r="BI36" s="133">
        <v>0</v>
      </c>
      <c r="BJ36" s="131">
        <v>0</v>
      </c>
      <c r="BK36" s="128">
        <v>0</v>
      </c>
      <c r="BL36" s="139">
        <v>0</v>
      </c>
      <c r="BM36" s="130">
        <v>0</v>
      </c>
      <c r="BN36" s="145">
        <f t="shared" si="132"/>
        <v>0</v>
      </c>
      <c r="BO36" s="129">
        <f t="shared" si="133"/>
        <v>93.22</v>
      </c>
      <c r="BP36" s="135">
        <f t="shared" si="134"/>
        <v>8.2199999999999989</v>
      </c>
      <c r="BQ36" s="144" t="str">
        <f t="shared" si="135"/>
        <v>Positive Margin</v>
      </c>
      <c r="BR36" s="146" t="s">
        <v>209</v>
      </c>
      <c r="BS36" s="128">
        <f t="shared" si="136"/>
        <v>8.2199999999999989</v>
      </c>
      <c r="BT36" s="147" t="str">
        <f t="shared" si="137"/>
        <v>Positive Margin at Inception</v>
      </c>
      <c r="BU36" s="148">
        <f t="shared" si="138"/>
        <v>8.8178502467281691E-2</v>
      </c>
      <c r="BV36" s="147" t="str">
        <f t="shared" si="139"/>
        <v>More than 2%</v>
      </c>
      <c r="BW36" s="128">
        <f t="shared" si="140"/>
        <v>0</v>
      </c>
      <c r="BX36" s="129">
        <f t="shared" si="141"/>
        <v>0</v>
      </c>
      <c r="BY36" s="128">
        <f t="shared" si="142"/>
        <v>0</v>
      </c>
      <c r="BZ36" s="149">
        <f t="shared" si="143"/>
        <v>0</v>
      </c>
      <c r="CA36" s="149">
        <f t="shared" si="144"/>
        <v>0</v>
      </c>
      <c r="CB36" s="130">
        <f t="shared" si="145"/>
        <v>0</v>
      </c>
      <c r="CC36" s="149" t="s">
        <v>282</v>
      </c>
      <c r="CD36" s="130">
        <v>0</v>
      </c>
      <c r="CE36" s="130">
        <f t="shared" si="146"/>
        <v>85</v>
      </c>
      <c r="CF36" s="130">
        <f t="shared" si="147"/>
        <v>93.22</v>
      </c>
      <c r="CG36" s="130">
        <f t="shared" si="148"/>
        <v>3</v>
      </c>
      <c r="CH36" s="150">
        <v>0</v>
      </c>
      <c r="CI36" s="130">
        <v>0</v>
      </c>
      <c r="CJ36" s="130" t="e">
        <f>_xlfn.XLOOKUP(AP36,POC!B:B,POC!D:D)</f>
        <v>#N/A</v>
      </c>
      <c r="CK36" s="130">
        <f t="shared" si="149"/>
        <v>8.2199999999999989</v>
      </c>
      <c r="CL36" s="130">
        <f t="shared" si="150"/>
        <v>8.2199999999999989</v>
      </c>
      <c r="CM36" s="130">
        <f t="shared" si="151"/>
        <v>8.2199999999999989</v>
      </c>
      <c r="CN36" s="130">
        <f t="shared" si="152"/>
        <v>109.99959999999999</v>
      </c>
      <c r="CO36" s="130">
        <f t="shared" si="153"/>
        <v>-100.3</v>
      </c>
      <c r="CP36" s="130">
        <f t="shared" si="154"/>
        <v>0</v>
      </c>
      <c r="CQ36" s="130">
        <f t="shared" si="155"/>
        <v>0</v>
      </c>
      <c r="CR36" s="130">
        <f t="shared" si="156"/>
        <v>9.6995999999999896</v>
      </c>
      <c r="CS36" s="130" t="s">
        <v>236</v>
      </c>
      <c r="CT36" s="130" t="s">
        <v>236</v>
      </c>
      <c r="CU36" s="145" t="str">
        <f t="shared" si="157"/>
        <v>AADCC6184H</v>
      </c>
      <c r="CV36" s="145" t="str">
        <f t="shared" si="158"/>
        <v>AARFT3586D</v>
      </c>
      <c r="CW36" s="152" t="str">
        <f t="shared" si="159"/>
        <v>2026290000000097CHAITANYA INDIA FIN CREDIT PRIVATE LIMITED</v>
      </c>
    </row>
    <row r="37" spans="2:101" s="152" customFormat="1" ht="11.85" customHeight="1" x14ac:dyDescent="0.25">
      <c r="B37" s="123" t="str">
        <f t="shared" si="122"/>
        <v>Q1</v>
      </c>
      <c r="C37" s="124" t="str">
        <f t="shared" si="123"/>
        <v>Apr-26</v>
      </c>
      <c r="D37" s="125">
        <v>46135</v>
      </c>
      <c r="E37" s="126" t="s">
        <v>405</v>
      </c>
      <c r="F37" s="126" t="s">
        <v>286</v>
      </c>
      <c r="G37" s="126" t="s">
        <v>406</v>
      </c>
      <c r="H37" s="127" t="s">
        <v>407</v>
      </c>
      <c r="I37" s="125">
        <v>46094</v>
      </c>
      <c r="J37" s="126" t="s">
        <v>408</v>
      </c>
      <c r="K37" s="125">
        <v>46135</v>
      </c>
      <c r="L37" s="126" t="s">
        <v>409</v>
      </c>
      <c r="M37" s="126" t="s">
        <v>208</v>
      </c>
      <c r="N37" s="127" t="s">
        <v>212</v>
      </c>
      <c r="O37" s="126">
        <v>6</v>
      </c>
      <c r="P37" s="283">
        <v>847</v>
      </c>
      <c r="Q37" s="128">
        <f t="shared" si="124"/>
        <v>5082</v>
      </c>
      <c r="R37" s="129">
        <v>0</v>
      </c>
      <c r="S37" s="128">
        <f t="shared" si="125"/>
        <v>6</v>
      </c>
      <c r="T37" s="129">
        <v>0</v>
      </c>
      <c r="U37" s="130">
        <v>0</v>
      </c>
      <c r="V37" s="131">
        <v>0</v>
      </c>
      <c r="W37" s="130">
        <v>0</v>
      </c>
      <c r="X37" s="132">
        <v>0</v>
      </c>
      <c r="Y37" s="130">
        <v>0</v>
      </c>
      <c r="Z37" s="130">
        <v>0</v>
      </c>
      <c r="AA37" s="129">
        <v>0</v>
      </c>
      <c r="AB37" s="133">
        <f t="shared" si="126"/>
        <v>0</v>
      </c>
      <c r="AC37" s="132">
        <v>0</v>
      </c>
      <c r="AD37" s="128">
        <v>0</v>
      </c>
      <c r="AE37" s="147">
        <v>0</v>
      </c>
      <c r="AF37" s="130">
        <v>0</v>
      </c>
      <c r="AG37" s="134">
        <v>0</v>
      </c>
      <c r="AH37" s="130">
        <v>0</v>
      </c>
      <c r="AI37" s="131">
        <v>0</v>
      </c>
      <c r="AJ37" s="130">
        <v>0</v>
      </c>
      <c r="AK37" s="130">
        <v>0</v>
      </c>
      <c r="AL37" s="130">
        <f t="shared" si="127"/>
        <v>0</v>
      </c>
      <c r="AM37" s="135">
        <f t="shared" si="128"/>
        <v>5082</v>
      </c>
      <c r="AN37" s="136">
        <v>46135</v>
      </c>
      <c r="AO37" s="137" t="s">
        <v>419</v>
      </c>
      <c r="AP37" s="138" t="s">
        <v>239</v>
      </c>
      <c r="AQ37" s="139" t="s">
        <v>240</v>
      </c>
      <c r="AR37" s="139" t="s">
        <v>260</v>
      </c>
      <c r="AS37" s="126" t="s">
        <v>420</v>
      </c>
      <c r="AT37" s="140" t="s">
        <v>247</v>
      </c>
      <c r="AU37" s="140" t="s">
        <v>228</v>
      </c>
      <c r="AV37" s="141" t="s">
        <v>208</v>
      </c>
      <c r="AW37" s="139">
        <v>6</v>
      </c>
      <c r="AX37" s="141">
        <v>932.2</v>
      </c>
      <c r="AY37" s="139">
        <f t="shared" si="129"/>
        <v>5593.2000000000007</v>
      </c>
      <c r="AZ37" s="142" t="b">
        <f t="shared" si="130"/>
        <v>1</v>
      </c>
      <c r="BA37" s="128">
        <v>0</v>
      </c>
      <c r="BB37" s="143">
        <f t="shared" si="131"/>
        <v>6</v>
      </c>
      <c r="BC37" s="144">
        <v>0</v>
      </c>
      <c r="BD37" s="143" t="s">
        <v>109</v>
      </c>
      <c r="BE37" s="144">
        <v>0</v>
      </c>
      <c r="BF37" s="143">
        <v>0</v>
      </c>
      <c r="BG37" s="144">
        <v>0</v>
      </c>
      <c r="BH37" s="130">
        <v>0</v>
      </c>
      <c r="BI37" s="133">
        <v>0</v>
      </c>
      <c r="BJ37" s="131">
        <v>0</v>
      </c>
      <c r="BK37" s="128">
        <v>0</v>
      </c>
      <c r="BL37" s="139">
        <v>0</v>
      </c>
      <c r="BM37" s="130">
        <v>0</v>
      </c>
      <c r="BN37" s="145">
        <f t="shared" si="132"/>
        <v>0</v>
      </c>
      <c r="BO37" s="129">
        <f t="shared" si="133"/>
        <v>5593.2000000000007</v>
      </c>
      <c r="BP37" s="135">
        <f t="shared" si="134"/>
        <v>511.20000000000073</v>
      </c>
      <c r="BQ37" s="144" t="str">
        <f t="shared" si="135"/>
        <v>Positive Margin</v>
      </c>
      <c r="BR37" s="146" t="s">
        <v>209</v>
      </c>
      <c r="BS37" s="128">
        <f t="shared" si="136"/>
        <v>511.20000000000073</v>
      </c>
      <c r="BT37" s="147" t="str">
        <f t="shared" si="137"/>
        <v>Positive Margin at Inception</v>
      </c>
      <c r="BU37" s="148">
        <f t="shared" si="138"/>
        <v>9.1396695987985527E-2</v>
      </c>
      <c r="BV37" s="147" t="str">
        <f t="shared" si="139"/>
        <v>More than 2%</v>
      </c>
      <c r="BW37" s="128">
        <f t="shared" si="140"/>
        <v>0</v>
      </c>
      <c r="BX37" s="129">
        <f t="shared" si="141"/>
        <v>0</v>
      </c>
      <c r="BY37" s="128">
        <f t="shared" si="142"/>
        <v>0</v>
      </c>
      <c r="BZ37" s="149">
        <f t="shared" si="143"/>
        <v>0</v>
      </c>
      <c r="CA37" s="149">
        <f t="shared" si="144"/>
        <v>0</v>
      </c>
      <c r="CB37" s="130">
        <f t="shared" si="145"/>
        <v>0</v>
      </c>
      <c r="CC37" s="149" t="s">
        <v>282</v>
      </c>
      <c r="CD37" s="130">
        <v>0</v>
      </c>
      <c r="CE37" s="130">
        <f t="shared" si="146"/>
        <v>5082</v>
      </c>
      <c r="CF37" s="130">
        <f t="shared" si="147"/>
        <v>5593.2000000000007</v>
      </c>
      <c r="CG37" s="130">
        <f t="shared" si="148"/>
        <v>4</v>
      </c>
      <c r="CH37" s="150">
        <v>0</v>
      </c>
      <c r="CI37" s="130">
        <v>0</v>
      </c>
      <c r="CJ37" s="130" t="e">
        <f>_xlfn.XLOOKUP(AP37,POC!B:B,POC!D:D)</f>
        <v>#N/A</v>
      </c>
      <c r="CK37" s="130">
        <f t="shared" si="149"/>
        <v>511.20000000000073</v>
      </c>
      <c r="CL37" s="130">
        <f t="shared" si="150"/>
        <v>511.20000000000073</v>
      </c>
      <c r="CM37" s="130">
        <f t="shared" si="151"/>
        <v>511.20000000000073</v>
      </c>
      <c r="CN37" s="130">
        <f t="shared" si="152"/>
        <v>6599.9760000000006</v>
      </c>
      <c r="CO37" s="130">
        <f t="shared" si="153"/>
        <v>-5996.7599999999993</v>
      </c>
      <c r="CP37" s="130">
        <f t="shared" si="154"/>
        <v>0</v>
      </c>
      <c r="CQ37" s="130">
        <f t="shared" si="155"/>
        <v>0</v>
      </c>
      <c r="CR37" s="130">
        <f t="shared" si="156"/>
        <v>603.21600000000126</v>
      </c>
      <c r="CS37" s="130" t="s">
        <v>236</v>
      </c>
      <c r="CT37" s="130" t="s">
        <v>236</v>
      </c>
      <c r="CU37" s="145" t="str">
        <f t="shared" si="157"/>
        <v>AADCC6184H</v>
      </c>
      <c r="CV37" s="145" t="str">
        <f t="shared" si="158"/>
        <v>AARFT3586D</v>
      </c>
      <c r="CW37" s="152" t="str">
        <f t="shared" si="159"/>
        <v>2026290000000098CHAITANYA INDIA FIN CREDIT PRIVATE LIMITED</v>
      </c>
    </row>
    <row r="38" spans="2:101" s="152" customFormat="1" ht="11.85" customHeight="1" x14ac:dyDescent="0.25">
      <c r="B38" s="123" t="str">
        <f t="shared" si="122"/>
        <v>Q1</v>
      </c>
      <c r="C38" s="124" t="str">
        <f t="shared" si="123"/>
        <v>Apr-26</v>
      </c>
      <c r="D38" s="125">
        <v>46135</v>
      </c>
      <c r="E38" s="126" t="s">
        <v>405</v>
      </c>
      <c r="F38" s="126" t="s">
        <v>286</v>
      </c>
      <c r="G38" s="126" t="s">
        <v>406</v>
      </c>
      <c r="H38" s="127" t="s">
        <v>407</v>
      </c>
      <c r="I38" s="125">
        <v>46094</v>
      </c>
      <c r="J38" s="126" t="s">
        <v>408</v>
      </c>
      <c r="K38" s="125">
        <v>46135</v>
      </c>
      <c r="L38" s="126" t="s">
        <v>409</v>
      </c>
      <c r="M38" s="126" t="s">
        <v>208</v>
      </c>
      <c r="N38" s="127" t="s">
        <v>212</v>
      </c>
      <c r="O38" s="126">
        <v>1</v>
      </c>
      <c r="P38" s="283">
        <v>1576</v>
      </c>
      <c r="Q38" s="128">
        <f t="shared" si="124"/>
        <v>1576</v>
      </c>
      <c r="R38" s="129">
        <v>0</v>
      </c>
      <c r="S38" s="128">
        <f t="shared" si="125"/>
        <v>1</v>
      </c>
      <c r="T38" s="129">
        <v>0</v>
      </c>
      <c r="U38" s="130">
        <v>0</v>
      </c>
      <c r="V38" s="131">
        <v>0</v>
      </c>
      <c r="W38" s="130">
        <v>0</v>
      </c>
      <c r="X38" s="132">
        <v>0</v>
      </c>
      <c r="Y38" s="130">
        <v>0</v>
      </c>
      <c r="Z38" s="130">
        <v>0</v>
      </c>
      <c r="AA38" s="129">
        <v>0</v>
      </c>
      <c r="AB38" s="133">
        <f t="shared" si="126"/>
        <v>0</v>
      </c>
      <c r="AC38" s="132">
        <v>0</v>
      </c>
      <c r="AD38" s="128">
        <v>0</v>
      </c>
      <c r="AE38" s="147">
        <v>0</v>
      </c>
      <c r="AF38" s="130">
        <v>0</v>
      </c>
      <c r="AG38" s="134">
        <v>0</v>
      </c>
      <c r="AH38" s="130">
        <v>0</v>
      </c>
      <c r="AI38" s="131">
        <v>0</v>
      </c>
      <c r="AJ38" s="130">
        <v>0</v>
      </c>
      <c r="AK38" s="130">
        <v>0</v>
      </c>
      <c r="AL38" s="130">
        <f t="shared" si="127"/>
        <v>0</v>
      </c>
      <c r="AM38" s="135">
        <f t="shared" si="128"/>
        <v>1576</v>
      </c>
      <c r="AN38" s="136">
        <v>46135</v>
      </c>
      <c r="AO38" s="137" t="s">
        <v>419</v>
      </c>
      <c r="AP38" s="138" t="s">
        <v>239</v>
      </c>
      <c r="AQ38" s="139" t="s">
        <v>240</v>
      </c>
      <c r="AR38" s="139" t="s">
        <v>260</v>
      </c>
      <c r="AS38" s="126" t="s">
        <v>420</v>
      </c>
      <c r="AT38" s="140" t="s">
        <v>247</v>
      </c>
      <c r="AU38" s="140" t="s">
        <v>228</v>
      </c>
      <c r="AV38" s="141" t="s">
        <v>208</v>
      </c>
      <c r="AW38" s="139">
        <v>1</v>
      </c>
      <c r="AX38" s="141">
        <v>1733.9</v>
      </c>
      <c r="AY38" s="139">
        <f t="shared" si="129"/>
        <v>1733.9</v>
      </c>
      <c r="AZ38" s="142" t="b">
        <f t="shared" si="130"/>
        <v>1</v>
      </c>
      <c r="BA38" s="128">
        <v>0</v>
      </c>
      <c r="BB38" s="143">
        <f t="shared" si="131"/>
        <v>1</v>
      </c>
      <c r="BC38" s="144">
        <v>0</v>
      </c>
      <c r="BD38" s="143" t="s">
        <v>109</v>
      </c>
      <c r="BE38" s="144">
        <v>0</v>
      </c>
      <c r="BF38" s="143">
        <v>0</v>
      </c>
      <c r="BG38" s="144">
        <v>0</v>
      </c>
      <c r="BH38" s="130">
        <v>0</v>
      </c>
      <c r="BI38" s="133">
        <v>0</v>
      </c>
      <c r="BJ38" s="131">
        <v>0</v>
      </c>
      <c r="BK38" s="128">
        <v>0</v>
      </c>
      <c r="BL38" s="139">
        <v>0</v>
      </c>
      <c r="BM38" s="130">
        <v>0</v>
      </c>
      <c r="BN38" s="145">
        <f t="shared" si="132"/>
        <v>0</v>
      </c>
      <c r="BO38" s="129">
        <f t="shared" si="133"/>
        <v>1733.9</v>
      </c>
      <c r="BP38" s="135">
        <f t="shared" si="134"/>
        <v>157.90000000000009</v>
      </c>
      <c r="BQ38" s="144" t="str">
        <f t="shared" si="135"/>
        <v>Positive Margin</v>
      </c>
      <c r="BR38" s="146" t="s">
        <v>209</v>
      </c>
      <c r="BS38" s="128">
        <f t="shared" si="136"/>
        <v>157.90000000000009</v>
      </c>
      <c r="BT38" s="147" t="str">
        <f t="shared" si="137"/>
        <v>Positive Margin at Inception</v>
      </c>
      <c r="BU38" s="148">
        <f t="shared" si="138"/>
        <v>9.1066382144299032E-2</v>
      </c>
      <c r="BV38" s="147" t="str">
        <f t="shared" si="139"/>
        <v>More than 2%</v>
      </c>
      <c r="BW38" s="128">
        <f t="shared" si="140"/>
        <v>0</v>
      </c>
      <c r="BX38" s="129">
        <f t="shared" si="141"/>
        <v>0</v>
      </c>
      <c r="BY38" s="128">
        <f t="shared" si="142"/>
        <v>0</v>
      </c>
      <c r="BZ38" s="149">
        <f t="shared" si="143"/>
        <v>0</v>
      </c>
      <c r="CA38" s="149">
        <f t="shared" si="144"/>
        <v>0</v>
      </c>
      <c r="CB38" s="130">
        <f t="shared" si="145"/>
        <v>0</v>
      </c>
      <c r="CC38" s="149" t="s">
        <v>282</v>
      </c>
      <c r="CD38" s="130">
        <v>0</v>
      </c>
      <c r="CE38" s="130">
        <f t="shared" si="146"/>
        <v>1576</v>
      </c>
      <c r="CF38" s="130">
        <f t="shared" si="147"/>
        <v>1733.9</v>
      </c>
      <c r="CG38" s="130">
        <f t="shared" si="148"/>
        <v>4</v>
      </c>
      <c r="CH38" s="150">
        <v>0</v>
      </c>
      <c r="CI38" s="130">
        <v>0</v>
      </c>
      <c r="CJ38" s="130" t="e">
        <f>_xlfn.XLOOKUP(AP38,POC!B:B,POC!D:D)</f>
        <v>#N/A</v>
      </c>
      <c r="CK38" s="130">
        <f t="shared" si="149"/>
        <v>157.90000000000009</v>
      </c>
      <c r="CL38" s="130">
        <f t="shared" si="150"/>
        <v>157.90000000000009</v>
      </c>
      <c r="CM38" s="130">
        <f t="shared" si="151"/>
        <v>157.90000000000009</v>
      </c>
      <c r="CN38" s="130">
        <f t="shared" si="152"/>
        <v>2046.002</v>
      </c>
      <c r="CO38" s="130">
        <f t="shared" si="153"/>
        <v>-1859.6799999999998</v>
      </c>
      <c r="CP38" s="130">
        <f t="shared" si="154"/>
        <v>0</v>
      </c>
      <c r="CQ38" s="130">
        <f t="shared" si="155"/>
        <v>0</v>
      </c>
      <c r="CR38" s="130">
        <f t="shared" si="156"/>
        <v>186.32200000000012</v>
      </c>
      <c r="CS38" s="130" t="s">
        <v>236</v>
      </c>
      <c r="CT38" s="130" t="s">
        <v>236</v>
      </c>
      <c r="CU38" s="145" t="str">
        <f t="shared" si="157"/>
        <v>AADCC6184H</v>
      </c>
      <c r="CV38" s="145" t="str">
        <f t="shared" si="158"/>
        <v>AARFT3586D</v>
      </c>
      <c r="CW38" s="152" t="str">
        <f t="shared" si="159"/>
        <v>2026290000000098CHAITANYA INDIA FIN CREDIT PRIVATE LIMITED</v>
      </c>
    </row>
    <row r="39" spans="2:101" s="152" customFormat="1" ht="11.85" customHeight="1" x14ac:dyDescent="0.25">
      <c r="B39" s="123" t="str">
        <f t="shared" si="122"/>
        <v>Q1</v>
      </c>
      <c r="C39" s="124" t="str">
        <f t="shared" si="123"/>
        <v>Apr-26</v>
      </c>
      <c r="D39" s="125">
        <v>46135</v>
      </c>
      <c r="E39" s="126" t="s">
        <v>405</v>
      </c>
      <c r="F39" s="126" t="s">
        <v>286</v>
      </c>
      <c r="G39" s="126" t="s">
        <v>406</v>
      </c>
      <c r="H39" s="127" t="s">
        <v>407</v>
      </c>
      <c r="I39" s="125">
        <v>46094</v>
      </c>
      <c r="J39" s="126" t="s">
        <v>408</v>
      </c>
      <c r="K39" s="125">
        <v>46135</v>
      </c>
      <c r="L39" s="126" t="s">
        <v>409</v>
      </c>
      <c r="M39" s="126" t="s">
        <v>208</v>
      </c>
      <c r="N39" s="127" t="s">
        <v>212</v>
      </c>
      <c r="O39" s="126">
        <v>26</v>
      </c>
      <c r="P39" s="283">
        <v>85</v>
      </c>
      <c r="Q39" s="128">
        <f t="shared" si="124"/>
        <v>2210</v>
      </c>
      <c r="R39" s="129">
        <v>0</v>
      </c>
      <c r="S39" s="128">
        <f t="shared" si="125"/>
        <v>26</v>
      </c>
      <c r="T39" s="129">
        <v>0</v>
      </c>
      <c r="U39" s="130">
        <v>0</v>
      </c>
      <c r="V39" s="131">
        <v>0</v>
      </c>
      <c r="W39" s="130">
        <v>0</v>
      </c>
      <c r="X39" s="132">
        <v>0</v>
      </c>
      <c r="Y39" s="130">
        <v>0</v>
      </c>
      <c r="Z39" s="130">
        <v>0</v>
      </c>
      <c r="AA39" s="129">
        <v>0</v>
      </c>
      <c r="AB39" s="133">
        <f t="shared" si="126"/>
        <v>0</v>
      </c>
      <c r="AC39" s="132">
        <v>0</v>
      </c>
      <c r="AD39" s="128">
        <v>0</v>
      </c>
      <c r="AE39" s="147">
        <v>0</v>
      </c>
      <c r="AF39" s="130">
        <v>0</v>
      </c>
      <c r="AG39" s="134">
        <v>0</v>
      </c>
      <c r="AH39" s="130">
        <v>0</v>
      </c>
      <c r="AI39" s="131">
        <v>0</v>
      </c>
      <c r="AJ39" s="130">
        <v>0</v>
      </c>
      <c r="AK39" s="130">
        <v>0</v>
      </c>
      <c r="AL39" s="130">
        <f t="shared" si="127"/>
        <v>0</v>
      </c>
      <c r="AM39" s="135">
        <f t="shared" si="128"/>
        <v>2210</v>
      </c>
      <c r="AN39" s="136">
        <v>46135</v>
      </c>
      <c r="AO39" s="137" t="s">
        <v>419</v>
      </c>
      <c r="AP39" s="138" t="s">
        <v>239</v>
      </c>
      <c r="AQ39" s="139" t="s">
        <v>240</v>
      </c>
      <c r="AR39" s="139" t="s">
        <v>260</v>
      </c>
      <c r="AS39" s="126" t="s">
        <v>420</v>
      </c>
      <c r="AT39" s="140" t="s">
        <v>247</v>
      </c>
      <c r="AU39" s="140" t="s">
        <v>228</v>
      </c>
      <c r="AV39" s="141" t="s">
        <v>208</v>
      </c>
      <c r="AW39" s="139">
        <v>26</v>
      </c>
      <c r="AX39" s="141">
        <v>93.22</v>
      </c>
      <c r="AY39" s="139">
        <f t="shared" si="129"/>
        <v>2423.7199999999998</v>
      </c>
      <c r="AZ39" s="142" t="b">
        <f t="shared" si="130"/>
        <v>1</v>
      </c>
      <c r="BA39" s="128">
        <v>0</v>
      </c>
      <c r="BB39" s="143">
        <f t="shared" si="131"/>
        <v>26</v>
      </c>
      <c r="BC39" s="144">
        <v>0</v>
      </c>
      <c r="BD39" s="143" t="s">
        <v>109</v>
      </c>
      <c r="BE39" s="144">
        <v>0</v>
      </c>
      <c r="BF39" s="143">
        <v>0</v>
      </c>
      <c r="BG39" s="144">
        <v>0</v>
      </c>
      <c r="BH39" s="130">
        <v>0</v>
      </c>
      <c r="BI39" s="133">
        <v>0</v>
      </c>
      <c r="BJ39" s="131">
        <v>0</v>
      </c>
      <c r="BK39" s="128">
        <v>0</v>
      </c>
      <c r="BL39" s="139">
        <v>0</v>
      </c>
      <c r="BM39" s="130">
        <v>0</v>
      </c>
      <c r="BN39" s="145">
        <f t="shared" si="132"/>
        <v>0</v>
      </c>
      <c r="BO39" s="129">
        <f t="shared" si="133"/>
        <v>2423.7199999999998</v>
      </c>
      <c r="BP39" s="135">
        <f t="shared" si="134"/>
        <v>213.7199999999998</v>
      </c>
      <c r="BQ39" s="144" t="str">
        <f t="shared" si="135"/>
        <v>Positive Margin</v>
      </c>
      <c r="BR39" s="146" t="s">
        <v>209</v>
      </c>
      <c r="BS39" s="128">
        <f t="shared" si="136"/>
        <v>213.7199999999998</v>
      </c>
      <c r="BT39" s="147" t="str">
        <f t="shared" si="137"/>
        <v>Positive Margin at Inception</v>
      </c>
      <c r="BU39" s="148">
        <f t="shared" si="138"/>
        <v>8.8178502467281622E-2</v>
      </c>
      <c r="BV39" s="147" t="str">
        <f t="shared" si="139"/>
        <v>More than 2%</v>
      </c>
      <c r="BW39" s="128">
        <f t="shared" si="140"/>
        <v>0</v>
      </c>
      <c r="BX39" s="129">
        <f t="shared" si="141"/>
        <v>0</v>
      </c>
      <c r="BY39" s="128">
        <f t="shared" si="142"/>
        <v>0</v>
      </c>
      <c r="BZ39" s="149">
        <f t="shared" si="143"/>
        <v>0</v>
      </c>
      <c r="CA39" s="149">
        <f t="shared" si="144"/>
        <v>0</v>
      </c>
      <c r="CB39" s="130">
        <f t="shared" si="145"/>
        <v>0</v>
      </c>
      <c r="CC39" s="149" t="s">
        <v>282</v>
      </c>
      <c r="CD39" s="130">
        <v>0</v>
      </c>
      <c r="CE39" s="130">
        <f t="shared" si="146"/>
        <v>2210</v>
      </c>
      <c r="CF39" s="130">
        <f t="shared" si="147"/>
        <v>2423.7199999999998</v>
      </c>
      <c r="CG39" s="130">
        <f t="shared" si="148"/>
        <v>4</v>
      </c>
      <c r="CH39" s="150">
        <v>0</v>
      </c>
      <c r="CI39" s="130">
        <v>0</v>
      </c>
      <c r="CJ39" s="130" t="e">
        <f>_xlfn.XLOOKUP(AP39,POC!B:B,POC!D:D)</f>
        <v>#N/A</v>
      </c>
      <c r="CK39" s="130">
        <f t="shared" si="149"/>
        <v>213.7199999999998</v>
      </c>
      <c r="CL39" s="130">
        <f t="shared" si="150"/>
        <v>213.7199999999998</v>
      </c>
      <c r="CM39" s="130">
        <f t="shared" si="151"/>
        <v>213.7199999999998</v>
      </c>
      <c r="CN39" s="130">
        <f t="shared" si="152"/>
        <v>2859.9895999999994</v>
      </c>
      <c r="CO39" s="130">
        <f t="shared" si="153"/>
        <v>-2607.7999999999997</v>
      </c>
      <c r="CP39" s="130">
        <f t="shared" si="154"/>
        <v>0</v>
      </c>
      <c r="CQ39" s="130">
        <f t="shared" si="155"/>
        <v>0</v>
      </c>
      <c r="CR39" s="130">
        <f t="shared" si="156"/>
        <v>252.1895999999997</v>
      </c>
      <c r="CS39" s="130" t="s">
        <v>236</v>
      </c>
      <c r="CT39" s="130" t="s">
        <v>236</v>
      </c>
      <c r="CU39" s="145" t="str">
        <f t="shared" si="157"/>
        <v>AADCC6184H</v>
      </c>
      <c r="CV39" s="145" t="str">
        <f t="shared" si="158"/>
        <v>AARFT3586D</v>
      </c>
      <c r="CW39" s="152" t="str">
        <f t="shared" si="159"/>
        <v>2026290000000098CHAITANYA INDIA FIN CREDIT PRIVATE LIMITED</v>
      </c>
    </row>
    <row r="40" spans="2:101" s="152" customFormat="1" ht="11.85" customHeight="1" x14ac:dyDescent="0.25">
      <c r="B40" s="123" t="str">
        <f t="shared" si="122"/>
        <v>Q1</v>
      </c>
      <c r="C40" s="124" t="str">
        <f t="shared" si="123"/>
        <v>Apr-26</v>
      </c>
      <c r="D40" s="125">
        <v>46135</v>
      </c>
      <c r="E40" s="126" t="s">
        <v>405</v>
      </c>
      <c r="F40" s="126" t="s">
        <v>286</v>
      </c>
      <c r="G40" s="126" t="s">
        <v>406</v>
      </c>
      <c r="H40" s="127" t="s">
        <v>407</v>
      </c>
      <c r="I40" s="125">
        <v>46094</v>
      </c>
      <c r="J40" s="126" t="s">
        <v>408</v>
      </c>
      <c r="K40" s="125">
        <v>46135</v>
      </c>
      <c r="L40" s="126" t="s">
        <v>409</v>
      </c>
      <c r="M40" s="126" t="s">
        <v>208</v>
      </c>
      <c r="N40" s="127" t="s">
        <v>212</v>
      </c>
      <c r="O40" s="126">
        <v>1</v>
      </c>
      <c r="P40" s="283">
        <v>1576</v>
      </c>
      <c r="Q40" s="128">
        <f t="shared" si="124"/>
        <v>1576</v>
      </c>
      <c r="R40" s="129">
        <v>0</v>
      </c>
      <c r="S40" s="128">
        <f t="shared" si="125"/>
        <v>1</v>
      </c>
      <c r="T40" s="129">
        <v>0</v>
      </c>
      <c r="U40" s="130">
        <v>0</v>
      </c>
      <c r="V40" s="131">
        <v>0</v>
      </c>
      <c r="W40" s="130">
        <v>0</v>
      </c>
      <c r="X40" s="132">
        <v>0</v>
      </c>
      <c r="Y40" s="130">
        <v>0</v>
      </c>
      <c r="Z40" s="130">
        <v>0</v>
      </c>
      <c r="AA40" s="129">
        <v>0</v>
      </c>
      <c r="AB40" s="133">
        <f t="shared" si="126"/>
        <v>0</v>
      </c>
      <c r="AC40" s="132">
        <v>0</v>
      </c>
      <c r="AD40" s="128">
        <v>0</v>
      </c>
      <c r="AE40" s="147">
        <v>0</v>
      </c>
      <c r="AF40" s="130">
        <v>0</v>
      </c>
      <c r="AG40" s="134">
        <v>0</v>
      </c>
      <c r="AH40" s="130">
        <v>0</v>
      </c>
      <c r="AI40" s="131">
        <v>0</v>
      </c>
      <c r="AJ40" s="130">
        <v>0</v>
      </c>
      <c r="AK40" s="130">
        <v>0</v>
      </c>
      <c r="AL40" s="130">
        <f t="shared" si="127"/>
        <v>0</v>
      </c>
      <c r="AM40" s="135">
        <f t="shared" si="128"/>
        <v>1576</v>
      </c>
      <c r="AN40" s="136">
        <v>46135</v>
      </c>
      <c r="AO40" s="137" t="s">
        <v>419</v>
      </c>
      <c r="AP40" s="138" t="s">
        <v>239</v>
      </c>
      <c r="AQ40" s="139" t="s">
        <v>240</v>
      </c>
      <c r="AR40" s="139" t="s">
        <v>260</v>
      </c>
      <c r="AS40" s="126" t="s">
        <v>420</v>
      </c>
      <c r="AT40" s="140" t="s">
        <v>247</v>
      </c>
      <c r="AU40" s="140" t="s">
        <v>228</v>
      </c>
      <c r="AV40" s="141" t="s">
        <v>208</v>
      </c>
      <c r="AW40" s="139">
        <v>1</v>
      </c>
      <c r="AX40" s="141">
        <v>1733.9</v>
      </c>
      <c r="AY40" s="139">
        <f t="shared" si="129"/>
        <v>1733.9</v>
      </c>
      <c r="AZ40" s="142" t="b">
        <f t="shared" si="130"/>
        <v>1</v>
      </c>
      <c r="BA40" s="128">
        <v>0</v>
      </c>
      <c r="BB40" s="143">
        <f t="shared" si="131"/>
        <v>1</v>
      </c>
      <c r="BC40" s="144">
        <v>0</v>
      </c>
      <c r="BD40" s="143" t="s">
        <v>109</v>
      </c>
      <c r="BE40" s="144">
        <v>0</v>
      </c>
      <c r="BF40" s="143">
        <v>0</v>
      </c>
      <c r="BG40" s="144">
        <v>0</v>
      </c>
      <c r="BH40" s="130">
        <v>0</v>
      </c>
      <c r="BI40" s="133">
        <v>0</v>
      </c>
      <c r="BJ40" s="131">
        <v>0</v>
      </c>
      <c r="BK40" s="128">
        <v>0</v>
      </c>
      <c r="BL40" s="139">
        <v>0</v>
      </c>
      <c r="BM40" s="130">
        <v>0</v>
      </c>
      <c r="BN40" s="145">
        <f t="shared" si="132"/>
        <v>0</v>
      </c>
      <c r="BO40" s="129">
        <f t="shared" si="133"/>
        <v>1733.9</v>
      </c>
      <c r="BP40" s="135">
        <f t="shared" si="134"/>
        <v>157.90000000000009</v>
      </c>
      <c r="BQ40" s="144" t="str">
        <f t="shared" si="135"/>
        <v>Positive Margin</v>
      </c>
      <c r="BR40" s="146" t="s">
        <v>209</v>
      </c>
      <c r="BS40" s="128">
        <f t="shared" si="136"/>
        <v>157.90000000000009</v>
      </c>
      <c r="BT40" s="147" t="str">
        <f t="shared" si="137"/>
        <v>Positive Margin at Inception</v>
      </c>
      <c r="BU40" s="148">
        <f t="shared" si="138"/>
        <v>9.1066382144299032E-2</v>
      </c>
      <c r="BV40" s="147" t="str">
        <f t="shared" si="139"/>
        <v>More than 2%</v>
      </c>
      <c r="BW40" s="128">
        <f t="shared" si="140"/>
        <v>0</v>
      </c>
      <c r="BX40" s="129">
        <f t="shared" si="141"/>
        <v>0</v>
      </c>
      <c r="BY40" s="128">
        <f t="shared" si="142"/>
        <v>0</v>
      </c>
      <c r="BZ40" s="149">
        <f t="shared" si="143"/>
        <v>0</v>
      </c>
      <c r="CA40" s="149">
        <f t="shared" si="144"/>
        <v>0</v>
      </c>
      <c r="CB40" s="130">
        <f t="shared" si="145"/>
        <v>0</v>
      </c>
      <c r="CC40" s="149" t="s">
        <v>282</v>
      </c>
      <c r="CD40" s="130">
        <v>0</v>
      </c>
      <c r="CE40" s="130">
        <f t="shared" si="146"/>
        <v>1576</v>
      </c>
      <c r="CF40" s="130">
        <f t="shared" si="147"/>
        <v>1733.9</v>
      </c>
      <c r="CG40" s="130">
        <f t="shared" si="148"/>
        <v>4</v>
      </c>
      <c r="CH40" s="150">
        <v>0</v>
      </c>
      <c r="CI40" s="130">
        <v>0</v>
      </c>
      <c r="CJ40" s="130" t="e">
        <f>_xlfn.XLOOKUP(AP40,POC!B:B,POC!D:D)</f>
        <v>#N/A</v>
      </c>
      <c r="CK40" s="130">
        <f t="shared" si="149"/>
        <v>157.90000000000009</v>
      </c>
      <c r="CL40" s="130">
        <f t="shared" si="150"/>
        <v>157.90000000000009</v>
      </c>
      <c r="CM40" s="130">
        <f t="shared" si="151"/>
        <v>157.90000000000009</v>
      </c>
      <c r="CN40" s="130">
        <f t="shared" si="152"/>
        <v>2046.002</v>
      </c>
      <c r="CO40" s="130">
        <f t="shared" si="153"/>
        <v>-1859.6799999999998</v>
      </c>
      <c r="CP40" s="130">
        <f t="shared" si="154"/>
        <v>0</v>
      </c>
      <c r="CQ40" s="130">
        <f t="shared" si="155"/>
        <v>0</v>
      </c>
      <c r="CR40" s="130">
        <f t="shared" si="156"/>
        <v>186.32200000000012</v>
      </c>
      <c r="CS40" s="130" t="s">
        <v>236</v>
      </c>
      <c r="CT40" s="130" t="s">
        <v>236</v>
      </c>
      <c r="CU40" s="145" t="str">
        <f t="shared" si="157"/>
        <v>AADCC6184H</v>
      </c>
      <c r="CV40" s="145" t="str">
        <f t="shared" si="158"/>
        <v>AARFT3586D</v>
      </c>
      <c r="CW40" s="152" t="str">
        <f t="shared" si="159"/>
        <v>2026290000000098CHAITANYA INDIA FIN CREDIT PRIVATE LIMITED</v>
      </c>
    </row>
    <row r="41" spans="2:101" s="152" customFormat="1" ht="11.85" customHeight="1" x14ac:dyDescent="0.25">
      <c r="B41" s="123" t="str">
        <f t="shared" ref="B41:B52" si="160">"Q" &amp; IF(ROUNDUP(MONTH(D41)/3,0)-1=0,4,ROUNDUP(MONTH(D41)/3,0)-1)</f>
        <v>Q1</v>
      </c>
      <c r="C41" s="124" t="str">
        <f t="shared" ref="C41:C52" si="161">TEXT(AN41,"mmm-yy")</f>
        <v>Apr-26</v>
      </c>
      <c r="D41" s="125">
        <v>46122</v>
      </c>
      <c r="E41" s="126" t="s">
        <v>421</v>
      </c>
      <c r="F41" s="126" t="s">
        <v>422</v>
      </c>
      <c r="G41" s="126" t="s">
        <v>423</v>
      </c>
      <c r="H41" s="127" t="s">
        <v>424</v>
      </c>
      <c r="I41" s="125">
        <v>46122</v>
      </c>
      <c r="J41" s="126" t="s">
        <v>425</v>
      </c>
      <c r="K41" s="125">
        <v>46133</v>
      </c>
      <c r="L41" s="126" t="s">
        <v>409</v>
      </c>
      <c r="M41" s="126" t="s">
        <v>426</v>
      </c>
      <c r="N41" s="127" t="s">
        <v>212</v>
      </c>
      <c r="O41" s="126">
        <v>10</v>
      </c>
      <c r="P41" s="283">
        <v>6567.8</v>
      </c>
      <c r="Q41" s="128">
        <f t="shared" ref="Q41:Q52" si="162">O41*P41</f>
        <v>65678</v>
      </c>
      <c r="R41" s="129">
        <v>0</v>
      </c>
      <c r="S41" s="128">
        <f t="shared" ref="S41:S52" si="163">O41-R41</f>
        <v>10</v>
      </c>
      <c r="T41" s="129">
        <v>0</v>
      </c>
      <c r="U41" s="130">
        <v>0</v>
      </c>
      <c r="V41" s="131">
        <v>0</v>
      </c>
      <c r="W41" s="130">
        <v>0</v>
      </c>
      <c r="X41" s="132">
        <v>0</v>
      </c>
      <c r="Y41" s="130">
        <v>0</v>
      </c>
      <c r="Z41" s="130">
        <v>0</v>
      </c>
      <c r="AA41" s="129">
        <v>0</v>
      </c>
      <c r="AB41" s="133">
        <f t="shared" ref="AB41:AB52" si="164">Y41+AA41+Z41</f>
        <v>0</v>
      </c>
      <c r="AC41" s="132">
        <v>0</v>
      </c>
      <c r="AD41" s="128">
        <v>0</v>
      </c>
      <c r="AE41" s="147">
        <v>0</v>
      </c>
      <c r="AF41" s="130">
        <v>0</v>
      </c>
      <c r="AG41" s="134">
        <v>0</v>
      </c>
      <c r="AH41" s="130">
        <v>0</v>
      </c>
      <c r="AI41" s="131">
        <v>0</v>
      </c>
      <c r="AJ41" s="130">
        <v>0</v>
      </c>
      <c r="AK41" s="130">
        <v>0</v>
      </c>
      <c r="AL41" s="130">
        <f t="shared" ref="AL41:AL52" si="165">(BN41*P41/AX41)+AB41/O41*(BN41/AX41)</f>
        <v>0</v>
      </c>
      <c r="AM41" s="135">
        <f t="shared" ref="AM41:AM52" si="166">Q41+AB41+AL41+AK41+AJ41+T41+AE41</f>
        <v>65678</v>
      </c>
      <c r="AN41" s="136">
        <v>46133</v>
      </c>
      <c r="AO41" s="137" t="s">
        <v>427</v>
      </c>
      <c r="AP41" s="138" t="s">
        <v>239</v>
      </c>
      <c r="AQ41" s="139" t="s">
        <v>240</v>
      </c>
      <c r="AR41" s="139" t="s">
        <v>260</v>
      </c>
      <c r="AS41" s="126" t="s">
        <v>428</v>
      </c>
      <c r="AT41" s="140" t="s">
        <v>247</v>
      </c>
      <c r="AU41" s="140" t="s">
        <v>228</v>
      </c>
      <c r="AV41" s="141" t="s">
        <v>429</v>
      </c>
      <c r="AW41" s="139">
        <v>10</v>
      </c>
      <c r="AX41" s="141">
        <v>7000</v>
      </c>
      <c r="AY41" s="139">
        <f t="shared" si="129"/>
        <v>70000</v>
      </c>
      <c r="AZ41" s="142" t="b">
        <f t="shared" si="130"/>
        <v>1</v>
      </c>
      <c r="BA41" s="128">
        <v>0</v>
      </c>
      <c r="BB41" s="143">
        <f t="shared" si="131"/>
        <v>10</v>
      </c>
      <c r="BC41" s="144">
        <v>0</v>
      </c>
      <c r="BD41" s="143" t="s">
        <v>109</v>
      </c>
      <c r="BE41" s="144">
        <v>0</v>
      </c>
      <c r="BF41" s="143">
        <v>0</v>
      </c>
      <c r="BG41" s="144">
        <v>0</v>
      </c>
      <c r="BH41" s="130">
        <v>0</v>
      </c>
      <c r="BI41" s="133">
        <v>0</v>
      </c>
      <c r="BJ41" s="131">
        <v>0</v>
      </c>
      <c r="BK41" s="128">
        <v>0</v>
      </c>
      <c r="BL41" s="139">
        <v>0</v>
      </c>
      <c r="BM41" s="130">
        <v>0</v>
      </c>
      <c r="BN41" s="145">
        <f t="shared" si="132"/>
        <v>0</v>
      </c>
      <c r="BO41" s="129">
        <f t="shared" si="133"/>
        <v>70000</v>
      </c>
      <c r="BP41" s="135">
        <f t="shared" si="134"/>
        <v>4322</v>
      </c>
      <c r="BQ41" s="144" t="str">
        <f t="shared" si="135"/>
        <v>Positive Margin</v>
      </c>
      <c r="BR41" s="146" t="s">
        <v>209</v>
      </c>
      <c r="BS41" s="128">
        <f t="shared" si="136"/>
        <v>4322</v>
      </c>
      <c r="BT41" s="147" t="str">
        <f t="shared" si="137"/>
        <v>Positive Margin at Inception</v>
      </c>
      <c r="BU41" s="148">
        <f t="shared" si="138"/>
        <v>6.1742857142857141E-2</v>
      </c>
      <c r="BV41" s="147" t="str">
        <f t="shared" si="139"/>
        <v>More than 2%</v>
      </c>
      <c r="BW41" s="128">
        <f t="shared" si="140"/>
        <v>0</v>
      </c>
      <c r="BX41" s="129">
        <f t="shared" si="141"/>
        <v>0</v>
      </c>
      <c r="BY41" s="128">
        <f t="shared" si="142"/>
        <v>0</v>
      </c>
      <c r="BZ41" s="149">
        <f t="shared" si="143"/>
        <v>0</v>
      </c>
      <c r="CA41" s="149">
        <f t="shared" si="144"/>
        <v>0</v>
      </c>
      <c r="CB41" s="130">
        <f t="shared" si="145"/>
        <v>0</v>
      </c>
      <c r="CC41" s="149" t="s">
        <v>282</v>
      </c>
      <c r="CD41" s="130">
        <v>0</v>
      </c>
      <c r="CE41" s="130">
        <f t="shared" si="146"/>
        <v>65678</v>
      </c>
      <c r="CF41" s="130">
        <f t="shared" si="147"/>
        <v>70000</v>
      </c>
      <c r="CG41" s="130">
        <f t="shared" si="148"/>
        <v>2</v>
      </c>
      <c r="CH41" s="150">
        <v>0</v>
      </c>
      <c r="CI41" s="130">
        <v>0</v>
      </c>
      <c r="CJ41" s="130" t="e">
        <f>_xlfn.XLOOKUP(AP41,POC!B:B,POC!D:D)</f>
        <v>#N/A</v>
      </c>
      <c r="CK41" s="130">
        <f t="shared" si="149"/>
        <v>4322</v>
      </c>
      <c r="CL41" s="130">
        <f t="shared" si="150"/>
        <v>4322</v>
      </c>
      <c r="CM41" s="130">
        <f t="shared" si="151"/>
        <v>4322</v>
      </c>
      <c r="CN41" s="130">
        <f t="shared" si="152"/>
        <v>82600</v>
      </c>
      <c r="CO41" s="130">
        <f t="shared" si="153"/>
        <v>-77500.039999999994</v>
      </c>
      <c r="CP41" s="130">
        <f t="shared" si="154"/>
        <v>0</v>
      </c>
      <c r="CQ41" s="130">
        <f t="shared" si="155"/>
        <v>0</v>
      </c>
      <c r="CR41" s="130">
        <f t="shared" si="156"/>
        <v>5099.9600000000064</v>
      </c>
      <c r="CS41" s="130" t="s">
        <v>236</v>
      </c>
      <c r="CT41" s="130" t="s">
        <v>236</v>
      </c>
      <c r="CU41" s="145" t="str">
        <f t="shared" si="157"/>
        <v>AACCN4479R</v>
      </c>
      <c r="CV41" s="145" t="str">
        <f t="shared" si="158"/>
        <v>AARFT3586D</v>
      </c>
      <c r="CW41" s="152" t="str">
        <f t="shared" si="159"/>
        <v>Inv/2026-27/01NAVATAR CONSULTING PRIVATE LIMITED</v>
      </c>
    </row>
    <row r="42" spans="2:101" s="152" customFormat="1" ht="11.85" customHeight="1" x14ac:dyDescent="0.25">
      <c r="B42" s="123" t="str">
        <f t="shared" si="160"/>
        <v>Q1</v>
      </c>
      <c r="C42" s="124" t="str">
        <f t="shared" si="161"/>
        <v>Apr-26</v>
      </c>
      <c r="D42" s="125">
        <v>46122</v>
      </c>
      <c r="E42" s="126" t="s">
        <v>421</v>
      </c>
      <c r="F42" s="126" t="s">
        <v>422</v>
      </c>
      <c r="G42" s="126" t="s">
        <v>423</v>
      </c>
      <c r="H42" s="127" t="s">
        <v>424</v>
      </c>
      <c r="I42" s="125">
        <v>46122</v>
      </c>
      <c r="J42" s="126" t="s">
        <v>425</v>
      </c>
      <c r="K42" s="125">
        <v>46133</v>
      </c>
      <c r="L42" s="126" t="s">
        <v>409</v>
      </c>
      <c r="M42" s="126" t="s">
        <v>426</v>
      </c>
      <c r="N42" s="127" t="s">
        <v>212</v>
      </c>
      <c r="O42" s="126">
        <v>4</v>
      </c>
      <c r="P42" s="283">
        <v>1694.93</v>
      </c>
      <c r="Q42" s="128">
        <f t="shared" si="162"/>
        <v>6779.72</v>
      </c>
      <c r="R42" s="129">
        <v>0</v>
      </c>
      <c r="S42" s="128">
        <f t="shared" si="163"/>
        <v>4</v>
      </c>
      <c r="T42" s="129">
        <v>0</v>
      </c>
      <c r="U42" s="130">
        <v>0</v>
      </c>
      <c r="V42" s="131">
        <v>0</v>
      </c>
      <c r="W42" s="130">
        <v>0</v>
      </c>
      <c r="X42" s="132">
        <v>0</v>
      </c>
      <c r="Y42" s="130">
        <v>0</v>
      </c>
      <c r="Z42" s="130">
        <v>0</v>
      </c>
      <c r="AA42" s="129">
        <v>0</v>
      </c>
      <c r="AB42" s="133">
        <f t="shared" si="164"/>
        <v>0</v>
      </c>
      <c r="AC42" s="132">
        <v>0</v>
      </c>
      <c r="AD42" s="128">
        <v>0</v>
      </c>
      <c r="AE42" s="147">
        <v>0</v>
      </c>
      <c r="AF42" s="130">
        <v>0</v>
      </c>
      <c r="AG42" s="134">
        <v>0</v>
      </c>
      <c r="AH42" s="130">
        <v>0</v>
      </c>
      <c r="AI42" s="131">
        <v>0</v>
      </c>
      <c r="AJ42" s="130">
        <v>0</v>
      </c>
      <c r="AK42" s="130">
        <v>0</v>
      </c>
      <c r="AL42" s="130">
        <f t="shared" si="165"/>
        <v>0</v>
      </c>
      <c r="AM42" s="135">
        <f t="shared" si="166"/>
        <v>6779.72</v>
      </c>
      <c r="AN42" s="136">
        <v>46133</v>
      </c>
      <c r="AO42" s="137" t="s">
        <v>427</v>
      </c>
      <c r="AP42" s="138" t="s">
        <v>239</v>
      </c>
      <c r="AQ42" s="139" t="s">
        <v>240</v>
      </c>
      <c r="AR42" s="139" t="s">
        <v>260</v>
      </c>
      <c r="AS42" s="126" t="s">
        <v>428</v>
      </c>
      <c r="AT42" s="140" t="s">
        <v>247</v>
      </c>
      <c r="AU42" s="140" t="s">
        <v>228</v>
      </c>
      <c r="AV42" s="141" t="s">
        <v>429</v>
      </c>
      <c r="AW42" s="139">
        <v>4</v>
      </c>
      <c r="AX42" s="141">
        <v>1700</v>
      </c>
      <c r="AY42" s="139">
        <f t="shared" si="129"/>
        <v>6800</v>
      </c>
      <c r="AZ42" s="142" t="b">
        <f t="shared" si="130"/>
        <v>1</v>
      </c>
      <c r="BA42" s="128">
        <v>0</v>
      </c>
      <c r="BB42" s="143">
        <f t="shared" si="131"/>
        <v>4</v>
      </c>
      <c r="BC42" s="144">
        <v>0</v>
      </c>
      <c r="BD42" s="143" t="s">
        <v>109</v>
      </c>
      <c r="BE42" s="144">
        <v>0</v>
      </c>
      <c r="BF42" s="143">
        <v>0</v>
      </c>
      <c r="BG42" s="144">
        <v>0</v>
      </c>
      <c r="BH42" s="130">
        <v>0</v>
      </c>
      <c r="BI42" s="133">
        <v>0</v>
      </c>
      <c r="BJ42" s="131">
        <v>0</v>
      </c>
      <c r="BK42" s="128">
        <v>0</v>
      </c>
      <c r="BL42" s="139">
        <v>0</v>
      </c>
      <c r="BM42" s="130">
        <v>0</v>
      </c>
      <c r="BN42" s="145">
        <f t="shared" si="132"/>
        <v>0</v>
      </c>
      <c r="BO42" s="129">
        <f t="shared" si="133"/>
        <v>6800</v>
      </c>
      <c r="BP42" s="135">
        <f t="shared" si="134"/>
        <v>20.279999999999745</v>
      </c>
      <c r="BQ42" s="144" t="str">
        <f t="shared" si="135"/>
        <v>Positive Margin</v>
      </c>
      <c r="BR42" s="146" t="s">
        <v>209</v>
      </c>
      <c r="BS42" s="128">
        <f t="shared" si="136"/>
        <v>20.279999999999745</v>
      </c>
      <c r="BT42" s="147" t="str">
        <f t="shared" si="137"/>
        <v>Positive Margin at Inception</v>
      </c>
      <c r="BU42" s="148">
        <f t="shared" si="138"/>
        <v>2.982352941176433E-3</v>
      </c>
      <c r="BV42" s="147" t="str">
        <f t="shared" si="139"/>
        <v>Less Than 1%</v>
      </c>
      <c r="BW42" s="128">
        <f t="shared" si="140"/>
        <v>0</v>
      </c>
      <c r="BX42" s="129">
        <f t="shared" si="141"/>
        <v>0</v>
      </c>
      <c r="BY42" s="128">
        <f t="shared" si="142"/>
        <v>0</v>
      </c>
      <c r="BZ42" s="149">
        <f t="shared" si="143"/>
        <v>0</v>
      </c>
      <c r="CA42" s="149">
        <f t="shared" si="144"/>
        <v>0</v>
      </c>
      <c r="CB42" s="130">
        <f t="shared" si="145"/>
        <v>0</v>
      </c>
      <c r="CC42" s="149" t="s">
        <v>282</v>
      </c>
      <c r="CD42" s="130">
        <v>0</v>
      </c>
      <c r="CE42" s="130">
        <f t="shared" si="146"/>
        <v>6779.72</v>
      </c>
      <c r="CF42" s="130">
        <f t="shared" si="147"/>
        <v>6800</v>
      </c>
      <c r="CG42" s="130">
        <f t="shared" si="148"/>
        <v>2</v>
      </c>
      <c r="CH42" s="150">
        <v>0</v>
      </c>
      <c r="CI42" s="130">
        <v>0</v>
      </c>
      <c r="CJ42" s="130" t="e">
        <f>_xlfn.XLOOKUP(AP42,POC!B:B,POC!D:D)</f>
        <v>#N/A</v>
      </c>
      <c r="CK42" s="130">
        <f t="shared" si="149"/>
        <v>20.279999999999745</v>
      </c>
      <c r="CL42" s="130">
        <f t="shared" si="150"/>
        <v>20.279999999999745</v>
      </c>
      <c r="CM42" s="130">
        <f t="shared" si="151"/>
        <v>20.279999999999745</v>
      </c>
      <c r="CN42" s="130">
        <f t="shared" si="152"/>
        <v>8024</v>
      </c>
      <c r="CO42" s="130">
        <f t="shared" si="153"/>
        <v>-8000.0695999999998</v>
      </c>
      <c r="CP42" s="130">
        <f t="shared" si="154"/>
        <v>0</v>
      </c>
      <c r="CQ42" s="130">
        <f t="shared" si="155"/>
        <v>0</v>
      </c>
      <c r="CR42" s="130">
        <f t="shared" si="156"/>
        <v>23.930400000000191</v>
      </c>
      <c r="CS42" s="130" t="s">
        <v>236</v>
      </c>
      <c r="CT42" s="130" t="s">
        <v>236</v>
      </c>
      <c r="CU42" s="145" t="str">
        <f t="shared" si="157"/>
        <v>AACCN4479R</v>
      </c>
      <c r="CV42" s="145" t="str">
        <f t="shared" si="158"/>
        <v>AARFT3586D</v>
      </c>
      <c r="CW42" s="152" t="str">
        <f t="shared" si="159"/>
        <v>Inv/2026-27/01NAVATAR CONSULTING PRIVATE LIMITED</v>
      </c>
    </row>
    <row r="43" spans="2:101" s="152" customFormat="1" ht="11.85" customHeight="1" x14ac:dyDescent="0.25">
      <c r="B43" s="123" t="str">
        <f t="shared" si="160"/>
        <v>Q1</v>
      </c>
      <c r="C43" s="124" t="str">
        <f t="shared" si="161"/>
        <v>Apr-26</v>
      </c>
      <c r="D43" s="125">
        <v>46122</v>
      </c>
      <c r="E43" s="126" t="s">
        <v>421</v>
      </c>
      <c r="F43" s="126" t="s">
        <v>422</v>
      </c>
      <c r="G43" s="126" t="s">
        <v>423</v>
      </c>
      <c r="H43" s="127" t="s">
        <v>424</v>
      </c>
      <c r="I43" s="125">
        <v>46122</v>
      </c>
      <c r="J43" s="126" t="s">
        <v>425</v>
      </c>
      <c r="K43" s="125">
        <v>46133</v>
      </c>
      <c r="L43" s="126" t="s">
        <v>409</v>
      </c>
      <c r="M43" s="126" t="s">
        <v>426</v>
      </c>
      <c r="N43" s="127" t="s">
        <v>212</v>
      </c>
      <c r="O43" s="126">
        <v>10</v>
      </c>
      <c r="P43" s="283">
        <v>788.14</v>
      </c>
      <c r="Q43" s="128">
        <f t="shared" si="162"/>
        <v>7881.4</v>
      </c>
      <c r="R43" s="129">
        <v>0</v>
      </c>
      <c r="S43" s="128">
        <f t="shared" si="163"/>
        <v>10</v>
      </c>
      <c r="T43" s="129">
        <v>0</v>
      </c>
      <c r="U43" s="130">
        <v>0</v>
      </c>
      <c r="V43" s="131">
        <v>0</v>
      </c>
      <c r="W43" s="130">
        <v>0</v>
      </c>
      <c r="X43" s="132">
        <v>0</v>
      </c>
      <c r="Y43" s="130">
        <v>0</v>
      </c>
      <c r="Z43" s="130">
        <v>0</v>
      </c>
      <c r="AA43" s="129">
        <v>0</v>
      </c>
      <c r="AB43" s="133">
        <f t="shared" si="164"/>
        <v>0</v>
      </c>
      <c r="AC43" s="132">
        <v>0</v>
      </c>
      <c r="AD43" s="128">
        <v>0</v>
      </c>
      <c r="AE43" s="147">
        <v>0</v>
      </c>
      <c r="AF43" s="130">
        <v>0</v>
      </c>
      <c r="AG43" s="134">
        <v>0</v>
      </c>
      <c r="AH43" s="130">
        <v>0</v>
      </c>
      <c r="AI43" s="131">
        <v>0</v>
      </c>
      <c r="AJ43" s="130">
        <v>0</v>
      </c>
      <c r="AK43" s="130">
        <v>0</v>
      </c>
      <c r="AL43" s="130">
        <f t="shared" si="165"/>
        <v>0</v>
      </c>
      <c r="AM43" s="135">
        <f t="shared" si="166"/>
        <v>7881.4</v>
      </c>
      <c r="AN43" s="136">
        <v>46133</v>
      </c>
      <c r="AO43" s="137" t="s">
        <v>427</v>
      </c>
      <c r="AP43" s="138" t="s">
        <v>239</v>
      </c>
      <c r="AQ43" s="139" t="s">
        <v>240</v>
      </c>
      <c r="AR43" s="139" t="s">
        <v>260</v>
      </c>
      <c r="AS43" s="126" t="s">
        <v>428</v>
      </c>
      <c r="AT43" s="140" t="s">
        <v>247</v>
      </c>
      <c r="AU43" s="140" t="s">
        <v>228</v>
      </c>
      <c r="AV43" s="141" t="s">
        <v>429</v>
      </c>
      <c r="AW43" s="139">
        <v>10</v>
      </c>
      <c r="AX43" s="141">
        <v>1000</v>
      </c>
      <c r="AY43" s="139">
        <f t="shared" si="129"/>
        <v>10000</v>
      </c>
      <c r="AZ43" s="142" t="b">
        <f t="shared" si="130"/>
        <v>1</v>
      </c>
      <c r="BA43" s="128">
        <v>0</v>
      </c>
      <c r="BB43" s="143">
        <f t="shared" si="131"/>
        <v>10</v>
      </c>
      <c r="BC43" s="144">
        <v>0</v>
      </c>
      <c r="BD43" s="143" t="s">
        <v>109</v>
      </c>
      <c r="BE43" s="144">
        <v>0</v>
      </c>
      <c r="BF43" s="143">
        <v>0</v>
      </c>
      <c r="BG43" s="144">
        <v>0</v>
      </c>
      <c r="BH43" s="130">
        <v>0</v>
      </c>
      <c r="BI43" s="133">
        <v>0</v>
      </c>
      <c r="BJ43" s="131">
        <v>0</v>
      </c>
      <c r="BK43" s="128">
        <v>0</v>
      </c>
      <c r="BL43" s="139">
        <v>0</v>
      </c>
      <c r="BM43" s="130">
        <v>0</v>
      </c>
      <c r="BN43" s="145">
        <f t="shared" si="132"/>
        <v>0</v>
      </c>
      <c r="BO43" s="129">
        <f t="shared" si="133"/>
        <v>10000</v>
      </c>
      <c r="BP43" s="135">
        <f t="shared" si="134"/>
        <v>2118.6000000000004</v>
      </c>
      <c r="BQ43" s="144" t="str">
        <f t="shared" si="135"/>
        <v>Positive Margin</v>
      </c>
      <c r="BR43" s="146" t="s">
        <v>209</v>
      </c>
      <c r="BS43" s="128">
        <f t="shared" si="136"/>
        <v>2118.6000000000004</v>
      </c>
      <c r="BT43" s="147" t="str">
        <f t="shared" si="137"/>
        <v>Positive Margin at Inception</v>
      </c>
      <c r="BU43" s="148">
        <f t="shared" si="138"/>
        <v>0.21186000000000005</v>
      </c>
      <c r="BV43" s="147" t="str">
        <f t="shared" si="139"/>
        <v>More than 2%</v>
      </c>
      <c r="BW43" s="128">
        <f t="shared" si="140"/>
        <v>0</v>
      </c>
      <c r="BX43" s="129">
        <f t="shared" si="141"/>
        <v>0</v>
      </c>
      <c r="BY43" s="128">
        <f t="shared" si="142"/>
        <v>0</v>
      </c>
      <c r="BZ43" s="149">
        <f t="shared" si="143"/>
        <v>0</v>
      </c>
      <c r="CA43" s="149">
        <f t="shared" si="144"/>
        <v>0</v>
      </c>
      <c r="CB43" s="130">
        <f t="shared" si="145"/>
        <v>0</v>
      </c>
      <c r="CC43" s="149" t="s">
        <v>282</v>
      </c>
      <c r="CD43" s="130">
        <v>0</v>
      </c>
      <c r="CE43" s="130">
        <f t="shared" si="146"/>
        <v>7881.4</v>
      </c>
      <c r="CF43" s="130">
        <f t="shared" si="147"/>
        <v>10000</v>
      </c>
      <c r="CG43" s="130">
        <f t="shared" si="148"/>
        <v>2</v>
      </c>
      <c r="CH43" s="150">
        <v>0</v>
      </c>
      <c r="CI43" s="130">
        <v>0</v>
      </c>
      <c r="CJ43" s="130" t="e">
        <f>_xlfn.XLOOKUP(AP43,POC!B:B,POC!D:D)</f>
        <v>#N/A</v>
      </c>
      <c r="CK43" s="130">
        <f t="shared" si="149"/>
        <v>2118.6000000000004</v>
      </c>
      <c r="CL43" s="130">
        <f t="shared" si="150"/>
        <v>2118.6000000000004</v>
      </c>
      <c r="CM43" s="130">
        <f t="shared" si="151"/>
        <v>2118.6000000000004</v>
      </c>
      <c r="CN43" s="130">
        <f t="shared" si="152"/>
        <v>11800</v>
      </c>
      <c r="CO43" s="130">
        <f t="shared" si="153"/>
        <v>-9300.0519999999997</v>
      </c>
      <c r="CP43" s="130">
        <f t="shared" si="154"/>
        <v>0</v>
      </c>
      <c r="CQ43" s="130">
        <f t="shared" si="155"/>
        <v>0</v>
      </c>
      <c r="CR43" s="130">
        <f t="shared" si="156"/>
        <v>2499.9480000000003</v>
      </c>
      <c r="CS43" s="130" t="s">
        <v>236</v>
      </c>
      <c r="CT43" s="130" t="s">
        <v>236</v>
      </c>
      <c r="CU43" s="145" t="str">
        <f t="shared" si="157"/>
        <v>AACCN4479R</v>
      </c>
      <c r="CV43" s="145" t="str">
        <f t="shared" si="158"/>
        <v>AARFT3586D</v>
      </c>
      <c r="CW43" s="152" t="str">
        <f t="shared" si="159"/>
        <v>Inv/2026-27/01NAVATAR CONSULTING PRIVATE LIMITED</v>
      </c>
    </row>
    <row r="44" spans="2:101" s="152" customFormat="1" ht="11.85" customHeight="1" x14ac:dyDescent="0.25">
      <c r="B44" s="123" t="str">
        <f t="shared" si="160"/>
        <v>Q1</v>
      </c>
      <c r="C44" s="124" t="str">
        <f t="shared" si="161"/>
        <v>Apr-26</v>
      </c>
      <c r="D44" s="125">
        <v>46122</v>
      </c>
      <c r="E44" s="126" t="s">
        <v>421</v>
      </c>
      <c r="F44" s="126" t="s">
        <v>422</v>
      </c>
      <c r="G44" s="126" t="s">
        <v>423</v>
      </c>
      <c r="H44" s="127" t="s">
        <v>424</v>
      </c>
      <c r="I44" s="125">
        <v>46122</v>
      </c>
      <c r="J44" s="126" t="s">
        <v>425</v>
      </c>
      <c r="K44" s="125">
        <v>46133</v>
      </c>
      <c r="L44" s="126" t="s">
        <v>409</v>
      </c>
      <c r="M44" s="126" t="s">
        <v>426</v>
      </c>
      <c r="N44" s="127" t="s">
        <v>212</v>
      </c>
      <c r="O44" s="126">
        <v>15</v>
      </c>
      <c r="P44" s="283">
        <v>67.8</v>
      </c>
      <c r="Q44" s="128">
        <f t="shared" si="162"/>
        <v>1017</v>
      </c>
      <c r="R44" s="129">
        <v>0</v>
      </c>
      <c r="S44" s="128">
        <f t="shared" si="163"/>
        <v>15</v>
      </c>
      <c r="T44" s="129">
        <v>0</v>
      </c>
      <c r="U44" s="130">
        <v>0</v>
      </c>
      <c r="V44" s="131">
        <v>0</v>
      </c>
      <c r="W44" s="130">
        <v>0</v>
      </c>
      <c r="X44" s="132">
        <v>0</v>
      </c>
      <c r="Y44" s="130">
        <v>0</v>
      </c>
      <c r="Z44" s="130">
        <v>0</v>
      </c>
      <c r="AA44" s="129">
        <v>0</v>
      </c>
      <c r="AB44" s="133">
        <f t="shared" si="164"/>
        <v>0</v>
      </c>
      <c r="AC44" s="132">
        <v>0</v>
      </c>
      <c r="AD44" s="128">
        <v>0</v>
      </c>
      <c r="AE44" s="147">
        <v>0</v>
      </c>
      <c r="AF44" s="130">
        <v>0</v>
      </c>
      <c r="AG44" s="134">
        <v>0</v>
      </c>
      <c r="AH44" s="130">
        <v>0</v>
      </c>
      <c r="AI44" s="131">
        <v>0</v>
      </c>
      <c r="AJ44" s="130">
        <v>0</v>
      </c>
      <c r="AK44" s="130">
        <v>0</v>
      </c>
      <c r="AL44" s="130">
        <f t="shared" si="165"/>
        <v>0</v>
      </c>
      <c r="AM44" s="135">
        <f t="shared" si="166"/>
        <v>1017</v>
      </c>
      <c r="AN44" s="136">
        <v>46133</v>
      </c>
      <c r="AO44" s="137" t="s">
        <v>427</v>
      </c>
      <c r="AP44" s="138" t="s">
        <v>239</v>
      </c>
      <c r="AQ44" s="139" t="s">
        <v>240</v>
      </c>
      <c r="AR44" s="139" t="s">
        <v>260</v>
      </c>
      <c r="AS44" s="126" t="s">
        <v>428</v>
      </c>
      <c r="AT44" s="140" t="s">
        <v>247</v>
      </c>
      <c r="AU44" s="140" t="s">
        <v>228</v>
      </c>
      <c r="AV44" s="141" t="s">
        <v>429</v>
      </c>
      <c r="AW44" s="139">
        <v>15</v>
      </c>
      <c r="AX44" s="141">
        <v>450</v>
      </c>
      <c r="AY44" s="139">
        <f t="shared" si="129"/>
        <v>6750</v>
      </c>
      <c r="AZ44" s="142" t="b">
        <f t="shared" si="130"/>
        <v>1</v>
      </c>
      <c r="BA44" s="128">
        <v>0</v>
      </c>
      <c r="BB44" s="143">
        <f t="shared" si="131"/>
        <v>15</v>
      </c>
      <c r="BC44" s="144">
        <v>0</v>
      </c>
      <c r="BD44" s="143" t="s">
        <v>109</v>
      </c>
      <c r="BE44" s="144">
        <v>0</v>
      </c>
      <c r="BF44" s="143">
        <v>0</v>
      </c>
      <c r="BG44" s="144">
        <v>0</v>
      </c>
      <c r="BH44" s="130">
        <v>0</v>
      </c>
      <c r="BI44" s="133">
        <v>0</v>
      </c>
      <c r="BJ44" s="131">
        <v>0</v>
      </c>
      <c r="BK44" s="128">
        <v>0</v>
      </c>
      <c r="BL44" s="139">
        <v>0</v>
      </c>
      <c r="BM44" s="130">
        <v>0</v>
      </c>
      <c r="BN44" s="145">
        <f t="shared" si="132"/>
        <v>0</v>
      </c>
      <c r="BO44" s="129">
        <f t="shared" si="133"/>
        <v>6750</v>
      </c>
      <c r="BP44" s="135">
        <f t="shared" si="134"/>
        <v>5733</v>
      </c>
      <c r="BQ44" s="144" t="str">
        <f t="shared" si="135"/>
        <v>Positive Margin</v>
      </c>
      <c r="BR44" s="146" t="s">
        <v>209</v>
      </c>
      <c r="BS44" s="128">
        <f t="shared" si="136"/>
        <v>5733</v>
      </c>
      <c r="BT44" s="147" t="str">
        <f t="shared" si="137"/>
        <v>Positive Margin at Inception</v>
      </c>
      <c r="BU44" s="148">
        <f t="shared" si="138"/>
        <v>0.84933333333333338</v>
      </c>
      <c r="BV44" s="147" t="str">
        <f t="shared" si="139"/>
        <v>More than 2%</v>
      </c>
      <c r="BW44" s="128">
        <f t="shared" si="140"/>
        <v>0</v>
      </c>
      <c r="BX44" s="129">
        <f t="shared" si="141"/>
        <v>0</v>
      </c>
      <c r="BY44" s="128">
        <f t="shared" si="142"/>
        <v>0</v>
      </c>
      <c r="BZ44" s="149">
        <f t="shared" si="143"/>
        <v>0</v>
      </c>
      <c r="CA44" s="149">
        <f t="shared" si="144"/>
        <v>0</v>
      </c>
      <c r="CB44" s="130">
        <f t="shared" si="145"/>
        <v>0</v>
      </c>
      <c r="CC44" s="149" t="s">
        <v>282</v>
      </c>
      <c r="CD44" s="130">
        <v>0</v>
      </c>
      <c r="CE44" s="130">
        <f t="shared" si="146"/>
        <v>1017</v>
      </c>
      <c r="CF44" s="130">
        <f t="shared" si="147"/>
        <v>6750</v>
      </c>
      <c r="CG44" s="130">
        <f t="shared" si="148"/>
        <v>2</v>
      </c>
      <c r="CH44" s="150">
        <v>0</v>
      </c>
      <c r="CI44" s="130">
        <v>0</v>
      </c>
      <c r="CJ44" s="130" t="e">
        <f>_xlfn.XLOOKUP(AP44,POC!B:B,POC!D:D)</f>
        <v>#N/A</v>
      </c>
      <c r="CK44" s="130">
        <f t="shared" si="149"/>
        <v>5733</v>
      </c>
      <c r="CL44" s="130">
        <f t="shared" si="150"/>
        <v>5733</v>
      </c>
      <c r="CM44" s="130">
        <f t="shared" si="151"/>
        <v>5733</v>
      </c>
      <c r="CN44" s="130">
        <f t="shared" si="152"/>
        <v>7965</v>
      </c>
      <c r="CO44" s="130">
        <f t="shared" si="153"/>
        <v>-1200.06</v>
      </c>
      <c r="CP44" s="130">
        <f t="shared" si="154"/>
        <v>0</v>
      </c>
      <c r="CQ44" s="130">
        <f t="shared" si="155"/>
        <v>0</v>
      </c>
      <c r="CR44" s="130">
        <f t="shared" si="156"/>
        <v>6764.9400000000005</v>
      </c>
      <c r="CS44" s="130" t="s">
        <v>236</v>
      </c>
      <c r="CT44" s="130" t="s">
        <v>236</v>
      </c>
      <c r="CU44" s="145" t="str">
        <f t="shared" si="157"/>
        <v>AACCN4479R</v>
      </c>
      <c r="CV44" s="145" t="str">
        <f t="shared" si="158"/>
        <v>AARFT3586D</v>
      </c>
      <c r="CW44" s="152" t="str">
        <f t="shared" si="159"/>
        <v>Inv/2026-27/01NAVATAR CONSULTING PRIVATE LIMITED</v>
      </c>
    </row>
    <row r="45" spans="2:101" s="152" customFormat="1" ht="11.85" customHeight="1" x14ac:dyDescent="0.25">
      <c r="B45" s="123" t="str">
        <f t="shared" si="160"/>
        <v>Q1</v>
      </c>
      <c r="C45" s="124" t="str">
        <f t="shared" si="161"/>
        <v>Apr-26</v>
      </c>
      <c r="D45" s="125">
        <v>46122</v>
      </c>
      <c r="E45" s="126" t="s">
        <v>421</v>
      </c>
      <c r="F45" s="126" t="s">
        <v>422</v>
      </c>
      <c r="G45" s="126" t="s">
        <v>423</v>
      </c>
      <c r="H45" s="127" t="s">
        <v>424</v>
      </c>
      <c r="I45" s="125">
        <v>46122</v>
      </c>
      <c r="J45" s="126" t="s">
        <v>425</v>
      </c>
      <c r="K45" s="125">
        <v>46133</v>
      </c>
      <c r="L45" s="126" t="s">
        <v>409</v>
      </c>
      <c r="M45" s="126" t="s">
        <v>426</v>
      </c>
      <c r="N45" s="127" t="s">
        <v>212</v>
      </c>
      <c r="O45" s="126">
        <v>2</v>
      </c>
      <c r="P45" s="283">
        <v>211.87</v>
      </c>
      <c r="Q45" s="128">
        <f t="shared" si="162"/>
        <v>423.74</v>
      </c>
      <c r="R45" s="129">
        <v>0</v>
      </c>
      <c r="S45" s="128">
        <f t="shared" si="163"/>
        <v>2</v>
      </c>
      <c r="T45" s="129">
        <v>0</v>
      </c>
      <c r="U45" s="130">
        <v>0</v>
      </c>
      <c r="V45" s="131">
        <v>0</v>
      </c>
      <c r="W45" s="130">
        <v>0</v>
      </c>
      <c r="X45" s="132">
        <v>0</v>
      </c>
      <c r="Y45" s="130">
        <v>0</v>
      </c>
      <c r="Z45" s="130">
        <v>0</v>
      </c>
      <c r="AA45" s="129">
        <v>0</v>
      </c>
      <c r="AB45" s="133">
        <f t="shared" si="164"/>
        <v>0</v>
      </c>
      <c r="AC45" s="132">
        <v>0</v>
      </c>
      <c r="AD45" s="128">
        <v>0</v>
      </c>
      <c r="AE45" s="147">
        <v>0</v>
      </c>
      <c r="AF45" s="130">
        <v>0</v>
      </c>
      <c r="AG45" s="134">
        <v>0</v>
      </c>
      <c r="AH45" s="130">
        <v>0</v>
      </c>
      <c r="AI45" s="131">
        <v>0</v>
      </c>
      <c r="AJ45" s="130">
        <v>0</v>
      </c>
      <c r="AK45" s="130">
        <v>0</v>
      </c>
      <c r="AL45" s="130">
        <f t="shared" si="165"/>
        <v>0</v>
      </c>
      <c r="AM45" s="135">
        <f t="shared" si="166"/>
        <v>423.74</v>
      </c>
      <c r="AN45" s="136">
        <v>46133</v>
      </c>
      <c r="AO45" s="137" t="s">
        <v>427</v>
      </c>
      <c r="AP45" s="138" t="s">
        <v>239</v>
      </c>
      <c r="AQ45" s="139" t="s">
        <v>240</v>
      </c>
      <c r="AR45" s="139" t="s">
        <v>260</v>
      </c>
      <c r="AS45" s="126" t="s">
        <v>428</v>
      </c>
      <c r="AT45" s="140" t="s">
        <v>247</v>
      </c>
      <c r="AU45" s="140" t="s">
        <v>228</v>
      </c>
      <c r="AV45" s="141" t="s">
        <v>429</v>
      </c>
      <c r="AW45" s="139">
        <v>2</v>
      </c>
      <c r="AX45" s="141">
        <v>400</v>
      </c>
      <c r="AY45" s="139">
        <f t="shared" si="129"/>
        <v>800</v>
      </c>
      <c r="AZ45" s="142" t="b">
        <f t="shared" si="130"/>
        <v>1</v>
      </c>
      <c r="BA45" s="128">
        <v>0</v>
      </c>
      <c r="BB45" s="143">
        <f t="shared" si="131"/>
        <v>2</v>
      </c>
      <c r="BC45" s="144">
        <v>0</v>
      </c>
      <c r="BD45" s="143" t="s">
        <v>109</v>
      </c>
      <c r="BE45" s="144">
        <v>0</v>
      </c>
      <c r="BF45" s="143">
        <v>0</v>
      </c>
      <c r="BG45" s="144">
        <v>0</v>
      </c>
      <c r="BH45" s="130">
        <v>0</v>
      </c>
      <c r="BI45" s="133">
        <v>0</v>
      </c>
      <c r="BJ45" s="131">
        <v>0</v>
      </c>
      <c r="BK45" s="128">
        <v>0</v>
      </c>
      <c r="BL45" s="139">
        <v>0</v>
      </c>
      <c r="BM45" s="130">
        <v>0</v>
      </c>
      <c r="BN45" s="145">
        <f t="shared" si="132"/>
        <v>0</v>
      </c>
      <c r="BO45" s="129">
        <f t="shared" si="133"/>
        <v>800</v>
      </c>
      <c r="BP45" s="135">
        <f t="shared" si="134"/>
        <v>376.26</v>
      </c>
      <c r="BQ45" s="144" t="str">
        <f t="shared" si="135"/>
        <v>Positive Margin</v>
      </c>
      <c r="BR45" s="146" t="s">
        <v>209</v>
      </c>
      <c r="BS45" s="128">
        <f t="shared" si="136"/>
        <v>376.26</v>
      </c>
      <c r="BT45" s="147" t="str">
        <f t="shared" si="137"/>
        <v>Positive Margin at Inception</v>
      </c>
      <c r="BU45" s="148">
        <f t="shared" si="138"/>
        <v>0.47032499999999999</v>
      </c>
      <c r="BV45" s="147" t="str">
        <f t="shared" si="139"/>
        <v>More than 2%</v>
      </c>
      <c r="BW45" s="128">
        <f t="shared" si="140"/>
        <v>0</v>
      </c>
      <c r="BX45" s="129">
        <f t="shared" si="141"/>
        <v>0</v>
      </c>
      <c r="BY45" s="128">
        <f t="shared" si="142"/>
        <v>0</v>
      </c>
      <c r="BZ45" s="149">
        <f t="shared" si="143"/>
        <v>0</v>
      </c>
      <c r="CA45" s="149">
        <f t="shared" si="144"/>
        <v>0</v>
      </c>
      <c r="CB45" s="130">
        <f t="shared" si="145"/>
        <v>0</v>
      </c>
      <c r="CC45" s="149" t="s">
        <v>282</v>
      </c>
      <c r="CD45" s="130">
        <v>0</v>
      </c>
      <c r="CE45" s="130">
        <f t="shared" si="146"/>
        <v>423.74</v>
      </c>
      <c r="CF45" s="130">
        <f t="shared" si="147"/>
        <v>800</v>
      </c>
      <c r="CG45" s="130">
        <f t="shared" si="148"/>
        <v>2</v>
      </c>
      <c r="CH45" s="150">
        <v>0</v>
      </c>
      <c r="CI45" s="130">
        <v>0</v>
      </c>
      <c r="CJ45" s="130" t="e">
        <f>_xlfn.XLOOKUP(AP45,POC!B:B,POC!D:D)</f>
        <v>#N/A</v>
      </c>
      <c r="CK45" s="130">
        <f t="shared" si="149"/>
        <v>376.26</v>
      </c>
      <c r="CL45" s="130">
        <f t="shared" si="150"/>
        <v>376.26</v>
      </c>
      <c r="CM45" s="130">
        <f t="shared" si="151"/>
        <v>376.26</v>
      </c>
      <c r="CN45" s="130">
        <f t="shared" si="152"/>
        <v>944</v>
      </c>
      <c r="CO45" s="130">
        <f t="shared" si="153"/>
        <v>-500.01319999999998</v>
      </c>
      <c r="CP45" s="130">
        <f t="shared" si="154"/>
        <v>0</v>
      </c>
      <c r="CQ45" s="130">
        <f t="shared" si="155"/>
        <v>0</v>
      </c>
      <c r="CR45" s="130">
        <f t="shared" si="156"/>
        <v>443.98680000000002</v>
      </c>
      <c r="CS45" s="130" t="s">
        <v>236</v>
      </c>
      <c r="CT45" s="130" t="s">
        <v>236</v>
      </c>
      <c r="CU45" s="145" t="str">
        <f t="shared" si="157"/>
        <v>AACCN4479R</v>
      </c>
      <c r="CV45" s="145" t="str">
        <f t="shared" si="158"/>
        <v>AARFT3586D</v>
      </c>
      <c r="CW45" s="152" t="str">
        <f t="shared" si="159"/>
        <v>Inv/2026-27/01NAVATAR CONSULTING PRIVATE LIMITED</v>
      </c>
    </row>
    <row r="46" spans="2:101" s="152" customFormat="1" ht="11.85" customHeight="1" x14ac:dyDescent="0.25">
      <c r="B46" s="123" t="str">
        <f t="shared" si="160"/>
        <v>Q1</v>
      </c>
      <c r="C46" s="124" t="str">
        <f t="shared" si="161"/>
        <v>Apr-26</v>
      </c>
      <c r="D46" s="125">
        <v>46122</v>
      </c>
      <c r="E46" s="126" t="s">
        <v>421</v>
      </c>
      <c r="F46" s="126" t="s">
        <v>422</v>
      </c>
      <c r="G46" s="126" t="s">
        <v>423</v>
      </c>
      <c r="H46" s="127" t="s">
        <v>424</v>
      </c>
      <c r="I46" s="125">
        <v>46122</v>
      </c>
      <c r="J46" s="126" t="s">
        <v>425</v>
      </c>
      <c r="K46" s="125">
        <v>46133</v>
      </c>
      <c r="L46" s="126" t="s">
        <v>409</v>
      </c>
      <c r="M46" s="126" t="s">
        <v>426</v>
      </c>
      <c r="N46" s="127" t="s">
        <v>212</v>
      </c>
      <c r="O46" s="126">
        <v>190</v>
      </c>
      <c r="P46" s="283">
        <v>4.2350000000000003</v>
      </c>
      <c r="Q46" s="128">
        <f t="shared" si="162"/>
        <v>804.65000000000009</v>
      </c>
      <c r="R46" s="129">
        <v>0</v>
      </c>
      <c r="S46" s="128">
        <f t="shared" si="163"/>
        <v>190</v>
      </c>
      <c r="T46" s="129">
        <v>0</v>
      </c>
      <c r="U46" s="130">
        <v>0</v>
      </c>
      <c r="V46" s="131">
        <v>0</v>
      </c>
      <c r="W46" s="130">
        <v>0</v>
      </c>
      <c r="X46" s="132">
        <v>0</v>
      </c>
      <c r="Y46" s="130">
        <v>0</v>
      </c>
      <c r="Z46" s="130">
        <v>0</v>
      </c>
      <c r="AA46" s="129">
        <v>0</v>
      </c>
      <c r="AB46" s="133">
        <f t="shared" si="164"/>
        <v>0</v>
      </c>
      <c r="AC46" s="132">
        <v>0</v>
      </c>
      <c r="AD46" s="128">
        <v>0</v>
      </c>
      <c r="AE46" s="147">
        <v>0</v>
      </c>
      <c r="AF46" s="130">
        <v>0</v>
      </c>
      <c r="AG46" s="134">
        <v>0</v>
      </c>
      <c r="AH46" s="130">
        <v>0</v>
      </c>
      <c r="AI46" s="131">
        <v>0</v>
      </c>
      <c r="AJ46" s="130">
        <v>0</v>
      </c>
      <c r="AK46" s="130">
        <v>0</v>
      </c>
      <c r="AL46" s="130">
        <f t="shared" si="165"/>
        <v>0</v>
      </c>
      <c r="AM46" s="135">
        <f t="shared" si="166"/>
        <v>804.65000000000009</v>
      </c>
      <c r="AN46" s="136">
        <v>46133</v>
      </c>
      <c r="AO46" s="137" t="s">
        <v>427</v>
      </c>
      <c r="AP46" s="138" t="s">
        <v>239</v>
      </c>
      <c r="AQ46" s="139" t="s">
        <v>240</v>
      </c>
      <c r="AR46" s="139" t="s">
        <v>260</v>
      </c>
      <c r="AS46" s="126" t="s">
        <v>428</v>
      </c>
      <c r="AT46" s="140" t="s">
        <v>247</v>
      </c>
      <c r="AU46" s="140" t="s">
        <v>228</v>
      </c>
      <c r="AV46" s="141" t="s">
        <v>429</v>
      </c>
      <c r="AW46" s="139">
        <v>190</v>
      </c>
      <c r="AX46" s="141">
        <v>6</v>
      </c>
      <c r="AY46" s="139">
        <f t="shared" si="129"/>
        <v>1140</v>
      </c>
      <c r="AZ46" s="142" t="b">
        <f t="shared" si="130"/>
        <v>1</v>
      </c>
      <c r="BA46" s="128">
        <v>0</v>
      </c>
      <c r="BB46" s="143">
        <f t="shared" si="131"/>
        <v>190</v>
      </c>
      <c r="BC46" s="144">
        <v>0</v>
      </c>
      <c r="BD46" s="143" t="s">
        <v>109</v>
      </c>
      <c r="BE46" s="144">
        <v>0</v>
      </c>
      <c r="BF46" s="143">
        <v>0</v>
      </c>
      <c r="BG46" s="144">
        <v>0</v>
      </c>
      <c r="BH46" s="130">
        <v>0</v>
      </c>
      <c r="BI46" s="133">
        <v>0</v>
      </c>
      <c r="BJ46" s="131">
        <v>0</v>
      </c>
      <c r="BK46" s="128">
        <v>0</v>
      </c>
      <c r="BL46" s="139">
        <v>0</v>
      </c>
      <c r="BM46" s="130">
        <v>0</v>
      </c>
      <c r="BN46" s="145">
        <f t="shared" si="132"/>
        <v>0</v>
      </c>
      <c r="BO46" s="129">
        <f t="shared" si="133"/>
        <v>1140</v>
      </c>
      <c r="BP46" s="135">
        <f t="shared" si="134"/>
        <v>335.34999999999991</v>
      </c>
      <c r="BQ46" s="144" t="str">
        <f t="shared" si="135"/>
        <v>Positive Margin</v>
      </c>
      <c r="BR46" s="146" t="s">
        <v>209</v>
      </c>
      <c r="BS46" s="128">
        <f t="shared" si="136"/>
        <v>335.34999999999991</v>
      </c>
      <c r="BT46" s="147" t="str">
        <f t="shared" si="137"/>
        <v>Positive Margin at Inception</v>
      </c>
      <c r="BU46" s="148">
        <f t="shared" si="138"/>
        <v>0.29416666666666658</v>
      </c>
      <c r="BV46" s="147" t="str">
        <f t="shared" si="139"/>
        <v>More than 2%</v>
      </c>
      <c r="BW46" s="128">
        <f t="shared" si="140"/>
        <v>0</v>
      </c>
      <c r="BX46" s="129">
        <f t="shared" si="141"/>
        <v>0</v>
      </c>
      <c r="BY46" s="128">
        <f t="shared" si="142"/>
        <v>0</v>
      </c>
      <c r="BZ46" s="149">
        <f t="shared" si="143"/>
        <v>0</v>
      </c>
      <c r="CA46" s="149">
        <f t="shared" si="144"/>
        <v>0</v>
      </c>
      <c r="CB46" s="130">
        <f t="shared" si="145"/>
        <v>0</v>
      </c>
      <c r="CC46" s="149" t="s">
        <v>282</v>
      </c>
      <c r="CD46" s="130">
        <v>0</v>
      </c>
      <c r="CE46" s="130">
        <f t="shared" si="146"/>
        <v>804.65000000000009</v>
      </c>
      <c r="CF46" s="130">
        <f t="shared" si="147"/>
        <v>1140</v>
      </c>
      <c r="CG46" s="130">
        <f t="shared" si="148"/>
        <v>2</v>
      </c>
      <c r="CH46" s="150">
        <v>0</v>
      </c>
      <c r="CI46" s="130">
        <v>0</v>
      </c>
      <c r="CJ46" s="130" t="e">
        <f>_xlfn.XLOOKUP(AP46,POC!B:B,POC!D:D)</f>
        <v>#N/A</v>
      </c>
      <c r="CK46" s="130">
        <f t="shared" si="149"/>
        <v>335.34999999999991</v>
      </c>
      <c r="CL46" s="130">
        <f t="shared" si="150"/>
        <v>335.34999999999991</v>
      </c>
      <c r="CM46" s="130">
        <f t="shared" si="151"/>
        <v>335.34999999999991</v>
      </c>
      <c r="CN46" s="130">
        <f t="shared" si="152"/>
        <v>1345.1999999999998</v>
      </c>
      <c r="CO46" s="130">
        <f t="shared" si="153"/>
        <v>-949.48700000000008</v>
      </c>
      <c r="CP46" s="130">
        <f t="shared" si="154"/>
        <v>0</v>
      </c>
      <c r="CQ46" s="130">
        <f t="shared" si="155"/>
        <v>0</v>
      </c>
      <c r="CR46" s="130">
        <f t="shared" si="156"/>
        <v>395.71299999999974</v>
      </c>
      <c r="CS46" s="130" t="s">
        <v>236</v>
      </c>
      <c r="CT46" s="130" t="s">
        <v>236</v>
      </c>
      <c r="CU46" s="145" t="str">
        <f t="shared" si="157"/>
        <v>AACCN4479R</v>
      </c>
      <c r="CV46" s="145" t="str">
        <f t="shared" si="158"/>
        <v>AARFT3586D</v>
      </c>
      <c r="CW46" s="152" t="str">
        <f t="shared" si="159"/>
        <v>Inv/2026-27/01NAVATAR CONSULTING PRIVATE LIMITED</v>
      </c>
    </row>
    <row r="47" spans="2:101" s="152" customFormat="1" ht="11.85" customHeight="1" x14ac:dyDescent="0.25">
      <c r="B47" s="123" t="str">
        <f t="shared" si="160"/>
        <v>Q1</v>
      </c>
      <c r="C47" s="124" t="str">
        <f t="shared" si="161"/>
        <v>Apr-26</v>
      </c>
      <c r="D47" s="125">
        <v>46122</v>
      </c>
      <c r="E47" s="126" t="s">
        <v>421</v>
      </c>
      <c r="F47" s="126" t="s">
        <v>422</v>
      </c>
      <c r="G47" s="126" t="s">
        <v>423</v>
      </c>
      <c r="H47" s="127" t="s">
        <v>424</v>
      </c>
      <c r="I47" s="125">
        <v>46122</v>
      </c>
      <c r="J47" s="126" t="s">
        <v>425</v>
      </c>
      <c r="K47" s="125">
        <v>46133</v>
      </c>
      <c r="L47" s="126" t="s">
        <v>409</v>
      </c>
      <c r="M47" s="126" t="s">
        <v>426</v>
      </c>
      <c r="N47" s="127" t="s">
        <v>212</v>
      </c>
      <c r="O47" s="126">
        <v>1</v>
      </c>
      <c r="P47" s="283">
        <v>105.98</v>
      </c>
      <c r="Q47" s="128">
        <f t="shared" si="162"/>
        <v>105.98</v>
      </c>
      <c r="R47" s="129">
        <v>0</v>
      </c>
      <c r="S47" s="128">
        <f t="shared" si="163"/>
        <v>1</v>
      </c>
      <c r="T47" s="129">
        <v>0</v>
      </c>
      <c r="U47" s="130">
        <v>0</v>
      </c>
      <c r="V47" s="131">
        <v>0</v>
      </c>
      <c r="W47" s="130">
        <v>0</v>
      </c>
      <c r="X47" s="132">
        <v>0</v>
      </c>
      <c r="Y47" s="130">
        <v>0</v>
      </c>
      <c r="Z47" s="130">
        <v>0</v>
      </c>
      <c r="AA47" s="129">
        <v>0</v>
      </c>
      <c r="AB47" s="133">
        <f t="shared" si="164"/>
        <v>0</v>
      </c>
      <c r="AC47" s="132">
        <v>0</v>
      </c>
      <c r="AD47" s="128">
        <v>0</v>
      </c>
      <c r="AE47" s="147">
        <v>0</v>
      </c>
      <c r="AF47" s="130">
        <v>0</v>
      </c>
      <c r="AG47" s="134">
        <v>0</v>
      </c>
      <c r="AH47" s="130">
        <v>0</v>
      </c>
      <c r="AI47" s="131">
        <v>0</v>
      </c>
      <c r="AJ47" s="130">
        <v>0</v>
      </c>
      <c r="AK47" s="130">
        <v>0</v>
      </c>
      <c r="AL47" s="130">
        <f t="shared" si="165"/>
        <v>0</v>
      </c>
      <c r="AM47" s="135">
        <f t="shared" si="166"/>
        <v>105.98</v>
      </c>
      <c r="AN47" s="136">
        <v>46133</v>
      </c>
      <c r="AO47" s="137" t="s">
        <v>427</v>
      </c>
      <c r="AP47" s="138" t="s">
        <v>239</v>
      </c>
      <c r="AQ47" s="139" t="s">
        <v>240</v>
      </c>
      <c r="AR47" s="139" t="s">
        <v>260</v>
      </c>
      <c r="AS47" s="126" t="s">
        <v>428</v>
      </c>
      <c r="AT47" s="140" t="s">
        <v>247</v>
      </c>
      <c r="AU47" s="140" t="s">
        <v>228</v>
      </c>
      <c r="AV47" s="141" t="s">
        <v>429</v>
      </c>
      <c r="AW47" s="139">
        <v>1</v>
      </c>
      <c r="AX47" s="141">
        <v>207</v>
      </c>
      <c r="AY47" s="139">
        <f t="shared" si="129"/>
        <v>207</v>
      </c>
      <c r="AZ47" s="142" t="b">
        <f t="shared" si="130"/>
        <v>1</v>
      </c>
      <c r="BA47" s="128">
        <v>0</v>
      </c>
      <c r="BB47" s="143">
        <f t="shared" si="131"/>
        <v>1</v>
      </c>
      <c r="BC47" s="144">
        <v>0</v>
      </c>
      <c r="BD47" s="143" t="s">
        <v>109</v>
      </c>
      <c r="BE47" s="144">
        <v>0</v>
      </c>
      <c r="BF47" s="143">
        <v>0</v>
      </c>
      <c r="BG47" s="144">
        <v>0</v>
      </c>
      <c r="BH47" s="130">
        <v>0</v>
      </c>
      <c r="BI47" s="133">
        <v>0</v>
      </c>
      <c r="BJ47" s="131">
        <v>0</v>
      </c>
      <c r="BK47" s="128">
        <v>0</v>
      </c>
      <c r="BL47" s="139">
        <v>0</v>
      </c>
      <c r="BM47" s="130">
        <v>0</v>
      </c>
      <c r="BN47" s="145">
        <f t="shared" si="132"/>
        <v>0</v>
      </c>
      <c r="BO47" s="129">
        <f t="shared" si="133"/>
        <v>207</v>
      </c>
      <c r="BP47" s="135">
        <f t="shared" si="134"/>
        <v>101.02</v>
      </c>
      <c r="BQ47" s="144" t="str">
        <f t="shared" si="135"/>
        <v>Positive Margin</v>
      </c>
      <c r="BR47" s="146" t="s">
        <v>209</v>
      </c>
      <c r="BS47" s="128">
        <f t="shared" si="136"/>
        <v>101.02</v>
      </c>
      <c r="BT47" s="147" t="str">
        <f t="shared" si="137"/>
        <v>Positive Margin at Inception</v>
      </c>
      <c r="BU47" s="148">
        <f t="shared" si="138"/>
        <v>0.48801932367149758</v>
      </c>
      <c r="BV47" s="147" t="str">
        <f t="shared" si="139"/>
        <v>More than 2%</v>
      </c>
      <c r="BW47" s="128">
        <f t="shared" si="140"/>
        <v>0</v>
      </c>
      <c r="BX47" s="129">
        <f t="shared" si="141"/>
        <v>0</v>
      </c>
      <c r="BY47" s="128">
        <f t="shared" si="142"/>
        <v>0</v>
      </c>
      <c r="BZ47" s="149">
        <f t="shared" si="143"/>
        <v>0</v>
      </c>
      <c r="CA47" s="149">
        <f t="shared" si="144"/>
        <v>0</v>
      </c>
      <c r="CB47" s="130">
        <f t="shared" si="145"/>
        <v>0</v>
      </c>
      <c r="CC47" s="149" t="s">
        <v>282</v>
      </c>
      <c r="CD47" s="130">
        <v>0</v>
      </c>
      <c r="CE47" s="130">
        <f t="shared" si="146"/>
        <v>105.98</v>
      </c>
      <c r="CF47" s="130">
        <f t="shared" si="147"/>
        <v>207</v>
      </c>
      <c r="CG47" s="130">
        <f t="shared" si="148"/>
        <v>2</v>
      </c>
      <c r="CH47" s="150">
        <v>0</v>
      </c>
      <c r="CI47" s="130">
        <v>0</v>
      </c>
      <c r="CJ47" s="130" t="e">
        <f>_xlfn.XLOOKUP(AP47,POC!B:B,POC!D:D)</f>
        <v>#N/A</v>
      </c>
      <c r="CK47" s="130">
        <f t="shared" si="149"/>
        <v>101.02</v>
      </c>
      <c r="CL47" s="130">
        <f t="shared" si="150"/>
        <v>101.02</v>
      </c>
      <c r="CM47" s="130">
        <f t="shared" si="151"/>
        <v>101.02</v>
      </c>
      <c r="CN47" s="130">
        <f t="shared" si="152"/>
        <v>244.26</v>
      </c>
      <c r="CO47" s="130">
        <f t="shared" si="153"/>
        <v>-125.0564</v>
      </c>
      <c r="CP47" s="130">
        <f t="shared" si="154"/>
        <v>0</v>
      </c>
      <c r="CQ47" s="130">
        <f t="shared" si="155"/>
        <v>0</v>
      </c>
      <c r="CR47" s="130">
        <f t="shared" si="156"/>
        <v>119.20359999999999</v>
      </c>
      <c r="CS47" s="130" t="s">
        <v>236</v>
      </c>
      <c r="CT47" s="130" t="s">
        <v>236</v>
      </c>
      <c r="CU47" s="145" t="str">
        <f t="shared" si="157"/>
        <v>AACCN4479R</v>
      </c>
      <c r="CV47" s="145" t="str">
        <f t="shared" si="158"/>
        <v>AARFT3586D</v>
      </c>
      <c r="CW47" s="152" t="str">
        <f t="shared" si="159"/>
        <v>Inv/2026-27/01NAVATAR CONSULTING PRIVATE LIMITED</v>
      </c>
    </row>
    <row r="48" spans="2:101" s="152" customFormat="1" ht="11.85" customHeight="1" x14ac:dyDescent="0.25">
      <c r="B48" s="123" t="str">
        <f t="shared" si="160"/>
        <v>Q1</v>
      </c>
      <c r="C48" s="124" t="str">
        <f t="shared" si="161"/>
        <v>Apr-26</v>
      </c>
      <c r="D48" s="125">
        <v>46122</v>
      </c>
      <c r="E48" s="126" t="s">
        <v>421</v>
      </c>
      <c r="F48" s="126" t="s">
        <v>422</v>
      </c>
      <c r="G48" s="126" t="s">
        <v>423</v>
      </c>
      <c r="H48" s="127" t="s">
        <v>424</v>
      </c>
      <c r="I48" s="125">
        <v>46122</v>
      </c>
      <c r="J48" s="126" t="s">
        <v>425</v>
      </c>
      <c r="K48" s="125">
        <v>46133</v>
      </c>
      <c r="L48" s="126" t="s">
        <v>409</v>
      </c>
      <c r="M48" s="126" t="s">
        <v>426</v>
      </c>
      <c r="N48" s="127" t="s">
        <v>212</v>
      </c>
      <c r="O48" s="126">
        <v>11</v>
      </c>
      <c r="P48" s="283">
        <v>4.25</v>
      </c>
      <c r="Q48" s="128">
        <f t="shared" si="162"/>
        <v>46.75</v>
      </c>
      <c r="R48" s="129">
        <v>0</v>
      </c>
      <c r="S48" s="128">
        <f t="shared" si="163"/>
        <v>11</v>
      </c>
      <c r="T48" s="129">
        <v>0</v>
      </c>
      <c r="U48" s="130">
        <v>0</v>
      </c>
      <c r="V48" s="131">
        <v>0</v>
      </c>
      <c r="W48" s="130">
        <v>0</v>
      </c>
      <c r="X48" s="132">
        <v>0</v>
      </c>
      <c r="Y48" s="130">
        <v>0</v>
      </c>
      <c r="Z48" s="130">
        <v>0</v>
      </c>
      <c r="AA48" s="129">
        <v>0</v>
      </c>
      <c r="AB48" s="133">
        <f t="shared" si="164"/>
        <v>0</v>
      </c>
      <c r="AC48" s="132">
        <v>0</v>
      </c>
      <c r="AD48" s="128">
        <v>0</v>
      </c>
      <c r="AE48" s="147">
        <v>0</v>
      </c>
      <c r="AF48" s="130">
        <v>0</v>
      </c>
      <c r="AG48" s="134">
        <v>0</v>
      </c>
      <c r="AH48" s="130">
        <v>0</v>
      </c>
      <c r="AI48" s="131">
        <v>0</v>
      </c>
      <c r="AJ48" s="130">
        <v>0</v>
      </c>
      <c r="AK48" s="130">
        <v>0</v>
      </c>
      <c r="AL48" s="130">
        <f t="shared" si="165"/>
        <v>0</v>
      </c>
      <c r="AM48" s="135">
        <f t="shared" si="166"/>
        <v>46.75</v>
      </c>
      <c r="AN48" s="136">
        <v>46133</v>
      </c>
      <c r="AO48" s="137" t="s">
        <v>427</v>
      </c>
      <c r="AP48" s="138" t="s">
        <v>239</v>
      </c>
      <c r="AQ48" s="139" t="s">
        <v>240</v>
      </c>
      <c r="AR48" s="139" t="s">
        <v>260</v>
      </c>
      <c r="AS48" s="126" t="s">
        <v>428</v>
      </c>
      <c r="AT48" s="140" t="s">
        <v>247</v>
      </c>
      <c r="AU48" s="140" t="s">
        <v>228</v>
      </c>
      <c r="AV48" s="141" t="s">
        <v>429</v>
      </c>
      <c r="AW48" s="139">
        <v>11</v>
      </c>
      <c r="AX48" s="141">
        <v>10</v>
      </c>
      <c r="AY48" s="139">
        <f t="shared" si="129"/>
        <v>110</v>
      </c>
      <c r="AZ48" s="142" t="b">
        <f t="shared" si="130"/>
        <v>1</v>
      </c>
      <c r="BA48" s="128">
        <v>0</v>
      </c>
      <c r="BB48" s="143">
        <f t="shared" si="131"/>
        <v>11</v>
      </c>
      <c r="BC48" s="144">
        <v>0</v>
      </c>
      <c r="BD48" s="143" t="s">
        <v>109</v>
      </c>
      <c r="BE48" s="144">
        <v>0</v>
      </c>
      <c r="BF48" s="143">
        <v>0</v>
      </c>
      <c r="BG48" s="144">
        <v>0</v>
      </c>
      <c r="BH48" s="130">
        <v>0</v>
      </c>
      <c r="BI48" s="133">
        <v>0</v>
      </c>
      <c r="BJ48" s="131">
        <v>0</v>
      </c>
      <c r="BK48" s="128">
        <v>0</v>
      </c>
      <c r="BL48" s="139">
        <v>0</v>
      </c>
      <c r="BM48" s="130">
        <v>0</v>
      </c>
      <c r="BN48" s="145">
        <f t="shared" si="132"/>
        <v>0</v>
      </c>
      <c r="BO48" s="129">
        <f t="shared" si="133"/>
        <v>110</v>
      </c>
      <c r="BP48" s="135">
        <f t="shared" si="134"/>
        <v>63.25</v>
      </c>
      <c r="BQ48" s="144" t="str">
        <f t="shared" si="135"/>
        <v>Positive Margin</v>
      </c>
      <c r="BR48" s="146" t="s">
        <v>209</v>
      </c>
      <c r="BS48" s="128">
        <f t="shared" si="136"/>
        <v>63.25</v>
      </c>
      <c r="BT48" s="147" t="str">
        <f t="shared" si="137"/>
        <v>Positive Margin at Inception</v>
      </c>
      <c r="BU48" s="148">
        <f t="shared" si="138"/>
        <v>0.57499999999999996</v>
      </c>
      <c r="BV48" s="147" t="str">
        <f t="shared" si="139"/>
        <v>More than 2%</v>
      </c>
      <c r="BW48" s="128">
        <f t="shared" si="140"/>
        <v>0</v>
      </c>
      <c r="BX48" s="129">
        <f t="shared" si="141"/>
        <v>0</v>
      </c>
      <c r="BY48" s="128">
        <f t="shared" si="142"/>
        <v>0</v>
      </c>
      <c r="BZ48" s="149">
        <f t="shared" si="143"/>
        <v>0</v>
      </c>
      <c r="CA48" s="149">
        <f t="shared" si="144"/>
        <v>0</v>
      </c>
      <c r="CB48" s="130">
        <f t="shared" si="145"/>
        <v>0</v>
      </c>
      <c r="CC48" s="149" t="s">
        <v>282</v>
      </c>
      <c r="CD48" s="130">
        <v>0</v>
      </c>
      <c r="CE48" s="130">
        <f t="shared" si="146"/>
        <v>46.75</v>
      </c>
      <c r="CF48" s="130">
        <f t="shared" si="147"/>
        <v>110</v>
      </c>
      <c r="CG48" s="130">
        <f t="shared" si="148"/>
        <v>2</v>
      </c>
      <c r="CH48" s="150">
        <v>0</v>
      </c>
      <c r="CI48" s="130">
        <v>0</v>
      </c>
      <c r="CJ48" s="130" t="e">
        <f>_xlfn.XLOOKUP(AP48,POC!B:B,POC!D:D)</f>
        <v>#N/A</v>
      </c>
      <c r="CK48" s="130">
        <f t="shared" si="149"/>
        <v>63.25</v>
      </c>
      <c r="CL48" s="130">
        <f t="shared" si="150"/>
        <v>63.25</v>
      </c>
      <c r="CM48" s="130">
        <f t="shared" si="151"/>
        <v>63.25</v>
      </c>
      <c r="CN48" s="130">
        <f t="shared" si="152"/>
        <v>129.79999999999998</v>
      </c>
      <c r="CO48" s="130">
        <f t="shared" si="153"/>
        <v>-55.164999999999999</v>
      </c>
      <c r="CP48" s="130">
        <f t="shared" si="154"/>
        <v>0</v>
      </c>
      <c r="CQ48" s="130">
        <f t="shared" si="155"/>
        <v>0</v>
      </c>
      <c r="CR48" s="130">
        <f t="shared" si="156"/>
        <v>74.634999999999991</v>
      </c>
      <c r="CS48" s="130" t="s">
        <v>236</v>
      </c>
      <c r="CT48" s="130" t="s">
        <v>236</v>
      </c>
      <c r="CU48" s="145" t="str">
        <f t="shared" si="157"/>
        <v>AACCN4479R</v>
      </c>
      <c r="CV48" s="145" t="str">
        <f t="shared" si="158"/>
        <v>AARFT3586D</v>
      </c>
      <c r="CW48" s="152" t="str">
        <f t="shared" si="159"/>
        <v>Inv/2026-27/01NAVATAR CONSULTING PRIVATE LIMITED</v>
      </c>
    </row>
    <row r="49" spans="2:101" s="152" customFormat="1" ht="11.85" customHeight="1" x14ac:dyDescent="0.25">
      <c r="B49" s="123" t="str">
        <f t="shared" si="160"/>
        <v>Q1</v>
      </c>
      <c r="C49" s="124" t="str">
        <f t="shared" si="161"/>
        <v>Apr-26</v>
      </c>
      <c r="D49" s="125">
        <v>46122</v>
      </c>
      <c r="E49" s="126" t="s">
        <v>421</v>
      </c>
      <c r="F49" s="126" t="s">
        <v>422</v>
      </c>
      <c r="G49" s="126" t="s">
        <v>423</v>
      </c>
      <c r="H49" s="127" t="s">
        <v>424</v>
      </c>
      <c r="I49" s="125">
        <v>46122</v>
      </c>
      <c r="J49" s="126" t="s">
        <v>425</v>
      </c>
      <c r="K49" s="125">
        <v>46133</v>
      </c>
      <c r="L49" s="126" t="s">
        <v>409</v>
      </c>
      <c r="M49" s="126" t="s">
        <v>426</v>
      </c>
      <c r="N49" s="127" t="s">
        <v>212</v>
      </c>
      <c r="O49" s="126">
        <v>10</v>
      </c>
      <c r="P49" s="283">
        <v>127.13</v>
      </c>
      <c r="Q49" s="128">
        <f t="shared" si="162"/>
        <v>1271.3</v>
      </c>
      <c r="R49" s="129">
        <v>0</v>
      </c>
      <c r="S49" s="128">
        <f t="shared" si="163"/>
        <v>10</v>
      </c>
      <c r="T49" s="129">
        <v>0</v>
      </c>
      <c r="U49" s="130">
        <v>0</v>
      </c>
      <c r="V49" s="131">
        <v>0</v>
      </c>
      <c r="W49" s="130">
        <v>0</v>
      </c>
      <c r="X49" s="132">
        <v>0</v>
      </c>
      <c r="Y49" s="130">
        <v>0</v>
      </c>
      <c r="Z49" s="130">
        <v>0</v>
      </c>
      <c r="AA49" s="129">
        <v>0</v>
      </c>
      <c r="AB49" s="133">
        <f t="shared" si="164"/>
        <v>0</v>
      </c>
      <c r="AC49" s="132">
        <v>0</v>
      </c>
      <c r="AD49" s="128">
        <v>0</v>
      </c>
      <c r="AE49" s="147">
        <v>0</v>
      </c>
      <c r="AF49" s="130">
        <v>0</v>
      </c>
      <c r="AG49" s="134">
        <v>0</v>
      </c>
      <c r="AH49" s="130">
        <v>0</v>
      </c>
      <c r="AI49" s="131">
        <v>0</v>
      </c>
      <c r="AJ49" s="130">
        <v>0</v>
      </c>
      <c r="AK49" s="130">
        <v>0</v>
      </c>
      <c r="AL49" s="130">
        <f t="shared" si="165"/>
        <v>0</v>
      </c>
      <c r="AM49" s="135">
        <f t="shared" si="166"/>
        <v>1271.3</v>
      </c>
      <c r="AN49" s="136">
        <v>46133</v>
      </c>
      <c r="AO49" s="137" t="s">
        <v>427</v>
      </c>
      <c r="AP49" s="138" t="s">
        <v>239</v>
      </c>
      <c r="AQ49" s="139" t="s">
        <v>240</v>
      </c>
      <c r="AR49" s="139" t="s">
        <v>260</v>
      </c>
      <c r="AS49" s="126" t="s">
        <v>428</v>
      </c>
      <c r="AT49" s="140" t="s">
        <v>247</v>
      </c>
      <c r="AU49" s="140" t="s">
        <v>228</v>
      </c>
      <c r="AV49" s="141" t="s">
        <v>429</v>
      </c>
      <c r="AW49" s="139">
        <v>10</v>
      </c>
      <c r="AX49" s="141">
        <v>250</v>
      </c>
      <c r="AY49" s="139">
        <f t="shared" si="129"/>
        <v>2500</v>
      </c>
      <c r="AZ49" s="142" t="b">
        <f t="shared" si="130"/>
        <v>1</v>
      </c>
      <c r="BA49" s="128">
        <v>0</v>
      </c>
      <c r="BB49" s="143">
        <f t="shared" si="131"/>
        <v>10</v>
      </c>
      <c r="BC49" s="144">
        <v>0</v>
      </c>
      <c r="BD49" s="143" t="s">
        <v>109</v>
      </c>
      <c r="BE49" s="144">
        <v>0</v>
      </c>
      <c r="BF49" s="143">
        <v>0</v>
      </c>
      <c r="BG49" s="144">
        <v>0</v>
      </c>
      <c r="BH49" s="130">
        <v>0</v>
      </c>
      <c r="BI49" s="133">
        <v>0</v>
      </c>
      <c r="BJ49" s="131">
        <v>0</v>
      </c>
      <c r="BK49" s="128">
        <v>0</v>
      </c>
      <c r="BL49" s="139">
        <v>0</v>
      </c>
      <c r="BM49" s="130">
        <v>0</v>
      </c>
      <c r="BN49" s="145">
        <f t="shared" si="132"/>
        <v>0</v>
      </c>
      <c r="BO49" s="129">
        <f t="shared" si="133"/>
        <v>2500</v>
      </c>
      <c r="BP49" s="135">
        <f t="shared" si="134"/>
        <v>1228.7</v>
      </c>
      <c r="BQ49" s="144" t="str">
        <f t="shared" si="135"/>
        <v>Positive Margin</v>
      </c>
      <c r="BR49" s="146" t="s">
        <v>209</v>
      </c>
      <c r="BS49" s="128">
        <f t="shared" si="136"/>
        <v>1228.7</v>
      </c>
      <c r="BT49" s="147" t="str">
        <f t="shared" si="137"/>
        <v>Positive Margin at Inception</v>
      </c>
      <c r="BU49" s="148">
        <f t="shared" si="138"/>
        <v>0.49148000000000003</v>
      </c>
      <c r="BV49" s="147" t="str">
        <f t="shared" si="139"/>
        <v>More than 2%</v>
      </c>
      <c r="BW49" s="128">
        <f t="shared" si="140"/>
        <v>0</v>
      </c>
      <c r="BX49" s="129">
        <f t="shared" si="141"/>
        <v>0</v>
      </c>
      <c r="BY49" s="128">
        <f t="shared" si="142"/>
        <v>0</v>
      </c>
      <c r="BZ49" s="149">
        <f t="shared" si="143"/>
        <v>0</v>
      </c>
      <c r="CA49" s="149">
        <f t="shared" si="144"/>
        <v>0</v>
      </c>
      <c r="CB49" s="130">
        <f t="shared" si="145"/>
        <v>0</v>
      </c>
      <c r="CC49" s="149" t="s">
        <v>282</v>
      </c>
      <c r="CD49" s="130">
        <v>0</v>
      </c>
      <c r="CE49" s="130">
        <f t="shared" si="146"/>
        <v>1271.3</v>
      </c>
      <c r="CF49" s="130">
        <f t="shared" si="147"/>
        <v>2500</v>
      </c>
      <c r="CG49" s="130">
        <f t="shared" si="148"/>
        <v>2</v>
      </c>
      <c r="CH49" s="150">
        <v>0</v>
      </c>
      <c r="CI49" s="130">
        <v>0</v>
      </c>
      <c r="CJ49" s="130" t="e">
        <f>_xlfn.XLOOKUP(AP49,POC!B:B,POC!D:D)</f>
        <v>#N/A</v>
      </c>
      <c r="CK49" s="130">
        <f t="shared" si="149"/>
        <v>1228.7</v>
      </c>
      <c r="CL49" s="130">
        <f t="shared" si="150"/>
        <v>1228.7</v>
      </c>
      <c r="CM49" s="130">
        <f t="shared" si="151"/>
        <v>1228.7</v>
      </c>
      <c r="CN49" s="130">
        <f t="shared" si="152"/>
        <v>2950</v>
      </c>
      <c r="CO49" s="130">
        <f t="shared" si="153"/>
        <v>-1500.1339999999998</v>
      </c>
      <c r="CP49" s="130">
        <f t="shared" si="154"/>
        <v>0</v>
      </c>
      <c r="CQ49" s="130">
        <f t="shared" si="155"/>
        <v>0</v>
      </c>
      <c r="CR49" s="130">
        <f t="shared" si="156"/>
        <v>1449.8660000000002</v>
      </c>
      <c r="CS49" s="130" t="s">
        <v>236</v>
      </c>
      <c r="CT49" s="130" t="s">
        <v>236</v>
      </c>
      <c r="CU49" s="145" t="str">
        <f t="shared" si="157"/>
        <v>AACCN4479R</v>
      </c>
      <c r="CV49" s="145" t="str">
        <f t="shared" si="158"/>
        <v>AARFT3586D</v>
      </c>
      <c r="CW49" s="152" t="str">
        <f t="shared" si="159"/>
        <v>Inv/2026-27/01NAVATAR CONSULTING PRIVATE LIMITED</v>
      </c>
    </row>
    <row r="50" spans="2:101" s="152" customFormat="1" ht="11.85" customHeight="1" x14ac:dyDescent="0.25">
      <c r="B50" s="123" t="str">
        <f t="shared" si="160"/>
        <v>Q1</v>
      </c>
      <c r="C50" s="124" t="str">
        <f t="shared" si="161"/>
        <v>Apr-26</v>
      </c>
      <c r="D50" s="125">
        <v>46122</v>
      </c>
      <c r="E50" s="126" t="s">
        <v>421</v>
      </c>
      <c r="F50" s="126" t="s">
        <v>422</v>
      </c>
      <c r="G50" s="126" t="s">
        <v>423</v>
      </c>
      <c r="H50" s="127" t="s">
        <v>424</v>
      </c>
      <c r="I50" s="125">
        <v>46122</v>
      </c>
      <c r="J50" s="126" t="s">
        <v>425</v>
      </c>
      <c r="K50" s="125">
        <v>46133</v>
      </c>
      <c r="L50" s="126" t="s">
        <v>409</v>
      </c>
      <c r="M50" s="126" t="s">
        <v>426</v>
      </c>
      <c r="N50" s="127" t="s">
        <v>212</v>
      </c>
      <c r="O50" s="126">
        <v>6</v>
      </c>
      <c r="P50" s="283">
        <v>42.38</v>
      </c>
      <c r="Q50" s="128">
        <f t="shared" si="162"/>
        <v>254.28000000000003</v>
      </c>
      <c r="R50" s="129">
        <v>0</v>
      </c>
      <c r="S50" s="128">
        <f t="shared" si="163"/>
        <v>6</v>
      </c>
      <c r="T50" s="129">
        <v>0</v>
      </c>
      <c r="U50" s="130">
        <v>0</v>
      </c>
      <c r="V50" s="131">
        <v>0</v>
      </c>
      <c r="W50" s="130">
        <v>0</v>
      </c>
      <c r="X50" s="132">
        <v>0</v>
      </c>
      <c r="Y50" s="130">
        <v>0</v>
      </c>
      <c r="Z50" s="130">
        <v>0</v>
      </c>
      <c r="AA50" s="129">
        <v>0</v>
      </c>
      <c r="AB50" s="133">
        <f t="shared" si="164"/>
        <v>0</v>
      </c>
      <c r="AC50" s="132">
        <v>0</v>
      </c>
      <c r="AD50" s="128">
        <v>0</v>
      </c>
      <c r="AE50" s="147">
        <v>0</v>
      </c>
      <c r="AF50" s="130">
        <v>0</v>
      </c>
      <c r="AG50" s="134">
        <v>0</v>
      </c>
      <c r="AH50" s="130">
        <v>0</v>
      </c>
      <c r="AI50" s="131">
        <v>0</v>
      </c>
      <c r="AJ50" s="130">
        <v>0</v>
      </c>
      <c r="AK50" s="130">
        <v>0</v>
      </c>
      <c r="AL50" s="130">
        <f t="shared" si="165"/>
        <v>0</v>
      </c>
      <c r="AM50" s="135">
        <f t="shared" si="166"/>
        <v>254.28000000000003</v>
      </c>
      <c r="AN50" s="136">
        <v>46133</v>
      </c>
      <c r="AO50" s="137" t="s">
        <v>427</v>
      </c>
      <c r="AP50" s="138" t="s">
        <v>239</v>
      </c>
      <c r="AQ50" s="139" t="s">
        <v>240</v>
      </c>
      <c r="AR50" s="139" t="s">
        <v>260</v>
      </c>
      <c r="AS50" s="126" t="s">
        <v>428</v>
      </c>
      <c r="AT50" s="140" t="s">
        <v>247</v>
      </c>
      <c r="AU50" s="140" t="s">
        <v>228</v>
      </c>
      <c r="AV50" s="141" t="s">
        <v>429</v>
      </c>
      <c r="AW50" s="139">
        <v>6</v>
      </c>
      <c r="AX50" s="141">
        <v>100</v>
      </c>
      <c r="AY50" s="139">
        <f t="shared" si="129"/>
        <v>600</v>
      </c>
      <c r="AZ50" s="142" t="b">
        <f t="shared" si="130"/>
        <v>1</v>
      </c>
      <c r="BA50" s="128">
        <v>0</v>
      </c>
      <c r="BB50" s="143">
        <f t="shared" si="131"/>
        <v>6</v>
      </c>
      <c r="BC50" s="144">
        <v>0</v>
      </c>
      <c r="BD50" s="143" t="s">
        <v>109</v>
      </c>
      <c r="BE50" s="144">
        <v>0</v>
      </c>
      <c r="BF50" s="143">
        <v>0</v>
      </c>
      <c r="BG50" s="144">
        <v>0</v>
      </c>
      <c r="BH50" s="130">
        <v>0</v>
      </c>
      <c r="BI50" s="133">
        <v>0</v>
      </c>
      <c r="BJ50" s="131">
        <v>0</v>
      </c>
      <c r="BK50" s="128">
        <v>0</v>
      </c>
      <c r="BL50" s="139">
        <v>0</v>
      </c>
      <c r="BM50" s="130">
        <v>0</v>
      </c>
      <c r="BN50" s="145">
        <f t="shared" si="132"/>
        <v>0</v>
      </c>
      <c r="BO50" s="129">
        <f t="shared" si="133"/>
        <v>600</v>
      </c>
      <c r="BP50" s="135">
        <f t="shared" si="134"/>
        <v>345.71999999999997</v>
      </c>
      <c r="BQ50" s="144" t="str">
        <f t="shared" si="135"/>
        <v>Positive Margin</v>
      </c>
      <c r="BR50" s="146" t="s">
        <v>209</v>
      </c>
      <c r="BS50" s="128">
        <f t="shared" si="136"/>
        <v>345.71999999999997</v>
      </c>
      <c r="BT50" s="147" t="str">
        <f t="shared" si="137"/>
        <v>Positive Margin at Inception</v>
      </c>
      <c r="BU50" s="148">
        <f t="shared" si="138"/>
        <v>0.57619999999999993</v>
      </c>
      <c r="BV50" s="147" t="str">
        <f t="shared" si="139"/>
        <v>More than 2%</v>
      </c>
      <c r="BW50" s="128">
        <f t="shared" si="140"/>
        <v>0</v>
      </c>
      <c r="BX50" s="129">
        <f t="shared" si="141"/>
        <v>0</v>
      </c>
      <c r="BY50" s="128">
        <f t="shared" si="142"/>
        <v>0</v>
      </c>
      <c r="BZ50" s="149">
        <f t="shared" si="143"/>
        <v>0</v>
      </c>
      <c r="CA50" s="149">
        <f t="shared" si="144"/>
        <v>0</v>
      </c>
      <c r="CB50" s="130">
        <f t="shared" si="145"/>
        <v>0</v>
      </c>
      <c r="CC50" s="149" t="s">
        <v>282</v>
      </c>
      <c r="CD50" s="130">
        <v>0</v>
      </c>
      <c r="CE50" s="130">
        <f t="shared" si="146"/>
        <v>254.28000000000003</v>
      </c>
      <c r="CF50" s="130">
        <f t="shared" si="147"/>
        <v>600</v>
      </c>
      <c r="CG50" s="130">
        <f t="shared" si="148"/>
        <v>2</v>
      </c>
      <c r="CH50" s="150">
        <v>0</v>
      </c>
      <c r="CI50" s="130">
        <v>0</v>
      </c>
      <c r="CJ50" s="130" t="e">
        <f>_xlfn.XLOOKUP(AP50,POC!B:B,POC!D:D)</f>
        <v>#N/A</v>
      </c>
      <c r="CK50" s="130">
        <f t="shared" si="149"/>
        <v>345.71999999999997</v>
      </c>
      <c r="CL50" s="130">
        <f t="shared" si="150"/>
        <v>345.71999999999997</v>
      </c>
      <c r="CM50" s="130">
        <f t="shared" si="151"/>
        <v>345.71999999999997</v>
      </c>
      <c r="CN50" s="130">
        <f t="shared" si="152"/>
        <v>708</v>
      </c>
      <c r="CO50" s="130">
        <f t="shared" si="153"/>
        <v>-300.05040000000002</v>
      </c>
      <c r="CP50" s="130">
        <f t="shared" si="154"/>
        <v>0</v>
      </c>
      <c r="CQ50" s="130">
        <f t="shared" si="155"/>
        <v>0</v>
      </c>
      <c r="CR50" s="130">
        <f t="shared" si="156"/>
        <v>407.94959999999998</v>
      </c>
      <c r="CS50" s="130" t="s">
        <v>236</v>
      </c>
      <c r="CT50" s="130" t="s">
        <v>236</v>
      </c>
      <c r="CU50" s="145" t="str">
        <f t="shared" si="157"/>
        <v>AACCN4479R</v>
      </c>
      <c r="CV50" s="145" t="str">
        <f t="shared" si="158"/>
        <v>AARFT3586D</v>
      </c>
      <c r="CW50" s="152" t="str">
        <f t="shared" si="159"/>
        <v>Inv/2026-27/01NAVATAR CONSULTING PRIVATE LIMITED</v>
      </c>
    </row>
    <row r="51" spans="2:101" s="152" customFormat="1" ht="11.85" customHeight="1" x14ac:dyDescent="0.25">
      <c r="B51" s="123" t="str">
        <f t="shared" si="160"/>
        <v>Q1</v>
      </c>
      <c r="C51" s="124" t="str">
        <f t="shared" si="161"/>
        <v>Apr-26</v>
      </c>
      <c r="D51" s="125">
        <v>46122</v>
      </c>
      <c r="E51" s="126" t="s">
        <v>421</v>
      </c>
      <c r="F51" s="126" t="s">
        <v>422</v>
      </c>
      <c r="G51" s="126" t="s">
        <v>423</v>
      </c>
      <c r="H51" s="127" t="s">
        <v>424</v>
      </c>
      <c r="I51" s="125">
        <v>46122</v>
      </c>
      <c r="J51" s="126" t="s">
        <v>425</v>
      </c>
      <c r="K51" s="125">
        <v>46133</v>
      </c>
      <c r="L51" s="126" t="s">
        <v>409</v>
      </c>
      <c r="M51" s="126" t="s">
        <v>426</v>
      </c>
      <c r="N51" s="127" t="s">
        <v>212</v>
      </c>
      <c r="O51" s="126">
        <v>11</v>
      </c>
      <c r="P51" s="283">
        <v>12.71</v>
      </c>
      <c r="Q51" s="128">
        <f t="shared" si="162"/>
        <v>139.81</v>
      </c>
      <c r="R51" s="129">
        <v>0</v>
      </c>
      <c r="S51" s="128">
        <f t="shared" si="163"/>
        <v>11</v>
      </c>
      <c r="T51" s="129">
        <v>0</v>
      </c>
      <c r="U51" s="130">
        <v>0</v>
      </c>
      <c r="V51" s="131">
        <v>0</v>
      </c>
      <c r="W51" s="130">
        <v>0</v>
      </c>
      <c r="X51" s="132">
        <v>0</v>
      </c>
      <c r="Y51" s="130">
        <v>0</v>
      </c>
      <c r="Z51" s="130">
        <v>0</v>
      </c>
      <c r="AA51" s="129">
        <v>0</v>
      </c>
      <c r="AB51" s="133">
        <f t="shared" si="164"/>
        <v>0</v>
      </c>
      <c r="AC51" s="132">
        <v>0</v>
      </c>
      <c r="AD51" s="128">
        <v>0</v>
      </c>
      <c r="AE51" s="147">
        <v>0</v>
      </c>
      <c r="AF51" s="130">
        <v>0</v>
      </c>
      <c r="AG51" s="134">
        <v>0</v>
      </c>
      <c r="AH51" s="130">
        <v>0</v>
      </c>
      <c r="AI51" s="131">
        <v>0</v>
      </c>
      <c r="AJ51" s="130">
        <v>0</v>
      </c>
      <c r="AK51" s="130">
        <v>0</v>
      </c>
      <c r="AL51" s="130">
        <f t="shared" si="165"/>
        <v>0</v>
      </c>
      <c r="AM51" s="135">
        <f t="shared" si="166"/>
        <v>139.81</v>
      </c>
      <c r="AN51" s="136">
        <v>46133</v>
      </c>
      <c r="AO51" s="137" t="s">
        <v>427</v>
      </c>
      <c r="AP51" s="138" t="s">
        <v>239</v>
      </c>
      <c r="AQ51" s="139" t="s">
        <v>240</v>
      </c>
      <c r="AR51" s="139" t="s">
        <v>260</v>
      </c>
      <c r="AS51" s="126" t="s">
        <v>428</v>
      </c>
      <c r="AT51" s="140" t="s">
        <v>247</v>
      </c>
      <c r="AU51" s="140" t="s">
        <v>228</v>
      </c>
      <c r="AV51" s="141" t="s">
        <v>429</v>
      </c>
      <c r="AW51" s="139">
        <v>11</v>
      </c>
      <c r="AX51" s="141">
        <v>23</v>
      </c>
      <c r="AY51" s="139">
        <f t="shared" si="129"/>
        <v>253</v>
      </c>
      <c r="AZ51" s="142" t="b">
        <f t="shared" si="130"/>
        <v>1</v>
      </c>
      <c r="BA51" s="128">
        <v>0</v>
      </c>
      <c r="BB51" s="143">
        <f t="shared" si="131"/>
        <v>11</v>
      </c>
      <c r="BC51" s="144">
        <v>0</v>
      </c>
      <c r="BD51" s="143" t="s">
        <v>109</v>
      </c>
      <c r="BE51" s="144">
        <v>0</v>
      </c>
      <c r="BF51" s="143">
        <v>0</v>
      </c>
      <c r="BG51" s="144">
        <v>0</v>
      </c>
      <c r="BH51" s="130">
        <v>0</v>
      </c>
      <c r="BI51" s="133">
        <v>0</v>
      </c>
      <c r="BJ51" s="131">
        <v>0</v>
      </c>
      <c r="BK51" s="128">
        <v>0</v>
      </c>
      <c r="BL51" s="139">
        <v>0</v>
      </c>
      <c r="BM51" s="130">
        <v>0</v>
      </c>
      <c r="BN51" s="145">
        <f t="shared" si="132"/>
        <v>0</v>
      </c>
      <c r="BO51" s="129">
        <f t="shared" si="133"/>
        <v>253</v>
      </c>
      <c r="BP51" s="135">
        <f t="shared" si="134"/>
        <v>113.19</v>
      </c>
      <c r="BQ51" s="144" t="str">
        <f t="shared" si="135"/>
        <v>Positive Margin</v>
      </c>
      <c r="BR51" s="146" t="s">
        <v>209</v>
      </c>
      <c r="BS51" s="128">
        <f t="shared" si="136"/>
        <v>113.19</v>
      </c>
      <c r="BT51" s="147" t="str">
        <f t="shared" si="137"/>
        <v>Positive Margin at Inception</v>
      </c>
      <c r="BU51" s="148">
        <f t="shared" si="138"/>
        <v>0.44739130434782609</v>
      </c>
      <c r="BV51" s="147" t="str">
        <f t="shared" si="139"/>
        <v>More than 2%</v>
      </c>
      <c r="BW51" s="128">
        <f t="shared" si="140"/>
        <v>0</v>
      </c>
      <c r="BX51" s="129">
        <f t="shared" si="141"/>
        <v>0</v>
      </c>
      <c r="BY51" s="128">
        <f t="shared" si="142"/>
        <v>0</v>
      </c>
      <c r="BZ51" s="149">
        <f t="shared" si="143"/>
        <v>0</v>
      </c>
      <c r="CA51" s="149">
        <f t="shared" si="144"/>
        <v>0</v>
      </c>
      <c r="CB51" s="130">
        <f t="shared" si="145"/>
        <v>0</v>
      </c>
      <c r="CC51" s="149" t="s">
        <v>282</v>
      </c>
      <c r="CD51" s="130">
        <v>0</v>
      </c>
      <c r="CE51" s="130">
        <f t="shared" si="146"/>
        <v>139.81</v>
      </c>
      <c r="CF51" s="130">
        <f t="shared" si="147"/>
        <v>253</v>
      </c>
      <c r="CG51" s="130">
        <f t="shared" si="148"/>
        <v>2</v>
      </c>
      <c r="CH51" s="150">
        <v>0</v>
      </c>
      <c r="CI51" s="130">
        <v>0</v>
      </c>
      <c r="CJ51" s="130" t="e">
        <f>_xlfn.XLOOKUP(AP51,POC!B:B,POC!D:D)</f>
        <v>#N/A</v>
      </c>
      <c r="CK51" s="130">
        <f t="shared" si="149"/>
        <v>113.19</v>
      </c>
      <c r="CL51" s="130">
        <f t="shared" si="150"/>
        <v>113.19</v>
      </c>
      <c r="CM51" s="130">
        <f t="shared" si="151"/>
        <v>113.19</v>
      </c>
      <c r="CN51" s="130">
        <f t="shared" si="152"/>
        <v>298.53999999999996</v>
      </c>
      <c r="CO51" s="130">
        <f t="shared" si="153"/>
        <v>-164.97579999999999</v>
      </c>
      <c r="CP51" s="130">
        <f t="shared" si="154"/>
        <v>0</v>
      </c>
      <c r="CQ51" s="130">
        <f t="shared" si="155"/>
        <v>0</v>
      </c>
      <c r="CR51" s="130">
        <f t="shared" si="156"/>
        <v>133.56419999999997</v>
      </c>
      <c r="CS51" s="130" t="s">
        <v>236</v>
      </c>
      <c r="CT51" s="130" t="s">
        <v>236</v>
      </c>
      <c r="CU51" s="145" t="str">
        <f t="shared" si="157"/>
        <v>AACCN4479R</v>
      </c>
      <c r="CV51" s="145" t="str">
        <f t="shared" si="158"/>
        <v>AARFT3586D</v>
      </c>
      <c r="CW51" s="152" t="str">
        <f t="shared" si="159"/>
        <v>Inv/2026-27/01NAVATAR CONSULTING PRIVATE LIMITED</v>
      </c>
    </row>
    <row r="52" spans="2:101" s="152" customFormat="1" ht="11.85" customHeight="1" x14ac:dyDescent="0.25">
      <c r="B52" s="123" t="str">
        <f t="shared" si="160"/>
        <v>Q1</v>
      </c>
      <c r="C52" s="124" t="str">
        <f t="shared" si="161"/>
        <v>Apr-26</v>
      </c>
      <c r="D52" s="125">
        <v>46122</v>
      </c>
      <c r="E52" s="126" t="s">
        <v>421</v>
      </c>
      <c r="F52" s="126" t="s">
        <v>422</v>
      </c>
      <c r="G52" s="126" t="s">
        <v>423</v>
      </c>
      <c r="H52" s="127" t="s">
        <v>424</v>
      </c>
      <c r="I52" s="125">
        <v>46122</v>
      </c>
      <c r="J52" s="126" t="s">
        <v>425</v>
      </c>
      <c r="K52" s="125">
        <v>46133</v>
      </c>
      <c r="L52" s="126" t="s">
        <v>409</v>
      </c>
      <c r="M52" s="126" t="s">
        <v>426</v>
      </c>
      <c r="N52" s="127" t="s">
        <v>212</v>
      </c>
      <c r="O52" s="126">
        <v>27</v>
      </c>
      <c r="P52" s="283">
        <v>12.71</v>
      </c>
      <c r="Q52" s="128">
        <f t="shared" si="162"/>
        <v>343.17</v>
      </c>
      <c r="R52" s="129">
        <v>0</v>
      </c>
      <c r="S52" s="128">
        <f t="shared" si="163"/>
        <v>27</v>
      </c>
      <c r="T52" s="129">
        <v>0</v>
      </c>
      <c r="U52" s="130">
        <v>0</v>
      </c>
      <c r="V52" s="131">
        <v>0</v>
      </c>
      <c r="W52" s="130">
        <v>0</v>
      </c>
      <c r="X52" s="132">
        <v>0</v>
      </c>
      <c r="Y52" s="130">
        <v>0</v>
      </c>
      <c r="Z52" s="130">
        <v>0</v>
      </c>
      <c r="AA52" s="129">
        <v>0</v>
      </c>
      <c r="AB52" s="133">
        <f t="shared" si="164"/>
        <v>0</v>
      </c>
      <c r="AC52" s="132">
        <v>0</v>
      </c>
      <c r="AD52" s="128">
        <v>0</v>
      </c>
      <c r="AE52" s="147">
        <v>0</v>
      </c>
      <c r="AF52" s="130">
        <v>0</v>
      </c>
      <c r="AG52" s="134">
        <v>0</v>
      </c>
      <c r="AH52" s="130">
        <v>0</v>
      </c>
      <c r="AI52" s="131">
        <v>0</v>
      </c>
      <c r="AJ52" s="130">
        <v>0</v>
      </c>
      <c r="AK52" s="130">
        <v>0</v>
      </c>
      <c r="AL52" s="130">
        <f t="shared" si="165"/>
        <v>0</v>
      </c>
      <c r="AM52" s="135">
        <f t="shared" si="166"/>
        <v>343.17</v>
      </c>
      <c r="AN52" s="136">
        <v>46133</v>
      </c>
      <c r="AO52" s="137" t="s">
        <v>427</v>
      </c>
      <c r="AP52" s="138" t="s">
        <v>239</v>
      </c>
      <c r="AQ52" s="139" t="s">
        <v>240</v>
      </c>
      <c r="AR52" s="139" t="s">
        <v>260</v>
      </c>
      <c r="AS52" s="126" t="s">
        <v>428</v>
      </c>
      <c r="AT52" s="140" t="s">
        <v>247</v>
      </c>
      <c r="AU52" s="140" t="s">
        <v>228</v>
      </c>
      <c r="AV52" s="141" t="s">
        <v>429</v>
      </c>
      <c r="AW52" s="139">
        <v>27</v>
      </c>
      <c r="AX52" s="141">
        <v>20</v>
      </c>
      <c r="AY52" s="139">
        <f t="shared" si="129"/>
        <v>540</v>
      </c>
      <c r="AZ52" s="142" t="b">
        <f t="shared" si="130"/>
        <v>1</v>
      </c>
      <c r="BA52" s="128">
        <v>0</v>
      </c>
      <c r="BB52" s="143">
        <f t="shared" si="131"/>
        <v>27</v>
      </c>
      <c r="BC52" s="144">
        <v>0</v>
      </c>
      <c r="BD52" s="143" t="s">
        <v>109</v>
      </c>
      <c r="BE52" s="144">
        <v>0</v>
      </c>
      <c r="BF52" s="143">
        <v>0</v>
      </c>
      <c r="BG52" s="144">
        <v>0</v>
      </c>
      <c r="BH52" s="130">
        <v>0</v>
      </c>
      <c r="BI52" s="133">
        <v>0</v>
      </c>
      <c r="BJ52" s="131">
        <v>0</v>
      </c>
      <c r="BK52" s="128">
        <v>0</v>
      </c>
      <c r="BL52" s="139">
        <v>0</v>
      </c>
      <c r="BM52" s="130">
        <v>0</v>
      </c>
      <c r="BN52" s="145">
        <f t="shared" si="132"/>
        <v>0</v>
      </c>
      <c r="BO52" s="129">
        <f t="shared" si="133"/>
        <v>540</v>
      </c>
      <c r="BP52" s="135">
        <f t="shared" si="134"/>
        <v>196.82999999999998</v>
      </c>
      <c r="BQ52" s="144" t="str">
        <f t="shared" si="135"/>
        <v>Positive Margin</v>
      </c>
      <c r="BR52" s="146" t="s">
        <v>209</v>
      </c>
      <c r="BS52" s="128">
        <f t="shared" si="136"/>
        <v>196.82999999999998</v>
      </c>
      <c r="BT52" s="147" t="str">
        <f t="shared" si="137"/>
        <v>Positive Margin at Inception</v>
      </c>
      <c r="BU52" s="148">
        <f t="shared" si="138"/>
        <v>0.36449999999999999</v>
      </c>
      <c r="BV52" s="147" t="str">
        <f t="shared" si="139"/>
        <v>More than 2%</v>
      </c>
      <c r="BW52" s="128">
        <f t="shared" si="140"/>
        <v>0</v>
      </c>
      <c r="BX52" s="129">
        <f t="shared" si="141"/>
        <v>0</v>
      </c>
      <c r="BY52" s="128">
        <f t="shared" si="142"/>
        <v>0</v>
      </c>
      <c r="BZ52" s="149">
        <f t="shared" si="143"/>
        <v>0</v>
      </c>
      <c r="CA52" s="149">
        <f t="shared" si="144"/>
        <v>0</v>
      </c>
      <c r="CB52" s="130">
        <f t="shared" si="145"/>
        <v>0</v>
      </c>
      <c r="CC52" s="149" t="s">
        <v>282</v>
      </c>
      <c r="CD52" s="130">
        <v>0</v>
      </c>
      <c r="CE52" s="130">
        <f t="shared" si="146"/>
        <v>343.17</v>
      </c>
      <c r="CF52" s="130">
        <f t="shared" si="147"/>
        <v>540</v>
      </c>
      <c r="CG52" s="130">
        <f t="shared" si="148"/>
        <v>2</v>
      </c>
      <c r="CH52" s="150">
        <v>0</v>
      </c>
      <c r="CI52" s="130">
        <v>0</v>
      </c>
      <c r="CJ52" s="130" t="e">
        <f>_xlfn.XLOOKUP(AP52,POC!B:B,POC!D:D)</f>
        <v>#N/A</v>
      </c>
      <c r="CK52" s="130">
        <f t="shared" si="149"/>
        <v>196.82999999999998</v>
      </c>
      <c r="CL52" s="130">
        <f t="shared" si="150"/>
        <v>196.82999999999998</v>
      </c>
      <c r="CM52" s="130">
        <f t="shared" si="151"/>
        <v>196.82999999999998</v>
      </c>
      <c r="CN52" s="130">
        <f t="shared" si="152"/>
        <v>637.19999999999993</v>
      </c>
      <c r="CO52" s="130">
        <f t="shared" si="153"/>
        <v>-404.94060000000002</v>
      </c>
      <c r="CP52" s="130">
        <f t="shared" si="154"/>
        <v>0</v>
      </c>
      <c r="CQ52" s="130">
        <f t="shared" si="155"/>
        <v>0</v>
      </c>
      <c r="CR52" s="130">
        <f t="shared" si="156"/>
        <v>232.25939999999991</v>
      </c>
      <c r="CS52" s="130" t="s">
        <v>236</v>
      </c>
      <c r="CT52" s="130" t="s">
        <v>236</v>
      </c>
      <c r="CU52" s="145" t="str">
        <f t="shared" si="157"/>
        <v>AACCN4479R</v>
      </c>
      <c r="CV52" s="145" t="str">
        <f t="shared" si="158"/>
        <v>AARFT3586D</v>
      </c>
      <c r="CW52" s="152" t="str">
        <f t="shared" si="159"/>
        <v>Inv/2026-27/01NAVATAR CONSULTING PRIVATE LIMITED</v>
      </c>
    </row>
    <row r="53" spans="2:101" s="152" customFormat="1" ht="11.85" customHeight="1" x14ac:dyDescent="0.25">
      <c r="B53" s="123" t="str">
        <f t="shared" ref="B53:B54" si="167">"Q" &amp; IF(ROUNDUP(MONTH(D53)/3,0)-1=0,4,ROUNDUP(MONTH(D53)/3,0)-1)</f>
        <v>Q1</v>
      </c>
      <c r="C53" s="124" t="str">
        <f t="shared" ref="C53:C54" si="168">TEXT(AN53,"mmm-yy")</f>
        <v>Apr-26</v>
      </c>
      <c r="D53" s="125">
        <v>46139</v>
      </c>
      <c r="E53" s="126" t="s">
        <v>458</v>
      </c>
      <c r="F53" s="126" t="s">
        <v>459</v>
      </c>
      <c r="G53" s="126" t="s">
        <v>460</v>
      </c>
      <c r="H53" s="127" t="s">
        <v>461</v>
      </c>
      <c r="I53" s="125">
        <v>46139</v>
      </c>
      <c r="J53" s="126" t="s">
        <v>462</v>
      </c>
      <c r="K53" s="125">
        <v>46140</v>
      </c>
      <c r="L53" s="126" t="s">
        <v>237</v>
      </c>
      <c r="M53" s="126" t="s">
        <v>463</v>
      </c>
      <c r="N53" s="127" t="s">
        <v>464</v>
      </c>
      <c r="O53" s="126">
        <v>2711.55</v>
      </c>
      <c r="P53" s="283">
        <v>85</v>
      </c>
      <c r="Q53" s="128">
        <f t="shared" ref="Q53:Q54" si="169">O53*P53</f>
        <v>230481.75000000003</v>
      </c>
      <c r="R53" s="129">
        <v>0</v>
      </c>
      <c r="S53" s="128">
        <f t="shared" ref="S53:S54" si="170">O53-R53</f>
        <v>2711.55</v>
      </c>
      <c r="T53" s="129">
        <v>0</v>
      </c>
      <c r="U53" s="130">
        <v>0</v>
      </c>
      <c r="V53" s="131">
        <v>0</v>
      </c>
      <c r="W53" s="130">
        <v>0</v>
      </c>
      <c r="X53" s="132">
        <v>0</v>
      </c>
      <c r="Y53" s="130">
        <v>0</v>
      </c>
      <c r="Z53" s="130">
        <v>0</v>
      </c>
      <c r="AA53" s="129">
        <v>0</v>
      </c>
      <c r="AB53" s="133">
        <f t="shared" ref="AB53:AB54" si="171">Y53+AA53+Z53</f>
        <v>0</v>
      </c>
      <c r="AC53" s="132">
        <v>0</v>
      </c>
      <c r="AD53" s="128">
        <v>0</v>
      </c>
      <c r="AE53" s="147">
        <v>0</v>
      </c>
      <c r="AF53" s="130">
        <v>0</v>
      </c>
      <c r="AG53" s="134">
        <v>0</v>
      </c>
      <c r="AH53" s="130">
        <v>0</v>
      </c>
      <c r="AI53" s="131">
        <v>0</v>
      </c>
      <c r="AJ53" s="130">
        <v>0</v>
      </c>
      <c r="AK53" s="130">
        <v>0</v>
      </c>
      <c r="AL53" s="130">
        <f t="shared" ref="AL53:AL54" si="172">(BN53*P53/AX53)+AB53/O53*(BN53/AX53)</f>
        <v>0</v>
      </c>
      <c r="AM53" s="135">
        <f t="shared" ref="AM53:AM54" si="173">Q53+AB53+AL53+AK53+AJ53+T53+AE53</f>
        <v>230481.75000000003</v>
      </c>
      <c r="AN53" s="136">
        <v>46140</v>
      </c>
      <c r="AO53" s="137" t="s">
        <v>470</v>
      </c>
      <c r="AP53" s="138" t="s">
        <v>471</v>
      </c>
      <c r="AQ53" s="139" t="s">
        <v>472</v>
      </c>
      <c r="AR53" s="139" t="s">
        <v>473</v>
      </c>
      <c r="AS53" s="126" t="s">
        <v>474</v>
      </c>
      <c r="AT53" s="140" t="s">
        <v>475</v>
      </c>
      <c r="AU53" s="140" t="s">
        <v>147</v>
      </c>
      <c r="AV53" s="141" t="s">
        <v>480</v>
      </c>
      <c r="AW53" s="139">
        <v>2711.55</v>
      </c>
      <c r="AX53" s="141">
        <v>166.16800000000001</v>
      </c>
      <c r="AY53" s="139">
        <f t="shared" ref="AY53:AY55" si="174">AW53*AX53</f>
        <v>450572.84040000004</v>
      </c>
      <c r="AZ53" s="142" t="b">
        <f t="shared" ref="AZ53:AZ54" si="175">AW53=O53</f>
        <v>1</v>
      </c>
      <c r="BA53" s="128">
        <v>0</v>
      </c>
      <c r="BB53" s="143">
        <f t="shared" ref="BB53:BB54" si="176">AW53-BA53</f>
        <v>2711.55</v>
      </c>
      <c r="BC53" s="144">
        <v>0</v>
      </c>
      <c r="BD53" s="143" t="s">
        <v>109</v>
      </c>
      <c r="BE53" s="144">
        <v>0</v>
      </c>
      <c r="BF53" s="143">
        <v>0</v>
      </c>
      <c r="BG53" s="144">
        <v>0</v>
      </c>
      <c r="BH53" s="130">
        <v>0</v>
      </c>
      <c r="BI53" s="133">
        <v>0</v>
      </c>
      <c r="BJ53" s="131">
        <v>0</v>
      </c>
      <c r="BK53" s="128">
        <v>0</v>
      </c>
      <c r="BL53" s="139">
        <v>0</v>
      </c>
      <c r="BM53" s="130">
        <v>0</v>
      </c>
      <c r="BN53" s="145">
        <f t="shared" ref="BN53:BN54" si="177">AY53*$BM$3</f>
        <v>0</v>
      </c>
      <c r="BO53" s="129">
        <f t="shared" ref="BO53:BO54" si="178">AY53+BL53+BM53+BN53+BC53+BG53</f>
        <v>450572.84040000004</v>
      </c>
      <c r="BP53" s="135">
        <f t="shared" ref="BP53:BP54" si="179">BO53-AM53</f>
        <v>220091.09040000002</v>
      </c>
      <c r="BQ53" s="144" t="str">
        <f t="shared" ref="BQ53:BQ54" si="180">IF(BP53&gt;=0,"Positive Margin","Negative Margin")</f>
        <v>Positive Margin</v>
      </c>
      <c r="BR53" s="146" t="s">
        <v>209</v>
      </c>
      <c r="BS53" s="128">
        <f t="shared" ref="BS53:BS54" si="181">AY53-Y53-Q53-AA53-T53+BC53</f>
        <v>220091.09040000002</v>
      </c>
      <c r="BT53" s="147" t="str">
        <f t="shared" ref="BT53:BT54" si="182">IF(BS53&lt;0, "Negative Margin at Inception", "Positive Margin at Inception")</f>
        <v>Positive Margin at Inception</v>
      </c>
      <c r="BU53" s="148">
        <f t="shared" ref="BU53:BU54" si="183">IFERROR(BP53/BO53,"0")</f>
        <v>0.48846950074623269</v>
      </c>
      <c r="BV53" s="147" t="str">
        <f t="shared" ref="BV53:BV54" si="184">IF(BU53&lt;1%,"Less Than 1%",IF(BU53&gt;2%,"More than 2%",IF(BU53&gt;=1%,"1% - 2%")))</f>
        <v>More than 2%</v>
      </c>
      <c r="BW53" s="128">
        <f t="shared" ref="BW53:BW54" si="185">BM53+BN53</f>
        <v>0</v>
      </c>
      <c r="BX53" s="129">
        <f t="shared" ref="BX53:BX54" si="186">AL53+AK53</f>
        <v>0</v>
      </c>
      <c r="BY53" s="128">
        <f t="shared" ref="BY53:BY54" si="187">BW53-BX53</f>
        <v>0</v>
      </c>
      <c r="BZ53" s="149">
        <f t="shared" ref="BZ53:BZ54" si="188">BM53</f>
        <v>0</v>
      </c>
      <c r="CA53" s="149">
        <f t="shared" ref="CA53:CA54" si="189">AK53</f>
        <v>0</v>
      </c>
      <c r="CB53" s="130">
        <f t="shared" ref="CB53:CB54" si="190">BZ53-CA53</f>
        <v>0</v>
      </c>
      <c r="CC53" s="149" t="s">
        <v>282</v>
      </c>
      <c r="CD53" s="130">
        <v>0</v>
      </c>
      <c r="CE53" s="130">
        <f t="shared" ref="CE53:CE54" si="191">AM53-AL53-AA53</f>
        <v>230481.75000000003</v>
      </c>
      <c r="CF53" s="130">
        <f t="shared" ref="CF53:CF54" si="192">BO53-BN53</f>
        <v>450572.84040000004</v>
      </c>
      <c r="CG53" s="130">
        <f t="shared" ref="CG53:CG54" si="193">INT((D53- IF(MONTH(D53) &gt;= 4, DATE(YEAR(D53), 4, 1), DATE(YEAR(D53)-1, 4, 1))) / 7) + 1</f>
        <v>4</v>
      </c>
      <c r="CH53" s="150">
        <v>0</v>
      </c>
      <c r="CI53" s="130">
        <v>0</v>
      </c>
      <c r="CJ53" s="130" t="e">
        <f>_xlfn.XLOOKUP(AP53,POC!B:B,POC!D:D)</f>
        <v>#N/A</v>
      </c>
      <c r="CK53" s="130">
        <f t="shared" ref="CK53:CK54" si="194">AY53-Q53</f>
        <v>220091.09040000002</v>
      </c>
      <c r="CL53" s="130">
        <f t="shared" ref="CL53:CL54" si="195">CK53-Y53+Z53</f>
        <v>220091.09040000002</v>
      </c>
      <c r="CM53" s="130">
        <f t="shared" ref="CM53:CM54" si="196">BO53-AM53</f>
        <v>220091.09040000002</v>
      </c>
      <c r="CN53" s="130">
        <f t="shared" ref="CN53:CN55" si="197">AY53*118%</f>
        <v>531675.951672</v>
      </c>
      <c r="CO53" s="130">
        <f t="shared" ref="CO53:CO54" si="198">-Q53*118%</f>
        <v>-271968.46500000003</v>
      </c>
      <c r="CP53" s="130">
        <f t="shared" ref="CP53:CP54" si="199">-BZ53*118%</f>
        <v>0</v>
      </c>
      <c r="CQ53" s="130">
        <f t="shared" ref="CQ53:CQ54" si="200">-CA53*118%</f>
        <v>0</v>
      </c>
      <c r="CR53" s="130">
        <f t="shared" ref="CR53:CR54" si="201">SUM(CN53:CQ53)</f>
        <v>259707.48667199997</v>
      </c>
      <c r="CS53" s="130" t="s">
        <v>236</v>
      </c>
      <c r="CT53" s="130" t="s">
        <v>236</v>
      </c>
      <c r="CU53" s="145" t="str">
        <f t="shared" ref="CU53:CU54" si="202">MID(G53,3,10)</f>
        <v>AAGCR5745L</v>
      </c>
      <c r="CV53" s="145" t="str">
        <f t="shared" ref="CV53:CV54" si="203">MID(AR53,3,10)</f>
        <v>AAKCB5757A</v>
      </c>
      <c r="CW53" s="152" t="str">
        <f t="shared" ref="CW53:CW54" si="204">H53&amp;F53</f>
        <v>36/SA/2627000114PAYSWIFF TECHNOLOGIES PRIVATE LIMITED</v>
      </c>
    </row>
    <row r="54" spans="2:101" s="152" customFormat="1" ht="11.85" customHeight="1" x14ac:dyDescent="0.25">
      <c r="B54" s="123" t="str">
        <f t="shared" si="167"/>
        <v>Q1</v>
      </c>
      <c r="C54" s="124" t="str">
        <f t="shared" si="168"/>
        <v>Apr-26</v>
      </c>
      <c r="D54" s="125">
        <v>46141</v>
      </c>
      <c r="E54" s="126" t="s">
        <v>465</v>
      </c>
      <c r="F54" s="126" t="s">
        <v>251</v>
      </c>
      <c r="G54" s="126" t="s">
        <v>252</v>
      </c>
      <c r="H54" s="127" t="s">
        <v>466</v>
      </c>
      <c r="I54" s="125">
        <v>46141</v>
      </c>
      <c r="J54" s="126" t="s">
        <v>467</v>
      </c>
      <c r="K54" s="125">
        <v>46141</v>
      </c>
      <c r="L54" s="126" t="s">
        <v>397</v>
      </c>
      <c r="M54" s="126" t="s">
        <v>468</v>
      </c>
      <c r="N54" s="127" t="s">
        <v>469</v>
      </c>
      <c r="O54" s="126">
        <v>33</v>
      </c>
      <c r="P54" s="283">
        <v>4450.8500000000004</v>
      </c>
      <c r="Q54" s="128">
        <f t="shared" si="169"/>
        <v>146878.05000000002</v>
      </c>
      <c r="R54" s="129">
        <v>0</v>
      </c>
      <c r="S54" s="128">
        <f t="shared" si="170"/>
        <v>33</v>
      </c>
      <c r="T54" s="129">
        <v>0</v>
      </c>
      <c r="U54" s="130">
        <v>0</v>
      </c>
      <c r="V54" s="131">
        <v>0</v>
      </c>
      <c r="W54" s="130">
        <v>0</v>
      </c>
      <c r="X54" s="132">
        <v>0</v>
      </c>
      <c r="Y54" s="130">
        <v>0</v>
      </c>
      <c r="Z54" s="130">
        <v>0</v>
      </c>
      <c r="AA54" s="129">
        <v>0</v>
      </c>
      <c r="AB54" s="133">
        <f t="shared" si="171"/>
        <v>0</v>
      </c>
      <c r="AC54" s="132">
        <v>0</v>
      </c>
      <c r="AD54" s="128">
        <v>0</v>
      </c>
      <c r="AE54" s="147">
        <v>0</v>
      </c>
      <c r="AF54" s="130">
        <v>0</v>
      </c>
      <c r="AG54" s="134">
        <v>0</v>
      </c>
      <c r="AH54" s="130">
        <v>0</v>
      </c>
      <c r="AI54" s="131">
        <v>0</v>
      </c>
      <c r="AJ54" s="130">
        <v>0</v>
      </c>
      <c r="AK54" s="130">
        <v>0</v>
      </c>
      <c r="AL54" s="130">
        <f t="shared" si="172"/>
        <v>0</v>
      </c>
      <c r="AM54" s="135">
        <f t="shared" si="173"/>
        <v>146878.05000000002</v>
      </c>
      <c r="AN54" s="136">
        <v>46141</v>
      </c>
      <c r="AO54" s="137" t="s">
        <v>476</v>
      </c>
      <c r="AP54" s="138" t="s">
        <v>411</v>
      </c>
      <c r="AQ54" s="139" t="s">
        <v>412</v>
      </c>
      <c r="AR54" s="139" t="s">
        <v>413</v>
      </c>
      <c r="AS54" s="126" t="s">
        <v>477</v>
      </c>
      <c r="AT54" s="140" t="s">
        <v>478</v>
      </c>
      <c r="AU54" s="140" t="s">
        <v>147</v>
      </c>
      <c r="AV54" s="141" t="s">
        <v>479</v>
      </c>
      <c r="AW54" s="139">
        <v>33</v>
      </c>
      <c r="AX54" s="141">
        <v>5303.03</v>
      </c>
      <c r="AY54" s="139">
        <f t="shared" si="174"/>
        <v>174999.99</v>
      </c>
      <c r="AZ54" s="142" t="b">
        <f t="shared" si="175"/>
        <v>1</v>
      </c>
      <c r="BA54" s="128">
        <v>0</v>
      </c>
      <c r="BB54" s="143">
        <f t="shared" si="176"/>
        <v>33</v>
      </c>
      <c r="BC54" s="144">
        <v>0</v>
      </c>
      <c r="BD54" s="143" t="s">
        <v>109</v>
      </c>
      <c r="BE54" s="144">
        <v>0</v>
      </c>
      <c r="BF54" s="143">
        <v>0</v>
      </c>
      <c r="BG54" s="144">
        <v>0</v>
      </c>
      <c r="BH54" s="130">
        <v>0</v>
      </c>
      <c r="BI54" s="133">
        <v>0</v>
      </c>
      <c r="BJ54" s="131">
        <v>0</v>
      </c>
      <c r="BK54" s="128">
        <v>0</v>
      </c>
      <c r="BL54" s="139">
        <v>0</v>
      </c>
      <c r="BM54" s="130">
        <v>0</v>
      </c>
      <c r="BN54" s="145">
        <f t="shared" si="177"/>
        <v>0</v>
      </c>
      <c r="BO54" s="129">
        <f t="shared" si="178"/>
        <v>174999.99</v>
      </c>
      <c r="BP54" s="135">
        <f t="shared" si="179"/>
        <v>28121.939999999973</v>
      </c>
      <c r="BQ54" s="144" t="str">
        <f t="shared" si="180"/>
        <v>Positive Margin</v>
      </c>
      <c r="BR54" s="146" t="s">
        <v>209</v>
      </c>
      <c r="BS54" s="128">
        <f t="shared" si="181"/>
        <v>28121.939999999973</v>
      </c>
      <c r="BT54" s="147" t="str">
        <f t="shared" si="182"/>
        <v>Positive Margin at Inception</v>
      </c>
      <c r="BU54" s="148">
        <f t="shared" si="183"/>
        <v>0.16069680918267468</v>
      </c>
      <c r="BV54" s="147" t="str">
        <f t="shared" si="184"/>
        <v>More than 2%</v>
      </c>
      <c r="BW54" s="128">
        <f t="shared" si="185"/>
        <v>0</v>
      </c>
      <c r="BX54" s="129">
        <f t="shared" si="186"/>
        <v>0</v>
      </c>
      <c r="BY54" s="128">
        <f t="shared" si="187"/>
        <v>0</v>
      </c>
      <c r="BZ54" s="149">
        <f t="shared" si="188"/>
        <v>0</v>
      </c>
      <c r="CA54" s="149">
        <f t="shared" si="189"/>
        <v>0</v>
      </c>
      <c r="CB54" s="130">
        <f t="shared" si="190"/>
        <v>0</v>
      </c>
      <c r="CC54" s="149" t="s">
        <v>282</v>
      </c>
      <c r="CD54" s="130">
        <v>0</v>
      </c>
      <c r="CE54" s="130">
        <f t="shared" si="191"/>
        <v>146878.05000000002</v>
      </c>
      <c r="CF54" s="130">
        <f t="shared" si="192"/>
        <v>174999.99</v>
      </c>
      <c r="CG54" s="130">
        <f t="shared" si="193"/>
        <v>5</v>
      </c>
      <c r="CH54" s="150">
        <v>0</v>
      </c>
      <c r="CI54" s="130">
        <v>0</v>
      </c>
      <c r="CJ54" s="130" t="e">
        <f>_xlfn.XLOOKUP(AP54,POC!B:B,POC!D:D)</f>
        <v>#N/A</v>
      </c>
      <c r="CK54" s="130">
        <f t="shared" si="194"/>
        <v>28121.939999999973</v>
      </c>
      <c r="CL54" s="130">
        <f t="shared" si="195"/>
        <v>28121.939999999973</v>
      </c>
      <c r="CM54" s="130">
        <f t="shared" si="196"/>
        <v>28121.939999999973</v>
      </c>
      <c r="CN54" s="130">
        <f t="shared" si="197"/>
        <v>206499.98819999999</v>
      </c>
      <c r="CO54" s="130">
        <f t="shared" si="198"/>
        <v>-173316.09900000002</v>
      </c>
      <c r="CP54" s="130">
        <f t="shared" si="199"/>
        <v>0</v>
      </c>
      <c r="CQ54" s="130">
        <f t="shared" si="200"/>
        <v>0</v>
      </c>
      <c r="CR54" s="130">
        <f t="shared" si="201"/>
        <v>33183.889199999976</v>
      </c>
      <c r="CS54" s="130" t="s">
        <v>236</v>
      </c>
      <c r="CT54" s="130" t="s">
        <v>236</v>
      </c>
      <c r="CU54" s="145" t="str">
        <f t="shared" si="202"/>
        <v>AAHCR2638B</v>
      </c>
      <c r="CV54" s="145" t="str">
        <f t="shared" si="203"/>
        <v>AAJCG6268L</v>
      </c>
      <c r="CW54" s="152" t="str">
        <f t="shared" si="204"/>
        <v>2026-2027-133RETECK ENVIROTECH PRIVATE LIMITED</v>
      </c>
    </row>
    <row r="55" spans="2:101" s="152" customFormat="1" ht="11.85" customHeight="1" x14ac:dyDescent="0.25">
      <c r="B55" s="123" t="str">
        <f t="shared" ref="B55" si="205">"Q" &amp; IF(ROUNDUP(MONTH(D55)/3,0)-1=0,4,ROUNDUP(MONTH(D55)/3,0)-1)</f>
        <v>Q1</v>
      </c>
      <c r="C55" s="124" t="str">
        <f t="shared" ref="C55" si="206">TEXT(AN55,"mmm-yy")</f>
        <v>Apr-26</v>
      </c>
      <c r="D55" s="125">
        <v>46115</v>
      </c>
      <c r="E55" s="126" t="s">
        <v>308</v>
      </c>
      <c r="F55" s="126" t="s">
        <v>488</v>
      </c>
      <c r="G55" s="126" t="s">
        <v>489</v>
      </c>
      <c r="H55" s="127" t="s">
        <v>490</v>
      </c>
      <c r="I55" s="125">
        <v>46107</v>
      </c>
      <c r="J55" s="126" t="s">
        <v>491</v>
      </c>
      <c r="K55" s="125">
        <v>46115</v>
      </c>
      <c r="L55" s="126" t="s">
        <v>492</v>
      </c>
      <c r="M55" s="126" t="s">
        <v>208</v>
      </c>
      <c r="N55" s="127" t="s">
        <v>493</v>
      </c>
      <c r="O55" s="126">
        <v>900</v>
      </c>
      <c r="P55" s="283">
        <v>120</v>
      </c>
      <c r="Q55" s="128">
        <f t="shared" ref="Q55:Q58" si="207">O55*P55</f>
        <v>108000</v>
      </c>
      <c r="R55" s="129">
        <v>0</v>
      </c>
      <c r="S55" s="128">
        <f t="shared" ref="S55" si="208">O55-R55</f>
        <v>900</v>
      </c>
      <c r="T55" s="129">
        <v>0</v>
      </c>
      <c r="U55" s="130">
        <v>0</v>
      </c>
      <c r="V55" s="131">
        <v>0</v>
      </c>
      <c r="W55" s="130">
        <v>0</v>
      </c>
      <c r="X55" s="132">
        <v>0</v>
      </c>
      <c r="Y55" s="130">
        <v>0</v>
      </c>
      <c r="Z55" s="130">
        <v>0</v>
      </c>
      <c r="AA55" s="129">
        <v>0</v>
      </c>
      <c r="AB55" s="133">
        <f t="shared" ref="AB55" si="209">Y55+AA55+Z55</f>
        <v>0</v>
      </c>
      <c r="AC55" s="132">
        <v>0</v>
      </c>
      <c r="AD55" s="128">
        <v>0</v>
      </c>
      <c r="AE55" s="147">
        <v>0</v>
      </c>
      <c r="AF55" s="130">
        <v>0</v>
      </c>
      <c r="AG55" s="134">
        <v>0</v>
      </c>
      <c r="AH55" s="130">
        <v>0</v>
      </c>
      <c r="AI55" s="131">
        <v>0</v>
      </c>
      <c r="AJ55" s="130">
        <v>0</v>
      </c>
      <c r="AK55" s="130">
        <v>0</v>
      </c>
      <c r="AL55" s="130">
        <v>0</v>
      </c>
      <c r="AM55" s="135">
        <f t="shared" ref="AM55" si="210">Q55+AB55+AL55+AK55+AJ55+T55+AE55</f>
        <v>108000</v>
      </c>
      <c r="AN55" s="351">
        <v>46115</v>
      </c>
      <c r="AO55" s="137">
        <v>0</v>
      </c>
      <c r="AP55" s="138">
        <v>0</v>
      </c>
      <c r="AQ55" s="139">
        <v>0</v>
      </c>
      <c r="AR55" s="139">
        <v>0</v>
      </c>
      <c r="AS55" s="126">
        <v>0</v>
      </c>
      <c r="AT55" s="140">
        <v>0</v>
      </c>
      <c r="AU55" s="140">
        <v>0</v>
      </c>
      <c r="AV55" s="141">
        <v>0</v>
      </c>
      <c r="AW55" s="139">
        <v>0</v>
      </c>
      <c r="AX55" s="141">
        <v>0</v>
      </c>
      <c r="AY55" s="139">
        <f t="shared" si="174"/>
        <v>0</v>
      </c>
      <c r="AZ55" s="142" t="b">
        <f t="shared" ref="AZ55" si="211">AW55=O55</f>
        <v>0</v>
      </c>
      <c r="BA55" s="128">
        <v>0</v>
      </c>
      <c r="BB55" s="143">
        <f t="shared" ref="BB55" si="212">AW55-BA55</f>
        <v>0</v>
      </c>
      <c r="BC55" s="144">
        <v>0</v>
      </c>
      <c r="BD55" s="143" t="s">
        <v>109</v>
      </c>
      <c r="BE55" s="144">
        <v>0</v>
      </c>
      <c r="BF55" s="143">
        <v>0</v>
      </c>
      <c r="BG55" s="144">
        <v>0</v>
      </c>
      <c r="BH55" s="130">
        <v>0</v>
      </c>
      <c r="BI55" s="133">
        <v>0</v>
      </c>
      <c r="BJ55" s="131">
        <v>0</v>
      </c>
      <c r="BK55" s="128">
        <v>0</v>
      </c>
      <c r="BL55" s="139">
        <v>0</v>
      </c>
      <c r="BM55" s="130">
        <v>0</v>
      </c>
      <c r="BN55" s="145">
        <f>AY55*$BM$3</f>
        <v>0</v>
      </c>
      <c r="BO55" s="129">
        <f t="shared" ref="BO55" si="213">AY55+BL55+BM55+BN55+BC55+BG55</f>
        <v>0</v>
      </c>
      <c r="BP55" s="135">
        <f t="shared" ref="BP55" si="214">BO55-AM55</f>
        <v>-108000</v>
      </c>
      <c r="BQ55" s="144" t="str">
        <f t="shared" ref="BQ55" si="215">IF(BP55&gt;=0,"Positive Margin","Negative Margin")</f>
        <v>Negative Margin</v>
      </c>
      <c r="BR55" s="146" t="s">
        <v>209</v>
      </c>
      <c r="BS55" s="128">
        <f t="shared" ref="BS55" si="216">AY55-Y55-Q55-AA55-T55+BC55</f>
        <v>-108000</v>
      </c>
      <c r="BT55" s="147" t="str">
        <f t="shared" ref="BT55" si="217">IF(BS55&lt;0, "Negative Margin at Inception", "Positive Margin at Inception")</f>
        <v>Negative Margin at Inception</v>
      </c>
      <c r="BU55" s="148" t="str">
        <f t="shared" ref="BU55" si="218">IFERROR(BP55/BO55,"0")</f>
        <v>0</v>
      </c>
      <c r="BV55" s="147" t="str">
        <f t="shared" ref="BV55" si="219">IF(BU55&lt;1%,"Less Than 1%",IF(BU55&gt;2%,"More than 2%",IF(BU55&gt;=1%,"1% - 2%")))</f>
        <v>More than 2%</v>
      </c>
      <c r="BW55" s="128">
        <f t="shared" ref="BW55" si="220">BM55+BN55</f>
        <v>0</v>
      </c>
      <c r="BX55" s="129">
        <f t="shared" ref="BX55" si="221">AL55+AK55</f>
        <v>0</v>
      </c>
      <c r="BY55" s="128">
        <f t="shared" ref="BY55" si="222">BW55-BX55</f>
        <v>0</v>
      </c>
      <c r="BZ55" s="149">
        <f t="shared" ref="BZ55" si="223">BM55</f>
        <v>0</v>
      </c>
      <c r="CA55" s="149">
        <f t="shared" ref="CA55" si="224">AK55</f>
        <v>0</v>
      </c>
      <c r="CB55" s="130">
        <f t="shared" ref="CB55" si="225">BZ55-CA55</f>
        <v>0</v>
      </c>
      <c r="CC55" s="149" t="s">
        <v>282</v>
      </c>
      <c r="CD55" s="130">
        <v>0</v>
      </c>
      <c r="CE55" s="130">
        <f t="shared" ref="CE55" si="226">AM55-AL55-AA55</f>
        <v>108000</v>
      </c>
      <c r="CF55" s="130">
        <f t="shared" ref="CF55" si="227">BO55-BN55</f>
        <v>0</v>
      </c>
      <c r="CG55" s="130">
        <f t="shared" ref="CG55" si="228">INT((D55- IF(MONTH(D55) &gt;= 4, DATE(YEAR(D55), 4, 1), DATE(YEAR(D55)-1, 4, 1))) / 7) + 1</f>
        <v>1</v>
      </c>
      <c r="CH55" s="150">
        <v>0</v>
      </c>
      <c r="CI55" s="130">
        <v>0</v>
      </c>
      <c r="CJ55" s="130">
        <f>_xlfn.XLOOKUP(AP55,POC!B:B,POC!D:D)</f>
        <v>0</v>
      </c>
      <c r="CK55" s="130">
        <f t="shared" ref="CK55" si="229">AY55-Q55</f>
        <v>-108000</v>
      </c>
      <c r="CL55" s="130">
        <f t="shared" ref="CL55" si="230">CK55-Y55+Z55</f>
        <v>-108000</v>
      </c>
      <c r="CM55" s="130">
        <f t="shared" ref="CM55" si="231">BO55-AM55</f>
        <v>-108000</v>
      </c>
      <c r="CN55" s="130">
        <f t="shared" si="197"/>
        <v>0</v>
      </c>
      <c r="CO55" s="130">
        <f t="shared" ref="CO55" si="232">-Q55*118%</f>
        <v>-127440</v>
      </c>
      <c r="CP55" s="130">
        <f t="shared" ref="CP55" si="233">-BZ55*118%</f>
        <v>0</v>
      </c>
      <c r="CQ55" s="130">
        <f t="shared" ref="CQ55" si="234">-CA55*118%</f>
        <v>0</v>
      </c>
      <c r="CR55" s="130">
        <f t="shared" ref="CR55" si="235">SUM(CN55:CQ55)</f>
        <v>-127440</v>
      </c>
      <c r="CS55" s="130" t="s">
        <v>236</v>
      </c>
      <c r="CT55" s="130" t="s">
        <v>236</v>
      </c>
      <c r="CU55" s="145" t="str">
        <f t="shared" ref="CU55" si="236">MID(G55,3,10)</f>
        <v>AALCS7470E</v>
      </c>
      <c r="CV55" s="145" t="str">
        <f t="shared" ref="CV55" si="237">MID(AR55,3,10)</f>
        <v/>
      </c>
      <c r="CW55" s="152" t="str">
        <f t="shared" ref="CW55" si="238">H55&amp;F55</f>
        <v>IN/GGN/2526/0782STELLAR INFORMATION TECHNOLOGY PRIVATE LIMITED</v>
      </c>
    </row>
    <row r="56" spans="2:101" s="152" customFormat="1" ht="11.85" customHeight="1" x14ac:dyDescent="0.25">
      <c r="B56" s="123" t="str">
        <f t="shared" ref="B56:B58" si="239">"Q" &amp; IF(ROUNDUP(MONTH(D56)/3,0)-1=0,4,ROUNDUP(MONTH(D56)/3,0)-1)</f>
        <v>Q1</v>
      </c>
      <c r="C56" s="124" t="str">
        <f t="shared" ref="C56:C58" si="240">TEXT(AN56,"mmm-yy")</f>
        <v>Apr-26</v>
      </c>
      <c r="D56" s="125">
        <v>46140</v>
      </c>
      <c r="E56" s="126" t="s">
        <v>487</v>
      </c>
      <c r="F56" s="126">
        <v>0</v>
      </c>
      <c r="G56" s="126">
        <v>0</v>
      </c>
      <c r="H56" s="127">
        <v>0</v>
      </c>
      <c r="I56" s="349">
        <v>0</v>
      </c>
      <c r="J56" s="350">
        <v>0</v>
      </c>
      <c r="K56" s="349">
        <v>0</v>
      </c>
      <c r="L56" s="126">
        <v>0</v>
      </c>
      <c r="M56" s="126">
        <v>0</v>
      </c>
      <c r="N56" s="127">
        <v>0</v>
      </c>
      <c r="O56" s="126">
        <v>0</v>
      </c>
      <c r="P56" s="283">
        <v>0</v>
      </c>
      <c r="Q56" s="128">
        <f t="shared" si="207"/>
        <v>0</v>
      </c>
      <c r="R56" s="129">
        <v>0</v>
      </c>
      <c r="S56" s="128">
        <f t="shared" ref="S56:S58" si="241">O56-R56</f>
        <v>0</v>
      </c>
      <c r="T56" s="129">
        <v>0</v>
      </c>
      <c r="U56" s="130">
        <v>0</v>
      </c>
      <c r="V56" s="131">
        <v>0</v>
      </c>
      <c r="W56" s="130">
        <v>0</v>
      </c>
      <c r="X56" s="132">
        <v>0</v>
      </c>
      <c r="Y56" s="130">
        <v>0</v>
      </c>
      <c r="Z56" s="130">
        <v>0</v>
      </c>
      <c r="AA56" s="129">
        <v>0</v>
      </c>
      <c r="AB56" s="133">
        <f t="shared" ref="AB56:AB58" si="242">Y56+AA56+Z56</f>
        <v>0</v>
      </c>
      <c r="AC56" s="132">
        <v>0</v>
      </c>
      <c r="AD56" s="128">
        <v>0</v>
      </c>
      <c r="AE56" s="147">
        <v>0</v>
      </c>
      <c r="AF56" s="130">
        <v>0</v>
      </c>
      <c r="AG56" s="134">
        <v>0</v>
      </c>
      <c r="AH56" s="130">
        <v>0</v>
      </c>
      <c r="AI56" s="131">
        <v>0</v>
      </c>
      <c r="AJ56" s="130">
        <v>0</v>
      </c>
      <c r="AK56" s="130">
        <v>0</v>
      </c>
      <c r="AL56" s="130">
        <v>0</v>
      </c>
      <c r="AM56" s="135">
        <f t="shared" ref="AM56:AM58" si="243">Q56+AB56+AL56+AK56+AJ56+T56+AE56</f>
        <v>0</v>
      </c>
      <c r="AN56" s="136">
        <v>46140</v>
      </c>
      <c r="AO56" s="137" t="s">
        <v>481</v>
      </c>
      <c r="AP56" s="138" t="s">
        <v>482</v>
      </c>
      <c r="AQ56" s="139" t="s">
        <v>483</v>
      </c>
      <c r="AR56" s="139" t="s">
        <v>484</v>
      </c>
      <c r="AS56" s="126" t="s">
        <v>208</v>
      </c>
      <c r="AT56" s="140" t="s">
        <v>485</v>
      </c>
      <c r="AU56" s="140" t="s">
        <v>486</v>
      </c>
      <c r="AV56" s="141">
        <v>0</v>
      </c>
      <c r="AW56" s="139">
        <v>999</v>
      </c>
      <c r="AX56" s="141">
        <v>211.86</v>
      </c>
      <c r="AY56" s="139">
        <f t="shared" ref="AY56:AY58" si="244">AW56*AX56</f>
        <v>211648.14</v>
      </c>
      <c r="AZ56" s="142" t="b">
        <f t="shared" ref="AZ56:AZ58" si="245">AW56=O56</f>
        <v>0</v>
      </c>
      <c r="BA56" s="128">
        <v>0</v>
      </c>
      <c r="BB56" s="143">
        <f t="shared" ref="BB56:BB58" si="246">AW56-BA56</f>
        <v>999</v>
      </c>
      <c r="BC56" s="144">
        <v>0</v>
      </c>
      <c r="BD56" s="143" t="s">
        <v>109</v>
      </c>
      <c r="BE56" s="144">
        <v>0</v>
      </c>
      <c r="BF56" s="143">
        <v>0</v>
      </c>
      <c r="BG56" s="144">
        <v>0</v>
      </c>
      <c r="BH56" s="130">
        <v>0</v>
      </c>
      <c r="BI56" s="133">
        <v>0</v>
      </c>
      <c r="BJ56" s="131">
        <v>0</v>
      </c>
      <c r="BK56" s="128">
        <v>0</v>
      </c>
      <c r="BL56" s="139">
        <v>0</v>
      </c>
      <c r="BM56" s="130">
        <v>0</v>
      </c>
      <c r="BN56" s="145">
        <f>AY56*$BM$3</f>
        <v>0</v>
      </c>
      <c r="BO56" s="129">
        <f t="shared" ref="BO56:BO58" si="247">AY56+BL56+BM56+BN56+BC56+BG56</f>
        <v>211648.14</v>
      </c>
      <c r="BP56" s="135">
        <f t="shared" ref="BP56:BP58" si="248">BO56-AM56</f>
        <v>211648.14</v>
      </c>
      <c r="BQ56" s="144" t="str">
        <f t="shared" ref="BQ56:BQ58" si="249">IF(BP56&gt;=0,"Positive Margin","Negative Margin")</f>
        <v>Positive Margin</v>
      </c>
      <c r="BR56" s="146" t="s">
        <v>209</v>
      </c>
      <c r="BS56" s="128">
        <f t="shared" ref="BS56:BS58" si="250">AY56-Y56-Q56-AA56-T56+BC56</f>
        <v>211648.14</v>
      </c>
      <c r="BT56" s="147" t="str">
        <f t="shared" ref="BT56:BT58" si="251">IF(BS56&lt;0, "Negative Margin at Inception", "Positive Margin at Inception")</f>
        <v>Positive Margin at Inception</v>
      </c>
      <c r="BU56" s="148">
        <f t="shared" ref="BU56:BU58" si="252">IFERROR(BP56/BO56,"0")</f>
        <v>1</v>
      </c>
      <c r="BV56" s="147" t="str">
        <f t="shared" ref="BV56:BV58" si="253">IF(BU56&lt;1%,"Less Than 1%",IF(BU56&gt;2%,"More than 2%",IF(BU56&gt;=1%,"1% - 2%")))</f>
        <v>More than 2%</v>
      </c>
      <c r="BW56" s="128">
        <f t="shared" ref="BW56:BW58" si="254">BM56+BN56</f>
        <v>0</v>
      </c>
      <c r="BX56" s="129">
        <f t="shared" ref="BX56:BX58" si="255">AL56+AK56</f>
        <v>0</v>
      </c>
      <c r="BY56" s="128">
        <f t="shared" ref="BY56:BY58" si="256">BW56-BX56</f>
        <v>0</v>
      </c>
      <c r="BZ56" s="149">
        <f t="shared" ref="BZ56:BZ58" si="257">BM56</f>
        <v>0</v>
      </c>
      <c r="CA56" s="149">
        <f t="shared" ref="CA56:CA58" si="258">AK56</f>
        <v>0</v>
      </c>
      <c r="CB56" s="130">
        <f t="shared" ref="CB56:CB58" si="259">BZ56-CA56</f>
        <v>0</v>
      </c>
      <c r="CC56" s="149" t="s">
        <v>282</v>
      </c>
      <c r="CD56" s="130">
        <v>0</v>
      </c>
      <c r="CE56" s="130">
        <f t="shared" ref="CE56:CE58" si="260">AM56-AL56-AA56</f>
        <v>0</v>
      </c>
      <c r="CF56" s="130">
        <f t="shared" ref="CF56:CF58" si="261">BO56-BN56</f>
        <v>211648.14</v>
      </c>
      <c r="CG56" s="130">
        <f t="shared" ref="CG56:CG58" si="262">INT((D56- IF(MONTH(D56) &gt;= 4, DATE(YEAR(D56), 4, 1), DATE(YEAR(D56)-1, 4, 1))) / 7) + 1</f>
        <v>4</v>
      </c>
      <c r="CH56" s="150">
        <v>0</v>
      </c>
      <c r="CI56" s="130">
        <v>0</v>
      </c>
      <c r="CJ56" s="130" t="e">
        <f>_xlfn.XLOOKUP(AP56,POC!B:B,POC!D:D)</f>
        <v>#N/A</v>
      </c>
      <c r="CK56" s="130">
        <f t="shared" ref="CK56:CK58" si="263">AY56-Q56</f>
        <v>211648.14</v>
      </c>
      <c r="CL56" s="130">
        <f t="shared" ref="CL56:CL58" si="264">CK56-Y56+Z56</f>
        <v>211648.14</v>
      </c>
      <c r="CM56" s="130">
        <f t="shared" ref="CM56:CM58" si="265">BO56-AM56</f>
        <v>211648.14</v>
      </c>
      <c r="CN56" s="130">
        <f t="shared" ref="CN56:CN58" si="266">AY56*118%</f>
        <v>249744.8052</v>
      </c>
      <c r="CO56" s="130">
        <f t="shared" ref="CO56:CO58" si="267">-Q56*118%</f>
        <v>0</v>
      </c>
      <c r="CP56" s="130">
        <f t="shared" ref="CP56:CP58" si="268">-BZ56*118%</f>
        <v>0</v>
      </c>
      <c r="CQ56" s="130">
        <f t="shared" ref="CQ56:CQ58" si="269">-CA56*118%</f>
        <v>0</v>
      </c>
      <c r="CR56" s="130">
        <f t="shared" ref="CR56:CR58" si="270">SUM(CN56:CQ56)</f>
        <v>249744.8052</v>
      </c>
      <c r="CS56" s="130" t="s">
        <v>236</v>
      </c>
      <c r="CT56" s="130" t="s">
        <v>236</v>
      </c>
      <c r="CU56" s="145" t="str">
        <f t="shared" ref="CU56:CU58" si="271">MID(G56,3,10)</f>
        <v/>
      </c>
      <c r="CV56" s="145" t="str">
        <f t="shared" ref="CV56:CV58" si="272">MID(AR56,3,10)</f>
        <v>AABCE4461B</v>
      </c>
      <c r="CW56" s="152" t="str">
        <f t="shared" ref="CW56:CW58" si="273">H56&amp;F56</f>
        <v>00</v>
      </c>
    </row>
    <row r="57" spans="2:101" s="152" customFormat="1" ht="11.85" customHeight="1" x14ac:dyDescent="0.25">
      <c r="B57" s="123" t="str">
        <f t="shared" si="239"/>
        <v>Q1</v>
      </c>
      <c r="C57" s="124" t="str">
        <f t="shared" si="240"/>
        <v>Apr-26</v>
      </c>
      <c r="D57" s="125">
        <v>46140</v>
      </c>
      <c r="E57" s="126" t="s">
        <v>487</v>
      </c>
      <c r="F57" s="126">
        <v>0</v>
      </c>
      <c r="G57" s="126">
        <v>0</v>
      </c>
      <c r="H57" s="127">
        <v>0</v>
      </c>
      <c r="I57" s="349">
        <v>0</v>
      </c>
      <c r="J57" s="350">
        <v>0</v>
      </c>
      <c r="K57" s="349">
        <v>0</v>
      </c>
      <c r="L57" s="126">
        <v>0</v>
      </c>
      <c r="M57" s="126">
        <v>0</v>
      </c>
      <c r="N57" s="127">
        <v>0</v>
      </c>
      <c r="O57" s="126">
        <v>0</v>
      </c>
      <c r="P57" s="283">
        <v>0</v>
      </c>
      <c r="Q57" s="128">
        <f t="shared" si="207"/>
        <v>0</v>
      </c>
      <c r="R57" s="129">
        <v>0</v>
      </c>
      <c r="S57" s="128">
        <f t="shared" si="241"/>
        <v>0</v>
      </c>
      <c r="T57" s="129">
        <v>0</v>
      </c>
      <c r="U57" s="130">
        <v>0</v>
      </c>
      <c r="V57" s="131">
        <v>0</v>
      </c>
      <c r="W57" s="130">
        <v>0</v>
      </c>
      <c r="X57" s="132">
        <v>0</v>
      </c>
      <c r="Y57" s="130">
        <v>0</v>
      </c>
      <c r="Z57" s="130">
        <v>0</v>
      </c>
      <c r="AA57" s="129">
        <v>0</v>
      </c>
      <c r="AB57" s="133">
        <f t="shared" si="242"/>
        <v>0</v>
      </c>
      <c r="AC57" s="132">
        <v>0</v>
      </c>
      <c r="AD57" s="128">
        <v>0</v>
      </c>
      <c r="AE57" s="147">
        <v>0</v>
      </c>
      <c r="AF57" s="130">
        <v>0</v>
      </c>
      <c r="AG57" s="134">
        <v>0</v>
      </c>
      <c r="AH57" s="130">
        <v>0</v>
      </c>
      <c r="AI57" s="131">
        <v>0</v>
      </c>
      <c r="AJ57" s="130">
        <v>0</v>
      </c>
      <c r="AK57" s="130">
        <v>0</v>
      </c>
      <c r="AL57" s="130">
        <v>0</v>
      </c>
      <c r="AM57" s="135">
        <f t="shared" si="243"/>
        <v>0</v>
      </c>
      <c r="AN57" s="136">
        <v>46140</v>
      </c>
      <c r="AO57" s="137" t="s">
        <v>481</v>
      </c>
      <c r="AP57" s="138" t="s">
        <v>482</v>
      </c>
      <c r="AQ57" s="139" t="s">
        <v>483</v>
      </c>
      <c r="AR57" s="139" t="s">
        <v>484</v>
      </c>
      <c r="AS57" s="126" t="s">
        <v>208</v>
      </c>
      <c r="AT57" s="140" t="s">
        <v>485</v>
      </c>
      <c r="AU57" s="140" t="s">
        <v>486</v>
      </c>
      <c r="AV57" s="141">
        <v>0</v>
      </c>
      <c r="AW57" s="139">
        <v>398</v>
      </c>
      <c r="AX57" s="141">
        <v>158.09899999999999</v>
      </c>
      <c r="AY57" s="139">
        <f t="shared" si="244"/>
        <v>62923.401999999995</v>
      </c>
      <c r="AZ57" s="142" t="b">
        <f t="shared" si="245"/>
        <v>0</v>
      </c>
      <c r="BA57" s="128">
        <v>0</v>
      </c>
      <c r="BB57" s="143">
        <f t="shared" si="246"/>
        <v>398</v>
      </c>
      <c r="BC57" s="144">
        <v>0</v>
      </c>
      <c r="BD57" s="143" t="s">
        <v>109</v>
      </c>
      <c r="BE57" s="144">
        <v>0</v>
      </c>
      <c r="BF57" s="143">
        <v>0</v>
      </c>
      <c r="BG57" s="144">
        <v>0</v>
      </c>
      <c r="BH57" s="130">
        <v>0</v>
      </c>
      <c r="BI57" s="133">
        <v>0</v>
      </c>
      <c r="BJ57" s="131">
        <v>0</v>
      </c>
      <c r="BK57" s="128">
        <v>0</v>
      </c>
      <c r="BL57" s="139">
        <v>0</v>
      </c>
      <c r="BM57" s="130">
        <v>0</v>
      </c>
      <c r="BN57" s="145">
        <f>AY57*$BM$3</f>
        <v>0</v>
      </c>
      <c r="BO57" s="129">
        <f t="shared" si="247"/>
        <v>62923.401999999995</v>
      </c>
      <c r="BP57" s="135">
        <f t="shared" si="248"/>
        <v>62923.401999999995</v>
      </c>
      <c r="BQ57" s="144" t="str">
        <f t="shared" si="249"/>
        <v>Positive Margin</v>
      </c>
      <c r="BR57" s="146" t="s">
        <v>209</v>
      </c>
      <c r="BS57" s="128">
        <f t="shared" si="250"/>
        <v>62923.401999999995</v>
      </c>
      <c r="BT57" s="147" t="str">
        <f t="shared" si="251"/>
        <v>Positive Margin at Inception</v>
      </c>
      <c r="BU57" s="148">
        <f t="shared" si="252"/>
        <v>1</v>
      </c>
      <c r="BV57" s="147" t="str">
        <f t="shared" si="253"/>
        <v>More than 2%</v>
      </c>
      <c r="BW57" s="128">
        <f t="shared" si="254"/>
        <v>0</v>
      </c>
      <c r="BX57" s="129">
        <f t="shared" si="255"/>
        <v>0</v>
      </c>
      <c r="BY57" s="128">
        <f t="shared" si="256"/>
        <v>0</v>
      </c>
      <c r="BZ57" s="149">
        <f t="shared" si="257"/>
        <v>0</v>
      </c>
      <c r="CA57" s="149">
        <f t="shared" si="258"/>
        <v>0</v>
      </c>
      <c r="CB57" s="130">
        <f t="shared" si="259"/>
        <v>0</v>
      </c>
      <c r="CC57" s="149" t="s">
        <v>282</v>
      </c>
      <c r="CD57" s="130">
        <v>0</v>
      </c>
      <c r="CE57" s="130">
        <f t="shared" si="260"/>
        <v>0</v>
      </c>
      <c r="CF57" s="130">
        <f t="shared" si="261"/>
        <v>62923.401999999995</v>
      </c>
      <c r="CG57" s="130">
        <f t="shared" si="262"/>
        <v>4</v>
      </c>
      <c r="CH57" s="150">
        <v>0</v>
      </c>
      <c r="CI57" s="130">
        <v>0</v>
      </c>
      <c r="CJ57" s="130" t="e">
        <f>_xlfn.XLOOKUP(AP57,POC!B:B,POC!D:D)</f>
        <v>#N/A</v>
      </c>
      <c r="CK57" s="130">
        <f t="shared" si="263"/>
        <v>62923.401999999995</v>
      </c>
      <c r="CL57" s="130">
        <f t="shared" si="264"/>
        <v>62923.401999999995</v>
      </c>
      <c r="CM57" s="130">
        <f t="shared" si="265"/>
        <v>62923.401999999995</v>
      </c>
      <c r="CN57" s="130">
        <f t="shared" si="266"/>
        <v>74249.614359999992</v>
      </c>
      <c r="CO57" s="130">
        <f t="shared" si="267"/>
        <v>0</v>
      </c>
      <c r="CP57" s="130">
        <f t="shared" si="268"/>
        <v>0</v>
      </c>
      <c r="CQ57" s="130">
        <f t="shared" si="269"/>
        <v>0</v>
      </c>
      <c r="CR57" s="130">
        <f t="shared" si="270"/>
        <v>74249.614359999992</v>
      </c>
      <c r="CS57" s="130" t="s">
        <v>236</v>
      </c>
      <c r="CT57" s="130" t="s">
        <v>236</v>
      </c>
      <c r="CU57" s="145" t="str">
        <f t="shared" si="271"/>
        <v/>
      </c>
      <c r="CV57" s="145" t="str">
        <f t="shared" si="272"/>
        <v>AABCE4461B</v>
      </c>
      <c r="CW57" s="152" t="str">
        <f t="shared" si="273"/>
        <v>00</v>
      </c>
    </row>
    <row r="58" spans="2:101" s="152" customFormat="1" ht="11.85" customHeight="1" x14ac:dyDescent="0.25">
      <c r="B58" s="123" t="str">
        <f t="shared" si="239"/>
        <v>Q1</v>
      </c>
      <c r="C58" s="124" t="str">
        <f t="shared" si="240"/>
        <v>Apr-26</v>
      </c>
      <c r="D58" s="125">
        <v>46140</v>
      </c>
      <c r="E58" s="126" t="s">
        <v>487</v>
      </c>
      <c r="F58" s="126">
        <v>0</v>
      </c>
      <c r="G58" s="126">
        <v>0</v>
      </c>
      <c r="H58" s="127">
        <v>0</v>
      </c>
      <c r="I58" s="349">
        <v>0</v>
      </c>
      <c r="J58" s="350">
        <v>0</v>
      </c>
      <c r="K58" s="349">
        <v>0</v>
      </c>
      <c r="L58" s="126">
        <v>0</v>
      </c>
      <c r="M58" s="126">
        <v>0</v>
      </c>
      <c r="N58" s="127">
        <v>0</v>
      </c>
      <c r="O58" s="126">
        <v>0</v>
      </c>
      <c r="P58" s="283">
        <v>0</v>
      </c>
      <c r="Q58" s="128">
        <f t="shared" si="207"/>
        <v>0</v>
      </c>
      <c r="R58" s="129">
        <v>0</v>
      </c>
      <c r="S58" s="128">
        <f t="shared" si="241"/>
        <v>0</v>
      </c>
      <c r="T58" s="129">
        <v>0</v>
      </c>
      <c r="U58" s="130">
        <v>0</v>
      </c>
      <c r="V58" s="131">
        <v>0</v>
      </c>
      <c r="W58" s="130">
        <v>0</v>
      </c>
      <c r="X58" s="132">
        <v>0</v>
      </c>
      <c r="Y58" s="130">
        <v>0</v>
      </c>
      <c r="Z58" s="130">
        <v>0</v>
      </c>
      <c r="AA58" s="129">
        <v>0</v>
      </c>
      <c r="AB58" s="133">
        <f t="shared" si="242"/>
        <v>0</v>
      </c>
      <c r="AC58" s="132">
        <v>0</v>
      </c>
      <c r="AD58" s="128">
        <v>0</v>
      </c>
      <c r="AE58" s="147">
        <v>0</v>
      </c>
      <c r="AF58" s="130">
        <v>0</v>
      </c>
      <c r="AG58" s="134">
        <v>0</v>
      </c>
      <c r="AH58" s="130">
        <v>0</v>
      </c>
      <c r="AI58" s="131">
        <v>0</v>
      </c>
      <c r="AJ58" s="130">
        <v>0</v>
      </c>
      <c r="AK58" s="130">
        <v>0</v>
      </c>
      <c r="AL58" s="130">
        <v>0</v>
      </c>
      <c r="AM58" s="135">
        <f t="shared" si="243"/>
        <v>0</v>
      </c>
      <c r="AN58" s="136">
        <v>46140</v>
      </c>
      <c r="AO58" s="137" t="s">
        <v>481</v>
      </c>
      <c r="AP58" s="138" t="s">
        <v>482</v>
      </c>
      <c r="AQ58" s="139" t="s">
        <v>483</v>
      </c>
      <c r="AR58" s="139" t="s">
        <v>484</v>
      </c>
      <c r="AS58" s="126" t="s">
        <v>208</v>
      </c>
      <c r="AT58" s="140" t="s">
        <v>485</v>
      </c>
      <c r="AU58" s="140" t="s">
        <v>486</v>
      </c>
      <c r="AV58" s="141">
        <v>0</v>
      </c>
      <c r="AW58" s="139">
        <v>4</v>
      </c>
      <c r="AX58" s="141">
        <v>4237.29</v>
      </c>
      <c r="AY58" s="139">
        <f t="shared" si="244"/>
        <v>16949.16</v>
      </c>
      <c r="AZ58" s="142" t="b">
        <f t="shared" si="245"/>
        <v>0</v>
      </c>
      <c r="BA58" s="128">
        <v>0</v>
      </c>
      <c r="BB58" s="143">
        <f t="shared" si="246"/>
        <v>4</v>
      </c>
      <c r="BC58" s="144">
        <v>0</v>
      </c>
      <c r="BD58" s="143" t="s">
        <v>109</v>
      </c>
      <c r="BE58" s="144">
        <v>0</v>
      </c>
      <c r="BF58" s="143">
        <v>0</v>
      </c>
      <c r="BG58" s="144">
        <v>0</v>
      </c>
      <c r="BH58" s="130">
        <v>0</v>
      </c>
      <c r="BI58" s="133">
        <v>0</v>
      </c>
      <c r="BJ58" s="131">
        <v>0</v>
      </c>
      <c r="BK58" s="128">
        <v>0</v>
      </c>
      <c r="BL58" s="139">
        <v>0</v>
      </c>
      <c r="BM58" s="130">
        <v>0</v>
      </c>
      <c r="BN58" s="145">
        <f>AY58*$BM$3</f>
        <v>0</v>
      </c>
      <c r="BO58" s="129">
        <f t="shared" si="247"/>
        <v>16949.16</v>
      </c>
      <c r="BP58" s="135">
        <f t="shared" si="248"/>
        <v>16949.16</v>
      </c>
      <c r="BQ58" s="144" t="str">
        <f t="shared" si="249"/>
        <v>Positive Margin</v>
      </c>
      <c r="BR58" s="146" t="s">
        <v>209</v>
      </c>
      <c r="BS58" s="128">
        <f t="shared" si="250"/>
        <v>16949.16</v>
      </c>
      <c r="BT58" s="147" t="str">
        <f t="shared" si="251"/>
        <v>Positive Margin at Inception</v>
      </c>
      <c r="BU58" s="148">
        <f t="shared" si="252"/>
        <v>1</v>
      </c>
      <c r="BV58" s="147" t="str">
        <f t="shared" si="253"/>
        <v>More than 2%</v>
      </c>
      <c r="BW58" s="128">
        <f t="shared" si="254"/>
        <v>0</v>
      </c>
      <c r="BX58" s="129">
        <f t="shared" si="255"/>
        <v>0</v>
      </c>
      <c r="BY58" s="128">
        <f t="shared" si="256"/>
        <v>0</v>
      </c>
      <c r="BZ58" s="149">
        <f t="shared" si="257"/>
        <v>0</v>
      </c>
      <c r="CA58" s="149">
        <f t="shared" si="258"/>
        <v>0</v>
      </c>
      <c r="CB58" s="130">
        <f t="shared" si="259"/>
        <v>0</v>
      </c>
      <c r="CC58" s="149" t="s">
        <v>282</v>
      </c>
      <c r="CD58" s="130">
        <v>0</v>
      </c>
      <c r="CE58" s="130">
        <f t="shared" si="260"/>
        <v>0</v>
      </c>
      <c r="CF58" s="130">
        <f t="shared" si="261"/>
        <v>16949.16</v>
      </c>
      <c r="CG58" s="130">
        <f t="shared" si="262"/>
        <v>4</v>
      </c>
      <c r="CH58" s="150">
        <v>0</v>
      </c>
      <c r="CI58" s="130">
        <v>0</v>
      </c>
      <c r="CJ58" s="130" t="e">
        <f>_xlfn.XLOOKUP(AP58,POC!B:B,POC!D:D)</f>
        <v>#N/A</v>
      </c>
      <c r="CK58" s="130">
        <f t="shared" si="263"/>
        <v>16949.16</v>
      </c>
      <c r="CL58" s="130">
        <f t="shared" si="264"/>
        <v>16949.16</v>
      </c>
      <c r="CM58" s="130">
        <f t="shared" si="265"/>
        <v>16949.16</v>
      </c>
      <c r="CN58" s="130">
        <f t="shared" si="266"/>
        <v>20000.0088</v>
      </c>
      <c r="CO58" s="130">
        <f t="shared" si="267"/>
        <v>0</v>
      </c>
      <c r="CP58" s="130">
        <f t="shared" si="268"/>
        <v>0</v>
      </c>
      <c r="CQ58" s="130">
        <f t="shared" si="269"/>
        <v>0</v>
      </c>
      <c r="CR58" s="130">
        <f t="shared" si="270"/>
        <v>20000.0088</v>
      </c>
      <c r="CS58" s="130" t="s">
        <v>236</v>
      </c>
      <c r="CT58" s="130" t="s">
        <v>236</v>
      </c>
      <c r="CU58" s="145" t="str">
        <f t="shared" si="271"/>
        <v/>
      </c>
      <c r="CV58" s="145" t="str">
        <f t="shared" si="272"/>
        <v>AABCE4461B</v>
      </c>
      <c r="CW58" s="152" t="str">
        <f t="shared" si="273"/>
        <v>00</v>
      </c>
    </row>
    <row r="59" spans="2:101" s="152" customFormat="1" ht="11.85" customHeight="1" x14ac:dyDescent="0.25">
      <c r="B59" s="123" t="str">
        <f t="shared" ref="B59" si="274">"Q" &amp; IF(ROUNDUP(MONTH(D59)/3,0)-1=0,4,ROUNDUP(MONTH(D59)/3,0)-1)</f>
        <v>Q1</v>
      </c>
      <c r="C59" s="124" t="str">
        <f t="shared" ref="C59" si="275">TEXT(AN59,"mmm-yy")</f>
        <v>May-26</v>
      </c>
      <c r="D59" s="125">
        <v>46147</v>
      </c>
      <c r="E59" s="126" t="s">
        <v>495</v>
      </c>
      <c r="F59" s="126" t="s">
        <v>496</v>
      </c>
      <c r="G59" s="126" t="s">
        <v>497</v>
      </c>
      <c r="H59" s="127" t="s">
        <v>498</v>
      </c>
      <c r="I59" s="349">
        <v>46147</v>
      </c>
      <c r="J59" s="350" t="s">
        <v>499</v>
      </c>
      <c r="K59" s="349">
        <v>46148</v>
      </c>
      <c r="L59" s="126" t="s">
        <v>500</v>
      </c>
      <c r="M59" s="126" t="s">
        <v>501</v>
      </c>
      <c r="N59" s="127" t="s">
        <v>502</v>
      </c>
      <c r="O59" s="126">
        <v>1210</v>
      </c>
      <c r="P59" s="283">
        <v>35.124000000000002</v>
      </c>
      <c r="Q59" s="128">
        <f t="shared" ref="Q59" si="276">O59*P59</f>
        <v>42500.04</v>
      </c>
      <c r="R59" s="129">
        <v>0</v>
      </c>
      <c r="S59" s="128">
        <f t="shared" ref="S59" si="277">O59-R59</f>
        <v>1210</v>
      </c>
      <c r="T59" s="129">
        <v>0</v>
      </c>
      <c r="U59" s="130">
        <v>0</v>
      </c>
      <c r="V59" s="131">
        <v>0</v>
      </c>
      <c r="W59" s="130">
        <v>0</v>
      </c>
      <c r="X59" s="132">
        <v>0</v>
      </c>
      <c r="Y59" s="130">
        <v>0</v>
      </c>
      <c r="Z59" s="130">
        <v>0</v>
      </c>
      <c r="AA59" s="129">
        <v>0</v>
      </c>
      <c r="AB59" s="133">
        <f t="shared" ref="AB59" si="278">Y59+AA59+Z59</f>
        <v>0</v>
      </c>
      <c r="AC59" s="132">
        <v>0</v>
      </c>
      <c r="AD59" s="128">
        <v>0</v>
      </c>
      <c r="AE59" s="147">
        <v>0</v>
      </c>
      <c r="AF59" s="130">
        <v>0</v>
      </c>
      <c r="AG59" s="134">
        <v>0</v>
      </c>
      <c r="AH59" s="130">
        <v>0</v>
      </c>
      <c r="AI59" s="131">
        <v>0</v>
      </c>
      <c r="AJ59" s="130">
        <v>0</v>
      </c>
      <c r="AK59" s="130">
        <v>0</v>
      </c>
      <c r="AL59" s="130">
        <v>0</v>
      </c>
      <c r="AM59" s="135">
        <f t="shared" ref="AM59" si="279">Q59+AB59+AL59+AK59+AJ59+T59+AE59</f>
        <v>42500.04</v>
      </c>
      <c r="AN59" s="136">
        <v>46148</v>
      </c>
      <c r="AO59" s="137" t="s">
        <v>503</v>
      </c>
      <c r="AP59" s="138" t="s">
        <v>250</v>
      </c>
      <c r="AQ59" s="139" t="s">
        <v>251</v>
      </c>
      <c r="AR59" s="139" t="s">
        <v>252</v>
      </c>
      <c r="AS59" s="126" t="s">
        <v>504</v>
      </c>
      <c r="AT59" s="140" t="s">
        <v>274</v>
      </c>
      <c r="AU59" s="140" t="s">
        <v>147</v>
      </c>
      <c r="AV59" s="141" t="s">
        <v>505</v>
      </c>
      <c r="AW59" s="139">
        <v>1210</v>
      </c>
      <c r="AX59" s="141">
        <v>58.365000000000002</v>
      </c>
      <c r="AY59" s="139">
        <f t="shared" ref="AY59" si="280">AW59*AX59</f>
        <v>70621.650000000009</v>
      </c>
      <c r="AZ59" s="142" t="b">
        <f t="shared" ref="AZ59" si="281">AW59=O59</f>
        <v>1</v>
      </c>
      <c r="BA59" s="128">
        <v>0</v>
      </c>
      <c r="BB59" s="143">
        <f t="shared" ref="BB59" si="282">AW59-BA59</f>
        <v>1210</v>
      </c>
      <c r="BC59" s="144">
        <v>0</v>
      </c>
      <c r="BD59" s="143" t="s">
        <v>109</v>
      </c>
      <c r="BE59" s="144">
        <v>0</v>
      </c>
      <c r="BF59" s="143">
        <v>0</v>
      </c>
      <c r="BG59" s="144">
        <v>0</v>
      </c>
      <c r="BH59" s="130">
        <v>0</v>
      </c>
      <c r="BI59" s="133">
        <v>0</v>
      </c>
      <c r="BJ59" s="131">
        <v>0</v>
      </c>
      <c r="BK59" s="128">
        <v>0</v>
      </c>
      <c r="BL59" s="139">
        <v>0</v>
      </c>
      <c r="BM59" s="130">
        <v>0</v>
      </c>
      <c r="BN59" s="145">
        <f>AY59*$BM$3</f>
        <v>0</v>
      </c>
      <c r="BO59" s="129">
        <f t="shared" ref="BO59" si="283">AY59+BL59+BM59+BN59+BC59+BG59</f>
        <v>70621.650000000009</v>
      </c>
      <c r="BP59" s="135">
        <f t="shared" ref="BP59" si="284">BO59-AM59</f>
        <v>28121.610000000008</v>
      </c>
      <c r="BQ59" s="144" t="str">
        <f t="shared" ref="BQ59" si="285">IF(BP59&gt;=0,"Positive Margin","Negative Margin")</f>
        <v>Positive Margin</v>
      </c>
      <c r="BR59" s="146" t="s">
        <v>209</v>
      </c>
      <c r="BS59" s="128">
        <f t="shared" ref="BS59" si="286">AY59-Y59-Q59-AA59-T59+BC59</f>
        <v>28121.610000000008</v>
      </c>
      <c r="BT59" s="147" t="str">
        <f t="shared" ref="BT59" si="287">IF(BS59&lt;0, "Negative Margin at Inception", "Positive Margin at Inception")</f>
        <v>Positive Margin at Inception</v>
      </c>
      <c r="BU59" s="148">
        <f t="shared" ref="BU59" si="288">IFERROR(BP59/BO59,"0")</f>
        <v>0.39820097661269604</v>
      </c>
      <c r="BV59" s="147" t="str">
        <f t="shared" ref="BV59" si="289">IF(BU59&lt;1%,"Less Than 1%",IF(BU59&gt;2%,"More than 2%",IF(BU59&gt;=1%,"1% - 2%")))</f>
        <v>More than 2%</v>
      </c>
      <c r="BW59" s="128">
        <f t="shared" ref="BW59" si="290">BM59+BN59</f>
        <v>0</v>
      </c>
      <c r="BX59" s="129">
        <f t="shared" ref="BX59" si="291">AL59+AK59</f>
        <v>0</v>
      </c>
      <c r="BY59" s="128">
        <f t="shared" ref="BY59" si="292">BW59-BX59</f>
        <v>0</v>
      </c>
      <c r="BZ59" s="149">
        <f t="shared" ref="BZ59" si="293">BM59</f>
        <v>0</v>
      </c>
      <c r="CA59" s="149">
        <f t="shared" ref="CA59" si="294">AK59</f>
        <v>0</v>
      </c>
      <c r="CB59" s="130">
        <f t="shared" ref="CB59" si="295">BZ59-CA59</f>
        <v>0</v>
      </c>
      <c r="CC59" s="149" t="s">
        <v>282</v>
      </c>
      <c r="CD59" s="130">
        <v>0</v>
      </c>
      <c r="CE59" s="130">
        <f t="shared" ref="CE59" si="296">AM59-AL59-AA59</f>
        <v>42500.04</v>
      </c>
      <c r="CF59" s="130">
        <f t="shared" ref="CF59" si="297">BO59-BN59</f>
        <v>70621.650000000009</v>
      </c>
      <c r="CG59" s="130">
        <f t="shared" ref="CG59" si="298">INT((D59- IF(MONTH(D59) &gt;= 4, DATE(YEAR(D59), 4, 1), DATE(YEAR(D59)-1, 4, 1))) / 7) + 1</f>
        <v>5</v>
      </c>
      <c r="CH59" s="150">
        <v>0</v>
      </c>
      <c r="CI59" s="130">
        <v>0</v>
      </c>
      <c r="CJ59" s="130" t="e">
        <f>_xlfn.XLOOKUP(AP59,POC!B:B,POC!D:D)</f>
        <v>#N/A</v>
      </c>
      <c r="CK59" s="130">
        <f t="shared" ref="CK59" si="299">AY59-Q59</f>
        <v>28121.610000000008</v>
      </c>
      <c r="CL59" s="130">
        <f t="shared" ref="CL59" si="300">CK59-Y59+Z59</f>
        <v>28121.610000000008</v>
      </c>
      <c r="CM59" s="130">
        <f t="shared" ref="CM59" si="301">BO59-AM59</f>
        <v>28121.610000000008</v>
      </c>
      <c r="CN59" s="130">
        <f t="shared" ref="CN59" si="302">AY59*118%</f>
        <v>83333.547000000006</v>
      </c>
      <c r="CO59" s="130">
        <f t="shared" ref="CO59" si="303">-Q59*118%</f>
        <v>-50150.047200000001</v>
      </c>
      <c r="CP59" s="130">
        <f t="shared" ref="CP59" si="304">-BZ59*118%</f>
        <v>0</v>
      </c>
      <c r="CQ59" s="130">
        <f t="shared" ref="CQ59" si="305">-CA59*118%</f>
        <v>0</v>
      </c>
      <c r="CR59" s="130">
        <f t="shared" ref="CR59" si="306">SUM(CN59:CQ59)</f>
        <v>33183.499800000005</v>
      </c>
      <c r="CS59" s="130" t="s">
        <v>236</v>
      </c>
      <c r="CT59" s="130" t="s">
        <v>236</v>
      </c>
      <c r="CU59" s="145" t="str">
        <f t="shared" ref="CU59" si="307">MID(G59,3,10)</f>
        <v>AAACF5186B</v>
      </c>
      <c r="CV59" s="145" t="str">
        <f t="shared" ref="CV59" si="308">MID(AR59,3,10)</f>
        <v>AAHCR2638B</v>
      </c>
      <c r="CW59" s="152" t="str">
        <f t="shared" ref="CW59" si="309">H59&amp;F59</f>
        <v>XTGL000320202526XTGLOBAL INFOTECH LIMITED</v>
      </c>
    </row>
    <row r="60" spans="2:101" s="152" customFormat="1" ht="11.85" customHeight="1" x14ac:dyDescent="0.25">
      <c r="B60" s="123" t="str">
        <f t="shared" ref="B60:B109" si="310">"Q" &amp; IF(ROUNDUP(MONTH(D60)/3,0)-1=0,4,ROUNDUP(MONTH(D60)/3,0)-1)</f>
        <v>Q1</v>
      </c>
      <c r="C60" s="124" t="str">
        <f t="shared" ref="C60:C109" si="311">TEXT(AN60,"mmm-yy")</f>
        <v>May-26</v>
      </c>
      <c r="D60" s="125">
        <v>46150</v>
      </c>
      <c r="E60" s="126" t="s">
        <v>510</v>
      </c>
      <c r="F60" s="126" t="s">
        <v>511</v>
      </c>
      <c r="G60" s="126" t="s">
        <v>512</v>
      </c>
      <c r="H60" s="127" t="s">
        <v>513</v>
      </c>
      <c r="I60" s="349">
        <v>46150</v>
      </c>
      <c r="J60" s="350" t="s">
        <v>514</v>
      </c>
      <c r="K60" s="349">
        <v>46150</v>
      </c>
      <c r="L60" s="126" t="s">
        <v>237</v>
      </c>
      <c r="M60" s="126" t="s">
        <v>515</v>
      </c>
      <c r="N60" s="127" t="s">
        <v>516</v>
      </c>
      <c r="O60" s="126">
        <v>1</v>
      </c>
      <c r="P60" s="283">
        <v>84.93</v>
      </c>
      <c r="Q60" s="128">
        <f t="shared" ref="Q60:Q109" si="312">O60*P60</f>
        <v>84.93</v>
      </c>
      <c r="R60" s="129">
        <v>0</v>
      </c>
      <c r="S60" s="128">
        <f t="shared" ref="S60:S109" si="313">O60-R60</f>
        <v>1</v>
      </c>
      <c r="T60" s="129">
        <v>0</v>
      </c>
      <c r="U60" s="130">
        <v>0</v>
      </c>
      <c r="V60" s="131">
        <v>0</v>
      </c>
      <c r="W60" s="130">
        <v>0</v>
      </c>
      <c r="X60" s="132">
        <v>0</v>
      </c>
      <c r="Y60" s="130">
        <v>0</v>
      </c>
      <c r="Z60" s="130">
        <v>0</v>
      </c>
      <c r="AA60" s="129">
        <v>0</v>
      </c>
      <c r="AB60" s="133">
        <f t="shared" ref="AB60:AB109" si="314">Y60+AA60+Z60</f>
        <v>0</v>
      </c>
      <c r="AC60" s="132">
        <v>0</v>
      </c>
      <c r="AD60" s="128">
        <v>0</v>
      </c>
      <c r="AE60" s="147">
        <v>0</v>
      </c>
      <c r="AF60" s="130">
        <v>0</v>
      </c>
      <c r="AG60" s="134">
        <v>0</v>
      </c>
      <c r="AH60" s="130">
        <v>0</v>
      </c>
      <c r="AI60" s="131">
        <v>0</v>
      </c>
      <c r="AJ60" s="130">
        <v>0</v>
      </c>
      <c r="AK60" s="130">
        <v>0</v>
      </c>
      <c r="AL60" s="130">
        <v>0</v>
      </c>
      <c r="AM60" s="135">
        <f t="shared" ref="AM60:AM109" si="315">Q60+AB60+AL60+AK60+AJ60+T60+AE60</f>
        <v>84.93</v>
      </c>
      <c r="AN60" s="136">
        <v>46150</v>
      </c>
      <c r="AO60" s="137" t="s">
        <v>531</v>
      </c>
      <c r="AP60" s="138" t="s">
        <v>532</v>
      </c>
      <c r="AQ60" s="139" t="s">
        <v>533</v>
      </c>
      <c r="AR60" s="139" t="s">
        <v>534</v>
      </c>
      <c r="AS60" s="126" t="s">
        <v>535</v>
      </c>
      <c r="AT60" s="140" t="s">
        <v>360</v>
      </c>
      <c r="AU60" s="140" t="s">
        <v>361</v>
      </c>
      <c r="AV60" s="141" t="s">
        <v>536</v>
      </c>
      <c r="AW60" s="139">
        <v>1</v>
      </c>
      <c r="AX60" s="141">
        <v>123</v>
      </c>
      <c r="AY60" s="139">
        <f t="shared" ref="AY60:AY109" si="316">AW60*AX60</f>
        <v>123</v>
      </c>
      <c r="AZ60" s="142" t="b">
        <f t="shared" ref="AZ60:AZ109" si="317">AW60=O60</f>
        <v>1</v>
      </c>
      <c r="BA60" s="128">
        <v>0</v>
      </c>
      <c r="BB60" s="143">
        <f t="shared" ref="BB60:BB109" si="318">AW60-BA60</f>
        <v>1</v>
      </c>
      <c r="BC60" s="144">
        <v>0</v>
      </c>
      <c r="BD60" s="143" t="s">
        <v>109</v>
      </c>
      <c r="BE60" s="144">
        <v>0</v>
      </c>
      <c r="BF60" s="143">
        <v>0</v>
      </c>
      <c r="BG60" s="144">
        <v>0</v>
      </c>
      <c r="BH60" s="130">
        <v>0</v>
      </c>
      <c r="BI60" s="133">
        <v>0</v>
      </c>
      <c r="BJ60" s="131">
        <v>0</v>
      </c>
      <c r="BK60" s="128">
        <v>0</v>
      </c>
      <c r="BL60" s="139">
        <v>0</v>
      </c>
      <c r="BM60" s="130">
        <v>0</v>
      </c>
      <c r="BN60" s="145">
        <f t="shared" ref="BN60:BN109" si="319">AY60*$BM$3</f>
        <v>0</v>
      </c>
      <c r="BO60" s="129">
        <f t="shared" ref="BO60:BO109" si="320">AY60+BL60+BM60+BN60+BC60+BG60</f>
        <v>123</v>
      </c>
      <c r="BP60" s="135">
        <f t="shared" ref="BP60:BP109" si="321">BO60-AM60</f>
        <v>38.069999999999993</v>
      </c>
      <c r="BQ60" s="144" t="str">
        <f t="shared" ref="BQ60:BQ109" si="322">IF(BP60&gt;=0,"Positive Margin","Negative Margin")</f>
        <v>Positive Margin</v>
      </c>
      <c r="BR60" s="146" t="s">
        <v>209</v>
      </c>
      <c r="BS60" s="128">
        <f t="shared" ref="BS60:BS109" si="323">AY60-Y60-Q60-AA60-T60+BC60</f>
        <v>38.069999999999993</v>
      </c>
      <c r="BT60" s="147" t="str">
        <f t="shared" ref="BT60:BT109" si="324">IF(BS60&lt;0, "Negative Margin at Inception", "Positive Margin at Inception")</f>
        <v>Positive Margin at Inception</v>
      </c>
      <c r="BU60" s="148">
        <f t="shared" ref="BU60:BU109" si="325">IFERROR(BP60/BO60,"0")</f>
        <v>0.30951219512195116</v>
      </c>
      <c r="BV60" s="147" t="str">
        <f t="shared" ref="BV60:BV109" si="326">IF(BU60&lt;1%,"Less Than 1%",IF(BU60&gt;2%,"More than 2%",IF(BU60&gt;=1%,"1% - 2%")))</f>
        <v>More than 2%</v>
      </c>
      <c r="BW60" s="128">
        <f t="shared" ref="BW60:BW109" si="327">BM60+BN60</f>
        <v>0</v>
      </c>
      <c r="BX60" s="129">
        <f t="shared" ref="BX60:BX109" si="328">AL60+AK60</f>
        <v>0</v>
      </c>
      <c r="BY60" s="128">
        <f t="shared" ref="BY60:BY109" si="329">BW60-BX60</f>
        <v>0</v>
      </c>
      <c r="BZ60" s="149">
        <f t="shared" ref="BZ60:BZ109" si="330">BM60</f>
        <v>0</v>
      </c>
      <c r="CA60" s="149">
        <f t="shared" ref="CA60:CA109" si="331">AK60</f>
        <v>0</v>
      </c>
      <c r="CB60" s="130">
        <f t="shared" ref="CB60:CB109" si="332">BZ60-CA60</f>
        <v>0</v>
      </c>
      <c r="CC60" s="149" t="s">
        <v>282</v>
      </c>
      <c r="CD60" s="130">
        <v>0</v>
      </c>
      <c r="CE60" s="130">
        <f t="shared" ref="CE60:CE109" si="333">AM60-AL60-AA60</f>
        <v>84.93</v>
      </c>
      <c r="CF60" s="130">
        <f t="shared" ref="CF60:CF109" si="334">BO60-BN60</f>
        <v>123</v>
      </c>
      <c r="CG60" s="130">
        <f t="shared" ref="CG60:CG109" si="335">INT((D60- IF(MONTH(D60) &gt;= 4, DATE(YEAR(D60), 4, 1), DATE(YEAR(D60)-1, 4, 1))) / 7) + 1</f>
        <v>6</v>
      </c>
      <c r="CH60" s="150">
        <v>0</v>
      </c>
      <c r="CI60" s="130">
        <v>0</v>
      </c>
      <c r="CJ60" s="130" t="e">
        <f>_xlfn.XLOOKUP(AP60,POC!B:B,POC!D:D)</f>
        <v>#N/A</v>
      </c>
      <c r="CK60" s="130">
        <f t="shared" ref="CK60:CK109" si="336">AY60-Q60</f>
        <v>38.069999999999993</v>
      </c>
      <c r="CL60" s="130">
        <f t="shared" ref="CL60:CL109" si="337">CK60-Y60+Z60</f>
        <v>38.069999999999993</v>
      </c>
      <c r="CM60" s="130">
        <f t="shared" ref="CM60:CM109" si="338">BO60-AM60</f>
        <v>38.069999999999993</v>
      </c>
      <c r="CN60" s="130">
        <f t="shared" ref="CN60:CN109" si="339">AY60*118%</f>
        <v>145.13999999999999</v>
      </c>
      <c r="CO60" s="130">
        <f t="shared" ref="CO60:CO109" si="340">-Q60*118%</f>
        <v>-100.2174</v>
      </c>
      <c r="CP60" s="130">
        <f t="shared" ref="CP60:CP109" si="341">-BZ60*118%</f>
        <v>0</v>
      </c>
      <c r="CQ60" s="130">
        <f t="shared" ref="CQ60:CQ109" si="342">-CA60*118%</f>
        <v>0</v>
      </c>
      <c r="CR60" s="130">
        <f t="shared" ref="CR60:CR109" si="343">SUM(CN60:CQ60)</f>
        <v>44.922599999999989</v>
      </c>
      <c r="CS60" s="130" t="s">
        <v>236</v>
      </c>
      <c r="CT60" s="130" t="s">
        <v>236</v>
      </c>
      <c r="CU60" s="145" t="str">
        <f t="shared" ref="CU60:CU109" si="344">MID(G60,3,10)</f>
        <v>AADCS0655F</v>
      </c>
      <c r="CV60" s="145" t="str">
        <f t="shared" ref="CV60:CV109" si="345">MID(AR60,3,10)</f>
        <v>GOWPS6814G</v>
      </c>
    </row>
    <row r="61" spans="2:101" s="152" customFormat="1" ht="11.85" customHeight="1" x14ac:dyDescent="0.25">
      <c r="B61" s="123" t="str">
        <f t="shared" si="310"/>
        <v>Q1</v>
      </c>
      <c r="C61" s="124" t="str">
        <f t="shared" si="311"/>
        <v>May-26</v>
      </c>
      <c r="D61" s="125">
        <v>46150</v>
      </c>
      <c r="E61" s="126" t="s">
        <v>517</v>
      </c>
      <c r="F61" s="126" t="s">
        <v>251</v>
      </c>
      <c r="G61" s="126" t="s">
        <v>252</v>
      </c>
      <c r="H61" s="127" t="s">
        <v>518</v>
      </c>
      <c r="I61" s="349">
        <v>46150</v>
      </c>
      <c r="J61" s="350" t="s">
        <v>519</v>
      </c>
      <c r="K61" s="349">
        <v>46150</v>
      </c>
      <c r="L61" s="126" t="s">
        <v>397</v>
      </c>
      <c r="M61" s="126" t="s">
        <v>515</v>
      </c>
      <c r="N61" s="127" t="s">
        <v>520</v>
      </c>
      <c r="O61" s="126">
        <v>32</v>
      </c>
      <c r="P61" s="283">
        <v>2272.5</v>
      </c>
      <c r="Q61" s="128">
        <f t="shared" si="312"/>
        <v>72720</v>
      </c>
      <c r="R61" s="129">
        <v>0</v>
      </c>
      <c r="S61" s="128">
        <f t="shared" si="313"/>
        <v>32</v>
      </c>
      <c r="T61" s="129">
        <v>0</v>
      </c>
      <c r="U61" s="130">
        <v>0</v>
      </c>
      <c r="V61" s="131">
        <v>0</v>
      </c>
      <c r="W61" s="130">
        <v>0</v>
      </c>
      <c r="X61" s="132">
        <v>0</v>
      </c>
      <c r="Y61" s="130">
        <v>0</v>
      </c>
      <c r="Z61" s="130">
        <v>0</v>
      </c>
      <c r="AA61" s="129">
        <v>0</v>
      </c>
      <c r="AB61" s="133">
        <f t="shared" si="314"/>
        <v>0</v>
      </c>
      <c r="AC61" s="132">
        <v>0</v>
      </c>
      <c r="AD61" s="128">
        <v>0</v>
      </c>
      <c r="AE61" s="147">
        <v>0</v>
      </c>
      <c r="AF61" s="130">
        <v>0</v>
      </c>
      <c r="AG61" s="134">
        <v>0</v>
      </c>
      <c r="AH61" s="130">
        <v>0</v>
      </c>
      <c r="AI61" s="131">
        <v>0</v>
      </c>
      <c r="AJ61" s="130">
        <v>0</v>
      </c>
      <c r="AK61" s="130">
        <v>0</v>
      </c>
      <c r="AL61" s="130">
        <v>0</v>
      </c>
      <c r="AM61" s="135">
        <f t="shared" si="315"/>
        <v>72720</v>
      </c>
      <c r="AN61" s="136">
        <v>46150</v>
      </c>
      <c r="AO61" s="137" t="s">
        <v>537</v>
      </c>
      <c r="AP61" s="138" t="s">
        <v>532</v>
      </c>
      <c r="AQ61" s="139" t="s">
        <v>533</v>
      </c>
      <c r="AR61" s="139" t="s">
        <v>534</v>
      </c>
      <c r="AS61" s="126" t="s">
        <v>538</v>
      </c>
      <c r="AT61" s="140" t="s">
        <v>360</v>
      </c>
      <c r="AU61" s="140" t="s">
        <v>361</v>
      </c>
      <c r="AV61" s="141" t="s">
        <v>539</v>
      </c>
      <c r="AW61" s="139">
        <v>32</v>
      </c>
      <c r="AX61" s="141">
        <v>2677</v>
      </c>
      <c r="AY61" s="139">
        <f t="shared" si="316"/>
        <v>85664</v>
      </c>
      <c r="AZ61" s="142" t="b">
        <f t="shared" si="317"/>
        <v>1</v>
      </c>
      <c r="BA61" s="128">
        <v>0</v>
      </c>
      <c r="BB61" s="143">
        <f t="shared" si="318"/>
        <v>32</v>
      </c>
      <c r="BC61" s="144">
        <v>0</v>
      </c>
      <c r="BD61" s="143" t="s">
        <v>109</v>
      </c>
      <c r="BE61" s="144">
        <v>0</v>
      </c>
      <c r="BF61" s="143">
        <v>0</v>
      </c>
      <c r="BG61" s="144">
        <v>0</v>
      </c>
      <c r="BH61" s="130">
        <v>0</v>
      </c>
      <c r="BI61" s="133">
        <v>0</v>
      </c>
      <c r="BJ61" s="131">
        <v>0</v>
      </c>
      <c r="BK61" s="128">
        <v>0</v>
      </c>
      <c r="BL61" s="139">
        <v>0</v>
      </c>
      <c r="BM61" s="130">
        <v>0</v>
      </c>
      <c r="BN61" s="145">
        <f t="shared" si="319"/>
        <v>0</v>
      </c>
      <c r="BO61" s="129">
        <f t="shared" si="320"/>
        <v>85664</v>
      </c>
      <c r="BP61" s="135">
        <f t="shared" si="321"/>
        <v>12944</v>
      </c>
      <c r="BQ61" s="144" t="str">
        <f t="shared" si="322"/>
        <v>Positive Margin</v>
      </c>
      <c r="BR61" s="146" t="s">
        <v>209</v>
      </c>
      <c r="BS61" s="128">
        <f t="shared" si="323"/>
        <v>12944</v>
      </c>
      <c r="BT61" s="147" t="str">
        <f t="shared" si="324"/>
        <v>Positive Margin at Inception</v>
      </c>
      <c r="BU61" s="148">
        <f t="shared" si="325"/>
        <v>0.15110197982816587</v>
      </c>
      <c r="BV61" s="147" t="str">
        <f t="shared" si="326"/>
        <v>More than 2%</v>
      </c>
      <c r="BW61" s="128">
        <f t="shared" si="327"/>
        <v>0</v>
      </c>
      <c r="BX61" s="129">
        <f t="shared" si="328"/>
        <v>0</v>
      </c>
      <c r="BY61" s="128">
        <f t="shared" si="329"/>
        <v>0</v>
      </c>
      <c r="BZ61" s="149">
        <f t="shared" si="330"/>
        <v>0</v>
      </c>
      <c r="CA61" s="149">
        <f t="shared" si="331"/>
        <v>0</v>
      </c>
      <c r="CB61" s="130">
        <f t="shared" si="332"/>
        <v>0</v>
      </c>
      <c r="CC61" s="149" t="s">
        <v>282</v>
      </c>
      <c r="CD61" s="130">
        <v>0</v>
      </c>
      <c r="CE61" s="130">
        <f t="shared" si="333"/>
        <v>72720</v>
      </c>
      <c r="CF61" s="130">
        <f t="shared" si="334"/>
        <v>85664</v>
      </c>
      <c r="CG61" s="130">
        <f t="shared" si="335"/>
        <v>6</v>
      </c>
      <c r="CH61" s="150">
        <v>0</v>
      </c>
      <c r="CI61" s="130">
        <v>0</v>
      </c>
      <c r="CJ61" s="130" t="e">
        <f>_xlfn.XLOOKUP(AP61,POC!B:B,POC!D:D)</f>
        <v>#N/A</v>
      </c>
      <c r="CK61" s="130">
        <f t="shared" si="336"/>
        <v>12944</v>
      </c>
      <c r="CL61" s="130">
        <f t="shared" si="337"/>
        <v>12944</v>
      </c>
      <c r="CM61" s="130">
        <f t="shared" si="338"/>
        <v>12944</v>
      </c>
      <c r="CN61" s="130">
        <f t="shared" si="339"/>
        <v>101083.51999999999</v>
      </c>
      <c r="CO61" s="130">
        <f t="shared" si="340"/>
        <v>-85809.599999999991</v>
      </c>
      <c r="CP61" s="130">
        <f t="shared" si="341"/>
        <v>0</v>
      </c>
      <c r="CQ61" s="130">
        <f t="shared" si="342"/>
        <v>0</v>
      </c>
      <c r="CR61" s="130">
        <f t="shared" si="343"/>
        <v>15273.919999999998</v>
      </c>
      <c r="CS61" s="130" t="s">
        <v>236</v>
      </c>
      <c r="CT61" s="130" t="s">
        <v>236</v>
      </c>
      <c r="CU61" s="145" t="str">
        <f t="shared" si="344"/>
        <v>AAHCR2638B</v>
      </c>
      <c r="CV61" s="145" t="str">
        <f t="shared" si="345"/>
        <v>GOWPS6814G</v>
      </c>
    </row>
    <row r="62" spans="2:101" s="152" customFormat="1" ht="11.85" customHeight="1" x14ac:dyDescent="0.25">
      <c r="B62" s="123" t="str">
        <f t="shared" si="310"/>
        <v>Q1</v>
      </c>
      <c r="C62" s="124" t="str">
        <f t="shared" si="311"/>
        <v>May-26</v>
      </c>
      <c r="D62" s="125">
        <v>46150</v>
      </c>
      <c r="E62" s="126" t="s">
        <v>517</v>
      </c>
      <c r="F62" s="126" t="s">
        <v>251</v>
      </c>
      <c r="G62" s="126" t="s">
        <v>252</v>
      </c>
      <c r="H62" s="127" t="s">
        <v>518</v>
      </c>
      <c r="I62" s="349">
        <v>46150</v>
      </c>
      <c r="J62" s="350" t="s">
        <v>519</v>
      </c>
      <c r="K62" s="349">
        <v>46150</v>
      </c>
      <c r="L62" s="126" t="s">
        <v>397</v>
      </c>
      <c r="M62" s="126" t="s">
        <v>515</v>
      </c>
      <c r="N62" s="127" t="s">
        <v>521</v>
      </c>
      <c r="O62" s="126">
        <v>32</v>
      </c>
      <c r="P62" s="283">
        <v>2272.5</v>
      </c>
      <c r="Q62" s="128">
        <f t="shared" si="312"/>
        <v>72720</v>
      </c>
      <c r="R62" s="129">
        <v>0</v>
      </c>
      <c r="S62" s="128">
        <f t="shared" si="313"/>
        <v>32</v>
      </c>
      <c r="T62" s="129">
        <v>0</v>
      </c>
      <c r="U62" s="130">
        <v>0</v>
      </c>
      <c r="V62" s="131">
        <v>0</v>
      </c>
      <c r="W62" s="130">
        <v>0</v>
      </c>
      <c r="X62" s="132">
        <v>0</v>
      </c>
      <c r="Y62" s="130">
        <v>0</v>
      </c>
      <c r="Z62" s="130">
        <v>0</v>
      </c>
      <c r="AA62" s="129">
        <v>0</v>
      </c>
      <c r="AB62" s="133">
        <f t="shared" si="314"/>
        <v>0</v>
      </c>
      <c r="AC62" s="132">
        <v>0</v>
      </c>
      <c r="AD62" s="128">
        <v>0</v>
      </c>
      <c r="AE62" s="147">
        <v>0</v>
      </c>
      <c r="AF62" s="130">
        <v>0</v>
      </c>
      <c r="AG62" s="134">
        <v>0</v>
      </c>
      <c r="AH62" s="130">
        <v>0</v>
      </c>
      <c r="AI62" s="131">
        <v>0</v>
      </c>
      <c r="AJ62" s="130">
        <v>0</v>
      </c>
      <c r="AK62" s="130">
        <v>0</v>
      </c>
      <c r="AL62" s="130">
        <v>0</v>
      </c>
      <c r="AM62" s="135">
        <f t="shared" si="315"/>
        <v>72720</v>
      </c>
      <c r="AN62" s="136">
        <v>46150</v>
      </c>
      <c r="AO62" s="137" t="s">
        <v>537</v>
      </c>
      <c r="AP62" s="138" t="s">
        <v>532</v>
      </c>
      <c r="AQ62" s="139" t="s">
        <v>533</v>
      </c>
      <c r="AR62" s="139" t="s">
        <v>534</v>
      </c>
      <c r="AS62" s="126" t="s">
        <v>538</v>
      </c>
      <c r="AT62" s="140" t="s">
        <v>360</v>
      </c>
      <c r="AU62" s="140" t="s">
        <v>361</v>
      </c>
      <c r="AV62" s="141" t="s">
        <v>539</v>
      </c>
      <c r="AW62" s="139">
        <v>32</v>
      </c>
      <c r="AX62" s="141">
        <v>2275</v>
      </c>
      <c r="AY62" s="139">
        <f t="shared" si="316"/>
        <v>72800</v>
      </c>
      <c r="AZ62" s="142" t="b">
        <f t="shared" si="317"/>
        <v>1</v>
      </c>
      <c r="BA62" s="128">
        <v>0</v>
      </c>
      <c r="BB62" s="143">
        <f t="shared" si="318"/>
        <v>32</v>
      </c>
      <c r="BC62" s="144">
        <v>0</v>
      </c>
      <c r="BD62" s="143" t="s">
        <v>109</v>
      </c>
      <c r="BE62" s="144">
        <v>0</v>
      </c>
      <c r="BF62" s="143">
        <v>0</v>
      </c>
      <c r="BG62" s="144">
        <v>0</v>
      </c>
      <c r="BH62" s="130">
        <v>0</v>
      </c>
      <c r="BI62" s="133">
        <v>0</v>
      </c>
      <c r="BJ62" s="131">
        <v>0</v>
      </c>
      <c r="BK62" s="128">
        <v>0</v>
      </c>
      <c r="BL62" s="139">
        <v>0</v>
      </c>
      <c r="BM62" s="130">
        <v>0</v>
      </c>
      <c r="BN62" s="145">
        <f t="shared" si="319"/>
        <v>0</v>
      </c>
      <c r="BO62" s="129">
        <f t="shared" si="320"/>
        <v>72800</v>
      </c>
      <c r="BP62" s="135">
        <f t="shared" si="321"/>
        <v>80</v>
      </c>
      <c r="BQ62" s="144" t="str">
        <f t="shared" si="322"/>
        <v>Positive Margin</v>
      </c>
      <c r="BR62" s="146" t="s">
        <v>209</v>
      </c>
      <c r="BS62" s="128">
        <f t="shared" si="323"/>
        <v>80</v>
      </c>
      <c r="BT62" s="147" t="str">
        <f t="shared" si="324"/>
        <v>Positive Margin at Inception</v>
      </c>
      <c r="BU62" s="148">
        <f t="shared" si="325"/>
        <v>1.0989010989010989E-3</v>
      </c>
      <c r="BV62" s="147" t="str">
        <f t="shared" si="326"/>
        <v>Less Than 1%</v>
      </c>
      <c r="BW62" s="128">
        <f t="shared" si="327"/>
        <v>0</v>
      </c>
      <c r="BX62" s="129">
        <f t="shared" si="328"/>
        <v>0</v>
      </c>
      <c r="BY62" s="128">
        <f t="shared" si="329"/>
        <v>0</v>
      </c>
      <c r="BZ62" s="149">
        <f t="shared" si="330"/>
        <v>0</v>
      </c>
      <c r="CA62" s="149">
        <f t="shared" si="331"/>
        <v>0</v>
      </c>
      <c r="CB62" s="130">
        <f t="shared" si="332"/>
        <v>0</v>
      </c>
      <c r="CC62" s="149" t="s">
        <v>282</v>
      </c>
      <c r="CD62" s="130">
        <v>0</v>
      </c>
      <c r="CE62" s="130">
        <f t="shared" si="333"/>
        <v>72720</v>
      </c>
      <c r="CF62" s="130">
        <f t="shared" si="334"/>
        <v>72800</v>
      </c>
      <c r="CG62" s="130">
        <f t="shared" si="335"/>
        <v>6</v>
      </c>
      <c r="CH62" s="150">
        <v>0</v>
      </c>
      <c r="CI62" s="130">
        <v>0</v>
      </c>
      <c r="CJ62" s="130" t="e">
        <f>_xlfn.XLOOKUP(AP62,POC!B:B,POC!D:D)</f>
        <v>#N/A</v>
      </c>
      <c r="CK62" s="130">
        <f t="shared" si="336"/>
        <v>80</v>
      </c>
      <c r="CL62" s="130">
        <f t="shared" si="337"/>
        <v>80</v>
      </c>
      <c r="CM62" s="130">
        <f t="shared" si="338"/>
        <v>80</v>
      </c>
      <c r="CN62" s="130">
        <f t="shared" si="339"/>
        <v>85904</v>
      </c>
      <c r="CO62" s="130">
        <f t="shared" si="340"/>
        <v>-85809.599999999991</v>
      </c>
      <c r="CP62" s="130">
        <f t="shared" si="341"/>
        <v>0</v>
      </c>
      <c r="CQ62" s="130">
        <f t="shared" si="342"/>
        <v>0</v>
      </c>
      <c r="CR62" s="130">
        <f t="shared" si="343"/>
        <v>94.400000000008731</v>
      </c>
      <c r="CS62" s="130" t="s">
        <v>236</v>
      </c>
      <c r="CT62" s="130" t="s">
        <v>236</v>
      </c>
      <c r="CU62" s="145" t="str">
        <f t="shared" si="344"/>
        <v>AAHCR2638B</v>
      </c>
      <c r="CV62" s="145" t="str">
        <f t="shared" si="345"/>
        <v>GOWPS6814G</v>
      </c>
    </row>
    <row r="63" spans="2:101" s="152" customFormat="1" ht="11.85" customHeight="1" x14ac:dyDescent="0.25">
      <c r="B63" s="123" t="str">
        <f t="shared" si="310"/>
        <v>Q1</v>
      </c>
      <c r="C63" s="124" t="str">
        <f t="shared" si="311"/>
        <v>May-26</v>
      </c>
      <c r="D63" s="125">
        <v>46150</v>
      </c>
      <c r="E63" s="126" t="s">
        <v>522</v>
      </c>
      <c r="F63" s="126" t="s">
        <v>511</v>
      </c>
      <c r="G63" s="126" t="s">
        <v>512</v>
      </c>
      <c r="H63" s="127" t="s">
        <v>523</v>
      </c>
      <c r="I63" s="349">
        <v>46150</v>
      </c>
      <c r="J63" s="350" t="s">
        <v>524</v>
      </c>
      <c r="K63" s="349">
        <v>46151</v>
      </c>
      <c r="L63" s="126" t="s">
        <v>237</v>
      </c>
      <c r="M63" s="126" t="s">
        <v>525</v>
      </c>
      <c r="N63" s="127" t="s">
        <v>526</v>
      </c>
      <c r="O63" s="126">
        <v>1</v>
      </c>
      <c r="P63" s="283">
        <v>85.27</v>
      </c>
      <c r="Q63" s="128">
        <f t="shared" si="312"/>
        <v>85.27</v>
      </c>
      <c r="R63" s="129">
        <v>0</v>
      </c>
      <c r="S63" s="128">
        <f t="shared" si="313"/>
        <v>1</v>
      </c>
      <c r="T63" s="129">
        <v>0</v>
      </c>
      <c r="U63" s="130">
        <v>0</v>
      </c>
      <c r="V63" s="131">
        <v>0</v>
      </c>
      <c r="W63" s="130">
        <v>0</v>
      </c>
      <c r="X63" s="132">
        <v>0</v>
      </c>
      <c r="Y63" s="130">
        <v>0</v>
      </c>
      <c r="Z63" s="130">
        <v>0</v>
      </c>
      <c r="AA63" s="129">
        <v>0</v>
      </c>
      <c r="AB63" s="133">
        <f t="shared" si="314"/>
        <v>0</v>
      </c>
      <c r="AC63" s="132">
        <v>0</v>
      </c>
      <c r="AD63" s="128">
        <v>0</v>
      </c>
      <c r="AE63" s="147">
        <v>0</v>
      </c>
      <c r="AF63" s="130">
        <v>0</v>
      </c>
      <c r="AG63" s="134">
        <v>0</v>
      </c>
      <c r="AH63" s="130">
        <v>0</v>
      </c>
      <c r="AI63" s="131">
        <v>0</v>
      </c>
      <c r="AJ63" s="130">
        <v>0</v>
      </c>
      <c r="AK63" s="130">
        <v>0</v>
      </c>
      <c r="AL63" s="130">
        <v>0</v>
      </c>
      <c r="AM63" s="135">
        <f t="shared" si="315"/>
        <v>85.27</v>
      </c>
      <c r="AN63" s="136">
        <v>46151</v>
      </c>
      <c r="AO63" s="137" t="s">
        <v>540</v>
      </c>
      <c r="AP63" s="138" t="s">
        <v>532</v>
      </c>
      <c r="AQ63" s="139" t="s">
        <v>533</v>
      </c>
      <c r="AR63" s="139" t="s">
        <v>534</v>
      </c>
      <c r="AS63" s="126" t="s">
        <v>541</v>
      </c>
      <c r="AT63" s="140" t="s">
        <v>360</v>
      </c>
      <c r="AU63" s="140" t="s">
        <v>361</v>
      </c>
      <c r="AV63" s="141" t="s">
        <v>542</v>
      </c>
      <c r="AW63" s="139">
        <v>1</v>
      </c>
      <c r="AX63" s="141">
        <v>125</v>
      </c>
      <c r="AY63" s="139">
        <f t="shared" si="316"/>
        <v>125</v>
      </c>
      <c r="AZ63" s="142" t="b">
        <f t="shared" si="317"/>
        <v>1</v>
      </c>
      <c r="BA63" s="128">
        <v>0</v>
      </c>
      <c r="BB63" s="143">
        <f t="shared" si="318"/>
        <v>1</v>
      </c>
      <c r="BC63" s="144">
        <v>0</v>
      </c>
      <c r="BD63" s="143" t="s">
        <v>109</v>
      </c>
      <c r="BE63" s="144">
        <v>0</v>
      </c>
      <c r="BF63" s="143">
        <v>0</v>
      </c>
      <c r="BG63" s="144">
        <v>0</v>
      </c>
      <c r="BH63" s="130">
        <v>0</v>
      </c>
      <c r="BI63" s="133">
        <v>0</v>
      </c>
      <c r="BJ63" s="131">
        <v>0</v>
      </c>
      <c r="BK63" s="128">
        <v>0</v>
      </c>
      <c r="BL63" s="139">
        <v>0</v>
      </c>
      <c r="BM63" s="130">
        <v>0</v>
      </c>
      <c r="BN63" s="145">
        <f t="shared" si="319"/>
        <v>0</v>
      </c>
      <c r="BO63" s="129">
        <f t="shared" si="320"/>
        <v>125</v>
      </c>
      <c r="BP63" s="135">
        <f t="shared" si="321"/>
        <v>39.730000000000004</v>
      </c>
      <c r="BQ63" s="144" t="str">
        <f t="shared" si="322"/>
        <v>Positive Margin</v>
      </c>
      <c r="BR63" s="146" t="s">
        <v>209</v>
      </c>
      <c r="BS63" s="128">
        <f t="shared" si="323"/>
        <v>39.730000000000004</v>
      </c>
      <c r="BT63" s="147" t="str">
        <f t="shared" si="324"/>
        <v>Positive Margin at Inception</v>
      </c>
      <c r="BU63" s="148">
        <f t="shared" si="325"/>
        <v>0.31784000000000001</v>
      </c>
      <c r="BV63" s="147" t="str">
        <f t="shared" si="326"/>
        <v>More than 2%</v>
      </c>
      <c r="BW63" s="128">
        <f t="shared" si="327"/>
        <v>0</v>
      </c>
      <c r="BX63" s="129">
        <f t="shared" si="328"/>
        <v>0</v>
      </c>
      <c r="BY63" s="128">
        <f t="shared" si="329"/>
        <v>0</v>
      </c>
      <c r="BZ63" s="149">
        <f t="shared" si="330"/>
        <v>0</v>
      </c>
      <c r="CA63" s="149">
        <f t="shared" si="331"/>
        <v>0</v>
      </c>
      <c r="CB63" s="130">
        <f t="shared" si="332"/>
        <v>0</v>
      </c>
      <c r="CC63" s="149" t="s">
        <v>282</v>
      </c>
      <c r="CD63" s="130">
        <v>0</v>
      </c>
      <c r="CE63" s="130">
        <f t="shared" si="333"/>
        <v>85.27</v>
      </c>
      <c r="CF63" s="130">
        <f t="shared" si="334"/>
        <v>125</v>
      </c>
      <c r="CG63" s="130">
        <f t="shared" si="335"/>
        <v>6</v>
      </c>
      <c r="CH63" s="150">
        <v>0</v>
      </c>
      <c r="CI63" s="130">
        <v>0</v>
      </c>
      <c r="CJ63" s="130" t="e">
        <f>_xlfn.XLOOKUP(AP63,POC!B:B,POC!D:D)</f>
        <v>#N/A</v>
      </c>
      <c r="CK63" s="130">
        <f t="shared" si="336"/>
        <v>39.730000000000004</v>
      </c>
      <c r="CL63" s="130">
        <f t="shared" si="337"/>
        <v>39.730000000000004</v>
      </c>
      <c r="CM63" s="130">
        <f t="shared" si="338"/>
        <v>39.730000000000004</v>
      </c>
      <c r="CN63" s="130">
        <f t="shared" si="339"/>
        <v>147.5</v>
      </c>
      <c r="CO63" s="130">
        <f t="shared" si="340"/>
        <v>-100.61859999999999</v>
      </c>
      <c r="CP63" s="130">
        <f t="shared" si="341"/>
        <v>0</v>
      </c>
      <c r="CQ63" s="130">
        <f t="shared" si="342"/>
        <v>0</v>
      </c>
      <c r="CR63" s="130">
        <f t="shared" si="343"/>
        <v>46.881400000000014</v>
      </c>
      <c r="CS63" s="130" t="s">
        <v>236</v>
      </c>
      <c r="CT63" s="130" t="s">
        <v>236</v>
      </c>
      <c r="CU63" s="145" t="str">
        <f t="shared" si="344"/>
        <v>AADCS0655F</v>
      </c>
      <c r="CV63" s="145" t="str">
        <f t="shared" si="345"/>
        <v>GOWPS6814G</v>
      </c>
    </row>
    <row r="64" spans="2:101" s="152" customFormat="1" ht="11.85" customHeight="1" x14ac:dyDescent="0.25">
      <c r="B64" s="123" t="str">
        <f t="shared" si="310"/>
        <v>Q1</v>
      </c>
      <c r="C64" s="124" t="str">
        <f t="shared" si="311"/>
        <v>May-26</v>
      </c>
      <c r="D64" s="125">
        <v>46150</v>
      </c>
      <c r="E64" s="126" t="s">
        <v>522</v>
      </c>
      <c r="F64" s="126" t="s">
        <v>511</v>
      </c>
      <c r="G64" s="126" t="s">
        <v>512</v>
      </c>
      <c r="H64" s="127" t="s">
        <v>523</v>
      </c>
      <c r="I64" s="349">
        <v>46150</v>
      </c>
      <c r="J64" s="350" t="s">
        <v>524</v>
      </c>
      <c r="K64" s="349">
        <v>46151</v>
      </c>
      <c r="L64" s="126" t="s">
        <v>237</v>
      </c>
      <c r="M64" s="126" t="s">
        <v>525</v>
      </c>
      <c r="N64" s="127" t="s">
        <v>516</v>
      </c>
      <c r="O64" s="126">
        <v>1</v>
      </c>
      <c r="P64" s="283">
        <v>61.02</v>
      </c>
      <c r="Q64" s="128">
        <f t="shared" si="312"/>
        <v>61.02</v>
      </c>
      <c r="R64" s="129">
        <v>0</v>
      </c>
      <c r="S64" s="128">
        <f t="shared" si="313"/>
        <v>1</v>
      </c>
      <c r="T64" s="129">
        <v>0</v>
      </c>
      <c r="U64" s="130">
        <v>0</v>
      </c>
      <c r="V64" s="131">
        <v>0</v>
      </c>
      <c r="W64" s="130">
        <v>0</v>
      </c>
      <c r="X64" s="132">
        <v>0</v>
      </c>
      <c r="Y64" s="130">
        <v>0</v>
      </c>
      <c r="Z64" s="130">
        <v>0</v>
      </c>
      <c r="AA64" s="129">
        <v>0</v>
      </c>
      <c r="AB64" s="133">
        <f t="shared" si="314"/>
        <v>0</v>
      </c>
      <c r="AC64" s="132">
        <v>0</v>
      </c>
      <c r="AD64" s="128">
        <v>0</v>
      </c>
      <c r="AE64" s="147">
        <v>0</v>
      </c>
      <c r="AF64" s="130">
        <v>0</v>
      </c>
      <c r="AG64" s="134">
        <v>0</v>
      </c>
      <c r="AH64" s="130">
        <v>0</v>
      </c>
      <c r="AI64" s="131">
        <v>0</v>
      </c>
      <c r="AJ64" s="130">
        <v>0</v>
      </c>
      <c r="AK64" s="130">
        <v>0</v>
      </c>
      <c r="AL64" s="130">
        <v>0</v>
      </c>
      <c r="AM64" s="135">
        <f t="shared" si="315"/>
        <v>61.02</v>
      </c>
      <c r="AN64" s="136">
        <v>46151</v>
      </c>
      <c r="AO64" s="137" t="s">
        <v>540</v>
      </c>
      <c r="AP64" s="138" t="s">
        <v>532</v>
      </c>
      <c r="AQ64" s="139" t="s">
        <v>533</v>
      </c>
      <c r="AR64" s="139" t="s">
        <v>534</v>
      </c>
      <c r="AS64" s="126" t="s">
        <v>541</v>
      </c>
      <c r="AT64" s="140" t="s">
        <v>360</v>
      </c>
      <c r="AU64" s="140" t="s">
        <v>361</v>
      </c>
      <c r="AV64" s="141" t="s">
        <v>542</v>
      </c>
      <c r="AW64" s="139">
        <v>1</v>
      </c>
      <c r="AX64" s="141">
        <v>90</v>
      </c>
      <c r="AY64" s="139">
        <f t="shared" si="316"/>
        <v>90</v>
      </c>
      <c r="AZ64" s="142" t="b">
        <f t="shared" si="317"/>
        <v>1</v>
      </c>
      <c r="BA64" s="128">
        <v>0</v>
      </c>
      <c r="BB64" s="143">
        <f t="shared" si="318"/>
        <v>1</v>
      </c>
      <c r="BC64" s="144">
        <v>0</v>
      </c>
      <c r="BD64" s="143" t="s">
        <v>109</v>
      </c>
      <c r="BE64" s="144">
        <v>0</v>
      </c>
      <c r="BF64" s="143">
        <v>0</v>
      </c>
      <c r="BG64" s="144">
        <v>0</v>
      </c>
      <c r="BH64" s="130">
        <v>0</v>
      </c>
      <c r="BI64" s="133">
        <v>0</v>
      </c>
      <c r="BJ64" s="131">
        <v>0</v>
      </c>
      <c r="BK64" s="128">
        <v>0</v>
      </c>
      <c r="BL64" s="139">
        <v>0</v>
      </c>
      <c r="BM64" s="130">
        <v>0</v>
      </c>
      <c r="BN64" s="145">
        <f t="shared" si="319"/>
        <v>0</v>
      </c>
      <c r="BO64" s="129">
        <f t="shared" si="320"/>
        <v>90</v>
      </c>
      <c r="BP64" s="135">
        <f t="shared" si="321"/>
        <v>28.979999999999997</v>
      </c>
      <c r="BQ64" s="144" t="str">
        <f t="shared" si="322"/>
        <v>Positive Margin</v>
      </c>
      <c r="BR64" s="146" t="s">
        <v>209</v>
      </c>
      <c r="BS64" s="128">
        <f t="shared" si="323"/>
        <v>28.979999999999997</v>
      </c>
      <c r="BT64" s="147" t="str">
        <f t="shared" si="324"/>
        <v>Positive Margin at Inception</v>
      </c>
      <c r="BU64" s="148">
        <f t="shared" si="325"/>
        <v>0.32199999999999995</v>
      </c>
      <c r="BV64" s="147" t="str">
        <f t="shared" si="326"/>
        <v>More than 2%</v>
      </c>
      <c r="BW64" s="128">
        <f t="shared" si="327"/>
        <v>0</v>
      </c>
      <c r="BX64" s="129">
        <f t="shared" si="328"/>
        <v>0</v>
      </c>
      <c r="BY64" s="128">
        <f t="shared" si="329"/>
        <v>0</v>
      </c>
      <c r="BZ64" s="149">
        <f t="shared" si="330"/>
        <v>0</v>
      </c>
      <c r="CA64" s="149">
        <f t="shared" si="331"/>
        <v>0</v>
      </c>
      <c r="CB64" s="130">
        <f t="shared" si="332"/>
        <v>0</v>
      </c>
      <c r="CC64" s="149" t="s">
        <v>282</v>
      </c>
      <c r="CD64" s="130">
        <v>0</v>
      </c>
      <c r="CE64" s="130">
        <f t="shared" si="333"/>
        <v>61.02</v>
      </c>
      <c r="CF64" s="130">
        <f t="shared" si="334"/>
        <v>90</v>
      </c>
      <c r="CG64" s="130">
        <f t="shared" si="335"/>
        <v>6</v>
      </c>
      <c r="CH64" s="150">
        <v>0</v>
      </c>
      <c r="CI64" s="130">
        <v>0</v>
      </c>
      <c r="CJ64" s="130" t="e">
        <f>_xlfn.XLOOKUP(AP64,POC!B:B,POC!D:D)</f>
        <v>#N/A</v>
      </c>
      <c r="CK64" s="130">
        <f t="shared" si="336"/>
        <v>28.979999999999997</v>
      </c>
      <c r="CL64" s="130">
        <f t="shared" si="337"/>
        <v>28.979999999999997</v>
      </c>
      <c r="CM64" s="130">
        <f t="shared" si="338"/>
        <v>28.979999999999997</v>
      </c>
      <c r="CN64" s="130">
        <f t="shared" si="339"/>
        <v>106.19999999999999</v>
      </c>
      <c r="CO64" s="130">
        <f t="shared" si="340"/>
        <v>-72.003600000000006</v>
      </c>
      <c r="CP64" s="130">
        <f t="shared" si="341"/>
        <v>0</v>
      </c>
      <c r="CQ64" s="130">
        <f t="shared" si="342"/>
        <v>0</v>
      </c>
      <c r="CR64" s="130">
        <f t="shared" si="343"/>
        <v>34.196399999999983</v>
      </c>
      <c r="CS64" s="130" t="s">
        <v>236</v>
      </c>
      <c r="CT64" s="130" t="s">
        <v>236</v>
      </c>
      <c r="CU64" s="145" t="str">
        <f t="shared" si="344"/>
        <v>AADCS0655F</v>
      </c>
      <c r="CV64" s="145" t="str">
        <f t="shared" si="345"/>
        <v>GOWPS6814G</v>
      </c>
    </row>
    <row r="65" spans="2:100" s="152" customFormat="1" ht="11.85" customHeight="1" x14ac:dyDescent="0.25">
      <c r="B65" s="123" t="str">
        <f t="shared" si="310"/>
        <v>Q1</v>
      </c>
      <c r="C65" s="124" t="str">
        <f t="shared" si="311"/>
        <v>May-26</v>
      </c>
      <c r="D65" s="125">
        <v>46150</v>
      </c>
      <c r="E65" s="126" t="s">
        <v>522</v>
      </c>
      <c r="F65" s="126" t="s">
        <v>511</v>
      </c>
      <c r="G65" s="126" t="s">
        <v>512</v>
      </c>
      <c r="H65" s="127" t="s">
        <v>523</v>
      </c>
      <c r="I65" s="349">
        <v>46150</v>
      </c>
      <c r="J65" s="350" t="s">
        <v>524</v>
      </c>
      <c r="K65" s="349">
        <v>46151</v>
      </c>
      <c r="L65" s="126" t="s">
        <v>237</v>
      </c>
      <c r="M65" s="126" t="s">
        <v>525</v>
      </c>
      <c r="N65" s="127" t="s">
        <v>526</v>
      </c>
      <c r="O65" s="126">
        <v>1</v>
      </c>
      <c r="P65" s="283">
        <v>78.23</v>
      </c>
      <c r="Q65" s="128">
        <f t="shared" si="312"/>
        <v>78.23</v>
      </c>
      <c r="R65" s="129">
        <v>0</v>
      </c>
      <c r="S65" s="128">
        <f t="shared" si="313"/>
        <v>1</v>
      </c>
      <c r="T65" s="129">
        <v>0</v>
      </c>
      <c r="U65" s="130">
        <v>0</v>
      </c>
      <c r="V65" s="131">
        <v>0</v>
      </c>
      <c r="W65" s="130">
        <v>0</v>
      </c>
      <c r="X65" s="132">
        <v>0</v>
      </c>
      <c r="Y65" s="130">
        <v>0</v>
      </c>
      <c r="Z65" s="130">
        <v>0</v>
      </c>
      <c r="AA65" s="129">
        <v>0</v>
      </c>
      <c r="AB65" s="133">
        <f t="shared" si="314"/>
        <v>0</v>
      </c>
      <c r="AC65" s="132">
        <v>0</v>
      </c>
      <c r="AD65" s="128">
        <v>0</v>
      </c>
      <c r="AE65" s="147">
        <v>0</v>
      </c>
      <c r="AF65" s="130">
        <v>0</v>
      </c>
      <c r="AG65" s="134">
        <v>0</v>
      </c>
      <c r="AH65" s="130">
        <v>0</v>
      </c>
      <c r="AI65" s="131">
        <v>0</v>
      </c>
      <c r="AJ65" s="130">
        <v>0</v>
      </c>
      <c r="AK65" s="130">
        <v>0</v>
      </c>
      <c r="AL65" s="130">
        <v>0</v>
      </c>
      <c r="AM65" s="135">
        <f t="shared" si="315"/>
        <v>78.23</v>
      </c>
      <c r="AN65" s="136">
        <v>46151</v>
      </c>
      <c r="AO65" s="137" t="s">
        <v>540</v>
      </c>
      <c r="AP65" s="138" t="s">
        <v>532</v>
      </c>
      <c r="AQ65" s="139" t="s">
        <v>533</v>
      </c>
      <c r="AR65" s="139" t="s">
        <v>534</v>
      </c>
      <c r="AS65" s="126" t="s">
        <v>541</v>
      </c>
      <c r="AT65" s="140" t="s">
        <v>360</v>
      </c>
      <c r="AU65" s="140" t="s">
        <v>361</v>
      </c>
      <c r="AV65" s="141" t="s">
        <v>542</v>
      </c>
      <c r="AW65" s="139">
        <v>1</v>
      </c>
      <c r="AX65" s="141">
        <v>115</v>
      </c>
      <c r="AY65" s="139">
        <f t="shared" si="316"/>
        <v>115</v>
      </c>
      <c r="AZ65" s="142" t="b">
        <f t="shared" si="317"/>
        <v>1</v>
      </c>
      <c r="BA65" s="128">
        <v>0</v>
      </c>
      <c r="BB65" s="143">
        <f t="shared" si="318"/>
        <v>1</v>
      </c>
      <c r="BC65" s="144">
        <v>0</v>
      </c>
      <c r="BD65" s="143" t="s">
        <v>109</v>
      </c>
      <c r="BE65" s="144">
        <v>0</v>
      </c>
      <c r="BF65" s="143">
        <v>0</v>
      </c>
      <c r="BG65" s="144">
        <v>0</v>
      </c>
      <c r="BH65" s="130">
        <v>0</v>
      </c>
      <c r="BI65" s="133">
        <v>0</v>
      </c>
      <c r="BJ65" s="131">
        <v>0</v>
      </c>
      <c r="BK65" s="128">
        <v>0</v>
      </c>
      <c r="BL65" s="139">
        <v>0</v>
      </c>
      <c r="BM65" s="130">
        <v>0</v>
      </c>
      <c r="BN65" s="145">
        <f t="shared" si="319"/>
        <v>0</v>
      </c>
      <c r="BO65" s="129">
        <f t="shared" si="320"/>
        <v>115</v>
      </c>
      <c r="BP65" s="135">
        <f t="shared" si="321"/>
        <v>36.769999999999996</v>
      </c>
      <c r="BQ65" s="144" t="str">
        <f t="shared" si="322"/>
        <v>Positive Margin</v>
      </c>
      <c r="BR65" s="146" t="s">
        <v>209</v>
      </c>
      <c r="BS65" s="128">
        <f t="shared" si="323"/>
        <v>36.769999999999996</v>
      </c>
      <c r="BT65" s="147" t="str">
        <f t="shared" si="324"/>
        <v>Positive Margin at Inception</v>
      </c>
      <c r="BU65" s="148">
        <f t="shared" si="325"/>
        <v>0.31973913043478258</v>
      </c>
      <c r="BV65" s="147" t="str">
        <f t="shared" si="326"/>
        <v>More than 2%</v>
      </c>
      <c r="BW65" s="128">
        <f t="shared" si="327"/>
        <v>0</v>
      </c>
      <c r="BX65" s="129">
        <f t="shared" si="328"/>
        <v>0</v>
      </c>
      <c r="BY65" s="128">
        <f t="shared" si="329"/>
        <v>0</v>
      </c>
      <c r="BZ65" s="149">
        <f t="shared" si="330"/>
        <v>0</v>
      </c>
      <c r="CA65" s="149">
        <f t="shared" si="331"/>
        <v>0</v>
      </c>
      <c r="CB65" s="130">
        <f t="shared" si="332"/>
        <v>0</v>
      </c>
      <c r="CC65" s="149" t="s">
        <v>282</v>
      </c>
      <c r="CD65" s="130">
        <v>0</v>
      </c>
      <c r="CE65" s="130">
        <f t="shared" si="333"/>
        <v>78.23</v>
      </c>
      <c r="CF65" s="130">
        <f t="shared" si="334"/>
        <v>115</v>
      </c>
      <c r="CG65" s="130">
        <f t="shared" si="335"/>
        <v>6</v>
      </c>
      <c r="CH65" s="150">
        <v>0</v>
      </c>
      <c r="CI65" s="130">
        <v>0</v>
      </c>
      <c r="CJ65" s="130" t="e">
        <f>_xlfn.XLOOKUP(AP65,POC!B:B,POC!D:D)</f>
        <v>#N/A</v>
      </c>
      <c r="CK65" s="130">
        <f t="shared" si="336"/>
        <v>36.769999999999996</v>
      </c>
      <c r="CL65" s="130">
        <f t="shared" si="337"/>
        <v>36.769999999999996</v>
      </c>
      <c r="CM65" s="130">
        <f t="shared" si="338"/>
        <v>36.769999999999996</v>
      </c>
      <c r="CN65" s="130">
        <f t="shared" si="339"/>
        <v>135.69999999999999</v>
      </c>
      <c r="CO65" s="130">
        <f t="shared" si="340"/>
        <v>-92.311400000000006</v>
      </c>
      <c r="CP65" s="130">
        <f t="shared" si="341"/>
        <v>0</v>
      </c>
      <c r="CQ65" s="130">
        <f t="shared" si="342"/>
        <v>0</v>
      </c>
      <c r="CR65" s="130">
        <f t="shared" si="343"/>
        <v>43.388599999999983</v>
      </c>
      <c r="CS65" s="130" t="s">
        <v>236</v>
      </c>
      <c r="CT65" s="130" t="s">
        <v>236</v>
      </c>
      <c r="CU65" s="145" t="str">
        <f t="shared" si="344"/>
        <v>AADCS0655F</v>
      </c>
      <c r="CV65" s="145" t="str">
        <f t="shared" si="345"/>
        <v>GOWPS6814G</v>
      </c>
    </row>
    <row r="66" spans="2:100" s="152" customFormat="1" ht="11.85" customHeight="1" x14ac:dyDescent="0.25">
      <c r="B66" s="123" t="str">
        <f t="shared" si="310"/>
        <v>Q1</v>
      </c>
      <c r="C66" s="124" t="str">
        <f t="shared" si="311"/>
        <v>May-26</v>
      </c>
      <c r="D66" s="125">
        <v>46150</v>
      </c>
      <c r="E66" s="126" t="s">
        <v>522</v>
      </c>
      <c r="F66" s="126" t="s">
        <v>511</v>
      </c>
      <c r="G66" s="126" t="s">
        <v>512</v>
      </c>
      <c r="H66" s="127" t="s">
        <v>523</v>
      </c>
      <c r="I66" s="349">
        <v>46150</v>
      </c>
      <c r="J66" s="350" t="s">
        <v>524</v>
      </c>
      <c r="K66" s="349">
        <v>46151</v>
      </c>
      <c r="L66" s="126" t="s">
        <v>237</v>
      </c>
      <c r="M66" s="126" t="s">
        <v>525</v>
      </c>
      <c r="N66" s="127" t="s">
        <v>516</v>
      </c>
      <c r="O66" s="126">
        <v>1</v>
      </c>
      <c r="P66" s="283">
        <v>683.03</v>
      </c>
      <c r="Q66" s="128">
        <f t="shared" si="312"/>
        <v>683.03</v>
      </c>
      <c r="R66" s="129">
        <v>0</v>
      </c>
      <c r="S66" s="128">
        <f t="shared" si="313"/>
        <v>1</v>
      </c>
      <c r="T66" s="129">
        <v>0</v>
      </c>
      <c r="U66" s="130">
        <v>0</v>
      </c>
      <c r="V66" s="131">
        <v>0</v>
      </c>
      <c r="W66" s="130">
        <v>0</v>
      </c>
      <c r="X66" s="132">
        <v>0</v>
      </c>
      <c r="Y66" s="130">
        <v>0</v>
      </c>
      <c r="Z66" s="130">
        <v>0</v>
      </c>
      <c r="AA66" s="129">
        <v>0</v>
      </c>
      <c r="AB66" s="133">
        <f t="shared" si="314"/>
        <v>0</v>
      </c>
      <c r="AC66" s="132">
        <v>0</v>
      </c>
      <c r="AD66" s="128">
        <v>0</v>
      </c>
      <c r="AE66" s="147">
        <v>0</v>
      </c>
      <c r="AF66" s="130">
        <v>0</v>
      </c>
      <c r="AG66" s="134">
        <v>0</v>
      </c>
      <c r="AH66" s="130">
        <v>0</v>
      </c>
      <c r="AI66" s="131">
        <v>0</v>
      </c>
      <c r="AJ66" s="130">
        <v>0</v>
      </c>
      <c r="AK66" s="130">
        <v>0</v>
      </c>
      <c r="AL66" s="130">
        <v>0</v>
      </c>
      <c r="AM66" s="135">
        <f t="shared" si="315"/>
        <v>683.03</v>
      </c>
      <c r="AN66" s="136">
        <v>46151</v>
      </c>
      <c r="AO66" s="137" t="s">
        <v>540</v>
      </c>
      <c r="AP66" s="138" t="s">
        <v>532</v>
      </c>
      <c r="AQ66" s="139" t="s">
        <v>533</v>
      </c>
      <c r="AR66" s="139" t="s">
        <v>534</v>
      </c>
      <c r="AS66" s="126" t="s">
        <v>541</v>
      </c>
      <c r="AT66" s="140" t="s">
        <v>360</v>
      </c>
      <c r="AU66" s="140" t="s">
        <v>361</v>
      </c>
      <c r="AV66" s="141" t="s">
        <v>542</v>
      </c>
      <c r="AW66" s="139">
        <v>1</v>
      </c>
      <c r="AX66" s="141">
        <v>1000</v>
      </c>
      <c r="AY66" s="139">
        <f t="shared" si="316"/>
        <v>1000</v>
      </c>
      <c r="AZ66" s="142" t="b">
        <f t="shared" si="317"/>
        <v>1</v>
      </c>
      <c r="BA66" s="128">
        <v>0</v>
      </c>
      <c r="BB66" s="143">
        <f t="shared" si="318"/>
        <v>1</v>
      </c>
      <c r="BC66" s="144">
        <v>0</v>
      </c>
      <c r="BD66" s="143" t="s">
        <v>109</v>
      </c>
      <c r="BE66" s="144">
        <v>0</v>
      </c>
      <c r="BF66" s="143">
        <v>0</v>
      </c>
      <c r="BG66" s="144">
        <v>0</v>
      </c>
      <c r="BH66" s="130">
        <v>0</v>
      </c>
      <c r="BI66" s="133">
        <v>0</v>
      </c>
      <c r="BJ66" s="131">
        <v>0</v>
      </c>
      <c r="BK66" s="128">
        <v>0</v>
      </c>
      <c r="BL66" s="139">
        <v>0</v>
      </c>
      <c r="BM66" s="130">
        <v>0</v>
      </c>
      <c r="BN66" s="145">
        <f t="shared" si="319"/>
        <v>0</v>
      </c>
      <c r="BO66" s="129">
        <f t="shared" si="320"/>
        <v>1000</v>
      </c>
      <c r="BP66" s="135">
        <f t="shared" si="321"/>
        <v>316.97000000000003</v>
      </c>
      <c r="BQ66" s="144" t="str">
        <f t="shared" si="322"/>
        <v>Positive Margin</v>
      </c>
      <c r="BR66" s="146" t="s">
        <v>209</v>
      </c>
      <c r="BS66" s="128">
        <f t="shared" si="323"/>
        <v>316.97000000000003</v>
      </c>
      <c r="BT66" s="147" t="str">
        <f t="shared" si="324"/>
        <v>Positive Margin at Inception</v>
      </c>
      <c r="BU66" s="148">
        <f t="shared" si="325"/>
        <v>0.31697000000000003</v>
      </c>
      <c r="BV66" s="147" t="str">
        <f t="shared" si="326"/>
        <v>More than 2%</v>
      </c>
      <c r="BW66" s="128">
        <f t="shared" si="327"/>
        <v>0</v>
      </c>
      <c r="BX66" s="129">
        <f t="shared" si="328"/>
        <v>0</v>
      </c>
      <c r="BY66" s="128">
        <f t="shared" si="329"/>
        <v>0</v>
      </c>
      <c r="BZ66" s="149">
        <f t="shared" si="330"/>
        <v>0</v>
      </c>
      <c r="CA66" s="149">
        <f t="shared" si="331"/>
        <v>0</v>
      </c>
      <c r="CB66" s="130">
        <f t="shared" si="332"/>
        <v>0</v>
      </c>
      <c r="CC66" s="149" t="s">
        <v>282</v>
      </c>
      <c r="CD66" s="130">
        <v>0</v>
      </c>
      <c r="CE66" s="130">
        <f t="shared" si="333"/>
        <v>683.03</v>
      </c>
      <c r="CF66" s="130">
        <f t="shared" si="334"/>
        <v>1000</v>
      </c>
      <c r="CG66" s="130">
        <f t="shared" si="335"/>
        <v>6</v>
      </c>
      <c r="CH66" s="150">
        <v>0</v>
      </c>
      <c r="CI66" s="130">
        <v>0</v>
      </c>
      <c r="CJ66" s="130" t="e">
        <f>_xlfn.XLOOKUP(AP66,POC!B:B,POC!D:D)</f>
        <v>#N/A</v>
      </c>
      <c r="CK66" s="130">
        <f t="shared" si="336"/>
        <v>316.97000000000003</v>
      </c>
      <c r="CL66" s="130">
        <f t="shared" si="337"/>
        <v>316.97000000000003</v>
      </c>
      <c r="CM66" s="130">
        <f t="shared" si="338"/>
        <v>316.97000000000003</v>
      </c>
      <c r="CN66" s="130">
        <f t="shared" si="339"/>
        <v>1180</v>
      </c>
      <c r="CO66" s="130">
        <f t="shared" si="340"/>
        <v>-805.97539999999992</v>
      </c>
      <c r="CP66" s="130">
        <f t="shared" si="341"/>
        <v>0</v>
      </c>
      <c r="CQ66" s="130">
        <f t="shared" si="342"/>
        <v>0</v>
      </c>
      <c r="CR66" s="130">
        <f t="shared" si="343"/>
        <v>374.02460000000008</v>
      </c>
      <c r="CS66" s="130" t="s">
        <v>236</v>
      </c>
      <c r="CT66" s="130" t="s">
        <v>236</v>
      </c>
      <c r="CU66" s="145" t="str">
        <f t="shared" si="344"/>
        <v>AADCS0655F</v>
      </c>
      <c r="CV66" s="145" t="str">
        <f t="shared" si="345"/>
        <v>GOWPS6814G</v>
      </c>
    </row>
    <row r="67" spans="2:100" s="152" customFormat="1" ht="11.85" customHeight="1" x14ac:dyDescent="0.25">
      <c r="B67" s="123" t="str">
        <f t="shared" si="310"/>
        <v>Q1</v>
      </c>
      <c r="C67" s="124" t="str">
        <f t="shared" si="311"/>
        <v>May-26</v>
      </c>
      <c r="D67" s="125">
        <v>46150</v>
      </c>
      <c r="E67" s="126" t="s">
        <v>522</v>
      </c>
      <c r="F67" s="126" t="s">
        <v>511</v>
      </c>
      <c r="G67" s="126" t="s">
        <v>512</v>
      </c>
      <c r="H67" s="127" t="s">
        <v>523</v>
      </c>
      <c r="I67" s="349">
        <v>46150</v>
      </c>
      <c r="J67" s="350" t="s">
        <v>524</v>
      </c>
      <c r="K67" s="349">
        <v>46151</v>
      </c>
      <c r="L67" s="126" t="s">
        <v>237</v>
      </c>
      <c r="M67" s="126" t="s">
        <v>525</v>
      </c>
      <c r="N67" s="127" t="s">
        <v>527</v>
      </c>
      <c r="O67" s="126">
        <v>1</v>
      </c>
      <c r="P67" s="283">
        <v>456.68</v>
      </c>
      <c r="Q67" s="128">
        <f t="shared" si="312"/>
        <v>456.68</v>
      </c>
      <c r="R67" s="129">
        <v>0</v>
      </c>
      <c r="S67" s="128">
        <f t="shared" si="313"/>
        <v>1</v>
      </c>
      <c r="T67" s="129">
        <v>0</v>
      </c>
      <c r="U67" s="130">
        <v>0</v>
      </c>
      <c r="V67" s="131">
        <v>0</v>
      </c>
      <c r="W67" s="130">
        <v>0</v>
      </c>
      <c r="X67" s="132">
        <v>0</v>
      </c>
      <c r="Y67" s="130">
        <v>0</v>
      </c>
      <c r="Z67" s="130">
        <v>0</v>
      </c>
      <c r="AA67" s="129">
        <v>0</v>
      </c>
      <c r="AB67" s="133">
        <f t="shared" si="314"/>
        <v>0</v>
      </c>
      <c r="AC67" s="132">
        <v>0</v>
      </c>
      <c r="AD67" s="128">
        <v>0</v>
      </c>
      <c r="AE67" s="147">
        <v>0</v>
      </c>
      <c r="AF67" s="130">
        <v>0</v>
      </c>
      <c r="AG67" s="134">
        <v>0</v>
      </c>
      <c r="AH67" s="130">
        <v>0</v>
      </c>
      <c r="AI67" s="131">
        <v>0</v>
      </c>
      <c r="AJ67" s="130">
        <v>0</v>
      </c>
      <c r="AK67" s="130">
        <v>0</v>
      </c>
      <c r="AL67" s="130">
        <v>0</v>
      </c>
      <c r="AM67" s="135">
        <f t="shared" si="315"/>
        <v>456.68</v>
      </c>
      <c r="AN67" s="136">
        <v>46151</v>
      </c>
      <c r="AO67" s="137" t="s">
        <v>540</v>
      </c>
      <c r="AP67" s="138" t="s">
        <v>532</v>
      </c>
      <c r="AQ67" s="139" t="s">
        <v>533</v>
      </c>
      <c r="AR67" s="139" t="s">
        <v>534</v>
      </c>
      <c r="AS67" s="126" t="s">
        <v>541</v>
      </c>
      <c r="AT67" s="140" t="s">
        <v>360</v>
      </c>
      <c r="AU67" s="140" t="s">
        <v>361</v>
      </c>
      <c r="AV67" s="141" t="s">
        <v>542</v>
      </c>
      <c r="AW67" s="139">
        <v>1</v>
      </c>
      <c r="AX67" s="141">
        <v>675</v>
      </c>
      <c r="AY67" s="139">
        <f t="shared" si="316"/>
        <v>675</v>
      </c>
      <c r="AZ67" s="142" t="b">
        <f t="shared" si="317"/>
        <v>1</v>
      </c>
      <c r="BA67" s="128">
        <v>0</v>
      </c>
      <c r="BB67" s="143">
        <f t="shared" si="318"/>
        <v>1</v>
      </c>
      <c r="BC67" s="144">
        <v>0</v>
      </c>
      <c r="BD67" s="143" t="s">
        <v>109</v>
      </c>
      <c r="BE67" s="144">
        <v>0</v>
      </c>
      <c r="BF67" s="143">
        <v>0</v>
      </c>
      <c r="BG67" s="144">
        <v>0</v>
      </c>
      <c r="BH67" s="130">
        <v>0</v>
      </c>
      <c r="BI67" s="133">
        <v>0</v>
      </c>
      <c r="BJ67" s="131">
        <v>0</v>
      </c>
      <c r="BK67" s="128">
        <v>0</v>
      </c>
      <c r="BL67" s="139">
        <v>0</v>
      </c>
      <c r="BM67" s="130">
        <v>0</v>
      </c>
      <c r="BN67" s="145">
        <f t="shared" si="319"/>
        <v>0</v>
      </c>
      <c r="BO67" s="129">
        <f t="shared" si="320"/>
        <v>675</v>
      </c>
      <c r="BP67" s="135">
        <f t="shared" si="321"/>
        <v>218.32</v>
      </c>
      <c r="BQ67" s="144" t="str">
        <f t="shared" si="322"/>
        <v>Positive Margin</v>
      </c>
      <c r="BR67" s="146" t="s">
        <v>209</v>
      </c>
      <c r="BS67" s="128">
        <f t="shared" si="323"/>
        <v>218.32</v>
      </c>
      <c r="BT67" s="147" t="str">
        <f t="shared" si="324"/>
        <v>Positive Margin at Inception</v>
      </c>
      <c r="BU67" s="148">
        <f t="shared" si="325"/>
        <v>0.32343703703703702</v>
      </c>
      <c r="BV67" s="147" t="str">
        <f t="shared" si="326"/>
        <v>More than 2%</v>
      </c>
      <c r="BW67" s="128">
        <f t="shared" si="327"/>
        <v>0</v>
      </c>
      <c r="BX67" s="129">
        <f t="shared" si="328"/>
        <v>0</v>
      </c>
      <c r="BY67" s="128">
        <f t="shared" si="329"/>
        <v>0</v>
      </c>
      <c r="BZ67" s="149">
        <f t="shared" si="330"/>
        <v>0</v>
      </c>
      <c r="CA67" s="149">
        <f t="shared" si="331"/>
        <v>0</v>
      </c>
      <c r="CB67" s="130">
        <f t="shared" si="332"/>
        <v>0</v>
      </c>
      <c r="CC67" s="149" t="s">
        <v>282</v>
      </c>
      <c r="CD67" s="130">
        <v>0</v>
      </c>
      <c r="CE67" s="130">
        <f t="shared" si="333"/>
        <v>456.68</v>
      </c>
      <c r="CF67" s="130">
        <f t="shared" si="334"/>
        <v>675</v>
      </c>
      <c r="CG67" s="130">
        <f t="shared" si="335"/>
        <v>6</v>
      </c>
      <c r="CH67" s="150">
        <v>0</v>
      </c>
      <c r="CI67" s="130">
        <v>0</v>
      </c>
      <c r="CJ67" s="130" t="e">
        <f>_xlfn.XLOOKUP(AP67,POC!B:B,POC!D:D)</f>
        <v>#N/A</v>
      </c>
      <c r="CK67" s="130">
        <f t="shared" si="336"/>
        <v>218.32</v>
      </c>
      <c r="CL67" s="130">
        <f t="shared" si="337"/>
        <v>218.32</v>
      </c>
      <c r="CM67" s="130">
        <f t="shared" si="338"/>
        <v>218.32</v>
      </c>
      <c r="CN67" s="130">
        <f t="shared" si="339"/>
        <v>796.5</v>
      </c>
      <c r="CO67" s="130">
        <f t="shared" si="340"/>
        <v>-538.88239999999996</v>
      </c>
      <c r="CP67" s="130">
        <f t="shared" si="341"/>
        <v>0</v>
      </c>
      <c r="CQ67" s="130">
        <f t="shared" si="342"/>
        <v>0</v>
      </c>
      <c r="CR67" s="130">
        <f t="shared" si="343"/>
        <v>257.61760000000004</v>
      </c>
      <c r="CS67" s="130" t="s">
        <v>236</v>
      </c>
      <c r="CT67" s="130" t="s">
        <v>236</v>
      </c>
      <c r="CU67" s="145" t="str">
        <f t="shared" si="344"/>
        <v>AADCS0655F</v>
      </c>
      <c r="CV67" s="145" t="str">
        <f t="shared" si="345"/>
        <v>GOWPS6814G</v>
      </c>
    </row>
    <row r="68" spans="2:100" s="152" customFormat="1" ht="11.85" customHeight="1" x14ac:dyDescent="0.25">
      <c r="B68" s="123" t="str">
        <f t="shared" si="310"/>
        <v>Q1</v>
      </c>
      <c r="C68" s="124" t="str">
        <f t="shared" si="311"/>
        <v>May-26</v>
      </c>
      <c r="D68" s="125">
        <v>46150</v>
      </c>
      <c r="E68" s="126" t="s">
        <v>522</v>
      </c>
      <c r="F68" s="126" t="s">
        <v>511</v>
      </c>
      <c r="G68" s="126" t="s">
        <v>512</v>
      </c>
      <c r="H68" s="127" t="s">
        <v>523</v>
      </c>
      <c r="I68" s="349">
        <v>46150</v>
      </c>
      <c r="J68" s="350" t="s">
        <v>524</v>
      </c>
      <c r="K68" s="349">
        <v>46151</v>
      </c>
      <c r="L68" s="126" t="s">
        <v>237</v>
      </c>
      <c r="M68" s="126" t="s">
        <v>525</v>
      </c>
      <c r="N68" s="127" t="s">
        <v>526</v>
      </c>
      <c r="O68" s="126">
        <v>1</v>
      </c>
      <c r="P68" s="283">
        <v>85.27</v>
      </c>
      <c r="Q68" s="128">
        <f t="shared" si="312"/>
        <v>85.27</v>
      </c>
      <c r="R68" s="129">
        <v>0</v>
      </c>
      <c r="S68" s="128">
        <f t="shared" si="313"/>
        <v>1</v>
      </c>
      <c r="T68" s="129">
        <v>0</v>
      </c>
      <c r="U68" s="130">
        <v>0</v>
      </c>
      <c r="V68" s="131">
        <v>0</v>
      </c>
      <c r="W68" s="130">
        <v>0</v>
      </c>
      <c r="X68" s="132">
        <v>0</v>
      </c>
      <c r="Y68" s="130">
        <v>0</v>
      </c>
      <c r="Z68" s="130">
        <v>0</v>
      </c>
      <c r="AA68" s="129">
        <v>0</v>
      </c>
      <c r="AB68" s="133">
        <f t="shared" si="314"/>
        <v>0</v>
      </c>
      <c r="AC68" s="132">
        <v>0</v>
      </c>
      <c r="AD68" s="128">
        <v>0</v>
      </c>
      <c r="AE68" s="147">
        <v>0</v>
      </c>
      <c r="AF68" s="130">
        <v>0</v>
      </c>
      <c r="AG68" s="134">
        <v>0</v>
      </c>
      <c r="AH68" s="130">
        <v>0</v>
      </c>
      <c r="AI68" s="131">
        <v>0</v>
      </c>
      <c r="AJ68" s="130">
        <v>0</v>
      </c>
      <c r="AK68" s="130">
        <v>0</v>
      </c>
      <c r="AL68" s="130">
        <v>0</v>
      </c>
      <c r="AM68" s="135">
        <f t="shared" si="315"/>
        <v>85.27</v>
      </c>
      <c r="AN68" s="136">
        <v>46151</v>
      </c>
      <c r="AO68" s="137" t="s">
        <v>540</v>
      </c>
      <c r="AP68" s="138" t="s">
        <v>532</v>
      </c>
      <c r="AQ68" s="139" t="s">
        <v>533</v>
      </c>
      <c r="AR68" s="139" t="s">
        <v>534</v>
      </c>
      <c r="AS68" s="126" t="s">
        <v>541</v>
      </c>
      <c r="AT68" s="140" t="s">
        <v>360</v>
      </c>
      <c r="AU68" s="140" t="s">
        <v>361</v>
      </c>
      <c r="AV68" s="141" t="s">
        <v>542</v>
      </c>
      <c r="AW68" s="139">
        <v>1</v>
      </c>
      <c r="AX68" s="141">
        <v>125</v>
      </c>
      <c r="AY68" s="139">
        <f t="shared" si="316"/>
        <v>125</v>
      </c>
      <c r="AZ68" s="142" t="b">
        <f t="shared" si="317"/>
        <v>1</v>
      </c>
      <c r="BA68" s="128">
        <v>0</v>
      </c>
      <c r="BB68" s="143">
        <f t="shared" si="318"/>
        <v>1</v>
      </c>
      <c r="BC68" s="144">
        <v>0</v>
      </c>
      <c r="BD68" s="143" t="s">
        <v>109</v>
      </c>
      <c r="BE68" s="144">
        <v>0</v>
      </c>
      <c r="BF68" s="143">
        <v>0</v>
      </c>
      <c r="BG68" s="144">
        <v>0</v>
      </c>
      <c r="BH68" s="130">
        <v>0</v>
      </c>
      <c r="BI68" s="133">
        <v>0</v>
      </c>
      <c r="BJ68" s="131">
        <v>0</v>
      </c>
      <c r="BK68" s="128">
        <v>0</v>
      </c>
      <c r="BL68" s="139">
        <v>0</v>
      </c>
      <c r="BM68" s="130">
        <v>0</v>
      </c>
      <c r="BN68" s="145">
        <f t="shared" si="319"/>
        <v>0</v>
      </c>
      <c r="BO68" s="129">
        <f t="shared" si="320"/>
        <v>125</v>
      </c>
      <c r="BP68" s="135">
        <f t="shared" si="321"/>
        <v>39.730000000000004</v>
      </c>
      <c r="BQ68" s="144" t="str">
        <f t="shared" si="322"/>
        <v>Positive Margin</v>
      </c>
      <c r="BR68" s="146" t="s">
        <v>209</v>
      </c>
      <c r="BS68" s="128">
        <f t="shared" si="323"/>
        <v>39.730000000000004</v>
      </c>
      <c r="BT68" s="147" t="str">
        <f t="shared" si="324"/>
        <v>Positive Margin at Inception</v>
      </c>
      <c r="BU68" s="148">
        <f t="shared" si="325"/>
        <v>0.31784000000000001</v>
      </c>
      <c r="BV68" s="147" t="str">
        <f t="shared" si="326"/>
        <v>More than 2%</v>
      </c>
      <c r="BW68" s="128">
        <f t="shared" si="327"/>
        <v>0</v>
      </c>
      <c r="BX68" s="129">
        <f t="shared" si="328"/>
        <v>0</v>
      </c>
      <c r="BY68" s="128">
        <f t="shared" si="329"/>
        <v>0</v>
      </c>
      <c r="BZ68" s="149">
        <f t="shared" si="330"/>
        <v>0</v>
      </c>
      <c r="CA68" s="149">
        <f t="shared" si="331"/>
        <v>0</v>
      </c>
      <c r="CB68" s="130">
        <f t="shared" si="332"/>
        <v>0</v>
      </c>
      <c r="CC68" s="149" t="s">
        <v>282</v>
      </c>
      <c r="CD68" s="130">
        <v>0</v>
      </c>
      <c r="CE68" s="130">
        <f t="shared" si="333"/>
        <v>85.27</v>
      </c>
      <c r="CF68" s="130">
        <f t="shared" si="334"/>
        <v>125</v>
      </c>
      <c r="CG68" s="130">
        <f t="shared" si="335"/>
        <v>6</v>
      </c>
      <c r="CH68" s="150">
        <v>0</v>
      </c>
      <c r="CI68" s="130">
        <v>0</v>
      </c>
      <c r="CJ68" s="130" t="e">
        <f>_xlfn.XLOOKUP(AP68,POC!B:B,POC!D:D)</f>
        <v>#N/A</v>
      </c>
      <c r="CK68" s="130">
        <f t="shared" si="336"/>
        <v>39.730000000000004</v>
      </c>
      <c r="CL68" s="130">
        <f t="shared" si="337"/>
        <v>39.730000000000004</v>
      </c>
      <c r="CM68" s="130">
        <f t="shared" si="338"/>
        <v>39.730000000000004</v>
      </c>
      <c r="CN68" s="130">
        <f t="shared" si="339"/>
        <v>147.5</v>
      </c>
      <c r="CO68" s="130">
        <f t="shared" si="340"/>
        <v>-100.61859999999999</v>
      </c>
      <c r="CP68" s="130">
        <f t="shared" si="341"/>
        <v>0</v>
      </c>
      <c r="CQ68" s="130">
        <f t="shared" si="342"/>
        <v>0</v>
      </c>
      <c r="CR68" s="130">
        <f t="shared" si="343"/>
        <v>46.881400000000014</v>
      </c>
      <c r="CS68" s="130" t="s">
        <v>236</v>
      </c>
      <c r="CT68" s="130" t="s">
        <v>236</v>
      </c>
      <c r="CU68" s="145" t="str">
        <f t="shared" si="344"/>
        <v>AADCS0655F</v>
      </c>
      <c r="CV68" s="145" t="str">
        <f t="shared" si="345"/>
        <v>GOWPS6814G</v>
      </c>
    </row>
    <row r="69" spans="2:100" s="152" customFormat="1" ht="11.85" customHeight="1" x14ac:dyDescent="0.25">
      <c r="B69" s="123" t="str">
        <f t="shared" si="310"/>
        <v>Q1</v>
      </c>
      <c r="C69" s="124" t="str">
        <f t="shared" si="311"/>
        <v>May-26</v>
      </c>
      <c r="D69" s="125">
        <v>46150</v>
      </c>
      <c r="E69" s="126" t="s">
        <v>522</v>
      </c>
      <c r="F69" s="126" t="s">
        <v>511</v>
      </c>
      <c r="G69" s="126" t="s">
        <v>512</v>
      </c>
      <c r="H69" s="127" t="s">
        <v>523</v>
      </c>
      <c r="I69" s="349">
        <v>46150</v>
      </c>
      <c r="J69" s="350" t="s">
        <v>524</v>
      </c>
      <c r="K69" s="349">
        <v>46151</v>
      </c>
      <c r="L69" s="126" t="s">
        <v>237</v>
      </c>
      <c r="M69" s="126" t="s">
        <v>525</v>
      </c>
      <c r="N69" s="127" t="s">
        <v>516</v>
      </c>
      <c r="O69" s="126">
        <v>1</v>
      </c>
      <c r="P69" s="283">
        <v>58.9</v>
      </c>
      <c r="Q69" s="128">
        <f t="shared" si="312"/>
        <v>58.9</v>
      </c>
      <c r="R69" s="129">
        <v>0</v>
      </c>
      <c r="S69" s="128">
        <f t="shared" si="313"/>
        <v>1</v>
      </c>
      <c r="T69" s="129">
        <v>0</v>
      </c>
      <c r="U69" s="130">
        <v>0</v>
      </c>
      <c r="V69" s="131">
        <v>0</v>
      </c>
      <c r="W69" s="130">
        <v>0</v>
      </c>
      <c r="X69" s="132">
        <v>0</v>
      </c>
      <c r="Y69" s="130">
        <v>0</v>
      </c>
      <c r="Z69" s="130">
        <v>0</v>
      </c>
      <c r="AA69" s="129">
        <v>0</v>
      </c>
      <c r="AB69" s="133">
        <f t="shared" si="314"/>
        <v>0</v>
      </c>
      <c r="AC69" s="132">
        <v>0</v>
      </c>
      <c r="AD69" s="128">
        <v>0</v>
      </c>
      <c r="AE69" s="147">
        <v>0</v>
      </c>
      <c r="AF69" s="130">
        <v>0</v>
      </c>
      <c r="AG69" s="134">
        <v>0</v>
      </c>
      <c r="AH69" s="130">
        <v>0</v>
      </c>
      <c r="AI69" s="131">
        <v>0</v>
      </c>
      <c r="AJ69" s="130">
        <v>0</v>
      </c>
      <c r="AK69" s="130">
        <v>0</v>
      </c>
      <c r="AL69" s="130">
        <v>0</v>
      </c>
      <c r="AM69" s="135">
        <f t="shared" si="315"/>
        <v>58.9</v>
      </c>
      <c r="AN69" s="136">
        <v>46151</v>
      </c>
      <c r="AO69" s="137" t="s">
        <v>540</v>
      </c>
      <c r="AP69" s="138" t="s">
        <v>532</v>
      </c>
      <c r="AQ69" s="139" t="s">
        <v>533</v>
      </c>
      <c r="AR69" s="139" t="s">
        <v>534</v>
      </c>
      <c r="AS69" s="126" t="s">
        <v>541</v>
      </c>
      <c r="AT69" s="140" t="s">
        <v>360</v>
      </c>
      <c r="AU69" s="140" t="s">
        <v>361</v>
      </c>
      <c r="AV69" s="141" t="s">
        <v>542</v>
      </c>
      <c r="AW69" s="139">
        <v>1</v>
      </c>
      <c r="AX69" s="141">
        <v>86</v>
      </c>
      <c r="AY69" s="139">
        <f t="shared" si="316"/>
        <v>86</v>
      </c>
      <c r="AZ69" s="142" t="b">
        <f t="shared" si="317"/>
        <v>1</v>
      </c>
      <c r="BA69" s="128">
        <v>0</v>
      </c>
      <c r="BB69" s="143">
        <f t="shared" si="318"/>
        <v>1</v>
      </c>
      <c r="BC69" s="144">
        <v>0</v>
      </c>
      <c r="BD69" s="143" t="s">
        <v>109</v>
      </c>
      <c r="BE69" s="144">
        <v>0</v>
      </c>
      <c r="BF69" s="143">
        <v>0</v>
      </c>
      <c r="BG69" s="144">
        <v>0</v>
      </c>
      <c r="BH69" s="130">
        <v>0</v>
      </c>
      <c r="BI69" s="133">
        <v>0</v>
      </c>
      <c r="BJ69" s="131">
        <v>0</v>
      </c>
      <c r="BK69" s="128">
        <v>0</v>
      </c>
      <c r="BL69" s="139">
        <v>0</v>
      </c>
      <c r="BM69" s="130">
        <v>0</v>
      </c>
      <c r="BN69" s="145">
        <f t="shared" si="319"/>
        <v>0</v>
      </c>
      <c r="BO69" s="129">
        <f t="shared" si="320"/>
        <v>86</v>
      </c>
      <c r="BP69" s="135">
        <f t="shared" si="321"/>
        <v>27.1</v>
      </c>
      <c r="BQ69" s="144" t="str">
        <f t="shared" si="322"/>
        <v>Positive Margin</v>
      </c>
      <c r="BR69" s="146" t="s">
        <v>209</v>
      </c>
      <c r="BS69" s="128">
        <f t="shared" si="323"/>
        <v>27.1</v>
      </c>
      <c r="BT69" s="147" t="str">
        <f t="shared" si="324"/>
        <v>Positive Margin at Inception</v>
      </c>
      <c r="BU69" s="148">
        <f t="shared" si="325"/>
        <v>0.31511627906976747</v>
      </c>
      <c r="BV69" s="147" t="str">
        <f t="shared" si="326"/>
        <v>More than 2%</v>
      </c>
      <c r="BW69" s="128">
        <f t="shared" si="327"/>
        <v>0</v>
      </c>
      <c r="BX69" s="129">
        <f t="shared" si="328"/>
        <v>0</v>
      </c>
      <c r="BY69" s="128">
        <f t="shared" si="329"/>
        <v>0</v>
      </c>
      <c r="BZ69" s="149">
        <f t="shared" si="330"/>
        <v>0</v>
      </c>
      <c r="CA69" s="149">
        <f t="shared" si="331"/>
        <v>0</v>
      </c>
      <c r="CB69" s="130">
        <f t="shared" si="332"/>
        <v>0</v>
      </c>
      <c r="CC69" s="149" t="s">
        <v>282</v>
      </c>
      <c r="CD69" s="130">
        <v>0</v>
      </c>
      <c r="CE69" s="130">
        <f t="shared" si="333"/>
        <v>58.9</v>
      </c>
      <c r="CF69" s="130">
        <f t="shared" si="334"/>
        <v>86</v>
      </c>
      <c r="CG69" s="130">
        <f t="shared" si="335"/>
        <v>6</v>
      </c>
      <c r="CH69" s="150">
        <v>0</v>
      </c>
      <c r="CI69" s="130">
        <v>0</v>
      </c>
      <c r="CJ69" s="130" t="e">
        <f>_xlfn.XLOOKUP(AP69,POC!B:B,POC!D:D)</f>
        <v>#N/A</v>
      </c>
      <c r="CK69" s="130">
        <f t="shared" si="336"/>
        <v>27.1</v>
      </c>
      <c r="CL69" s="130">
        <f t="shared" si="337"/>
        <v>27.1</v>
      </c>
      <c r="CM69" s="130">
        <f t="shared" si="338"/>
        <v>27.1</v>
      </c>
      <c r="CN69" s="130">
        <f t="shared" si="339"/>
        <v>101.47999999999999</v>
      </c>
      <c r="CO69" s="130">
        <f t="shared" si="340"/>
        <v>-69.501999999999995</v>
      </c>
      <c r="CP69" s="130">
        <f t="shared" si="341"/>
        <v>0</v>
      </c>
      <c r="CQ69" s="130">
        <f t="shared" si="342"/>
        <v>0</v>
      </c>
      <c r="CR69" s="130">
        <f t="shared" si="343"/>
        <v>31.977999999999994</v>
      </c>
      <c r="CS69" s="130" t="s">
        <v>236</v>
      </c>
      <c r="CT69" s="130" t="s">
        <v>236</v>
      </c>
      <c r="CU69" s="145" t="str">
        <f t="shared" si="344"/>
        <v>AADCS0655F</v>
      </c>
      <c r="CV69" s="145" t="str">
        <f t="shared" si="345"/>
        <v>GOWPS6814G</v>
      </c>
    </row>
    <row r="70" spans="2:100" s="152" customFormat="1" ht="11.85" customHeight="1" x14ac:dyDescent="0.25">
      <c r="B70" s="123" t="str">
        <f t="shared" si="310"/>
        <v>Q1</v>
      </c>
      <c r="C70" s="124" t="str">
        <f t="shared" si="311"/>
        <v>May-26</v>
      </c>
      <c r="D70" s="125">
        <v>46150</v>
      </c>
      <c r="E70" s="126" t="s">
        <v>522</v>
      </c>
      <c r="F70" s="126" t="s">
        <v>511</v>
      </c>
      <c r="G70" s="126" t="s">
        <v>512</v>
      </c>
      <c r="H70" s="127" t="s">
        <v>523</v>
      </c>
      <c r="I70" s="349">
        <v>46150</v>
      </c>
      <c r="J70" s="350" t="s">
        <v>524</v>
      </c>
      <c r="K70" s="349">
        <v>46151</v>
      </c>
      <c r="L70" s="126" t="s">
        <v>237</v>
      </c>
      <c r="M70" s="126" t="s">
        <v>525</v>
      </c>
      <c r="N70" s="127" t="s">
        <v>527</v>
      </c>
      <c r="O70" s="126">
        <v>1</v>
      </c>
      <c r="P70" s="283">
        <v>224.17</v>
      </c>
      <c r="Q70" s="128">
        <f t="shared" si="312"/>
        <v>224.17</v>
      </c>
      <c r="R70" s="129">
        <v>0</v>
      </c>
      <c r="S70" s="128">
        <f t="shared" si="313"/>
        <v>1</v>
      </c>
      <c r="T70" s="129">
        <v>0</v>
      </c>
      <c r="U70" s="130">
        <v>0</v>
      </c>
      <c r="V70" s="131">
        <v>0</v>
      </c>
      <c r="W70" s="130">
        <v>0</v>
      </c>
      <c r="X70" s="132">
        <v>0</v>
      </c>
      <c r="Y70" s="130">
        <v>0</v>
      </c>
      <c r="Z70" s="130">
        <v>0</v>
      </c>
      <c r="AA70" s="129">
        <v>0</v>
      </c>
      <c r="AB70" s="133">
        <f t="shared" si="314"/>
        <v>0</v>
      </c>
      <c r="AC70" s="132">
        <v>0</v>
      </c>
      <c r="AD70" s="128">
        <v>0</v>
      </c>
      <c r="AE70" s="147">
        <v>0</v>
      </c>
      <c r="AF70" s="130">
        <v>0</v>
      </c>
      <c r="AG70" s="134">
        <v>0</v>
      </c>
      <c r="AH70" s="130">
        <v>0</v>
      </c>
      <c r="AI70" s="131">
        <v>0</v>
      </c>
      <c r="AJ70" s="130">
        <v>0</v>
      </c>
      <c r="AK70" s="130">
        <v>0</v>
      </c>
      <c r="AL70" s="130">
        <v>0</v>
      </c>
      <c r="AM70" s="135">
        <f t="shared" si="315"/>
        <v>224.17</v>
      </c>
      <c r="AN70" s="136">
        <v>46151</v>
      </c>
      <c r="AO70" s="137" t="s">
        <v>540</v>
      </c>
      <c r="AP70" s="138" t="s">
        <v>532</v>
      </c>
      <c r="AQ70" s="139" t="s">
        <v>533</v>
      </c>
      <c r="AR70" s="139" t="s">
        <v>534</v>
      </c>
      <c r="AS70" s="126" t="s">
        <v>541</v>
      </c>
      <c r="AT70" s="140" t="s">
        <v>360</v>
      </c>
      <c r="AU70" s="140" t="s">
        <v>361</v>
      </c>
      <c r="AV70" s="141" t="s">
        <v>542</v>
      </c>
      <c r="AW70" s="139">
        <v>1</v>
      </c>
      <c r="AX70" s="141">
        <v>330</v>
      </c>
      <c r="AY70" s="139">
        <f t="shared" si="316"/>
        <v>330</v>
      </c>
      <c r="AZ70" s="142" t="b">
        <f t="shared" si="317"/>
        <v>1</v>
      </c>
      <c r="BA70" s="128">
        <v>0</v>
      </c>
      <c r="BB70" s="143">
        <f t="shared" si="318"/>
        <v>1</v>
      </c>
      <c r="BC70" s="144">
        <v>0</v>
      </c>
      <c r="BD70" s="143" t="s">
        <v>109</v>
      </c>
      <c r="BE70" s="144">
        <v>0</v>
      </c>
      <c r="BF70" s="143">
        <v>0</v>
      </c>
      <c r="BG70" s="144">
        <v>0</v>
      </c>
      <c r="BH70" s="130">
        <v>0</v>
      </c>
      <c r="BI70" s="133">
        <v>0</v>
      </c>
      <c r="BJ70" s="131">
        <v>0</v>
      </c>
      <c r="BK70" s="128">
        <v>0</v>
      </c>
      <c r="BL70" s="139">
        <v>0</v>
      </c>
      <c r="BM70" s="130">
        <v>0</v>
      </c>
      <c r="BN70" s="145">
        <f t="shared" si="319"/>
        <v>0</v>
      </c>
      <c r="BO70" s="129">
        <f t="shared" si="320"/>
        <v>330</v>
      </c>
      <c r="BP70" s="135">
        <f t="shared" si="321"/>
        <v>105.83000000000001</v>
      </c>
      <c r="BQ70" s="144" t="str">
        <f t="shared" si="322"/>
        <v>Positive Margin</v>
      </c>
      <c r="BR70" s="146" t="s">
        <v>209</v>
      </c>
      <c r="BS70" s="128">
        <f t="shared" si="323"/>
        <v>105.83000000000001</v>
      </c>
      <c r="BT70" s="147" t="str">
        <f t="shared" si="324"/>
        <v>Positive Margin at Inception</v>
      </c>
      <c r="BU70" s="148">
        <f t="shared" si="325"/>
        <v>0.32069696969696976</v>
      </c>
      <c r="BV70" s="147" t="str">
        <f t="shared" si="326"/>
        <v>More than 2%</v>
      </c>
      <c r="BW70" s="128">
        <f t="shared" si="327"/>
        <v>0</v>
      </c>
      <c r="BX70" s="129">
        <f t="shared" si="328"/>
        <v>0</v>
      </c>
      <c r="BY70" s="128">
        <f t="shared" si="329"/>
        <v>0</v>
      </c>
      <c r="BZ70" s="149">
        <f t="shared" si="330"/>
        <v>0</v>
      </c>
      <c r="CA70" s="149">
        <f t="shared" si="331"/>
        <v>0</v>
      </c>
      <c r="CB70" s="130">
        <f t="shared" si="332"/>
        <v>0</v>
      </c>
      <c r="CC70" s="149" t="s">
        <v>282</v>
      </c>
      <c r="CD70" s="130">
        <v>0</v>
      </c>
      <c r="CE70" s="130">
        <f t="shared" si="333"/>
        <v>224.17</v>
      </c>
      <c r="CF70" s="130">
        <f t="shared" si="334"/>
        <v>330</v>
      </c>
      <c r="CG70" s="130">
        <f t="shared" si="335"/>
        <v>6</v>
      </c>
      <c r="CH70" s="150">
        <v>0</v>
      </c>
      <c r="CI70" s="130">
        <v>0</v>
      </c>
      <c r="CJ70" s="130" t="e">
        <f>_xlfn.XLOOKUP(AP70,POC!B:B,POC!D:D)</f>
        <v>#N/A</v>
      </c>
      <c r="CK70" s="130">
        <f t="shared" si="336"/>
        <v>105.83000000000001</v>
      </c>
      <c r="CL70" s="130">
        <f t="shared" si="337"/>
        <v>105.83000000000001</v>
      </c>
      <c r="CM70" s="130">
        <f t="shared" si="338"/>
        <v>105.83000000000001</v>
      </c>
      <c r="CN70" s="130">
        <f t="shared" si="339"/>
        <v>389.4</v>
      </c>
      <c r="CO70" s="130">
        <f t="shared" si="340"/>
        <v>-264.52059999999994</v>
      </c>
      <c r="CP70" s="130">
        <f t="shared" si="341"/>
        <v>0</v>
      </c>
      <c r="CQ70" s="130">
        <f t="shared" si="342"/>
        <v>0</v>
      </c>
      <c r="CR70" s="130">
        <f t="shared" si="343"/>
        <v>124.87940000000003</v>
      </c>
      <c r="CS70" s="130" t="s">
        <v>236</v>
      </c>
      <c r="CT70" s="130" t="s">
        <v>236</v>
      </c>
      <c r="CU70" s="145" t="str">
        <f t="shared" si="344"/>
        <v>AADCS0655F</v>
      </c>
      <c r="CV70" s="145" t="str">
        <f t="shared" si="345"/>
        <v>GOWPS6814G</v>
      </c>
    </row>
    <row r="71" spans="2:100" s="152" customFormat="1" ht="11.85" customHeight="1" x14ac:dyDescent="0.25">
      <c r="B71" s="123" t="str">
        <f t="shared" si="310"/>
        <v>Q1</v>
      </c>
      <c r="C71" s="124" t="str">
        <f t="shared" si="311"/>
        <v>May-26</v>
      </c>
      <c r="D71" s="125">
        <v>46150</v>
      </c>
      <c r="E71" s="126" t="s">
        <v>522</v>
      </c>
      <c r="F71" s="126" t="s">
        <v>511</v>
      </c>
      <c r="G71" s="126" t="s">
        <v>512</v>
      </c>
      <c r="H71" s="127" t="s">
        <v>523</v>
      </c>
      <c r="I71" s="349">
        <v>46150</v>
      </c>
      <c r="J71" s="350" t="s">
        <v>524</v>
      </c>
      <c r="K71" s="349">
        <v>46151</v>
      </c>
      <c r="L71" s="126" t="s">
        <v>237</v>
      </c>
      <c r="M71" s="126" t="s">
        <v>525</v>
      </c>
      <c r="N71" s="127" t="s">
        <v>516</v>
      </c>
      <c r="O71" s="126">
        <v>1</v>
      </c>
      <c r="P71" s="283">
        <v>55.88</v>
      </c>
      <c r="Q71" s="128">
        <f t="shared" si="312"/>
        <v>55.88</v>
      </c>
      <c r="R71" s="129">
        <v>0</v>
      </c>
      <c r="S71" s="128">
        <f t="shared" si="313"/>
        <v>1</v>
      </c>
      <c r="T71" s="129">
        <v>0</v>
      </c>
      <c r="U71" s="130">
        <v>0</v>
      </c>
      <c r="V71" s="131">
        <v>0</v>
      </c>
      <c r="W71" s="130">
        <v>0</v>
      </c>
      <c r="X71" s="132">
        <v>0</v>
      </c>
      <c r="Y71" s="130">
        <v>0</v>
      </c>
      <c r="Z71" s="130">
        <v>0</v>
      </c>
      <c r="AA71" s="129">
        <v>0</v>
      </c>
      <c r="AB71" s="133">
        <f t="shared" si="314"/>
        <v>0</v>
      </c>
      <c r="AC71" s="132">
        <v>0</v>
      </c>
      <c r="AD71" s="128">
        <v>0</v>
      </c>
      <c r="AE71" s="147">
        <v>0</v>
      </c>
      <c r="AF71" s="130">
        <v>0</v>
      </c>
      <c r="AG71" s="134">
        <v>0</v>
      </c>
      <c r="AH71" s="130">
        <v>0</v>
      </c>
      <c r="AI71" s="131">
        <v>0</v>
      </c>
      <c r="AJ71" s="130">
        <v>0</v>
      </c>
      <c r="AK71" s="130">
        <v>0</v>
      </c>
      <c r="AL71" s="130">
        <v>0</v>
      </c>
      <c r="AM71" s="135">
        <f t="shared" si="315"/>
        <v>55.88</v>
      </c>
      <c r="AN71" s="136">
        <v>46151</v>
      </c>
      <c r="AO71" s="137" t="s">
        <v>540</v>
      </c>
      <c r="AP71" s="138" t="s">
        <v>532</v>
      </c>
      <c r="AQ71" s="139" t="s">
        <v>533</v>
      </c>
      <c r="AR71" s="139" t="s">
        <v>534</v>
      </c>
      <c r="AS71" s="126" t="s">
        <v>541</v>
      </c>
      <c r="AT71" s="140" t="s">
        <v>360</v>
      </c>
      <c r="AU71" s="140" t="s">
        <v>361</v>
      </c>
      <c r="AV71" s="141" t="s">
        <v>542</v>
      </c>
      <c r="AW71" s="139">
        <v>1</v>
      </c>
      <c r="AX71" s="141">
        <v>82</v>
      </c>
      <c r="AY71" s="139">
        <f t="shared" si="316"/>
        <v>82</v>
      </c>
      <c r="AZ71" s="142" t="b">
        <f t="shared" si="317"/>
        <v>1</v>
      </c>
      <c r="BA71" s="128">
        <v>0</v>
      </c>
      <c r="BB71" s="143">
        <f t="shared" si="318"/>
        <v>1</v>
      </c>
      <c r="BC71" s="144">
        <v>0</v>
      </c>
      <c r="BD71" s="143" t="s">
        <v>109</v>
      </c>
      <c r="BE71" s="144">
        <v>0</v>
      </c>
      <c r="BF71" s="143">
        <v>0</v>
      </c>
      <c r="BG71" s="144">
        <v>0</v>
      </c>
      <c r="BH71" s="130">
        <v>0</v>
      </c>
      <c r="BI71" s="133">
        <v>0</v>
      </c>
      <c r="BJ71" s="131">
        <v>0</v>
      </c>
      <c r="BK71" s="128">
        <v>0</v>
      </c>
      <c r="BL71" s="139">
        <v>0</v>
      </c>
      <c r="BM71" s="130">
        <v>0</v>
      </c>
      <c r="BN71" s="145">
        <f t="shared" si="319"/>
        <v>0</v>
      </c>
      <c r="BO71" s="129">
        <f t="shared" si="320"/>
        <v>82</v>
      </c>
      <c r="BP71" s="135">
        <f t="shared" si="321"/>
        <v>26.119999999999997</v>
      </c>
      <c r="BQ71" s="144" t="str">
        <f t="shared" si="322"/>
        <v>Positive Margin</v>
      </c>
      <c r="BR71" s="146" t="s">
        <v>209</v>
      </c>
      <c r="BS71" s="128">
        <f t="shared" si="323"/>
        <v>26.119999999999997</v>
      </c>
      <c r="BT71" s="147" t="str">
        <f t="shared" si="324"/>
        <v>Positive Margin at Inception</v>
      </c>
      <c r="BU71" s="148">
        <f t="shared" si="325"/>
        <v>0.31853658536585361</v>
      </c>
      <c r="BV71" s="147" t="str">
        <f t="shared" si="326"/>
        <v>More than 2%</v>
      </c>
      <c r="BW71" s="128">
        <f t="shared" si="327"/>
        <v>0</v>
      </c>
      <c r="BX71" s="129">
        <f t="shared" si="328"/>
        <v>0</v>
      </c>
      <c r="BY71" s="128">
        <f t="shared" si="329"/>
        <v>0</v>
      </c>
      <c r="BZ71" s="149">
        <f t="shared" si="330"/>
        <v>0</v>
      </c>
      <c r="CA71" s="149">
        <f t="shared" si="331"/>
        <v>0</v>
      </c>
      <c r="CB71" s="130">
        <f t="shared" si="332"/>
        <v>0</v>
      </c>
      <c r="CC71" s="149" t="s">
        <v>282</v>
      </c>
      <c r="CD71" s="130">
        <v>0</v>
      </c>
      <c r="CE71" s="130">
        <f t="shared" si="333"/>
        <v>55.88</v>
      </c>
      <c r="CF71" s="130">
        <f t="shared" si="334"/>
        <v>82</v>
      </c>
      <c r="CG71" s="130">
        <f t="shared" si="335"/>
        <v>6</v>
      </c>
      <c r="CH71" s="150">
        <v>0</v>
      </c>
      <c r="CI71" s="130">
        <v>0</v>
      </c>
      <c r="CJ71" s="130" t="e">
        <f>_xlfn.XLOOKUP(AP71,POC!B:B,POC!D:D)</f>
        <v>#N/A</v>
      </c>
      <c r="CK71" s="130">
        <f t="shared" si="336"/>
        <v>26.119999999999997</v>
      </c>
      <c r="CL71" s="130">
        <f t="shared" si="337"/>
        <v>26.119999999999997</v>
      </c>
      <c r="CM71" s="130">
        <f t="shared" si="338"/>
        <v>26.119999999999997</v>
      </c>
      <c r="CN71" s="130">
        <f t="shared" si="339"/>
        <v>96.759999999999991</v>
      </c>
      <c r="CO71" s="130">
        <f t="shared" si="340"/>
        <v>-65.938400000000001</v>
      </c>
      <c r="CP71" s="130">
        <f t="shared" si="341"/>
        <v>0</v>
      </c>
      <c r="CQ71" s="130">
        <f t="shared" si="342"/>
        <v>0</v>
      </c>
      <c r="CR71" s="130">
        <f t="shared" si="343"/>
        <v>30.821599999999989</v>
      </c>
      <c r="CS71" s="130" t="s">
        <v>236</v>
      </c>
      <c r="CT71" s="130" t="s">
        <v>236</v>
      </c>
      <c r="CU71" s="145" t="str">
        <f t="shared" si="344"/>
        <v>AADCS0655F</v>
      </c>
      <c r="CV71" s="145" t="str">
        <f t="shared" si="345"/>
        <v>GOWPS6814G</v>
      </c>
    </row>
    <row r="72" spans="2:100" s="152" customFormat="1" ht="11.85" customHeight="1" x14ac:dyDescent="0.25">
      <c r="B72" s="123" t="str">
        <f t="shared" si="310"/>
        <v>Q1</v>
      </c>
      <c r="C72" s="124" t="str">
        <f t="shared" si="311"/>
        <v>May-26</v>
      </c>
      <c r="D72" s="125">
        <v>46150</v>
      </c>
      <c r="E72" s="126" t="s">
        <v>522</v>
      </c>
      <c r="F72" s="126" t="s">
        <v>511</v>
      </c>
      <c r="G72" s="126" t="s">
        <v>512</v>
      </c>
      <c r="H72" s="127" t="s">
        <v>523</v>
      </c>
      <c r="I72" s="349">
        <v>46150</v>
      </c>
      <c r="J72" s="350" t="s">
        <v>524</v>
      </c>
      <c r="K72" s="349">
        <v>46151</v>
      </c>
      <c r="L72" s="126" t="s">
        <v>237</v>
      </c>
      <c r="M72" s="126" t="s">
        <v>525</v>
      </c>
      <c r="N72" s="127" t="s">
        <v>526</v>
      </c>
      <c r="O72" s="126">
        <v>1</v>
      </c>
      <c r="P72" s="283">
        <v>78.23</v>
      </c>
      <c r="Q72" s="128">
        <f t="shared" si="312"/>
        <v>78.23</v>
      </c>
      <c r="R72" s="129">
        <v>0</v>
      </c>
      <c r="S72" s="128">
        <f t="shared" si="313"/>
        <v>1</v>
      </c>
      <c r="T72" s="129">
        <v>0</v>
      </c>
      <c r="U72" s="130">
        <v>0</v>
      </c>
      <c r="V72" s="131">
        <v>0</v>
      </c>
      <c r="W72" s="130">
        <v>0</v>
      </c>
      <c r="X72" s="132">
        <v>0</v>
      </c>
      <c r="Y72" s="130">
        <v>0</v>
      </c>
      <c r="Z72" s="130">
        <v>0</v>
      </c>
      <c r="AA72" s="129">
        <v>0</v>
      </c>
      <c r="AB72" s="133">
        <f t="shared" si="314"/>
        <v>0</v>
      </c>
      <c r="AC72" s="132">
        <v>0</v>
      </c>
      <c r="AD72" s="128">
        <v>0</v>
      </c>
      <c r="AE72" s="147">
        <v>0</v>
      </c>
      <c r="AF72" s="130">
        <v>0</v>
      </c>
      <c r="AG72" s="134">
        <v>0</v>
      </c>
      <c r="AH72" s="130">
        <v>0</v>
      </c>
      <c r="AI72" s="131">
        <v>0</v>
      </c>
      <c r="AJ72" s="130">
        <v>0</v>
      </c>
      <c r="AK72" s="130">
        <v>0</v>
      </c>
      <c r="AL72" s="130">
        <v>0</v>
      </c>
      <c r="AM72" s="135">
        <f t="shared" si="315"/>
        <v>78.23</v>
      </c>
      <c r="AN72" s="136">
        <v>46151</v>
      </c>
      <c r="AO72" s="137" t="s">
        <v>540</v>
      </c>
      <c r="AP72" s="138" t="s">
        <v>532</v>
      </c>
      <c r="AQ72" s="139" t="s">
        <v>533</v>
      </c>
      <c r="AR72" s="139" t="s">
        <v>534</v>
      </c>
      <c r="AS72" s="126" t="s">
        <v>541</v>
      </c>
      <c r="AT72" s="140" t="s">
        <v>360</v>
      </c>
      <c r="AU72" s="140" t="s">
        <v>361</v>
      </c>
      <c r="AV72" s="141" t="s">
        <v>542</v>
      </c>
      <c r="AW72" s="139">
        <v>1</v>
      </c>
      <c r="AX72" s="141">
        <v>115</v>
      </c>
      <c r="AY72" s="139">
        <f t="shared" si="316"/>
        <v>115</v>
      </c>
      <c r="AZ72" s="142" t="b">
        <f t="shared" si="317"/>
        <v>1</v>
      </c>
      <c r="BA72" s="128">
        <v>0</v>
      </c>
      <c r="BB72" s="143">
        <f t="shared" si="318"/>
        <v>1</v>
      </c>
      <c r="BC72" s="144">
        <v>0</v>
      </c>
      <c r="BD72" s="143" t="s">
        <v>109</v>
      </c>
      <c r="BE72" s="144">
        <v>0</v>
      </c>
      <c r="BF72" s="143">
        <v>0</v>
      </c>
      <c r="BG72" s="144">
        <v>0</v>
      </c>
      <c r="BH72" s="130">
        <v>0</v>
      </c>
      <c r="BI72" s="133">
        <v>0</v>
      </c>
      <c r="BJ72" s="131">
        <v>0</v>
      </c>
      <c r="BK72" s="128">
        <v>0</v>
      </c>
      <c r="BL72" s="139">
        <v>0</v>
      </c>
      <c r="BM72" s="130">
        <v>0</v>
      </c>
      <c r="BN72" s="145">
        <f t="shared" si="319"/>
        <v>0</v>
      </c>
      <c r="BO72" s="129">
        <f t="shared" si="320"/>
        <v>115</v>
      </c>
      <c r="BP72" s="135">
        <f t="shared" si="321"/>
        <v>36.769999999999996</v>
      </c>
      <c r="BQ72" s="144" t="str">
        <f t="shared" si="322"/>
        <v>Positive Margin</v>
      </c>
      <c r="BR72" s="146" t="s">
        <v>209</v>
      </c>
      <c r="BS72" s="128">
        <f t="shared" si="323"/>
        <v>36.769999999999996</v>
      </c>
      <c r="BT72" s="147" t="str">
        <f t="shared" si="324"/>
        <v>Positive Margin at Inception</v>
      </c>
      <c r="BU72" s="148">
        <f t="shared" si="325"/>
        <v>0.31973913043478258</v>
      </c>
      <c r="BV72" s="147" t="str">
        <f t="shared" si="326"/>
        <v>More than 2%</v>
      </c>
      <c r="BW72" s="128">
        <f t="shared" si="327"/>
        <v>0</v>
      </c>
      <c r="BX72" s="129">
        <f t="shared" si="328"/>
        <v>0</v>
      </c>
      <c r="BY72" s="128">
        <f t="shared" si="329"/>
        <v>0</v>
      </c>
      <c r="BZ72" s="149">
        <f t="shared" si="330"/>
        <v>0</v>
      </c>
      <c r="CA72" s="149">
        <f t="shared" si="331"/>
        <v>0</v>
      </c>
      <c r="CB72" s="130">
        <f t="shared" si="332"/>
        <v>0</v>
      </c>
      <c r="CC72" s="149" t="s">
        <v>282</v>
      </c>
      <c r="CD72" s="130">
        <v>0</v>
      </c>
      <c r="CE72" s="130">
        <f t="shared" si="333"/>
        <v>78.23</v>
      </c>
      <c r="CF72" s="130">
        <f t="shared" si="334"/>
        <v>115</v>
      </c>
      <c r="CG72" s="130">
        <f t="shared" si="335"/>
        <v>6</v>
      </c>
      <c r="CH72" s="150">
        <v>0</v>
      </c>
      <c r="CI72" s="130">
        <v>0</v>
      </c>
      <c r="CJ72" s="130" t="e">
        <f>_xlfn.XLOOKUP(AP72,POC!B:B,POC!D:D)</f>
        <v>#N/A</v>
      </c>
      <c r="CK72" s="130">
        <f t="shared" si="336"/>
        <v>36.769999999999996</v>
      </c>
      <c r="CL72" s="130">
        <f t="shared" si="337"/>
        <v>36.769999999999996</v>
      </c>
      <c r="CM72" s="130">
        <f t="shared" si="338"/>
        <v>36.769999999999996</v>
      </c>
      <c r="CN72" s="130">
        <f t="shared" si="339"/>
        <v>135.69999999999999</v>
      </c>
      <c r="CO72" s="130">
        <f t="shared" si="340"/>
        <v>-92.311400000000006</v>
      </c>
      <c r="CP72" s="130">
        <f t="shared" si="341"/>
        <v>0</v>
      </c>
      <c r="CQ72" s="130">
        <f t="shared" si="342"/>
        <v>0</v>
      </c>
      <c r="CR72" s="130">
        <f t="shared" si="343"/>
        <v>43.388599999999983</v>
      </c>
      <c r="CS72" s="130" t="s">
        <v>236</v>
      </c>
      <c r="CT72" s="130" t="s">
        <v>236</v>
      </c>
      <c r="CU72" s="145" t="str">
        <f t="shared" si="344"/>
        <v>AADCS0655F</v>
      </c>
      <c r="CV72" s="145" t="str">
        <f t="shared" si="345"/>
        <v>GOWPS6814G</v>
      </c>
    </row>
    <row r="73" spans="2:100" s="152" customFormat="1" ht="11.85" customHeight="1" x14ac:dyDescent="0.25">
      <c r="B73" s="123" t="str">
        <f t="shared" si="310"/>
        <v>Q1</v>
      </c>
      <c r="C73" s="124" t="str">
        <f t="shared" si="311"/>
        <v>May-26</v>
      </c>
      <c r="D73" s="125">
        <v>46150</v>
      </c>
      <c r="E73" s="126" t="s">
        <v>522</v>
      </c>
      <c r="F73" s="126" t="s">
        <v>511</v>
      </c>
      <c r="G73" s="126" t="s">
        <v>512</v>
      </c>
      <c r="H73" s="127" t="s">
        <v>523</v>
      </c>
      <c r="I73" s="349">
        <v>46150</v>
      </c>
      <c r="J73" s="350" t="s">
        <v>524</v>
      </c>
      <c r="K73" s="349">
        <v>46151</v>
      </c>
      <c r="L73" s="126" t="s">
        <v>237</v>
      </c>
      <c r="M73" s="126" t="s">
        <v>525</v>
      </c>
      <c r="N73" s="127" t="s">
        <v>527</v>
      </c>
      <c r="O73" s="126">
        <v>1</v>
      </c>
      <c r="P73" s="283">
        <v>457.13</v>
      </c>
      <c r="Q73" s="128">
        <f t="shared" si="312"/>
        <v>457.13</v>
      </c>
      <c r="R73" s="129">
        <v>0</v>
      </c>
      <c r="S73" s="128">
        <f t="shared" si="313"/>
        <v>1</v>
      </c>
      <c r="T73" s="129">
        <v>0</v>
      </c>
      <c r="U73" s="130">
        <v>0</v>
      </c>
      <c r="V73" s="131">
        <v>0</v>
      </c>
      <c r="W73" s="130">
        <v>0</v>
      </c>
      <c r="X73" s="132">
        <v>0</v>
      </c>
      <c r="Y73" s="130">
        <v>0</v>
      </c>
      <c r="Z73" s="130">
        <v>0</v>
      </c>
      <c r="AA73" s="129">
        <v>0</v>
      </c>
      <c r="AB73" s="133">
        <f t="shared" si="314"/>
        <v>0</v>
      </c>
      <c r="AC73" s="132">
        <v>0</v>
      </c>
      <c r="AD73" s="128">
        <v>0</v>
      </c>
      <c r="AE73" s="147">
        <v>0</v>
      </c>
      <c r="AF73" s="130">
        <v>0</v>
      </c>
      <c r="AG73" s="134">
        <v>0</v>
      </c>
      <c r="AH73" s="130">
        <v>0</v>
      </c>
      <c r="AI73" s="131">
        <v>0</v>
      </c>
      <c r="AJ73" s="130">
        <v>0</v>
      </c>
      <c r="AK73" s="130">
        <v>0</v>
      </c>
      <c r="AL73" s="130">
        <v>0</v>
      </c>
      <c r="AM73" s="135">
        <f t="shared" si="315"/>
        <v>457.13</v>
      </c>
      <c r="AN73" s="136">
        <v>46151</v>
      </c>
      <c r="AO73" s="137" t="s">
        <v>540</v>
      </c>
      <c r="AP73" s="138" t="s">
        <v>532</v>
      </c>
      <c r="AQ73" s="139" t="s">
        <v>533</v>
      </c>
      <c r="AR73" s="139" t="s">
        <v>534</v>
      </c>
      <c r="AS73" s="126" t="s">
        <v>541</v>
      </c>
      <c r="AT73" s="140" t="s">
        <v>360</v>
      </c>
      <c r="AU73" s="140" t="s">
        <v>361</v>
      </c>
      <c r="AV73" s="141" t="s">
        <v>542</v>
      </c>
      <c r="AW73" s="139">
        <v>1</v>
      </c>
      <c r="AX73" s="141">
        <v>675</v>
      </c>
      <c r="AY73" s="139">
        <f t="shared" si="316"/>
        <v>675</v>
      </c>
      <c r="AZ73" s="142" t="b">
        <f t="shared" si="317"/>
        <v>1</v>
      </c>
      <c r="BA73" s="128">
        <v>0</v>
      </c>
      <c r="BB73" s="143">
        <f t="shared" si="318"/>
        <v>1</v>
      </c>
      <c r="BC73" s="144">
        <v>0</v>
      </c>
      <c r="BD73" s="143" t="s">
        <v>109</v>
      </c>
      <c r="BE73" s="144">
        <v>0</v>
      </c>
      <c r="BF73" s="143">
        <v>0</v>
      </c>
      <c r="BG73" s="144">
        <v>0</v>
      </c>
      <c r="BH73" s="130">
        <v>0</v>
      </c>
      <c r="BI73" s="133">
        <v>0</v>
      </c>
      <c r="BJ73" s="131">
        <v>0</v>
      </c>
      <c r="BK73" s="128">
        <v>0</v>
      </c>
      <c r="BL73" s="139">
        <v>0</v>
      </c>
      <c r="BM73" s="130">
        <v>0</v>
      </c>
      <c r="BN73" s="145">
        <f t="shared" si="319"/>
        <v>0</v>
      </c>
      <c r="BO73" s="129">
        <f t="shared" si="320"/>
        <v>675</v>
      </c>
      <c r="BP73" s="135">
        <f t="shared" si="321"/>
        <v>217.87</v>
      </c>
      <c r="BQ73" s="144" t="str">
        <f t="shared" si="322"/>
        <v>Positive Margin</v>
      </c>
      <c r="BR73" s="146" t="s">
        <v>209</v>
      </c>
      <c r="BS73" s="128">
        <f t="shared" si="323"/>
        <v>217.87</v>
      </c>
      <c r="BT73" s="147" t="str">
        <f t="shared" si="324"/>
        <v>Positive Margin at Inception</v>
      </c>
      <c r="BU73" s="148">
        <f t="shared" si="325"/>
        <v>0.32277037037037037</v>
      </c>
      <c r="BV73" s="147" t="str">
        <f t="shared" si="326"/>
        <v>More than 2%</v>
      </c>
      <c r="BW73" s="128">
        <f t="shared" si="327"/>
        <v>0</v>
      </c>
      <c r="BX73" s="129">
        <f t="shared" si="328"/>
        <v>0</v>
      </c>
      <c r="BY73" s="128">
        <f t="shared" si="329"/>
        <v>0</v>
      </c>
      <c r="BZ73" s="149">
        <f t="shared" si="330"/>
        <v>0</v>
      </c>
      <c r="CA73" s="149">
        <f t="shared" si="331"/>
        <v>0</v>
      </c>
      <c r="CB73" s="130">
        <f t="shared" si="332"/>
        <v>0</v>
      </c>
      <c r="CC73" s="149" t="s">
        <v>282</v>
      </c>
      <c r="CD73" s="130">
        <v>0</v>
      </c>
      <c r="CE73" s="130">
        <f t="shared" si="333"/>
        <v>457.13</v>
      </c>
      <c r="CF73" s="130">
        <f t="shared" si="334"/>
        <v>675</v>
      </c>
      <c r="CG73" s="130">
        <f t="shared" si="335"/>
        <v>6</v>
      </c>
      <c r="CH73" s="150">
        <v>0</v>
      </c>
      <c r="CI73" s="130">
        <v>0</v>
      </c>
      <c r="CJ73" s="130" t="e">
        <f>_xlfn.XLOOKUP(AP73,POC!B:B,POC!D:D)</f>
        <v>#N/A</v>
      </c>
      <c r="CK73" s="130">
        <f t="shared" si="336"/>
        <v>217.87</v>
      </c>
      <c r="CL73" s="130">
        <f t="shared" si="337"/>
        <v>217.87</v>
      </c>
      <c r="CM73" s="130">
        <f t="shared" si="338"/>
        <v>217.87</v>
      </c>
      <c r="CN73" s="130">
        <f t="shared" si="339"/>
        <v>796.5</v>
      </c>
      <c r="CO73" s="130">
        <f t="shared" si="340"/>
        <v>-539.41339999999991</v>
      </c>
      <c r="CP73" s="130">
        <f t="shared" si="341"/>
        <v>0</v>
      </c>
      <c r="CQ73" s="130">
        <f t="shared" si="342"/>
        <v>0</v>
      </c>
      <c r="CR73" s="130">
        <f t="shared" si="343"/>
        <v>257.08660000000009</v>
      </c>
      <c r="CS73" s="130" t="s">
        <v>236</v>
      </c>
      <c r="CT73" s="130" t="s">
        <v>236</v>
      </c>
      <c r="CU73" s="145" t="str">
        <f t="shared" si="344"/>
        <v>AADCS0655F</v>
      </c>
      <c r="CV73" s="145" t="str">
        <f t="shared" si="345"/>
        <v>GOWPS6814G</v>
      </c>
    </row>
    <row r="74" spans="2:100" s="152" customFormat="1" ht="11.85" customHeight="1" x14ac:dyDescent="0.25">
      <c r="B74" s="123" t="str">
        <f t="shared" si="310"/>
        <v>Q1</v>
      </c>
      <c r="C74" s="124" t="str">
        <f t="shared" si="311"/>
        <v>May-26</v>
      </c>
      <c r="D74" s="125">
        <v>46150</v>
      </c>
      <c r="E74" s="126" t="s">
        <v>522</v>
      </c>
      <c r="F74" s="126" t="s">
        <v>511</v>
      </c>
      <c r="G74" s="126" t="s">
        <v>512</v>
      </c>
      <c r="H74" s="127" t="s">
        <v>523</v>
      </c>
      <c r="I74" s="349">
        <v>46150</v>
      </c>
      <c r="J74" s="350" t="s">
        <v>524</v>
      </c>
      <c r="K74" s="349">
        <v>46151</v>
      </c>
      <c r="L74" s="126" t="s">
        <v>237</v>
      </c>
      <c r="M74" s="126" t="s">
        <v>525</v>
      </c>
      <c r="N74" s="127" t="s">
        <v>516</v>
      </c>
      <c r="O74" s="126">
        <v>1</v>
      </c>
      <c r="P74" s="283">
        <v>61.02</v>
      </c>
      <c r="Q74" s="128">
        <f t="shared" si="312"/>
        <v>61.02</v>
      </c>
      <c r="R74" s="129">
        <v>0</v>
      </c>
      <c r="S74" s="128">
        <f t="shared" si="313"/>
        <v>1</v>
      </c>
      <c r="T74" s="129">
        <v>0</v>
      </c>
      <c r="U74" s="130">
        <v>0</v>
      </c>
      <c r="V74" s="131">
        <v>0</v>
      </c>
      <c r="W74" s="130">
        <v>0</v>
      </c>
      <c r="X74" s="132">
        <v>0</v>
      </c>
      <c r="Y74" s="130">
        <v>0</v>
      </c>
      <c r="Z74" s="130">
        <v>0</v>
      </c>
      <c r="AA74" s="129">
        <v>0</v>
      </c>
      <c r="AB74" s="133">
        <f t="shared" si="314"/>
        <v>0</v>
      </c>
      <c r="AC74" s="132">
        <v>0</v>
      </c>
      <c r="AD74" s="128">
        <v>0</v>
      </c>
      <c r="AE74" s="147">
        <v>0</v>
      </c>
      <c r="AF74" s="130">
        <v>0</v>
      </c>
      <c r="AG74" s="134">
        <v>0</v>
      </c>
      <c r="AH74" s="130">
        <v>0</v>
      </c>
      <c r="AI74" s="131">
        <v>0</v>
      </c>
      <c r="AJ74" s="130">
        <v>0</v>
      </c>
      <c r="AK74" s="130">
        <v>0</v>
      </c>
      <c r="AL74" s="130">
        <v>0</v>
      </c>
      <c r="AM74" s="135">
        <f t="shared" si="315"/>
        <v>61.02</v>
      </c>
      <c r="AN74" s="136">
        <v>46151</v>
      </c>
      <c r="AO74" s="137" t="s">
        <v>540</v>
      </c>
      <c r="AP74" s="138" t="s">
        <v>532</v>
      </c>
      <c r="AQ74" s="139" t="s">
        <v>533</v>
      </c>
      <c r="AR74" s="139" t="s">
        <v>534</v>
      </c>
      <c r="AS74" s="126" t="s">
        <v>541</v>
      </c>
      <c r="AT74" s="140" t="s">
        <v>360</v>
      </c>
      <c r="AU74" s="140" t="s">
        <v>361</v>
      </c>
      <c r="AV74" s="141" t="s">
        <v>542</v>
      </c>
      <c r="AW74" s="139">
        <v>1</v>
      </c>
      <c r="AX74" s="141">
        <v>90</v>
      </c>
      <c r="AY74" s="139">
        <f t="shared" si="316"/>
        <v>90</v>
      </c>
      <c r="AZ74" s="142" t="b">
        <f t="shared" si="317"/>
        <v>1</v>
      </c>
      <c r="BA74" s="128">
        <v>0</v>
      </c>
      <c r="BB74" s="143">
        <f t="shared" si="318"/>
        <v>1</v>
      </c>
      <c r="BC74" s="144">
        <v>0</v>
      </c>
      <c r="BD74" s="143" t="s">
        <v>109</v>
      </c>
      <c r="BE74" s="144">
        <v>0</v>
      </c>
      <c r="BF74" s="143">
        <v>0</v>
      </c>
      <c r="BG74" s="144">
        <v>0</v>
      </c>
      <c r="BH74" s="130">
        <v>0</v>
      </c>
      <c r="BI74" s="133">
        <v>0</v>
      </c>
      <c r="BJ74" s="131">
        <v>0</v>
      </c>
      <c r="BK74" s="128">
        <v>0</v>
      </c>
      <c r="BL74" s="139">
        <v>0</v>
      </c>
      <c r="BM74" s="130">
        <v>0</v>
      </c>
      <c r="BN74" s="145">
        <f t="shared" si="319"/>
        <v>0</v>
      </c>
      <c r="BO74" s="129">
        <f t="shared" si="320"/>
        <v>90</v>
      </c>
      <c r="BP74" s="135">
        <f t="shared" si="321"/>
        <v>28.979999999999997</v>
      </c>
      <c r="BQ74" s="144" t="str">
        <f t="shared" si="322"/>
        <v>Positive Margin</v>
      </c>
      <c r="BR74" s="146" t="s">
        <v>209</v>
      </c>
      <c r="BS74" s="128">
        <f t="shared" si="323"/>
        <v>28.979999999999997</v>
      </c>
      <c r="BT74" s="147" t="str">
        <f t="shared" si="324"/>
        <v>Positive Margin at Inception</v>
      </c>
      <c r="BU74" s="148">
        <f t="shared" si="325"/>
        <v>0.32199999999999995</v>
      </c>
      <c r="BV74" s="147" t="str">
        <f t="shared" si="326"/>
        <v>More than 2%</v>
      </c>
      <c r="BW74" s="128">
        <f t="shared" si="327"/>
        <v>0</v>
      </c>
      <c r="BX74" s="129">
        <f t="shared" si="328"/>
        <v>0</v>
      </c>
      <c r="BY74" s="128">
        <f t="shared" si="329"/>
        <v>0</v>
      </c>
      <c r="BZ74" s="149">
        <f t="shared" si="330"/>
        <v>0</v>
      </c>
      <c r="CA74" s="149">
        <f t="shared" si="331"/>
        <v>0</v>
      </c>
      <c r="CB74" s="130">
        <f t="shared" si="332"/>
        <v>0</v>
      </c>
      <c r="CC74" s="149" t="s">
        <v>282</v>
      </c>
      <c r="CD74" s="130">
        <v>0</v>
      </c>
      <c r="CE74" s="130">
        <f t="shared" si="333"/>
        <v>61.02</v>
      </c>
      <c r="CF74" s="130">
        <f t="shared" si="334"/>
        <v>90</v>
      </c>
      <c r="CG74" s="130">
        <f t="shared" si="335"/>
        <v>6</v>
      </c>
      <c r="CH74" s="150">
        <v>0</v>
      </c>
      <c r="CI74" s="130">
        <v>0</v>
      </c>
      <c r="CJ74" s="130" t="e">
        <f>_xlfn.XLOOKUP(AP74,POC!B:B,POC!D:D)</f>
        <v>#N/A</v>
      </c>
      <c r="CK74" s="130">
        <f t="shared" si="336"/>
        <v>28.979999999999997</v>
      </c>
      <c r="CL74" s="130">
        <f t="shared" si="337"/>
        <v>28.979999999999997</v>
      </c>
      <c r="CM74" s="130">
        <f t="shared" si="338"/>
        <v>28.979999999999997</v>
      </c>
      <c r="CN74" s="130">
        <f t="shared" si="339"/>
        <v>106.19999999999999</v>
      </c>
      <c r="CO74" s="130">
        <f t="shared" si="340"/>
        <v>-72.003600000000006</v>
      </c>
      <c r="CP74" s="130">
        <f t="shared" si="341"/>
        <v>0</v>
      </c>
      <c r="CQ74" s="130">
        <f t="shared" si="342"/>
        <v>0</v>
      </c>
      <c r="CR74" s="130">
        <f t="shared" si="343"/>
        <v>34.196399999999983</v>
      </c>
      <c r="CS74" s="130" t="s">
        <v>236</v>
      </c>
      <c r="CT74" s="130" t="s">
        <v>236</v>
      </c>
      <c r="CU74" s="145" t="str">
        <f t="shared" si="344"/>
        <v>AADCS0655F</v>
      </c>
      <c r="CV74" s="145" t="str">
        <f t="shared" si="345"/>
        <v>GOWPS6814G</v>
      </c>
    </row>
    <row r="75" spans="2:100" s="152" customFormat="1" ht="11.85" customHeight="1" x14ac:dyDescent="0.25">
      <c r="B75" s="123" t="str">
        <f t="shared" si="310"/>
        <v>Q1</v>
      </c>
      <c r="C75" s="124" t="str">
        <f t="shared" si="311"/>
        <v>May-26</v>
      </c>
      <c r="D75" s="125">
        <v>46150</v>
      </c>
      <c r="E75" s="126" t="s">
        <v>522</v>
      </c>
      <c r="F75" s="126" t="s">
        <v>511</v>
      </c>
      <c r="G75" s="126" t="s">
        <v>512</v>
      </c>
      <c r="H75" s="127" t="s">
        <v>523</v>
      </c>
      <c r="I75" s="349">
        <v>46150</v>
      </c>
      <c r="J75" s="350" t="s">
        <v>524</v>
      </c>
      <c r="K75" s="349">
        <v>46151</v>
      </c>
      <c r="L75" s="126" t="s">
        <v>237</v>
      </c>
      <c r="M75" s="126" t="s">
        <v>525</v>
      </c>
      <c r="N75" s="127" t="s">
        <v>527</v>
      </c>
      <c r="O75" s="126">
        <v>1</v>
      </c>
      <c r="P75" s="283">
        <v>457.13</v>
      </c>
      <c r="Q75" s="128">
        <f t="shared" si="312"/>
        <v>457.13</v>
      </c>
      <c r="R75" s="129">
        <v>0</v>
      </c>
      <c r="S75" s="128">
        <f t="shared" si="313"/>
        <v>1</v>
      </c>
      <c r="T75" s="129">
        <v>0</v>
      </c>
      <c r="U75" s="130">
        <v>0</v>
      </c>
      <c r="V75" s="131">
        <v>0</v>
      </c>
      <c r="W75" s="130">
        <v>0</v>
      </c>
      <c r="X75" s="132">
        <v>0</v>
      </c>
      <c r="Y75" s="130">
        <v>0</v>
      </c>
      <c r="Z75" s="130">
        <v>0</v>
      </c>
      <c r="AA75" s="129">
        <v>0</v>
      </c>
      <c r="AB75" s="133">
        <f t="shared" si="314"/>
        <v>0</v>
      </c>
      <c r="AC75" s="132">
        <v>0</v>
      </c>
      <c r="AD75" s="128">
        <v>0</v>
      </c>
      <c r="AE75" s="147">
        <v>0</v>
      </c>
      <c r="AF75" s="130">
        <v>0</v>
      </c>
      <c r="AG75" s="134">
        <v>0</v>
      </c>
      <c r="AH75" s="130">
        <v>0</v>
      </c>
      <c r="AI75" s="131">
        <v>0</v>
      </c>
      <c r="AJ75" s="130">
        <v>0</v>
      </c>
      <c r="AK75" s="130">
        <v>0</v>
      </c>
      <c r="AL75" s="130">
        <v>0</v>
      </c>
      <c r="AM75" s="135">
        <f t="shared" si="315"/>
        <v>457.13</v>
      </c>
      <c r="AN75" s="136">
        <v>46151</v>
      </c>
      <c r="AO75" s="137" t="s">
        <v>540</v>
      </c>
      <c r="AP75" s="138" t="s">
        <v>532</v>
      </c>
      <c r="AQ75" s="139" t="s">
        <v>533</v>
      </c>
      <c r="AR75" s="139" t="s">
        <v>534</v>
      </c>
      <c r="AS75" s="126" t="s">
        <v>541</v>
      </c>
      <c r="AT75" s="140" t="s">
        <v>360</v>
      </c>
      <c r="AU75" s="140" t="s">
        <v>361</v>
      </c>
      <c r="AV75" s="141" t="s">
        <v>542</v>
      </c>
      <c r="AW75" s="139">
        <v>1</v>
      </c>
      <c r="AX75" s="141">
        <v>675</v>
      </c>
      <c r="AY75" s="139">
        <f t="shared" si="316"/>
        <v>675</v>
      </c>
      <c r="AZ75" s="142" t="b">
        <f t="shared" si="317"/>
        <v>1</v>
      </c>
      <c r="BA75" s="128">
        <v>0</v>
      </c>
      <c r="BB75" s="143">
        <f t="shared" si="318"/>
        <v>1</v>
      </c>
      <c r="BC75" s="144">
        <v>0</v>
      </c>
      <c r="BD75" s="143" t="s">
        <v>109</v>
      </c>
      <c r="BE75" s="144">
        <v>0</v>
      </c>
      <c r="BF75" s="143">
        <v>0</v>
      </c>
      <c r="BG75" s="144">
        <v>0</v>
      </c>
      <c r="BH75" s="130">
        <v>0</v>
      </c>
      <c r="BI75" s="133">
        <v>0</v>
      </c>
      <c r="BJ75" s="131">
        <v>0</v>
      </c>
      <c r="BK75" s="128">
        <v>0</v>
      </c>
      <c r="BL75" s="139">
        <v>0</v>
      </c>
      <c r="BM75" s="130">
        <v>0</v>
      </c>
      <c r="BN75" s="145">
        <f t="shared" si="319"/>
        <v>0</v>
      </c>
      <c r="BO75" s="129">
        <f t="shared" si="320"/>
        <v>675</v>
      </c>
      <c r="BP75" s="135">
        <f t="shared" si="321"/>
        <v>217.87</v>
      </c>
      <c r="BQ75" s="144" t="str">
        <f t="shared" si="322"/>
        <v>Positive Margin</v>
      </c>
      <c r="BR75" s="146" t="s">
        <v>209</v>
      </c>
      <c r="BS75" s="128">
        <f t="shared" si="323"/>
        <v>217.87</v>
      </c>
      <c r="BT75" s="147" t="str">
        <f t="shared" si="324"/>
        <v>Positive Margin at Inception</v>
      </c>
      <c r="BU75" s="148">
        <f t="shared" si="325"/>
        <v>0.32277037037037037</v>
      </c>
      <c r="BV75" s="147" t="str">
        <f t="shared" si="326"/>
        <v>More than 2%</v>
      </c>
      <c r="BW75" s="128">
        <f t="shared" si="327"/>
        <v>0</v>
      </c>
      <c r="BX75" s="129">
        <f t="shared" si="328"/>
        <v>0</v>
      </c>
      <c r="BY75" s="128">
        <f t="shared" si="329"/>
        <v>0</v>
      </c>
      <c r="BZ75" s="149">
        <f t="shared" si="330"/>
        <v>0</v>
      </c>
      <c r="CA75" s="149">
        <f t="shared" si="331"/>
        <v>0</v>
      </c>
      <c r="CB75" s="130">
        <f t="shared" si="332"/>
        <v>0</v>
      </c>
      <c r="CC75" s="149" t="s">
        <v>282</v>
      </c>
      <c r="CD75" s="130">
        <v>0</v>
      </c>
      <c r="CE75" s="130">
        <f t="shared" si="333"/>
        <v>457.13</v>
      </c>
      <c r="CF75" s="130">
        <f t="shared" si="334"/>
        <v>675</v>
      </c>
      <c r="CG75" s="130">
        <f t="shared" si="335"/>
        <v>6</v>
      </c>
      <c r="CH75" s="150">
        <v>0</v>
      </c>
      <c r="CI75" s="130">
        <v>0</v>
      </c>
      <c r="CJ75" s="130" t="e">
        <f>_xlfn.XLOOKUP(AP75,POC!B:B,POC!D:D)</f>
        <v>#N/A</v>
      </c>
      <c r="CK75" s="130">
        <f t="shared" si="336"/>
        <v>217.87</v>
      </c>
      <c r="CL75" s="130">
        <f t="shared" si="337"/>
        <v>217.87</v>
      </c>
      <c r="CM75" s="130">
        <f t="shared" si="338"/>
        <v>217.87</v>
      </c>
      <c r="CN75" s="130">
        <f t="shared" si="339"/>
        <v>796.5</v>
      </c>
      <c r="CO75" s="130">
        <f t="shared" si="340"/>
        <v>-539.41339999999991</v>
      </c>
      <c r="CP75" s="130">
        <f t="shared" si="341"/>
        <v>0</v>
      </c>
      <c r="CQ75" s="130">
        <f t="shared" si="342"/>
        <v>0</v>
      </c>
      <c r="CR75" s="130">
        <f t="shared" si="343"/>
        <v>257.08660000000009</v>
      </c>
      <c r="CS75" s="130" t="s">
        <v>236</v>
      </c>
      <c r="CT75" s="130" t="s">
        <v>236</v>
      </c>
      <c r="CU75" s="145" t="str">
        <f t="shared" si="344"/>
        <v>AADCS0655F</v>
      </c>
      <c r="CV75" s="145" t="str">
        <f t="shared" si="345"/>
        <v>GOWPS6814G</v>
      </c>
    </row>
    <row r="76" spans="2:100" s="152" customFormat="1" ht="11.85" customHeight="1" x14ac:dyDescent="0.25">
      <c r="B76" s="123" t="str">
        <f t="shared" si="310"/>
        <v>Q1</v>
      </c>
      <c r="C76" s="124" t="str">
        <f t="shared" si="311"/>
        <v>May-26</v>
      </c>
      <c r="D76" s="125">
        <v>46150</v>
      </c>
      <c r="E76" s="126" t="s">
        <v>522</v>
      </c>
      <c r="F76" s="126" t="s">
        <v>511</v>
      </c>
      <c r="G76" s="126" t="s">
        <v>512</v>
      </c>
      <c r="H76" s="127" t="s">
        <v>523</v>
      </c>
      <c r="I76" s="349">
        <v>46150</v>
      </c>
      <c r="J76" s="350" t="s">
        <v>524</v>
      </c>
      <c r="K76" s="349">
        <v>46151</v>
      </c>
      <c r="L76" s="126" t="s">
        <v>237</v>
      </c>
      <c r="M76" s="126" t="s">
        <v>525</v>
      </c>
      <c r="N76" s="127" t="s">
        <v>526</v>
      </c>
      <c r="O76" s="126">
        <v>1</v>
      </c>
      <c r="P76" s="283">
        <v>78.23</v>
      </c>
      <c r="Q76" s="128">
        <f t="shared" si="312"/>
        <v>78.23</v>
      </c>
      <c r="R76" s="129">
        <v>0</v>
      </c>
      <c r="S76" s="128">
        <f t="shared" si="313"/>
        <v>1</v>
      </c>
      <c r="T76" s="129">
        <v>0</v>
      </c>
      <c r="U76" s="130">
        <v>0</v>
      </c>
      <c r="V76" s="131">
        <v>0</v>
      </c>
      <c r="W76" s="130">
        <v>0</v>
      </c>
      <c r="X76" s="132">
        <v>0</v>
      </c>
      <c r="Y76" s="130">
        <v>0</v>
      </c>
      <c r="Z76" s="130">
        <v>0</v>
      </c>
      <c r="AA76" s="129">
        <v>0</v>
      </c>
      <c r="AB76" s="133">
        <f t="shared" si="314"/>
        <v>0</v>
      </c>
      <c r="AC76" s="132">
        <v>0</v>
      </c>
      <c r="AD76" s="128">
        <v>0</v>
      </c>
      <c r="AE76" s="147">
        <v>0</v>
      </c>
      <c r="AF76" s="130">
        <v>0</v>
      </c>
      <c r="AG76" s="134">
        <v>0</v>
      </c>
      <c r="AH76" s="130">
        <v>0</v>
      </c>
      <c r="AI76" s="131">
        <v>0</v>
      </c>
      <c r="AJ76" s="130">
        <v>0</v>
      </c>
      <c r="AK76" s="130">
        <v>0</v>
      </c>
      <c r="AL76" s="130">
        <v>0</v>
      </c>
      <c r="AM76" s="135">
        <f t="shared" si="315"/>
        <v>78.23</v>
      </c>
      <c r="AN76" s="136">
        <v>46151</v>
      </c>
      <c r="AO76" s="137" t="s">
        <v>540</v>
      </c>
      <c r="AP76" s="138" t="s">
        <v>532</v>
      </c>
      <c r="AQ76" s="139" t="s">
        <v>533</v>
      </c>
      <c r="AR76" s="139" t="s">
        <v>534</v>
      </c>
      <c r="AS76" s="126" t="s">
        <v>541</v>
      </c>
      <c r="AT76" s="140" t="s">
        <v>360</v>
      </c>
      <c r="AU76" s="140" t="s">
        <v>361</v>
      </c>
      <c r="AV76" s="141" t="s">
        <v>542</v>
      </c>
      <c r="AW76" s="139">
        <v>1</v>
      </c>
      <c r="AX76" s="141">
        <v>114</v>
      </c>
      <c r="AY76" s="139">
        <f t="shared" si="316"/>
        <v>114</v>
      </c>
      <c r="AZ76" s="142" t="b">
        <f t="shared" si="317"/>
        <v>1</v>
      </c>
      <c r="BA76" s="128">
        <v>0</v>
      </c>
      <c r="BB76" s="143">
        <f t="shared" si="318"/>
        <v>1</v>
      </c>
      <c r="BC76" s="144">
        <v>0</v>
      </c>
      <c r="BD76" s="143" t="s">
        <v>109</v>
      </c>
      <c r="BE76" s="144">
        <v>0</v>
      </c>
      <c r="BF76" s="143">
        <v>0</v>
      </c>
      <c r="BG76" s="144">
        <v>0</v>
      </c>
      <c r="BH76" s="130">
        <v>0</v>
      </c>
      <c r="BI76" s="133">
        <v>0</v>
      </c>
      <c r="BJ76" s="131">
        <v>0</v>
      </c>
      <c r="BK76" s="128">
        <v>0</v>
      </c>
      <c r="BL76" s="139">
        <v>0</v>
      </c>
      <c r="BM76" s="130">
        <v>0</v>
      </c>
      <c r="BN76" s="145">
        <f t="shared" si="319"/>
        <v>0</v>
      </c>
      <c r="BO76" s="129">
        <f t="shared" si="320"/>
        <v>114</v>
      </c>
      <c r="BP76" s="135">
        <f t="shared" si="321"/>
        <v>35.769999999999996</v>
      </c>
      <c r="BQ76" s="144" t="str">
        <f t="shared" si="322"/>
        <v>Positive Margin</v>
      </c>
      <c r="BR76" s="146" t="s">
        <v>209</v>
      </c>
      <c r="BS76" s="128">
        <f t="shared" si="323"/>
        <v>35.769999999999996</v>
      </c>
      <c r="BT76" s="147" t="str">
        <f t="shared" si="324"/>
        <v>Positive Margin at Inception</v>
      </c>
      <c r="BU76" s="148">
        <f t="shared" si="325"/>
        <v>0.31377192982456137</v>
      </c>
      <c r="BV76" s="147" t="str">
        <f t="shared" si="326"/>
        <v>More than 2%</v>
      </c>
      <c r="BW76" s="128">
        <f t="shared" si="327"/>
        <v>0</v>
      </c>
      <c r="BX76" s="129">
        <f t="shared" si="328"/>
        <v>0</v>
      </c>
      <c r="BY76" s="128">
        <f t="shared" si="329"/>
        <v>0</v>
      </c>
      <c r="BZ76" s="149">
        <f t="shared" si="330"/>
        <v>0</v>
      </c>
      <c r="CA76" s="149">
        <f t="shared" si="331"/>
        <v>0</v>
      </c>
      <c r="CB76" s="130">
        <f t="shared" si="332"/>
        <v>0</v>
      </c>
      <c r="CC76" s="149" t="s">
        <v>282</v>
      </c>
      <c r="CD76" s="130">
        <v>0</v>
      </c>
      <c r="CE76" s="130">
        <f t="shared" si="333"/>
        <v>78.23</v>
      </c>
      <c r="CF76" s="130">
        <f t="shared" si="334"/>
        <v>114</v>
      </c>
      <c r="CG76" s="130">
        <f t="shared" si="335"/>
        <v>6</v>
      </c>
      <c r="CH76" s="150">
        <v>0</v>
      </c>
      <c r="CI76" s="130">
        <v>0</v>
      </c>
      <c r="CJ76" s="130" t="e">
        <f>_xlfn.XLOOKUP(AP76,POC!B:B,POC!D:D)</f>
        <v>#N/A</v>
      </c>
      <c r="CK76" s="130">
        <f t="shared" si="336"/>
        <v>35.769999999999996</v>
      </c>
      <c r="CL76" s="130">
        <f t="shared" si="337"/>
        <v>35.769999999999996</v>
      </c>
      <c r="CM76" s="130">
        <f t="shared" si="338"/>
        <v>35.769999999999996</v>
      </c>
      <c r="CN76" s="130">
        <f t="shared" si="339"/>
        <v>134.51999999999998</v>
      </c>
      <c r="CO76" s="130">
        <f t="shared" si="340"/>
        <v>-92.311400000000006</v>
      </c>
      <c r="CP76" s="130">
        <f t="shared" si="341"/>
        <v>0</v>
      </c>
      <c r="CQ76" s="130">
        <f t="shared" si="342"/>
        <v>0</v>
      </c>
      <c r="CR76" s="130">
        <f t="shared" si="343"/>
        <v>42.208599999999976</v>
      </c>
      <c r="CS76" s="130" t="s">
        <v>236</v>
      </c>
      <c r="CT76" s="130" t="s">
        <v>236</v>
      </c>
      <c r="CU76" s="145" t="str">
        <f t="shared" si="344"/>
        <v>AADCS0655F</v>
      </c>
      <c r="CV76" s="145" t="str">
        <f t="shared" si="345"/>
        <v>GOWPS6814G</v>
      </c>
    </row>
    <row r="77" spans="2:100" s="152" customFormat="1" ht="11.85" customHeight="1" x14ac:dyDescent="0.25">
      <c r="B77" s="123" t="str">
        <f t="shared" si="310"/>
        <v>Q1</v>
      </c>
      <c r="C77" s="124" t="str">
        <f t="shared" si="311"/>
        <v>May-26</v>
      </c>
      <c r="D77" s="125">
        <v>46150</v>
      </c>
      <c r="E77" s="126" t="s">
        <v>522</v>
      </c>
      <c r="F77" s="126" t="s">
        <v>511</v>
      </c>
      <c r="G77" s="126" t="s">
        <v>512</v>
      </c>
      <c r="H77" s="127" t="s">
        <v>523</v>
      </c>
      <c r="I77" s="349">
        <v>46150</v>
      </c>
      <c r="J77" s="350" t="s">
        <v>524</v>
      </c>
      <c r="K77" s="349">
        <v>46151</v>
      </c>
      <c r="L77" s="126" t="s">
        <v>237</v>
      </c>
      <c r="M77" s="126" t="s">
        <v>525</v>
      </c>
      <c r="N77" s="127" t="s">
        <v>526</v>
      </c>
      <c r="O77" s="126">
        <v>1</v>
      </c>
      <c r="P77" s="283">
        <v>78.23</v>
      </c>
      <c r="Q77" s="128">
        <f t="shared" si="312"/>
        <v>78.23</v>
      </c>
      <c r="R77" s="129">
        <v>0</v>
      </c>
      <c r="S77" s="128">
        <f t="shared" si="313"/>
        <v>1</v>
      </c>
      <c r="T77" s="129">
        <v>0</v>
      </c>
      <c r="U77" s="130">
        <v>0</v>
      </c>
      <c r="V77" s="131">
        <v>0</v>
      </c>
      <c r="W77" s="130">
        <v>0</v>
      </c>
      <c r="X77" s="132">
        <v>0</v>
      </c>
      <c r="Y77" s="130">
        <v>0</v>
      </c>
      <c r="Z77" s="130">
        <v>0</v>
      </c>
      <c r="AA77" s="129">
        <v>0</v>
      </c>
      <c r="AB77" s="133">
        <f t="shared" si="314"/>
        <v>0</v>
      </c>
      <c r="AC77" s="132">
        <v>0</v>
      </c>
      <c r="AD77" s="128">
        <v>0</v>
      </c>
      <c r="AE77" s="147">
        <v>0</v>
      </c>
      <c r="AF77" s="130">
        <v>0</v>
      </c>
      <c r="AG77" s="134">
        <v>0</v>
      </c>
      <c r="AH77" s="130">
        <v>0</v>
      </c>
      <c r="AI77" s="131">
        <v>0</v>
      </c>
      <c r="AJ77" s="130">
        <v>0</v>
      </c>
      <c r="AK77" s="130">
        <v>0</v>
      </c>
      <c r="AL77" s="130">
        <v>0</v>
      </c>
      <c r="AM77" s="135">
        <f t="shared" si="315"/>
        <v>78.23</v>
      </c>
      <c r="AN77" s="136">
        <v>46151</v>
      </c>
      <c r="AO77" s="137" t="s">
        <v>540</v>
      </c>
      <c r="AP77" s="138" t="s">
        <v>532</v>
      </c>
      <c r="AQ77" s="139" t="s">
        <v>533</v>
      </c>
      <c r="AR77" s="139" t="s">
        <v>534</v>
      </c>
      <c r="AS77" s="126" t="s">
        <v>541</v>
      </c>
      <c r="AT77" s="140" t="s">
        <v>360</v>
      </c>
      <c r="AU77" s="140" t="s">
        <v>361</v>
      </c>
      <c r="AV77" s="141" t="s">
        <v>542</v>
      </c>
      <c r="AW77" s="139">
        <v>1</v>
      </c>
      <c r="AX77" s="141">
        <v>115</v>
      </c>
      <c r="AY77" s="139">
        <f t="shared" si="316"/>
        <v>115</v>
      </c>
      <c r="AZ77" s="142" t="b">
        <f t="shared" si="317"/>
        <v>1</v>
      </c>
      <c r="BA77" s="128">
        <v>0</v>
      </c>
      <c r="BB77" s="143">
        <f t="shared" si="318"/>
        <v>1</v>
      </c>
      <c r="BC77" s="144">
        <v>0</v>
      </c>
      <c r="BD77" s="143" t="s">
        <v>109</v>
      </c>
      <c r="BE77" s="144">
        <v>0</v>
      </c>
      <c r="BF77" s="143">
        <v>0</v>
      </c>
      <c r="BG77" s="144">
        <v>0</v>
      </c>
      <c r="BH77" s="130">
        <v>0</v>
      </c>
      <c r="BI77" s="133">
        <v>0</v>
      </c>
      <c r="BJ77" s="131">
        <v>0</v>
      </c>
      <c r="BK77" s="128">
        <v>0</v>
      </c>
      <c r="BL77" s="139">
        <v>0</v>
      </c>
      <c r="BM77" s="130">
        <v>0</v>
      </c>
      <c r="BN77" s="145">
        <f t="shared" si="319"/>
        <v>0</v>
      </c>
      <c r="BO77" s="129">
        <f t="shared" si="320"/>
        <v>115</v>
      </c>
      <c r="BP77" s="135">
        <f t="shared" si="321"/>
        <v>36.769999999999996</v>
      </c>
      <c r="BQ77" s="144" t="str">
        <f t="shared" si="322"/>
        <v>Positive Margin</v>
      </c>
      <c r="BR77" s="146" t="s">
        <v>209</v>
      </c>
      <c r="BS77" s="128">
        <f t="shared" si="323"/>
        <v>36.769999999999996</v>
      </c>
      <c r="BT77" s="147" t="str">
        <f t="shared" si="324"/>
        <v>Positive Margin at Inception</v>
      </c>
      <c r="BU77" s="148">
        <f t="shared" si="325"/>
        <v>0.31973913043478258</v>
      </c>
      <c r="BV77" s="147" t="str">
        <f t="shared" si="326"/>
        <v>More than 2%</v>
      </c>
      <c r="BW77" s="128">
        <f t="shared" si="327"/>
        <v>0</v>
      </c>
      <c r="BX77" s="129">
        <f t="shared" si="328"/>
        <v>0</v>
      </c>
      <c r="BY77" s="128">
        <f t="shared" si="329"/>
        <v>0</v>
      </c>
      <c r="BZ77" s="149">
        <f t="shared" si="330"/>
        <v>0</v>
      </c>
      <c r="CA77" s="149">
        <f t="shared" si="331"/>
        <v>0</v>
      </c>
      <c r="CB77" s="130">
        <f t="shared" si="332"/>
        <v>0</v>
      </c>
      <c r="CC77" s="149" t="s">
        <v>282</v>
      </c>
      <c r="CD77" s="130">
        <v>0</v>
      </c>
      <c r="CE77" s="130">
        <f t="shared" si="333"/>
        <v>78.23</v>
      </c>
      <c r="CF77" s="130">
        <f t="shared" si="334"/>
        <v>115</v>
      </c>
      <c r="CG77" s="130">
        <f t="shared" si="335"/>
        <v>6</v>
      </c>
      <c r="CH77" s="150">
        <v>0</v>
      </c>
      <c r="CI77" s="130">
        <v>0</v>
      </c>
      <c r="CJ77" s="130" t="e">
        <f>_xlfn.XLOOKUP(AP77,POC!B:B,POC!D:D)</f>
        <v>#N/A</v>
      </c>
      <c r="CK77" s="130">
        <f t="shared" si="336"/>
        <v>36.769999999999996</v>
      </c>
      <c r="CL77" s="130">
        <f t="shared" si="337"/>
        <v>36.769999999999996</v>
      </c>
      <c r="CM77" s="130">
        <f t="shared" si="338"/>
        <v>36.769999999999996</v>
      </c>
      <c r="CN77" s="130">
        <f t="shared" si="339"/>
        <v>135.69999999999999</v>
      </c>
      <c r="CO77" s="130">
        <f t="shared" si="340"/>
        <v>-92.311400000000006</v>
      </c>
      <c r="CP77" s="130">
        <f t="shared" si="341"/>
        <v>0</v>
      </c>
      <c r="CQ77" s="130">
        <f t="shared" si="342"/>
        <v>0</v>
      </c>
      <c r="CR77" s="130">
        <f t="shared" si="343"/>
        <v>43.388599999999983</v>
      </c>
      <c r="CS77" s="130" t="s">
        <v>236</v>
      </c>
      <c r="CT77" s="130" t="s">
        <v>236</v>
      </c>
      <c r="CU77" s="145" t="str">
        <f t="shared" si="344"/>
        <v>AADCS0655F</v>
      </c>
      <c r="CV77" s="145" t="str">
        <f t="shared" si="345"/>
        <v>GOWPS6814G</v>
      </c>
    </row>
    <row r="78" spans="2:100" s="152" customFormat="1" ht="11.85" customHeight="1" x14ac:dyDescent="0.25">
      <c r="B78" s="123" t="str">
        <f t="shared" si="310"/>
        <v>Q1</v>
      </c>
      <c r="C78" s="124" t="str">
        <f t="shared" si="311"/>
        <v>May-26</v>
      </c>
      <c r="D78" s="125">
        <v>46150</v>
      </c>
      <c r="E78" s="126" t="s">
        <v>522</v>
      </c>
      <c r="F78" s="126" t="s">
        <v>511</v>
      </c>
      <c r="G78" s="126" t="s">
        <v>512</v>
      </c>
      <c r="H78" s="127" t="s">
        <v>523</v>
      </c>
      <c r="I78" s="349">
        <v>46150</v>
      </c>
      <c r="J78" s="350" t="s">
        <v>524</v>
      </c>
      <c r="K78" s="349">
        <v>46151</v>
      </c>
      <c r="L78" s="126" t="s">
        <v>237</v>
      </c>
      <c r="M78" s="126" t="s">
        <v>525</v>
      </c>
      <c r="N78" s="127" t="s">
        <v>527</v>
      </c>
      <c r="O78" s="126">
        <v>1</v>
      </c>
      <c r="P78" s="283">
        <v>244.39</v>
      </c>
      <c r="Q78" s="128">
        <f t="shared" si="312"/>
        <v>244.39</v>
      </c>
      <c r="R78" s="129">
        <v>0</v>
      </c>
      <c r="S78" s="128">
        <f t="shared" si="313"/>
        <v>1</v>
      </c>
      <c r="T78" s="129">
        <v>0</v>
      </c>
      <c r="U78" s="130">
        <v>0</v>
      </c>
      <c r="V78" s="131">
        <v>0</v>
      </c>
      <c r="W78" s="130">
        <v>0</v>
      </c>
      <c r="X78" s="132">
        <v>0</v>
      </c>
      <c r="Y78" s="130">
        <v>0</v>
      </c>
      <c r="Z78" s="130">
        <v>0</v>
      </c>
      <c r="AA78" s="129">
        <v>0</v>
      </c>
      <c r="AB78" s="133">
        <f t="shared" si="314"/>
        <v>0</v>
      </c>
      <c r="AC78" s="132">
        <v>0</v>
      </c>
      <c r="AD78" s="128">
        <v>0</v>
      </c>
      <c r="AE78" s="147">
        <v>0</v>
      </c>
      <c r="AF78" s="130">
        <v>0</v>
      </c>
      <c r="AG78" s="134">
        <v>0</v>
      </c>
      <c r="AH78" s="130">
        <v>0</v>
      </c>
      <c r="AI78" s="131">
        <v>0</v>
      </c>
      <c r="AJ78" s="130">
        <v>0</v>
      </c>
      <c r="AK78" s="130">
        <v>0</v>
      </c>
      <c r="AL78" s="130">
        <v>0</v>
      </c>
      <c r="AM78" s="135">
        <f t="shared" si="315"/>
        <v>244.39</v>
      </c>
      <c r="AN78" s="136">
        <v>46151</v>
      </c>
      <c r="AO78" s="137" t="s">
        <v>540</v>
      </c>
      <c r="AP78" s="138" t="s">
        <v>532</v>
      </c>
      <c r="AQ78" s="139" t="s">
        <v>533</v>
      </c>
      <c r="AR78" s="139" t="s">
        <v>534</v>
      </c>
      <c r="AS78" s="126" t="s">
        <v>541</v>
      </c>
      <c r="AT78" s="140" t="s">
        <v>360</v>
      </c>
      <c r="AU78" s="140" t="s">
        <v>361</v>
      </c>
      <c r="AV78" s="141" t="s">
        <v>542</v>
      </c>
      <c r="AW78" s="139">
        <v>1</v>
      </c>
      <c r="AX78" s="141">
        <v>360</v>
      </c>
      <c r="AY78" s="139">
        <f t="shared" si="316"/>
        <v>360</v>
      </c>
      <c r="AZ78" s="142" t="b">
        <f t="shared" si="317"/>
        <v>1</v>
      </c>
      <c r="BA78" s="128">
        <v>0</v>
      </c>
      <c r="BB78" s="143">
        <f t="shared" si="318"/>
        <v>1</v>
      </c>
      <c r="BC78" s="144">
        <v>0</v>
      </c>
      <c r="BD78" s="143" t="s">
        <v>109</v>
      </c>
      <c r="BE78" s="144">
        <v>0</v>
      </c>
      <c r="BF78" s="143">
        <v>0</v>
      </c>
      <c r="BG78" s="144">
        <v>0</v>
      </c>
      <c r="BH78" s="130">
        <v>0</v>
      </c>
      <c r="BI78" s="133">
        <v>0</v>
      </c>
      <c r="BJ78" s="131">
        <v>0</v>
      </c>
      <c r="BK78" s="128">
        <v>0</v>
      </c>
      <c r="BL78" s="139">
        <v>0</v>
      </c>
      <c r="BM78" s="130">
        <v>0</v>
      </c>
      <c r="BN78" s="145">
        <f t="shared" si="319"/>
        <v>0</v>
      </c>
      <c r="BO78" s="129">
        <f t="shared" si="320"/>
        <v>360</v>
      </c>
      <c r="BP78" s="135">
        <f t="shared" si="321"/>
        <v>115.61000000000001</v>
      </c>
      <c r="BQ78" s="144" t="str">
        <f t="shared" si="322"/>
        <v>Positive Margin</v>
      </c>
      <c r="BR78" s="146" t="s">
        <v>209</v>
      </c>
      <c r="BS78" s="128">
        <f t="shared" si="323"/>
        <v>115.61000000000001</v>
      </c>
      <c r="BT78" s="147" t="str">
        <f t="shared" si="324"/>
        <v>Positive Margin at Inception</v>
      </c>
      <c r="BU78" s="148">
        <f t="shared" si="325"/>
        <v>0.32113888888888892</v>
      </c>
      <c r="BV78" s="147" t="str">
        <f t="shared" si="326"/>
        <v>More than 2%</v>
      </c>
      <c r="BW78" s="128">
        <f t="shared" si="327"/>
        <v>0</v>
      </c>
      <c r="BX78" s="129">
        <f t="shared" si="328"/>
        <v>0</v>
      </c>
      <c r="BY78" s="128">
        <f t="shared" si="329"/>
        <v>0</v>
      </c>
      <c r="BZ78" s="149">
        <f t="shared" si="330"/>
        <v>0</v>
      </c>
      <c r="CA78" s="149">
        <f t="shared" si="331"/>
        <v>0</v>
      </c>
      <c r="CB78" s="130">
        <f t="shared" si="332"/>
        <v>0</v>
      </c>
      <c r="CC78" s="149" t="s">
        <v>282</v>
      </c>
      <c r="CD78" s="130">
        <v>0</v>
      </c>
      <c r="CE78" s="130">
        <f t="shared" si="333"/>
        <v>244.39</v>
      </c>
      <c r="CF78" s="130">
        <f t="shared" si="334"/>
        <v>360</v>
      </c>
      <c r="CG78" s="130">
        <f t="shared" si="335"/>
        <v>6</v>
      </c>
      <c r="CH78" s="150">
        <v>0</v>
      </c>
      <c r="CI78" s="130">
        <v>0</v>
      </c>
      <c r="CJ78" s="130" t="e">
        <f>_xlfn.XLOOKUP(AP78,POC!B:B,POC!D:D)</f>
        <v>#N/A</v>
      </c>
      <c r="CK78" s="130">
        <f t="shared" si="336"/>
        <v>115.61000000000001</v>
      </c>
      <c r="CL78" s="130">
        <f t="shared" si="337"/>
        <v>115.61000000000001</v>
      </c>
      <c r="CM78" s="130">
        <f t="shared" si="338"/>
        <v>115.61000000000001</v>
      </c>
      <c r="CN78" s="130">
        <f t="shared" si="339"/>
        <v>424.79999999999995</v>
      </c>
      <c r="CO78" s="130">
        <f t="shared" si="340"/>
        <v>-288.38019999999995</v>
      </c>
      <c r="CP78" s="130">
        <f t="shared" si="341"/>
        <v>0</v>
      </c>
      <c r="CQ78" s="130">
        <f t="shared" si="342"/>
        <v>0</v>
      </c>
      <c r="CR78" s="130">
        <f t="shared" si="343"/>
        <v>136.41980000000001</v>
      </c>
      <c r="CS78" s="130" t="s">
        <v>236</v>
      </c>
      <c r="CT78" s="130" t="s">
        <v>236</v>
      </c>
      <c r="CU78" s="145" t="str">
        <f t="shared" si="344"/>
        <v>AADCS0655F</v>
      </c>
      <c r="CV78" s="145" t="str">
        <f t="shared" si="345"/>
        <v>GOWPS6814G</v>
      </c>
    </row>
    <row r="79" spans="2:100" s="152" customFormat="1" ht="11.85" customHeight="1" x14ac:dyDescent="0.25">
      <c r="B79" s="123" t="str">
        <f t="shared" si="310"/>
        <v>Q1</v>
      </c>
      <c r="C79" s="124" t="str">
        <f t="shared" si="311"/>
        <v>May-26</v>
      </c>
      <c r="D79" s="125">
        <v>46150</v>
      </c>
      <c r="E79" s="126" t="s">
        <v>522</v>
      </c>
      <c r="F79" s="126" t="s">
        <v>511</v>
      </c>
      <c r="G79" s="126" t="s">
        <v>512</v>
      </c>
      <c r="H79" s="127" t="s">
        <v>523</v>
      </c>
      <c r="I79" s="349">
        <v>46150</v>
      </c>
      <c r="J79" s="350" t="s">
        <v>524</v>
      </c>
      <c r="K79" s="349">
        <v>46151</v>
      </c>
      <c r="L79" s="126" t="s">
        <v>237</v>
      </c>
      <c r="M79" s="126" t="s">
        <v>525</v>
      </c>
      <c r="N79" s="127" t="s">
        <v>527</v>
      </c>
      <c r="O79" s="126">
        <v>1</v>
      </c>
      <c r="P79" s="283">
        <v>183.27</v>
      </c>
      <c r="Q79" s="128">
        <f t="shared" si="312"/>
        <v>183.27</v>
      </c>
      <c r="R79" s="129">
        <v>0</v>
      </c>
      <c r="S79" s="128">
        <f t="shared" si="313"/>
        <v>1</v>
      </c>
      <c r="T79" s="129">
        <v>0</v>
      </c>
      <c r="U79" s="130">
        <v>0</v>
      </c>
      <c r="V79" s="131">
        <v>0</v>
      </c>
      <c r="W79" s="130">
        <v>0</v>
      </c>
      <c r="X79" s="132">
        <v>0</v>
      </c>
      <c r="Y79" s="130">
        <v>0</v>
      </c>
      <c r="Z79" s="130">
        <v>0</v>
      </c>
      <c r="AA79" s="129">
        <v>0</v>
      </c>
      <c r="AB79" s="133">
        <f t="shared" si="314"/>
        <v>0</v>
      </c>
      <c r="AC79" s="132">
        <v>0</v>
      </c>
      <c r="AD79" s="128">
        <v>0</v>
      </c>
      <c r="AE79" s="147">
        <v>0</v>
      </c>
      <c r="AF79" s="130">
        <v>0</v>
      </c>
      <c r="AG79" s="134">
        <v>0</v>
      </c>
      <c r="AH79" s="130">
        <v>0</v>
      </c>
      <c r="AI79" s="131">
        <v>0</v>
      </c>
      <c r="AJ79" s="130">
        <v>0</v>
      </c>
      <c r="AK79" s="130">
        <v>0</v>
      </c>
      <c r="AL79" s="130">
        <v>0</v>
      </c>
      <c r="AM79" s="135">
        <f t="shared" si="315"/>
        <v>183.27</v>
      </c>
      <c r="AN79" s="136">
        <v>46151</v>
      </c>
      <c r="AO79" s="137" t="s">
        <v>540</v>
      </c>
      <c r="AP79" s="138" t="s">
        <v>532</v>
      </c>
      <c r="AQ79" s="139" t="s">
        <v>533</v>
      </c>
      <c r="AR79" s="139" t="s">
        <v>534</v>
      </c>
      <c r="AS79" s="126" t="s">
        <v>541</v>
      </c>
      <c r="AT79" s="140" t="s">
        <v>360</v>
      </c>
      <c r="AU79" s="140" t="s">
        <v>361</v>
      </c>
      <c r="AV79" s="141" t="s">
        <v>542</v>
      </c>
      <c r="AW79" s="139">
        <v>1</v>
      </c>
      <c r="AX79" s="141">
        <v>270</v>
      </c>
      <c r="AY79" s="139">
        <f t="shared" si="316"/>
        <v>270</v>
      </c>
      <c r="AZ79" s="142" t="b">
        <f t="shared" si="317"/>
        <v>1</v>
      </c>
      <c r="BA79" s="128">
        <v>0</v>
      </c>
      <c r="BB79" s="143">
        <f t="shared" si="318"/>
        <v>1</v>
      </c>
      <c r="BC79" s="144">
        <v>0</v>
      </c>
      <c r="BD79" s="143" t="s">
        <v>109</v>
      </c>
      <c r="BE79" s="144">
        <v>0</v>
      </c>
      <c r="BF79" s="143">
        <v>0</v>
      </c>
      <c r="BG79" s="144">
        <v>0</v>
      </c>
      <c r="BH79" s="130">
        <v>0</v>
      </c>
      <c r="BI79" s="133">
        <v>0</v>
      </c>
      <c r="BJ79" s="131">
        <v>0</v>
      </c>
      <c r="BK79" s="128">
        <v>0</v>
      </c>
      <c r="BL79" s="139">
        <v>0</v>
      </c>
      <c r="BM79" s="130">
        <v>0</v>
      </c>
      <c r="BN79" s="145">
        <f t="shared" si="319"/>
        <v>0</v>
      </c>
      <c r="BO79" s="129">
        <f t="shared" si="320"/>
        <v>270</v>
      </c>
      <c r="BP79" s="135">
        <f t="shared" si="321"/>
        <v>86.72999999999999</v>
      </c>
      <c r="BQ79" s="144" t="str">
        <f t="shared" si="322"/>
        <v>Positive Margin</v>
      </c>
      <c r="BR79" s="146" t="s">
        <v>209</v>
      </c>
      <c r="BS79" s="128">
        <f t="shared" si="323"/>
        <v>86.72999999999999</v>
      </c>
      <c r="BT79" s="147" t="str">
        <f t="shared" si="324"/>
        <v>Positive Margin at Inception</v>
      </c>
      <c r="BU79" s="148">
        <f t="shared" si="325"/>
        <v>0.32122222222222219</v>
      </c>
      <c r="BV79" s="147" t="str">
        <f t="shared" si="326"/>
        <v>More than 2%</v>
      </c>
      <c r="BW79" s="128">
        <f t="shared" si="327"/>
        <v>0</v>
      </c>
      <c r="BX79" s="129">
        <f t="shared" si="328"/>
        <v>0</v>
      </c>
      <c r="BY79" s="128">
        <f t="shared" si="329"/>
        <v>0</v>
      </c>
      <c r="BZ79" s="149">
        <f t="shared" si="330"/>
        <v>0</v>
      </c>
      <c r="CA79" s="149">
        <f t="shared" si="331"/>
        <v>0</v>
      </c>
      <c r="CB79" s="130">
        <f t="shared" si="332"/>
        <v>0</v>
      </c>
      <c r="CC79" s="149" t="s">
        <v>282</v>
      </c>
      <c r="CD79" s="130">
        <v>0</v>
      </c>
      <c r="CE79" s="130">
        <f t="shared" si="333"/>
        <v>183.27</v>
      </c>
      <c r="CF79" s="130">
        <f t="shared" si="334"/>
        <v>270</v>
      </c>
      <c r="CG79" s="130">
        <f t="shared" si="335"/>
        <v>6</v>
      </c>
      <c r="CH79" s="150">
        <v>0</v>
      </c>
      <c r="CI79" s="130">
        <v>0</v>
      </c>
      <c r="CJ79" s="130" t="e">
        <f>_xlfn.XLOOKUP(AP79,POC!B:B,POC!D:D)</f>
        <v>#N/A</v>
      </c>
      <c r="CK79" s="130">
        <f t="shared" si="336"/>
        <v>86.72999999999999</v>
      </c>
      <c r="CL79" s="130">
        <f t="shared" si="337"/>
        <v>86.72999999999999</v>
      </c>
      <c r="CM79" s="130">
        <f t="shared" si="338"/>
        <v>86.72999999999999</v>
      </c>
      <c r="CN79" s="130">
        <f t="shared" si="339"/>
        <v>318.59999999999997</v>
      </c>
      <c r="CO79" s="130">
        <f t="shared" si="340"/>
        <v>-216.2586</v>
      </c>
      <c r="CP79" s="130">
        <f t="shared" si="341"/>
        <v>0</v>
      </c>
      <c r="CQ79" s="130">
        <f t="shared" si="342"/>
        <v>0</v>
      </c>
      <c r="CR79" s="130">
        <f t="shared" si="343"/>
        <v>102.34139999999996</v>
      </c>
      <c r="CS79" s="130" t="s">
        <v>236</v>
      </c>
      <c r="CT79" s="130" t="s">
        <v>236</v>
      </c>
      <c r="CU79" s="145" t="str">
        <f t="shared" si="344"/>
        <v>AADCS0655F</v>
      </c>
      <c r="CV79" s="145" t="str">
        <f t="shared" si="345"/>
        <v>GOWPS6814G</v>
      </c>
    </row>
    <row r="80" spans="2:100" s="152" customFormat="1" ht="11.85" customHeight="1" x14ac:dyDescent="0.25">
      <c r="B80" s="123" t="str">
        <f t="shared" si="310"/>
        <v>Q1</v>
      </c>
      <c r="C80" s="124" t="str">
        <f t="shared" si="311"/>
        <v>May-26</v>
      </c>
      <c r="D80" s="125">
        <v>46150</v>
      </c>
      <c r="E80" s="126" t="s">
        <v>522</v>
      </c>
      <c r="F80" s="126" t="s">
        <v>511</v>
      </c>
      <c r="G80" s="126" t="s">
        <v>512</v>
      </c>
      <c r="H80" s="127" t="s">
        <v>523</v>
      </c>
      <c r="I80" s="349">
        <v>46150</v>
      </c>
      <c r="J80" s="350" t="s">
        <v>524</v>
      </c>
      <c r="K80" s="349">
        <v>46151</v>
      </c>
      <c r="L80" s="126" t="s">
        <v>237</v>
      </c>
      <c r="M80" s="126" t="s">
        <v>525</v>
      </c>
      <c r="N80" s="127" t="s">
        <v>527</v>
      </c>
      <c r="O80" s="126">
        <v>1</v>
      </c>
      <c r="P80" s="283">
        <v>456.68</v>
      </c>
      <c r="Q80" s="128">
        <f t="shared" si="312"/>
        <v>456.68</v>
      </c>
      <c r="R80" s="129">
        <v>0</v>
      </c>
      <c r="S80" s="128">
        <f t="shared" si="313"/>
        <v>1</v>
      </c>
      <c r="T80" s="129">
        <v>0</v>
      </c>
      <c r="U80" s="130">
        <v>0</v>
      </c>
      <c r="V80" s="131">
        <v>0</v>
      </c>
      <c r="W80" s="130">
        <v>0</v>
      </c>
      <c r="X80" s="132">
        <v>0</v>
      </c>
      <c r="Y80" s="130">
        <v>0</v>
      </c>
      <c r="Z80" s="130">
        <v>0</v>
      </c>
      <c r="AA80" s="129">
        <v>0</v>
      </c>
      <c r="AB80" s="133">
        <f t="shared" si="314"/>
        <v>0</v>
      </c>
      <c r="AC80" s="132">
        <v>0</v>
      </c>
      <c r="AD80" s="128">
        <v>0</v>
      </c>
      <c r="AE80" s="147">
        <v>0</v>
      </c>
      <c r="AF80" s="130">
        <v>0</v>
      </c>
      <c r="AG80" s="134">
        <v>0</v>
      </c>
      <c r="AH80" s="130">
        <v>0</v>
      </c>
      <c r="AI80" s="131">
        <v>0</v>
      </c>
      <c r="AJ80" s="130">
        <v>0</v>
      </c>
      <c r="AK80" s="130">
        <v>0</v>
      </c>
      <c r="AL80" s="130">
        <v>0</v>
      </c>
      <c r="AM80" s="135">
        <f t="shared" si="315"/>
        <v>456.68</v>
      </c>
      <c r="AN80" s="136">
        <v>46151</v>
      </c>
      <c r="AO80" s="137" t="s">
        <v>540</v>
      </c>
      <c r="AP80" s="138" t="s">
        <v>532</v>
      </c>
      <c r="AQ80" s="139" t="s">
        <v>533</v>
      </c>
      <c r="AR80" s="139" t="s">
        <v>534</v>
      </c>
      <c r="AS80" s="126" t="s">
        <v>541</v>
      </c>
      <c r="AT80" s="140" t="s">
        <v>360</v>
      </c>
      <c r="AU80" s="140" t="s">
        <v>361</v>
      </c>
      <c r="AV80" s="141" t="s">
        <v>542</v>
      </c>
      <c r="AW80" s="139">
        <v>1</v>
      </c>
      <c r="AX80" s="141">
        <v>670</v>
      </c>
      <c r="AY80" s="139">
        <f t="shared" si="316"/>
        <v>670</v>
      </c>
      <c r="AZ80" s="142" t="b">
        <f t="shared" si="317"/>
        <v>1</v>
      </c>
      <c r="BA80" s="128">
        <v>0</v>
      </c>
      <c r="BB80" s="143">
        <f t="shared" si="318"/>
        <v>1</v>
      </c>
      <c r="BC80" s="144">
        <v>0</v>
      </c>
      <c r="BD80" s="143" t="s">
        <v>109</v>
      </c>
      <c r="BE80" s="144">
        <v>0</v>
      </c>
      <c r="BF80" s="143">
        <v>0</v>
      </c>
      <c r="BG80" s="144">
        <v>0</v>
      </c>
      <c r="BH80" s="130">
        <v>0</v>
      </c>
      <c r="BI80" s="133">
        <v>0</v>
      </c>
      <c r="BJ80" s="131">
        <v>0</v>
      </c>
      <c r="BK80" s="128">
        <v>0</v>
      </c>
      <c r="BL80" s="139">
        <v>0</v>
      </c>
      <c r="BM80" s="130">
        <v>0</v>
      </c>
      <c r="BN80" s="145">
        <f t="shared" si="319"/>
        <v>0</v>
      </c>
      <c r="BO80" s="129">
        <f t="shared" si="320"/>
        <v>670</v>
      </c>
      <c r="BP80" s="135">
        <f t="shared" si="321"/>
        <v>213.32</v>
      </c>
      <c r="BQ80" s="144" t="str">
        <f t="shared" si="322"/>
        <v>Positive Margin</v>
      </c>
      <c r="BR80" s="146" t="s">
        <v>209</v>
      </c>
      <c r="BS80" s="128">
        <f t="shared" si="323"/>
        <v>213.32</v>
      </c>
      <c r="BT80" s="147" t="str">
        <f t="shared" si="324"/>
        <v>Positive Margin at Inception</v>
      </c>
      <c r="BU80" s="148">
        <f t="shared" si="325"/>
        <v>0.31838805970149253</v>
      </c>
      <c r="BV80" s="147" t="str">
        <f t="shared" si="326"/>
        <v>More than 2%</v>
      </c>
      <c r="BW80" s="128">
        <f t="shared" si="327"/>
        <v>0</v>
      </c>
      <c r="BX80" s="129">
        <f t="shared" si="328"/>
        <v>0</v>
      </c>
      <c r="BY80" s="128">
        <f t="shared" si="329"/>
        <v>0</v>
      </c>
      <c r="BZ80" s="149">
        <f t="shared" si="330"/>
        <v>0</v>
      </c>
      <c r="CA80" s="149">
        <f t="shared" si="331"/>
        <v>0</v>
      </c>
      <c r="CB80" s="130">
        <f t="shared" si="332"/>
        <v>0</v>
      </c>
      <c r="CC80" s="149" t="s">
        <v>282</v>
      </c>
      <c r="CD80" s="130">
        <v>0</v>
      </c>
      <c r="CE80" s="130">
        <f t="shared" si="333"/>
        <v>456.68</v>
      </c>
      <c r="CF80" s="130">
        <f t="shared" si="334"/>
        <v>670</v>
      </c>
      <c r="CG80" s="130">
        <f t="shared" si="335"/>
        <v>6</v>
      </c>
      <c r="CH80" s="150">
        <v>0</v>
      </c>
      <c r="CI80" s="130">
        <v>0</v>
      </c>
      <c r="CJ80" s="130" t="e">
        <f>_xlfn.XLOOKUP(AP80,POC!B:B,POC!D:D)</f>
        <v>#N/A</v>
      </c>
      <c r="CK80" s="130">
        <f t="shared" si="336"/>
        <v>213.32</v>
      </c>
      <c r="CL80" s="130">
        <f t="shared" si="337"/>
        <v>213.32</v>
      </c>
      <c r="CM80" s="130">
        <f t="shared" si="338"/>
        <v>213.32</v>
      </c>
      <c r="CN80" s="130">
        <f t="shared" si="339"/>
        <v>790.59999999999991</v>
      </c>
      <c r="CO80" s="130">
        <f t="shared" si="340"/>
        <v>-538.88239999999996</v>
      </c>
      <c r="CP80" s="130">
        <f t="shared" si="341"/>
        <v>0</v>
      </c>
      <c r="CQ80" s="130">
        <f t="shared" si="342"/>
        <v>0</v>
      </c>
      <c r="CR80" s="130">
        <f t="shared" si="343"/>
        <v>251.71759999999995</v>
      </c>
      <c r="CS80" s="130" t="s">
        <v>236</v>
      </c>
      <c r="CT80" s="130" t="s">
        <v>236</v>
      </c>
      <c r="CU80" s="145" t="str">
        <f t="shared" si="344"/>
        <v>AADCS0655F</v>
      </c>
      <c r="CV80" s="145" t="str">
        <f t="shared" si="345"/>
        <v>GOWPS6814G</v>
      </c>
    </row>
    <row r="81" spans="2:100" s="152" customFormat="1" ht="11.85" customHeight="1" x14ac:dyDescent="0.25">
      <c r="B81" s="123" t="str">
        <f t="shared" si="310"/>
        <v>Q1</v>
      </c>
      <c r="C81" s="124" t="str">
        <f t="shared" si="311"/>
        <v>May-26</v>
      </c>
      <c r="D81" s="125">
        <v>46150</v>
      </c>
      <c r="E81" s="126" t="s">
        <v>522</v>
      </c>
      <c r="F81" s="126" t="s">
        <v>511</v>
      </c>
      <c r="G81" s="126" t="s">
        <v>512</v>
      </c>
      <c r="H81" s="127" t="s">
        <v>523</v>
      </c>
      <c r="I81" s="349">
        <v>46150</v>
      </c>
      <c r="J81" s="350" t="s">
        <v>524</v>
      </c>
      <c r="K81" s="349">
        <v>46151</v>
      </c>
      <c r="L81" s="126" t="s">
        <v>237</v>
      </c>
      <c r="M81" s="126" t="s">
        <v>525</v>
      </c>
      <c r="N81" s="127" t="s">
        <v>527</v>
      </c>
      <c r="O81" s="126">
        <v>1</v>
      </c>
      <c r="P81" s="283">
        <v>178.8</v>
      </c>
      <c r="Q81" s="128">
        <f t="shared" si="312"/>
        <v>178.8</v>
      </c>
      <c r="R81" s="129">
        <v>0</v>
      </c>
      <c r="S81" s="128">
        <f t="shared" si="313"/>
        <v>1</v>
      </c>
      <c r="T81" s="129">
        <v>0</v>
      </c>
      <c r="U81" s="130">
        <v>0</v>
      </c>
      <c r="V81" s="131">
        <v>0</v>
      </c>
      <c r="W81" s="130">
        <v>0</v>
      </c>
      <c r="X81" s="132">
        <v>0</v>
      </c>
      <c r="Y81" s="130">
        <v>0</v>
      </c>
      <c r="Z81" s="130">
        <v>0</v>
      </c>
      <c r="AA81" s="129">
        <v>0</v>
      </c>
      <c r="AB81" s="133">
        <f t="shared" si="314"/>
        <v>0</v>
      </c>
      <c r="AC81" s="132">
        <v>0</v>
      </c>
      <c r="AD81" s="128">
        <v>0</v>
      </c>
      <c r="AE81" s="147">
        <v>0</v>
      </c>
      <c r="AF81" s="130">
        <v>0</v>
      </c>
      <c r="AG81" s="134">
        <v>0</v>
      </c>
      <c r="AH81" s="130">
        <v>0</v>
      </c>
      <c r="AI81" s="131">
        <v>0</v>
      </c>
      <c r="AJ81" s="130">
        <v>0</v>
      </c>
      <c r="AK81" s="130">
        <v>0</v>
      </c>
      <c r="AL81" s="130">
        <v>0</v>
      </c>
      <c r="AM81" s="135">
        <f t="shared" si="315"/>
        <v>178.8</v>
      </c>
      <c r="AN81" s="136">
        <v>46151</v>
      </c>
      <c r="AO81" s="137" t="s">
        <v>540</v>
      </c>
      <c r="AP81" s="138" t="s">
        <v>532</v>
      </c>
      <c r="AQ81" s="139" t="s">
        <v>533</v>
      </c>
      <c r="AR81" s="139" t="s">
        <v>534</v>
      </c>
      <c r="AS81" s="126" t="s">
        <v>541</v>
      </c>
      <c r="AT81" s="140" t="s">
        <v>360</v>
      </c>
      <c r="AU81" s="140" t="s">
        <v>361</v>
      </c>
      <c r="AV81" s="141" t="s">
        <v>542</v>
      </c>
      <c r="AW81" s="139">
        <v>1</v>
      </c>
      <c r="AX81" s="141">
        <v>262</v>
      </c>
      <c r="AY81" s="139">
        <f t="shared" si="316"/>
        <v>262</v>
      </c>
      <c r="AZ81" s="142" t="b">
        <f t="shared" si="317"/>
        <v>1</v>
      </c>
      <c r="BA81" s="128">
        <v>0</v>
      </c>
      <c r="BB81" s="143">
        <f t="shared" si="318"/>
        <v>1</v>
      </c>
      <c r="BC81" s="144">
        <v>0</v>
      </c>
      <c r="BD81" s="143" t="s">
        <v>109</v>
      </c>
      <c r="BE81" s="144">
        <v>0</v>
      </c>
      <c r="BF81" s="143">
        <v>0</v>
      </c>
      <c r="BG81" s="144">
        <v>0</v>
      </c>
      <c r="BH81" s="130">
        <v>0</v>
      </c>
      <c r="BI81" s="133">
        <v>0</v>
      </c>
      <c r="BJ81" s="131">
        <v>0</v>
      </c>
      <c r="BK81" s="128">
        <v>0</v>
      </c>
      <c r="BL81" s="139">
        <v>0</v>
      </c>
      <c r="BM81" s="130">
        <v>0</v>
      </c>
      <c r="BN81" s="145">
        <f t="shared" si="319"/>
        <v>0</v>
      </c>
      <c r="BO81" s="129">
        <f t="shared" si="320"/>
        <v>262</v>
      </c>
      <c r="BP81" s="135">
        <f t="shared" si="321"/>
        <v>83.199999999999989</v>
      </c>
      <c r="BQ81" s="144" t="str">
        <f t="shared" si="322"/>
        <v>Positive Margin</v>
      </c>
      <c r="BR81" s="146" t="s">
        <v>209</v>
      </c>
      <c r="BS81" s="128">
        <f t="shared" si="323"/>
        <v>83.199999999999989</v>
      </c>
      <c r="BT81" s="147" t="str">
        <f t="shared" si="324"/>
        <v>Positive Margin at Inception</v>
      </c>
      <c r="BU81" s="148">
        <f t="shared" si="325"/>
        <v>0.3175572519083969</v>
      </c>
      <c r="BV81" s="147" t="str">
        <f t="shared" si="326"/>
        <v>More than 2%</v>
      </c>
      <c r="BW81" s="128">
        <f t="shared" si="327"/>
        <v>0</v>
      </c>
      <c r="BX81" s="129">
        <f t="shared" si="328"/>
        <v>0</v>
      </c>
      <c r="BY81" s="128">
        <f t="shared" si="329"/>
        <v>0</v>
      </c>
      <c r="BZ81" s="149">
        <f t="shared" si="330"/>
        <v>0</v>
      </c>
      <c r="CA81" s="149">
        <f t="shared" si="331"/>
        <v>0</v>
      </c>
      <c r="CB81" s="130">
        <f t="shared" si="332"/>
        <v>0</v>
      </c>
      <c r="CC81" s="149" t="s">
        <v>282</v>
      </c>
      <c r="CD81" s="130">
        <v>0</v>
      </c>
      <c r="CE81" s="130">
        <f t="shared" si="333"/>
        <v>178.8</v>
      </c>
      <c r="CF81" s="130">
        <f t="shared" si="334"/>
        <v>262</v>
      </c>
      <c r="CG81" s="130">
        <f t="shared" si="335"/>
        <v>6</v>
      </c>
      <c r="CH81" s="150">
        <v>0</v>
      </c>
      <c r="CI81" s="130">
        <v>0</v>
      </c>
      <c r="CJ81" s="130" t="e">
        <f>_xlfn.XLOOKUP(AP81,POC!B:B,POC!D:D)</f>
        <v>#N/A</v>
      </c>
      <c r="CK81" s="130">
        <f t="shared" si="336"/>
        <v>83.199999999999989</v>
      </c>
      <c r="CL81" s="130">
        <f t="shared" si="337"/>
        <v>83.199999999999989</v>
      </c>
      <c r="CM81" s="130">
        <f t="shared" si="338"/>
        <v>83.199999999999989</v>
      </c>
      <c r="CN81" s="130">
        <f t="shared" si="339"/>
        <v>309.15999999999997</v>
      </c>
      <c r="CO81" s="130">
        <f t="shared" si="340"/>
        <v>-210.98400000000001</v>
      </c>
      <c r="CP81" s="130">
        <f t="shared" si="341"/>
        <v>0</v>
      </c>
      <c r="CQ81" s="130">
        <f t="shared" si="342"/>
        <v>0</v>
      </c>
      <c r="CR81" s="130">
        <f t="shared" si="343"/>
        <v>98.175999999999959</v>
      </c>
      <c r="CS81" s="130" t="s">
        <v>236</v>
      </c>
      <c r="CT81" s="130" t="s">
        <v>236</v>
      </c>
      <c r="CU81" s="145" t="str">
        <f t="shared" si="344"/>
        <v>AADCS0655F</v>
      </c>
      <c r="CV81" s="145" t="str">
        <f t="shared" si="345"/>
        <v>GOWPS6814G</v>
      </c>
    </row>
    <row r="82" spans="2:100" s="152" customFormat="1" ht="11.85" customHeight="1" x14ac:dyDescent="0.25">
      <c r="B82" s="123" t="str">
        <f t="shared" si="310"/>
        <v>Q1</v>
      </c>
      <c r="C82" s="124" t="str">
        <f t="shared" si="311"/>
        <v>May-26</v>
      </c>
      <c r="D82" s="125">
        <v>46150</v>
      </c>
      <c r="E82" s="126" t="s">
        <v>522</v>
      </c>
      <c r="F82" s="126" t="s">
        <v>511</v>
      </c>
      <c r="G82" s="126" t="s">
        <v>512</v>
      </c>
      <c r="H82" s="127" t="s">
        <v>523</v>
      </c>
      <c r="I82" s="349">
        <v>46150</v>
      </c>
      <c r="J82" s="350" t="s">
        <v>524</v>
      </c>
      <c r="K82" s="349">
        <v>46151</v>
      </c>
      <c r="L82" s="126" t="s">
        <v>237</v>
      </c>
      <c r="M82" s="126" t="s">
        <v>525</v>
      </c>
      <c r="N82" s="127" t="s">
        <v>516</v>
      </c>
      <c r="O82" s="126">
        <v>1</v>
      </c>
      <c r="P82" s="283">
        <v>55.88</v>
      </c>
      <c r="Q82" s="128">
        <f t="shared" si="312"/>
        <v>55.88</v>
      </c>
      <c r="R82" s="129">
        <v>0</v>
      </c>
      <c r="S82" s="128">
        <f t="shared" si="313"/>
        <v>1</v>
      </c>
      <c r="T82" s="129">
        <v>0</v>
      </c>
      <c r="U82" s="130">
        <v>0</v>
      </c>
      <c r="V82" s="131">
        <v>0</v>
      </c>
      <c r="W82" s="130">
        <v>0</v>
      </c>
      <c r="X82" s="132">
        <v>0</v>
      </c>
      <c r="Y82" s="130">
        <v>0</v>
      </c>
      <c r="Z82" s="130">
        <v>0</v>
      </c>
      <c r="AA82" s="129">
        <v>0</v>
      </c>
      <c r="AB82" s="133">
        <f t="shared" si="314"/>
        <v>0</v>
      </c>
      <c r="AC82" s="132">
        <v>0</v>
      </c>
      <c r="AD82" s="128">
        <v>0</v>
      </c>
      <c r="AE82" s="147">
        <v>0</v>
      </c>
      <c r="AF82" s="130">
        <v>0</v>
      </c>
      <c r="AG82" s="134">
        <v>0</v>
      </c>
      <c r="AH82" s="130">
        <v>0</v>
      </c>
      <c r="AI82" s="131">
        <v>0</v>
      </c>
      <c r="AJ82" s="130">
        <v>0</v>
      </c>
      <c r="AK82" s="130">
        <v>0</v>
      </c>
      <c r="AL82" s="130">
        <v>0</v>
      </c>
      <c r="AM82" s="135">
        <f t="shared" si="315"/>
        <v>55.88</v>
      </c>
      <c r="AN82" s="136">
        <v>46151</v>
      </c>
      <c r="AO82" s="137" t="s">
        <v>540</v>
      </c>
      <c r="AP82" s="138" t="s">
        <v>532</v>
      </c>
      <c r="AQ82" s="139" t="s">
        <v>533</v>
      </c>
      <c r="AR82" s="139" t="s">
        <v>534</v>
      </c>
      <c r="AS82" s="126" t="s">
        <v>541</v>
      </c>
      <c r="AT82" s="140" t="s">
        <v>360</v>
      </c>
      <c r="AU82" s="140" t="s">
        <v>361</v>
      </c>
      <c r="AV82" s="141" t="s">
        <v>542</v>
      </c>
      <c r="AW82" s="139">
        <v>1</v>
      </c>
      <c r="AX82" s="141">
        <v>82</v>
      </c>
      <c r="AY82" s="139">
        <f t="shared" si="316"/>
        <v>82</v>
      </c>
      <c r="AZ82" s="142" t="b">
        <f t="shared" si="317"/>
        <v>1</v>
      </c>
      <c r="BA82" s="128">
        <v>0</v>
      </c>
      <c r="BB82" s="143">
        <f t="shared" si="318"/>
        <v>1</v>
      </c>
      <c r="BC82" s="144">
        <v>0</v>
      </c>
      <c r="BD82" s="143" t="s">
        <v>109</v>
      </c>
      <c r="BE82" s="144">
        <v>0</v>
      </c>
      <c r="BF82" s="143">
        <v>0</v>
      </c>
      <c r="BG82" s="144">
        <v>0</v>
      </c>
      <c r="BH82" s="130">
        <v>0</v>
      </c>
      <c r="BI82" s="133">
        <v>0</v>
      </c>
      <c r="BJ82" s="131">
        <v>0</v>
      </c>
      <c r="BK82" s="128">
        <v>0</v>
      </c>
      <c r="BL82" s="139">
        <v>0</v>
      </c>
      <c r="BM82" s="130">
        <v>0</v>
      </c>
      <c r="BN82" s="145">
        <f t="shared" si="319"/>
        <v>0</v>
      </c>
      <c r="BO82" s="129">
        <f t="shared" si="320"/>
        <v>82</v>
      </c>
      <c r="BP82" s="135">
        <f t="shared" si="321"/>
        <v>26.119999999999997</v>
      </c>
      <c r="BQ82" s="144" t="str">
        <f t="shared" si="322"/>
        <v>Positive Margin</v>
      </c>
      <c r="BR82" s="146" t="s">
        <v>209</v>
      </c>
      <c r="BS82" s="128">
        <f t="shared" si="323"/>
        <v>26.119999999999997</v>
      </c>
      <c r="BT82" s="147" t="str">
        <f t="shared" si="324"/>
        <v>Positive Margin at Inception</v>
      </c>
      <c r="BU82" s="148">
        <f t="shared" si="325"/>
        <v>0.31853658536585361</v>
      </c>
      <c r="BV82" s="147" t="str">
        <f t="shared" si="326"/>
        <v>More than 2%</v>
      </c>
      <c r="BW82" s="128">
        <f t="shared" si="327"/>
        <v>0</v>
      </c>
      <c r="BX82" s="129">
        <f t="shared" si="328"/>
        <v>0</v>
      </c>
      <c r="BY82" s="128">
        <f t="shared" si="329"/>
        <v>0</v>
      </c>
      <c r="BZ82" s="149">
        <f t="shared" si="330"/>
        <v>0</v>
      </c>
      <c r="CA82" s="149">
        <f t="shared" si="331"/>
        <v>0</v>
      </c>
      <c r="CB82" s="130">
        <f t="shared" si="332"/>
        <v>0</v>
      </c>
      <c r="CC82" s="149" t="s">
        <v>282</v>
      </c>
      <c r="CD82" s="130">
        <v>0</v>
      </c>
      <c r="CE82" s="130">
        <f t="shared" si="333"/>
        <v>55.88</v>
      </c>
      <c r="CF82" s="130">
        <f t="shared" si="334"/>
        <v>82</v>
      </c>
      <c r="CG82" s="130">
        <f t="shared" si="335"/>
        <v>6</v>
      </c>
      <c r="CH82" s="150">
        <v>0</v>
      </c>
      <c r="CI82" s="130">
        <v>0</v>
      </c>
      <c r="CJ82" s="130" t="e">
        <f>_xlfn.XLOOKUP(AP82,POC!B:B,POC!D:D)</f>
        <v>#N/A</v>
      </c>
      <c r="CK82" s="130">
        <f t="shared" si="336"/>
        <v>26.119999999999997</v>
      </c>
      <c r="CL82" s="130">
        <f t="shared" si="337"/>
        <v>26.119999999999997</v>
      </c>
      <c r="CM82" s="130">
        <f t="shared" si="338"/>
        <v>26.119999999999997</v>
      </c>
      <c r="CN82" s="130">
        <f t="shared" si="339"/>
        <v>96.759999999999991</v>
      </c>
      <c r="CO82" s="130">
        <f t="shared" si="340"/>
        <v>-65.938400000000001</v>
      </c>
      <c r="CP82" s="130">
        <f t="shared" si="341"/>
        <v>0</v>
      </c>
      <c r="CQ82" s="130">
        <f t="shared" si="342"/>
        <v>0</v>
      </c>
      <c r="CR82" s="130">
        <f t="shared" si="343"/>
        <v>30.821599999999989</v>
      </c>
      <c r="CS82" s="130" t="s">
        <v>236</v>
      </c>
      <c r="CT82" s="130" t="s">
        <v>236</v>
      </c>
      <c r="CU82" s="145" t="str">
        <f t="shared" si="344"/>
        <v>AADCS0655F</v>
      </c>
      <c r="CV82" s="145" t="str">
        <f t="shared" si="345"/>
        <v>GOWPS6814G</v>
      </c>
    </row>
    <row r="83" spans="2:100" s="152" customFormat="1" ht="11.85" customHeight="1" x14ac:dyDescent="0.25">
      <c r="B83" s="123" t="str">
        <f t="shared" si="310"/>
        <v>Q1</v>
      </c>
      <c r="C83" s="124" t="str">
        <f t="shared" si="311"/>
        <v>May-26</v>
      </c>
      <c r="D83" s="125">
        <v>46150</v>
      </c>
      <c r="E83" s="126" t="s">
        <v>522</v>
      </c>
      <c r="F83" s="126" t="s">
        <v>511</v>
      </c>
      <c r="G83" s="126" t="s">
        <v>512</v>
      </c>
      <c r="H83" s="127" t="s">
        <v>523</v>
      </c>
      <c r="I83" s="349">
        <v>46150</v>
      </c>
      <c r="J83" s="350" t="s">
        <v>524</v>
      </c>
      <c r="K83" s="349">
        <v>46151</v>
      </c>
      <c r="L83" s="126" t="s">
        <v>237</v>
      </c>
      <c r="M83" s="126" t="s">
        <v>525</v>
      </c>
      <c r="N83" s="127" t="s">
        <v>527</v>
      </c>
      <c r="O83" s="126">
        <v>1</v>
      </c>
      <c r="P83" s="283">
        <v>576.69000000000005</v>
      </c>
      <c r="Q83" s="128">
        <f t="shared" si="312"/>
        <v>576.69000000000005</v>
      </c>
      <c r="R83" s="129">
        <v>0</v>
      </c>
      <c r="S83" s="128">
        <f t="shared" si="313"/>
        <v>1</v>
      </c>
      <c r="T83" s="129">
        <v>0</v>
      </c>
      <c r="U83" s="130">
        <v>0</v>
      </c>
      <c r="V83" s="131">
        <v>0</v>
      </c>
      <c r="W83" s="130">
        <v>0</v>
      </c>
      <c r="X83" s="132">
        <v>0</v>
      </c>
      <c r="Y83" s="130">
        <v>0</v>
      </c>
      <c r="Z83" s="130">
        <v>0</v>
      </c>
      <c r="AA83" s="129">
        <v>0</v>
      </c>
      <c r="AB83" s="133">
        <f t="shared" si="314"/>
        <v>0</v>
      </c>
      <c r="AC83" s="132">
        <v>0</v>
      </c>
      <c r="AD83" s="128">
        <v>0</v>
      </c>
      <c r="AE83" s="147">
        <v>0</v>
      </c>
      <c r="AF83" s="130">
        <v>0</v>
      </c>
      <c r="AG83" s="134">
        <v>0</v>
      </c>
      <c r="AH83" s="130">
        <v>0</v>
      </c>
      <c r="AI83" s="131">
        <v>0</v>
      </c>
      <c r="AJ83" s="130">
        <v>0</v>
      </c>
      <c r="AK83" s="130">
        <v>0</v>
      </c>
      <c r="AL83" s="130">
        <v>0</v>
      </c>
      <c r="AM83" s="135">
        <f t="shared" si="315"/>
        <v>576.69000000000005</v>
      </c>
      <c r="AN83" s="136">
        <v>46151</v>
      </c>
      <c r="AO83" s="137" t="s">
        <v>540</v>
      </c>
      <c r="AP83" s="138" t="s">
        <v>532</v>
      </c>
      <c r="AQ83" s="139" t="s">
        <v>533</v>
      </c>
      <c r="AR83" s="139" t="s">
        <v>534</v>
      </c>
      <c r="AS83" s="126" t="s">
        <v>541</v>
      </c>
      <c r="AT83" s="140" t="s">
        <v>360</v>
      </c>
      <c r="AU83" s="140" t="s">
        <v>361</v>
      </c>
      <c r="AV83" s="141" t="s">
        <v>542</v>
      </c>
      <c r="AW83" s="139">
        <v>1</v>
      </c>
      <c r="AX83" s="141">
        <v>847</v>
      </c>
      <c r="AY83" s="139">
        <f t="shared" si="316"/>
        <v>847</v>
      </c>
      <c r="AZ83" s="142" t="b">
        <f t="shared" si="317"/>
        <v>1</v>
      </c>
      <c r="BA83" s="128">
        <v>0</v>
      </c>
      <c r="BB83" s="143">
        <f t="shared" si="318"/>
        <v>1</v>
      </c>
      <c r="BC83" s="144">
        <v>0</v>
      </c>
      <c r="BD83" s="143" t="s">
        <v>109</v>
      </c>
      <c r="BE83" s="144">
        <v>0</v>
      </c>
      <c r="BF83" s="143">
        <v>0</v>
      </c>
      <c r="BG83" s="144">
        <v>0</v>
      </c>
      <c r="BH83" s="130">
        <v>0</v>
      </c>
      <c r="BI83" s="133">
        <v>0</v>
      </c>
      <c r="BJ83" s="131">
        <v>0</v>
      </c>
      <c r="BK83" s="128">
        <v>0</v>
      </c>
      <c r="BL83" s="139">
        <v>0</v>
      </c>
      <c r="BM83" s="130">
        <v>0</v>
      </c>
      <c r="BN83" s="145">
        <f t="shared" si="319"/>
        <v>0</v>
      </c>
      <c r="BO83" s="129">
        <f t="shared" si="320"/>
        <v>847</v>
      </c>
      <c r="BP83" s="135">
        <f t="shared" si="321"/>
        <v>270.30999999999995</v>
      </c>
      <c r="BQ83" s="144" t="str">
        <f t="shared" si="322"/>
        <v>Positive Margin</v>
      </c>
      <c r="BR83" s="146" t="s">
        <v>209</v>
      </c>
      <c r="BS83" s="128">
        <f t="shared" si="323"/>
        <v>270.30999999999995</v>
      </c>
      <c r="BT83" s="147" t="str">
        <f t="shared" si="324"/>
        <v>Positive Margin at Inception</v>
      </c>
      <c r="BU83" s="148">
        <f t="shared" si="325"/>
        <v>0.31913813459267998</v>
      </c>
      <c r="BV83" s="147" t="str">
        <f t="shared" si="326"/>
        <v>More than 2%</v>
      </c>
      <c r="BW83" s="128">
        <f t="shared" si="327"/>
        <v>0</v>
      </c>
      <c r="BX83" s="129">
        <f t="shared" si="328"/>
        <v>0</v>
      </c>
      <c r="BY83" s="128">
        <f t="shared" si="329"/>
        <v>0</v>
      </c>
      <c r="BZ83" s="149">
        <f t="shared" si="330"/>
        <v>0</v>
      </c>
      <c r="CA83" s="149">
        <f t="shared" si="331"/>
        <v>0</v>
      </c>
      <c r="CB83" s="130">
        <f t="shared" si="332"/>
        <v>0</v>
      </c>
      <c r="CC83" s="149" t="s">
        <v>282</v>
      </c>
      <c r="CD83" s="130">
        <v>0</v>
      </c>
      <c r="CE83" s="130">
        <f t="shared" si="333"/>
        <v>576.69000000000005</v>
      </c>
      <c r="CF83" s="130">
        <f t="shared" si="334"/>
        <v>847</v>
      </c>
      <c r="CG83" s="130">
        <f t="shared" si="335"/>
        <v>6</v>
      </c>
      <c r="CH83" s="150">
        <v>0</v>
      </c>
      <c r="CI83" s="130">
        <v>0</v>
      </c>
      <c r="CJ83" s="130" t="e">
        <f>_xlfn.XLOOKUP(AP83,POC!B:B,POC!D:D)</f>
        <v>#N/A</v>
      </c>
      <c r="CK83" s="130">
        <f t="shared" si="336"/>
        <v>270.30999999999995</v>
      </c>
      <c r="CL83" s="130">
        <f t="shared" si="337"/>
        <v>270.30999999999995</v>
      </c>
      <c r="CM83" s="130">
        <f t="shared" si="338"/>
        <v>270.30999999999995</v>
      </c>
      <c r="CN83" s="130">
        <f t="shared" si="339"/>
        <v>999.45999999999992</v>
      </c>
      <c r="CO83" s="130">
        <f t="shared" si="340"/>
        <v>-680.49419999999998</v>
      </c>
      <c r="CP83" s="130">
        <f t="shared" si="341"/>
        <v>0</v>
      </c>
      <c r="CQ83" s="130">
        <f t="shared" si="342"/>
        <v>0</v>
      </c>
      <c r="CR83" s="130">
        <f t="shared" si="343"/>
        <v>318.96579999999994</v>
      </c>
      <c r="CS83" s="130" t="s">
        <v>236</v>
      </c>
      <c r="CT83" s="130" t="s">
        <v>236</v>
      </c>
      <c r="CU83" s="145" t="str">
        <f t="shared" si="344"/>
        <v>AADCS0655F</v>
      </c>
      <c r="CV83" s="145" t="str">
        <f t="shared" si="345"/>
        <v>GOWPS6814G</v>
      </c>
    </row>
    <row r="84" spans="2:100" s="152" customFormat="1" ht="11.85" customHeight="1" x14ac:dyDescent="0.25">
      <c r="B84" s="123" t="str">
        <f t="shared" si="310"/>
        <v>Q1</v>
      </c>
      <c r="C84" s="124" t="str">
        <f t="shared" si="311"/>
        <v>May-26</v>
      </c>
      <c r="D84" s="125">
        <v>46150</v>
      </c>
      <c r="E84" s="126" t="s">
        <v>522</v>
      </c>
      <c r="F84" s="126" t="s">
        <v>511</v>
      </c>
      <c r="G84" s="126" t="s">
        <v>512</v>
      </c>
      <c r="H84" s="127" t="s">
        <v>523</v>
      </c>
      <c r="I84" s="349">
        <v>46150</v>
      </c>
      <c r="J84" s="350" t="s">
        <v>524</v>
      </c>
      <c r="K84" s="349">
        <v>46151</v>
      </c>
      <c r="L84" s="126" t="s">
        <v>237</v>
      </c>
      <c r="M84" s="126" t="s">
        <v>525</v>
      </c>
      <c r="N84" s="127" t="s">
        <v>527</v>
      </c>
      <c r="O84" s="126">
        <v>1</v>
      </c>
      <c r="P84" s="283">
        <v>224.17</v>
      </c>
      <c r="Q84" s="128">
        <f t="shared" si="312"/>
        <v>224.17</v>
      </c>
      <c r="R84" s="129">
        <v>0</v>
      </c>
      <c r="S84" s="128">
        <f t="shared" si="313"/>
        <v>1</v>
      </c>
      <c r="T84" s="129">
        <v>0</v>
      </c>
      <c r="U84" s="130">
        <v>0</v>
      </c>
      <c r="V84" s="131">
        <v>0</v>
      </c>
      <c r="W84" s="130">
        <v>0</v>
      </c>
      <c r="X84" s="132">
        <v>0</v>
      </c>
      <c r="Y84" s="130">
        <v>0</v>
      </c>
      <c r="Z84" s="130">
        <v>0</v>
      </c>
      <c r="AA84" s="129">
        <v>0</v>
      </c>
      <c r="AB84" s="133">
        <f t="shared" si="314"/>
        <v>0</v>
      </c>
      <c r="AC84" s="132">
        <v>0</v>
      </c>
      <c r="AD84" s="128">
        <v>0</v>
      </c>
      <c r="AE84" s="147">
        <v>0</v>
      </c>
      <c r="AF84" s="130">
        <v>0</v>
      </c>
      <c r="AG84" s="134">
        <v>0</v>
      </c>
      <c r="AH84" s="130">
        <v>0</v>
      </c>
      <c r="AI84" s="131">
        <v>0</v>
      </c>
      <c r="AJ84" s="130">
        <v>0</v>
      </c>
      <c r="AK84" s="130">
        <v>0</v>
      </c>
      <c r="AL84" s="130">
        <v>0</v>
      </c>
      <c r="AM84" s="135">
        <f t="shared" si="315"/>
        <v>224.17</v>
      </c>
      <c r="AN84" s="136">
        <v>46151</v>
      </c>
      <c r="AO84" s="137" t="s">
        <v>540</v>
      </c>
      <c r="AP84" s="138" t="s">
        <v>532</v>
      </c>
      <c r="AQ84" s="139" t="s">
        <v>533</v>
      </c>
      <c r="AR84" s="139" t="s">
        <v>534</v>
      </c>
      <c r="AS84" s="126" t="s">
        <v>541</v>
      </c>
      <c r="AT84" s="140" t="s">
        <v>360</v>
      </c>
      <c r="AU84" s="140" t="s">
        <v>361</v>
      </c>
      <c r="AV84" s="141" t="s">
        <v>542</v>
      </c>
      <c r="AW84" s="139">
        <v>1</v>
      </c>
      <c r="AX84" s="141">
        <v>330</v>
      </c>
      <c r="AY84" s="139">
        <f t="shared" si="316"/>
        <v>330</v>
      </c>
      <c r="AZ84" s="142" t="b">
        <f t="shared" si="317"/>
        <v>1</v>
      </c>
      <c r="BA84" s="128">
        <v>0</v>
      </c>
      <c r="BB84" s="143">
        <f t="shared" si="318"/>
        <v>1</v>
      </c>
      <c r="BC84" s="144">
        <v>0</v>
      </c>
      <c r="BD84" s="143" t="s">
        <v>109</v>
      </c>
      <c r="BE84" s="144">
        <v>0</v>
      </c>
      <c r="BF84" s="143">
        <v>0</v>
      </c>
      <c r="BG84" s="144">
        <v>0</v>
      </c>
      <c r="BH84" s="130">
        <v>0</v>
      </c>
      <c r="BI84" s="133">
        <v>0</v>
      </c>
      <c r="BJ84" s="131">
        <v>0</v>
      </c>
      <c r="BK84" s="128">
        <v>0</v>
      </c>
      <c r="BL84" s="139">
        <v>0</v>
      </c>
      <c r="BM84" s="130">
        <v>0</v>
      </c>
      <c r="BN84" s="145">
        <f t="shared" si="319"/>
        <v>0</v>
      </c>
      <c r="BO84" s="129">
        <f t="shared" si="320"/>
        <v>330</v>
      </c>
      <c r="BP84" s="135">
        <f t="shared" si="321"/>
        <v>105.83000000000001</v>
      </c>
      <c r="BQ84" s="144" t="str">
        <f t="shared" si="322"/>
        <v>Positive Margin</v>
      </c>
      <c r="BR84" s="146" t="s">
        <v>209</v>
      </c>
      <c r="BS84" s="128">
        <f t="shared" si="323"/>
        <v>105.83000000000001</v>
      </c>
      <c r="BT84" s="147" t="str">
        <f t="shared" si="324"/>
        <v>Positive Margin at Inception</v>
      </c>
      <c r="BU84" s="148">
        <f t="shared" si="325"/>
        <v>0.32069696969696976</v>
      </c>
      <c r="BV84" s="147" t="str">
        <f t="shared" si="326"/>
        <v>More than 2%</v>
      </c>
      <c r="BW84" s="128">
        <f t="shared" si="327"/>
        <v>0</v>
      </c>
      <c r="BX84" s="129">
        <f t="shared" si="328"/>
        <v>0</v>
      </c>
      <c r="BY84" s="128">
        <f t="shared" si="329"/>
        <v>0</v>
      </c>
      <c r="BZ84" s="149">
        <f t="shared" si="330"/>
        <v>0</v>
      </c>
      <c r="CA84" s="149">
        <f t="shared" si="331"/>
        <v>0</v>
      </c>
      <c r="CB84" s="130">
        <f t="shared" si="332"/>
        <v>0</v>
      </c>
      <c r="CC84" s="149" t="s">
        <v>282</v>
      </c>
      <c r="CD84" s="130">
        <v>0</v>
      </c>
      <c r="CE84" s="130">
        <f t="shared" si="333"/>
        <v>224.17</v>
      </c>
      <c r="CF84" s="130">
        <f t="shared" si="334"/>
        <v>330</v>
      </c>
      <c r="CG84" s="130">
        <f t="shared" si="335"/>
        <v>6</v>
      </c>
      <c r="CH84" s="150">
        <v>0</v>
      </c>
      <c r="CI84" s="130">
        <v>0</v>
      </c>
      <c r="CJ84" s="130" t="e">
        <f>_xlfn.XLOOKUP(AP84,POC!B:B,POC!D:D)</f>
        <v>#N/A</v>
      </c>
      <c r="CK84" s="130">
        <f t="shared" si="336"/>
        <v>105.83000000000001</v>
      </c>
      <c r="CL84" s="130">
        <f t="shared" si="337"/>
        <v>105.83000000000001</v>
      </c>
      <c r="CM84" s="130">
        <f t="shared" si="338"/>
        <v>105.83000000000001</v>
      </c>
      <c r="CN84" s="130">
        <f t="shared" si="339"/>
        <v>389.4</v>
      </c>
      <c r="CO84" s="130">
        <f t="shared" si="340"/>
        <v>-264.52059999999994</v>
      </c>
      <c r="CP84" s="130">
        <f t="shared" si="341"/>
        <v>0</v>
      </c>
      <c r="CQ84" s="130">
        <f t="shared" si="342"/>
        <v>0</v>
      </c>
      <c r="CR84" s="130">
        <f t="shared" si="343"/>
        <v>124.87940000000003</v>
      </c>
      <c r="CS84" s="130" t="s">
        <v>236</v>
      </c>
      <c r="CT84" s="130" t="s">
        <v>236</v>
      </c>
      <c r="CU84" s="145" t="str">
        <f t="shared" si="344"/>
        <v>AADCS0655F</v>
      </c>
      <c r="CV84" s="145" t="str">
        <f t="shared" si="345"/>
        <v>GOWPS6814G</v>
      </c>
    </row>
    <row r="85" spans="2:100" s="152" customFormat="1" ht="11.85" customHeight="1" x14ac:dyDescent="0.25">
      <c r="B85" s="123" t="str">
        <f t="shared" si="310"/>
        <v>Q1</v>
      </c>
      <c r="C85" s="124" t="str">
        <f t="shared" si="311"/>
        <v>May-26</v>
      </c>
      <c r="D85" s="125">
        <v>46150</v>
      </c>
      <c r="E85" s="126" t="s">
        <v>522</v>
      </c>
      <c r="F85" s="126" t="s">
        <v>511</v>
      </c>
      <c r="G85" s="126" t="s">
        <v>512</v>
      </c>
      <c r="H85" s="127" t="s">
        <v>523</v>
      </c>
      <c r="I85" s="349">
        <v>46150</v>
      </c>
      <c r="J85" s="350" t="s">
        <v>524</v>
      </c>
      <c r="K85" s="349">
        <v>46151</v>
      </c>
      <c r="L85" s="126" t="s">
        <v>237</v>
      </c>
      <c r="M85" s="126" t="s">
        <v>525</v>
      </c>
      <c r="N85" s="127" t="s">
        <v>516</v>
      </c>
      <c r="O85" s="126">
        <v>1</v>
      </c>
      <c r="P85" s="283">
        <v>55.13</v>
      </c>
      <c r="Q85" s="128">
        <f t="shared" si="312"/>
        <v>55.13</v>
      </c>
      <c r="R85" s="129">
        <v>0</v>
      </c>
      <c r="S85" s="128">
        <f t="shared" si="313"/>
        <v>1</v>
      </c>
      <c r="T85" s="129">
        <v>0</v>
      </c>
      <c r="U85" s="130">
        <v>0</v>
      </c>
      <c r="V85" s="131">
        <v>0</v>
      </c>
      <c r="W85" s="130">
        <v>0</v>
      </c>
      <c r="X85" s="132">
        <v>0</v>
      </c>
      <c r="Y85" s="130">
        <v>0</v>
      </c>
      <c r="Z85" s="130">
        <v>0</v>
      </c>
      <c r="AA85" s="129">
        <v>0</v>
      </c>
      <c r="AB85" s="133">
        <f t="shared" si="314"/>
        <v>0</v>
      </c>
      <c r="AC85" s="132">
        <v>0</v>
      </c>
      <c r="AD85" s="128">
        <v>0</v>
      </c>
      <c r="AE85" s="147">
        <v>0</v>
      </c>
      <c r="AF85" s="130">
        <v>0</v>
      </c>
      <c r="AG85" s="134">
        <v>0</v>
      </c>
      <c r="AH85" s="130">
        <v>0</v>
      </c>
      <c r="AI85" s="131">
        <v>0</v>
      </c>
      <c r="AJ85" s="130">
        <v>0</v>
      </c>
      <c r="AK85" s="130">
        <v>0</v>
      </c>
      <c r="AL85" s="130">
        <v>0</v>
      </c>
      <c r="AM85" s="135">
        <f t="shared" si="315"/>
        <v>55.13</v>
      </c>
      <c r="AN85" s="136">
        <v>46151</v>
      </c>
      <c r="AO85" s="137" t="s">
        <v>540</v>
      </c>
      <c r="AP85" s="138" t="s">
        <v>532</v>
      </c>
      <c r="AQ85" s="139" t="s">
        <v>533</v>
      </c>
      <c r="AR85" s="139" t="s">
        <v>534</v>
      </c>
      <c r="AS85" s="126" t="s">
        <v>541</v>
      </c>
      <c r="AT85" s="140" t="s">
        <v>360</v>
      </c>
      <c r="AU85" s="140" t="s">
        <v>361</v>
      </c>
      <c r="AV85" s="141" t="s">
        <v>542</v>
      </c>
      <c r="AW85" s="139">
        <v>1</v>
      </c>
      <c r="AX85" s="141">
        <v>82</v>
      </c>
      <c r="AY85" s="139">
        <f t="shared" si="316"/>
        <v>82</v>
      </c>
      <c r="AZ85" s="142" t="b">
        <f t="shared" si="317"/>
        <v>1</v>
      </c>
      <c r="BA85" s="128">
        <v>0</v>
      </c>
      <c r="BB85" s="143">
        <f t="shared" si="318"/>
        <v>1</v>
      </c>
      <c r="BC85" s="144">
        <v>0</v>
      </c>
      <c r="BD85" s="143" t="s">
        <v>109</v>
      </c>
      <c r="BE85" s="144">
        <v>0</v>
      </c>
      <c r="BF85" s="143">
        <v>0</v>
      </c>
      <c r="BG85" s="144">
        <v>0</v>
      </c>
      <c r="BH85" s="130">
        <v>0</v>
      </c>
      <c r="BI85" s="133">
        <v>0</v>
      </c>
      <c r="BJ85" s="131">
        <v>0</v>
      </c>
      <c r="BK85" s="128">
        <v>0</v>
      </c>
      <c r="BL85" s="139">
        <v>0</v>
      </c>
      <c r="BM85" s="130">
        <v>0</v>
      </c>
      <c r="BN85" s="145">
        <f t="shared" si="319"/>
        <v>0</v>
      </c>
      <c r="BO85" s="129">
        <f t="shared" si="320"/>
        <v>82</v>
      </c>
      <c r="BP85" s="135">
        <f t="shared" si="321"/>
        <v>26.869999999999997</v>
      </c>
      <c r="BQ85" s="144" t="str">
        <f t="shared" si="322"/>
        <v>Positive Margin</v>
      </c>
      <c r="BR85" s="146" t="s">
        <v>209</v>
      </c>
      <c r="BS85" s="128">
        <f t="shared" si="323"/>
        <v>26.869999999999997</v>
      </c>
      <c r="BT85" s="147" t="str">
        <f t="shared" si="324"/>
        <v>Positive Margin at Inception</v>
      </c>
      <c r="BU85" s="148">
        <f t="shared" si="325"/>
        <v>0.32768292682926825</v>
      </c>
      <c r="BV85" s="147" t="str">
        <f t="shared" si="326"/>
        <v>More than 2%</v>
      </c>
      <c r="BW85" s="128">
        <f t="shared" si="327"/>
        <v>0</v>
      </c>
      <c r="BX85" s="129">
        <f t="shared" si="328"/>
        <v>0</v>
      </c>
      <c r="BY85" s="128">
        <f t="shared" si="329"/>
        <v>0</v>
      </c>
      <c r="BZ85" s="149">
        <f t="shared" si="330"/>
        <v>0</v>
      </c>
      <c r="CA85" s="149">
        <f t="shared" si="331"/>
        <v>0</v>
      </c>
      <c r="CB85" s="130">
        <f t="shared" si="332"/>
        <v>0</v>
      </c>
      <c r="CC85" s="149" t="s">
        <v>282</v>
      </c>
      <c r="CD85" s="130">
        <v>0</v>
      </c>
      <c r="CE85" s="130">
        <f t="shared" si="333"/>
        <v>55.13</v>
      </c>
      <c r="CF85" s="130">
        <f t="shared" si="334"/>
        <v>82</v>
      </c>
      <c r="CG85" s="130">
        <f t="shared" si="335"/>
        <v>6</v>
      </c>
      <c r="CH85" s="150">
        <v>0</v>
      </c>
      <c r="CI85" s="130">
        <v>0</v>
      </c>
      <c r="CJ85" s="130" t="e">
        <f>_xlfn.XLOOKUP(AP85,POC!B:B,POC!D:D)</f>
        <v>#N/A</v>
      </c>
      <c r="CK85" s="130">
        <f t="shared" si="336"/>
        <v>26.869999999999997</v>
      </c>
      <c r="CL85" s="130">
        <f t="shared" si="337"/>
        <v>26.869999999999997</v>
      </c>
      <c r="CM85" s="130">
        <f t="shared" si="338"/>
        <v>26.869999999999997</v>
      </c>
      <c r="CN85" s="130">
        <f t="shared" si="339"/>
        <v>96.759999999999991</v>
      </c>
      <c r="CO85" s="130">
        <f t="shared" si="340"/>
        <v>-65.053399999999996</v>
      </c>
      <c r="CP85" s="130">
        <f t="shared" si="341"/>
        <v>0</v>
      </c>
      <c r="CQ85" s="130">
        <f t="shared" si="342"/>
        <v>0</v>
      </c>
      <c r="CR85" s="130">
        <f t="shared" si="343"/>
        <v>31.706599999999995</v>
      </c>
      <c r="CS85" s="130" t="s">
        <v>236</v>
      </c>
      <c r="CT85" s="130" t="s">
        <v>236</v>
      </c>
      <c r="CU85" s="145" t="str">
        <f t="shared" si="344"/>
        <v>AADCS0655F</v>
      </c>
      <c r="CV85" s="145" t="str">
        <f t="shared" si="345"/>
        <v>GOWPS6814G</v>
      </c>
    </row>
    <row r="86" spans="2:100" s="152" customFormat="1" ht="11.85" customHeight="1" x14ac:dyDescent="0.25">
      <c r="B86" s="123" t="str">
        <f t="shared" si="310"/>
        <v>Q1</v>
      </c>
      <c r="C86" s="124" t="str">
        <f t="shared" si="311"/>
        <v>May-26</v>
      </c>
      <c r="D86" s="125">
        <v>46150</v>
      </c>
      <c r="E86" s="126" t="s">
        <v>522</v>
      </c>
      <c r="F86" s="126" t="s">
        <v>511</v>
      </c>
      <c r="G86" s="126" t="s">
        <v>512</v>
      </c>
      <c r="H86" s="127" t="s">
        <v>523</v>
      </c>
      <c r="I86" s="349">
        <v>46150</v>
      </c>
      <c r="J86" s="350" t="s">
        <v>524</v>
      </c>
      <c r="K86" s="349">
        <v>46151</v>
      </c>
      <c r="L86" s="126" t="s">
        <v>237</v>
      </c>
      <c r="M86" s="126" t="s">
        <v>525</v>
      </c>
      <c r="N86" s="127" t="s">
        <v>516</v>
      </c>
      <c r="O86" s="126">
        <v>1</v>
      </c>
      <c r="P86" s="283">
        <v>55.88</v>
      </c>
      <c r="Q86" s="128">
        <f t="shared" si="312"/>
        <v>55.88</v>
      </c>
      <c r="R86" s="129">
        <v>0</v>
      </c>
      <c r="S86" s="128">
        <f t="shared" si="313"/>
        <v>1</v>
      </c>
      <c r="T86" s="129">
        <v>0</v>
      </c>
      <c r="U86" s="130">
        <v>0</v>
      </c>
      <c r="V86" s="131">
        <v>0</v>
      </c>
      <c r="W86" s="130">
        <v>0</v>
      </c>
      <c r="X86" s="132">
        <v>0</v>
      </c>
      <c r="Y86" s="130">
        <v>0</v>
      </c>
      <c r="Z86" s="130">
        <v>0</v>
      </c>
      <c r="AA86" s="129">
        <v>0</v>
      </c>
      <c r="AB86" s="133">
        <f t="shared" si="314"/>
        <v>0</v>
      </c>
      <c r="AC86" s="132">
        <v>0</v>
      </c>
      <c r="AD86" s="128">
        <v>0</v>
      </c>
      <c r="AE86" s="147">
        <v>0</v>
      </c>
      <c r="AF86" s="130">
        <v>0</v>
      </c>
      <c r="AG86" s="134">
        <v>0</v>
      </c>
      <c r="AH86" s="130">
        <v>0</v>
      </c>
      <c r="AI86" s="131">
        <v>0</v>
      </c>
      <c r="AJ86" s="130">
        <v>0</v>
      </c>
      <c r="AK86" s="130">
        <v>0</v>
      </c>
      <c r="AL86" s="130">
        <v>0</v>
      </c>
      <c r="AM86" s="135">
        <f t="shared" si="315"/>
        <v>55.88</v>
      </c>
      <c r="AN86" s="136">
        <v>46151</v>
      </c>
      <c r="AO86" s="137" t="s">
        <v>540</v>
      </c>
      <c r="AP86" s="138" t="s">
        <v>532</v>
      </c>
      <c r="AQ86" s="139" t="s">
        <v>533</v>
      </c>
      <c r="AR86" s="139" t="s">
        <v>534</v>
      </c>
      <c r="AS86" s="126" t="s">
        <v>541</v>
      </c>
      <c r="AT86" s="140" t="s">
        <v>360</v>
      </c>
      <c r="AU86" s="140" t="s">
        <v>361</v>
      </c>
      <c r="AV86" s="141" t="s">
        <v>542</v>
      </c>
      <c r="AW86" s="139">
        <v>1</v>
      </c>
      <c r="AX86" s="141">
        <v>82</v>
      </c>
      <c r="AY86" s="139">
        <f t="shared" si="316"/>
        <v>82</v>
      </c>
      <c r="AZ86" s="142" t="b">
        <f t="shared" si="317"/>
        <v>1</v>
      </c>
      <c r="BA86" s="128">
        <v>0</v>
      </c>
      <c r="BB86" s="143">
        <f t="shared" si="318"/>
        <v>1</v>
      </c>
      <c r="BC86" s="144">
        <v>0</v>
      </c>
      <c r="BD86" s="143" t="s">
        <v>109</v>
      </c>
      <c r="BE86" s="144">
        <v>0</v>
      </c>
      <c r="BF86" s="143">
        <v>0</v>
      </c>
      <c r="BG86" s="144">
        <v>0</v>
      </c>
      <c r="BH86" s="130">
        <v>0</v>
      </c>
      <c r="BI86" s="133">
        <v>0</v>
      </c>
      <c r="BJ86" s="131">
        <v>0</v>
      </c>
      <c r="BK86" s="128">
        <v>0</v>
      </c>
      <c r="BL86" s="139">
        <v>0</v>
      </c>
      <c r="BM86" s="130">
        <v>0</v>
      </c>
      <c r="BN86" s="145">
        <f t="shared" si="319"/>
        <v>0</v>
      </c>
      <c r="BO86" s="129">
        <f t="shared" si="320"/>
        <v>82</v>
      </c>
      <c r="BP86" s="135">
        <f t="shared" si="321"/>
        <v>26.119999999999997</v>
      </c>
      <c r="BQ86" s="144" t="str">
        <f t="shared" si="322"/>
        <v>Positive Margin</v>
      </c>
      <c r="BR86" s="146" t="s">
        <v>209</v>
      </c>
      <c r="BS86" s="128">
        <f t="shared" si="323"/>
        <v>26.119999999999997</v>
      </c>
      <c r="BT86" s="147" t="str">
        <f t="shared" si="324"/>
        <v>Positive Margin at Inception</v>
      </c>
      <c r="BU86" s="148">
        <f t="shared" si="325"/>
        <v>0.31853658536585361</v>
      </c>
      <c r="BV86" s="147" t="str">
        <f t="shared" si="326"/>
        <v>More than 2%</v>
      </c>
      <c r="BW86" s="128">
        <f t="shared" si="327"/>
        <v>0</v>
      </c>
      <c r="BX86" s="129">
        <f t="shared" si="328"/>
        <v>0</v>
      </c>
      <c r="BY86" s="128">
        <f t="shared" si="329"/>
        <v>0</v>
      </c>
      <c r="BZ86" s="149">
        <f t="shared" si="330"/>
        <v>0</v>
      </c>
      <c r="CA86" s="149">
        <f t="shared" si="331"/>
        <v>0</v>
      </c>
      <c r="CB86" s="130">
        <f t="shared" si="332"/>
        <v>0</v>
      </c>
      <c r="CC86" s="149" t="s">
        <v>282</v>
      </c>
      <c r="CD86" s="130">
        <v>0</v>
      </c>
      <c r="CE86" s="130">
        <f t="shared" si="333"/>
        <v>55.88</v>
      </c>
      <c r="CF86" s="130">
        <f t="shared" si="334"/>
        <v>82</v>
      </c>
      <c r="CG86" s="130">
        <f t="shared" si="335"/>
        <v>6</v>
      </c>
      <c r="CH86" s="150">
        <v>0</v>
      </c>
      <c r="CI86" s="130">
        <v>0</v>
      </c>
      <c r="CJ86" s="130" t="e">
        <f>_xlfn.XLOOKUP(AP86,POC!B:B,POC!D:D)</f>
        <v>#N/A</v>
      </c>
      <c r="CK86" s="130">
        <f t="shared" si="336"/>
        <v>26.119999999999997</v>
      </c>
      <c r="CL86" s="130">
        <f t="shared" si="337"/>
        <v>26.119999999999997</v>
      </c>
      <c r="CM86" s="130">
        <f t="shared" si="338"/>
        <v>26.119999999999997</v>
      </c>
      <c r="CN86" s="130">
        <f t="shared" si="339"/>
        <v>96.759999999999991</v>
      </c>
      <c r="CO86" s="130">
        <f t="shared" si="340"/>
        <v>-65.938400000000001</v>
      </c>
      <c r="CP86" s="130">
        <f t="shared" si="341"/>
        <v>0</v>
      </c>
      <c r="CQ86" s="130">
        <f t="shared" si="342"/>
        <v>0</v>
      </c>
      <c r="CR86" s="130">
        <f t="shared" si="343"/>
        <v>30.821599999999989</v>
      </c>
      <c r="CS86" s="130" t="s">
        <v>236</v>
      </c>
      <c r="CT86" s="130" t="s">
        <v>236</v>
      </c>
      <c r="CU86" s="145" t="str">
        <f t="shared" si="344"/>
        <v>AADCS0655F</v>
      </c>
      <c r="CV86" s="145" t="str">
        <f t="shared" si="345"/>
        <v>GOWPS6814G</v>
      </c>
    </row>
    <row r="87" spans="2:100" s="152" customFormat="1" ht="11.85" customHeight="1" x14ac:dyDescent="0.25">
      <c r="B87" s="123" t="str">
        <f t="shared" si="310"/>
        <v>Q1</v>
      </c>
      <c r="C87" s="124" t="str">
        <f t="shared" si="311"/>
        <v>May-26</v>
      </c>
      <c r="D87" s="125">
        <v>46150</v>
      </c>
      <c r="E87" s="126" t="s">
        <v>522</v>
      </c>
      <c r="F87" s="126" t="s">
        <v>511</v>
      </c>
      <c r="G87" s="126" t="s">
        <v>512</v>
      </c>
      <c r="H87" s="127" t="s">
        <v>523</v>
      </c>
      <c r="I87" s="349">
        <v>46150</v>
      </c>
      <c r="J87" s="350" t="s">
        <v>524</v>
      </c>
      <c r="K87" s="349">
        <v>46151</v>
      </c>
      <c r="L87" s="126" t="s">
        <v>237</v>
      </c>
      <c r="M87" s="126" t="s">
        <v>525</v>
      </c>
      <c r="N87" s="127" t="s">
        <v>516</v>
      </c>
      <c r="O87" s="126">
        <v>1</v>
      </c>
      <c r="P87" s="283">
        <v>54.39</v>
      </c>
      <c r="Q87" s="128">
        <f t="shared" si="312"/>
        <v>54.39</v>
      </c>
      <c r="R87" s="129">
        <v>0</v>
      </c>
      <c r="S87" s="128">
        <f t="shared" si="313"/>
        <v>1</v>
      </c>
      <c r="T87" s="129">
        <v>0</v>
      </c>
      <c r="U87" s="130">
        <v>0</v>
      </c>
      <c r="V87" s="131">
        <v>0</v>
      </c>
      <c r="W87" s="130">
        <v>0</v>
      </c>
      <c r="X87" s="132">
        <v>0</v>
      </c>
      <c r="Y87" s="130">
        <v>0</v>
      </c>
      <c r="Z87" s="130">
        <v>0</v>
      </c>
      <c r="AA87" s="129">
        <v>0</v>
      </c>
      <c r="AB87" s="133">
        <f t="shared" si="314"/>
        <v>0</v>
      </c>
      <c r="AC87" s="132">
        <v>0</v>
      </c>
      <c r="AD87" s="128">
        <v>0</v>
      </c>
      <c r="AE87" s="147">
        <v>0</v>
      </c>
      <c r="AF87" s="130">
        <v>0</v>
      </c>
      <c r="AG87" s="134">
        <v>0</v>
      </c>
      <c r="AH87" s="130">
        <v>0</v>
      </c>
      <c r="AI87" s="131">
        <v>0</v>
      </c>
      <c r="AJ87" s="130">
        <v>0</v>
      </c>
      <c r="AK87" s="130">
        <v>0</v>
      </c>
      <c r="AL87" s="130">
        <v>0</v>
      </c>
      <c r="AM87" s="135">
        <f t="shared" si="315"/>
        <v>54.39</v>
      </c>
      <c r="AN87" s="136">
        <v>46151</v>
      </c>
      <c r="AO87" s="137" t="s">
        <v>540</v>
      </c>
      <c r="AP87" s="138" t="s">
        <v>532</v>
      </c>
      <c r="AQ87" s="139" t="s">
        <v>533</v>
      </c>
      <c r="AR87" s="139" t="s">
        <v>534</v>
      </c>
      <c r="AS87" s="126" t="s">
        <v>541</v>
      </c>
      <c r="AT87" s="140" t="s">
        <v>360</v>
      </c>
      <c r="AU87" s="140" t="s">
        <v>361</v>
      </c>
      <c r="AV87" s="141" t="s">
        <v>542</v>
      </c>
      <c r="AW87" s="139">
        <v>1</v>
      </c>
      <c r="AX87" s="141">
        <v>80</v>
      </c>
      <c r="AY87" s="139">
        <f t="shared" si="316"/>
        <v>80</v>
      </c>
      <c r="AZ87" s="142" t="b">
        <f t="shared" si="317"/>
        <v>1</v>
      </c>
      <c r="BA87" s="128">
        <v>0</v>
      </c>
      <c r="BB87" s="143">
        <f t="shared" si="318"/>
        <v>1</v>
      </c>
      <c r="BC87" s="144">
        <v>0</v>
      </c>
      <c r="BD87" s="143" t="s">
        <v>109</v>
      </c>
      <c r="BE87" s="144">
        <v>0</v>
      </c>
      <c r="BF87" s="143">
        <v>0</v>
      </c>
      <c r="BG87" s="144">
        <v>0</v>
      </c>
      <c r="BH87" s="130">
        <v>0</v>
      </c>
      <c r="BI87" s="133">
        <v>0</v>
      </c>
      <c r="BJ87" s="131">
        <v>0</v>
      </c>
      <c r="BK87" s="128">
        <v>0</v>
      </c>
      <c r="BL87" s="139">
        <v>0</v>
      </c>
      <c r="BM87" s="130">
        <v>0</v>
      </c>
      <c r="BN87" s="145">
        <f t="shared" si="319"/>
        <v>0</v>
      </c>
      <c r="BO87" s="129">
        <f t="shared" si="320"/>
        <v>80</v>
      </c>
      <c r="BP87" s="135">
        <f t="shared" si="321"/>
        <v>25.61</v>
      </c>
      <c r="BQ87" s="144" t="str">
        <f t="shared" si="322"/>
        <v>Positive Margin</v>
      </c>
      <c r="BR87" s="146" t="s">
        <v>209</v>
      </c>
      <c r="BS87" s="128">
        <f t="shared" si="323"/>
        <v>25.61</v>
      </c>
      <c r="BT87" s="147" t="str">
        <f t="shared" si="324"/>
        <v>Positive Margin at Inception</v>
      </c>
      <c r="BU87" s="148">
        <f t="shared" si="325"/>
        <v>0.32012499999999999</v>
      </c>
      <c r="BV87" s="147" t="str">
        <f t="shared" si="326"/>
        <v>More than 2%</v>
      </c>
      <c r="BW87" s="128">
        <f t="shared" si="327"/>
        <v>0</v>
      </c>
      <c r="BX87" s="129">
        <f t="shared" si="328"/>
        <v>0</v>
      </c>
      <c r="BY87" s="128">
        <f t="shared" si="329"/>
        <v>0</v>
      </c>
      <c r="BZ87" s="149">
        <f t="shared" si="330"/>
        <v>0</v>
      </c>
      <c r="CA87" s="149">
        <f t="shared" si="331"/>
        <v>0</v>
      </c>
      <c r="CB87" s="130">
        <f t="shared" si="332"/>
        <v>0</v>
      </c>
      <c r="CC87" s="149" t="s">
        <v>282</v>
      </c>
      <c r="CD87" s="130">
        <v>0</v>
      </c>
      <c r="CE87" s="130">
        <f t="shared" si="333"/>
        <v>54.39</v>
      </c>
      <c r="CF87" s="130">
        <f t="shared" si="334"/>
        <v>80</v>
      </c>
      <c r="CG87" s="130">
        <f t="shared" si="335"/>
        <v>6</v>
      </c>
      <c r="CH87" s="150">
        <v>0</v>
      </c>
      <c r="CI87" s="130">
        <v>0</v>
      </c>
      <c r="CJ87" s="130" t="e">
        <f>_xlfn.XLOOKUP(AP87,POC!B:B,POC!D:D)</f>
        <v>#N/A</v>
      </c>
      <c r="CK87" s="130">
        <f t="shared" si="336"/>
        <v>25.61</v>
      </c>
      <c r="CL87" s="130">
        <f t="shared" si="337"/>
        <v>25.61</v>
      </c>
      <c r="CM87" s="130">
        <f t="shared" si="338"/>
        <v>25.61</v>
      </c>
      <c r="CN87" s="130">
        <f t="shared" si="339"/>
        <v>94.399999999999991</v>
      </c>
      <c r="CO87" s="130">
        <f t="shared" si="340"/>
        <v>-64.180199999999999</v>
      </c>
      <c r="CP87" s="130">
        <f t="shared" si="341"/>
        <v>0</v>
      </c>
      <c r="CQ87" s="130">
        <f t="shared" si="342"/>
        <v>0</v>
      </c>
      <c r="CR87" s="130">
        <f t="shared" si="343"/>
        <v>30.219799999999992</v>
      </c>
      <c r="CS87" s="130" t="s">
        <v>236</v>
      </c>
      <c r="CT87" s="130" t="s">
        <v>236</v>
      </c>
      <c r="CU87" s="145" t="str">
        <f t="shared" si="344"/>
        <v>AADCS0655F</v>
      </c>
      <c r="CV87" s="145" t="str">
        <f t="shared" si="345"/>
        <v>GOWPS6814G</v>
      </c>
    </row>
    <row r="88" spans="2:100" s="152" customFormat="1" ht="11.85" customHeight="1" x14ac:dyDescent="0.25">
      <c r="B88" s="123" t="str">
        <f t="shared" si="310"/>
        <v>Q1</v>
      </c>
      <c r="C88" s="124" t="str">
        <f t="shared" si="311"/>
        <v>May-26</v>
      </c>
      <c r="D88" s="125">
        <v>46150</v>
      </c>
      <c r="E88" s="126" t="s">
        <v>522</v>
      </c>
      <c r="F88" s="126" t="s">
        <v>511</v>
      </c>
      <c r="G88" s="126" t="s">
        <v>512</v>
      </c>
      <c r="H88" s="127" t="s">
        <v>523</v>
      </c>
      <c r="I88" s="349">
        <v>46150</v>
      </c>
      <c r="J88" s="350" t="s">
        <v>524</v>
      </c>
      <c r="K88" s="349">
        <v>46151</v>
      </c>
      <c r="L88" s="126" t="s">
        <v>237</v>
      </c>
      <c r="M88" s="126" t="s">
        <v>525</v>
      </c>
      <c r="N88" s="127" t="s">
        <v>516</v>
      </c>
      <c r="O88" s="126">
        <v>1</v>
      </c>
      <c r="P88" s="283">
        <v>55.88</v>
      </c>
      <c r="Q88" s="128">
        <f t="shared" si="312"/>
        <v>55.88</v>
      </c>
      <c r="R88" s="129">
        <v>0</v>
      </c>
      <c r="S88" s="128">
        <f t="shared" si="313"/>
        <v>1</v>
      </c>
      <c r="T88" s="129">
        <v>0</v>
      </c>
      <c r="U88" s="130">
        <v>0</v>
      </c>
      <c r="V88" s="131">
        <v>0</v>
      </c>
      <c r="W88" s="130">
        <v>0</v>
      </c>
      <c r="X88" s="132">
        <v>0</v>
      </c>
      <c r="Y88" s="130">
        <v>0</v>
      </c>
      <c r="Z88" s="130">
        <v>0</v>
      </c>
      <c r="AA88" s="129">
        <v>0</v>
      </c>
      <c r="AB88" s="133">
        <f t="shared" si="314"/>
        <v>0</v>
      </c>
      <c r="AC88" s="132">
        <v>0</v>
      </c>
      <c r="AD88" s="128">
        <v>0</v>
      </c>
      <c r="AE88" s="147">
        <v>0</v>
      </c>
      <c r="AF88" s="130">
        <v>0</v>
      </c>
      <c r="AG88" s="134">
        <v>0</v>
      </c>
      <c r="AH88" s="130">
        <v>0</v>
      </c>
      <c r="AI88" s="131">
        <v>0</v>
      </c>
      <c r="AJ88" s="130">
        <v>0</v>
      </c>
      <c r="AK88" s="130">
        <v>0</v>
      </c>
      <c r="AL88" s="130">
        <v>0</v>
      </c>
      <c r="AM88" s="135">
        <f t="shared" si="315"/>
        <v>55.88</v>
      </c>
      <c r="AN88" s="136">
        <v>46151</v>
      </c>
      <c r="AO88" s="137" t="s">
        <v>540</v>
      </c>
      <c r="AP88" s="138" t="s">
        <v>532</v>
      </c>
      <c r="AQ88" s="139" t="s">
        <v>533</v>
      </c>
      <c r="AR88" s="139" t="s">
        <v>534</v>
      </c>
      <c r="AS88" s="126" t="s">
        <v>541</v>
      </c>
      <c r="AT88" s="140" t="s">
        <v>360</v>
      </c>
      <c r="AU88" s="140" t="s">
        <v>361</v>
      </c>
      <c r="AV88" s="141" t="s">
        <v>542</v>
      </c>
      <c r="AW88" s="139">
        <v>1</v>
      </c>
      <c r="AX88" s="141">
        <v>82</v>
      </c>
      <c r="AY88" s="139">
        <f t="shared" si="316"/>
        <v>82</v>
      </c>
      <c r="AZ88" s="142" t="b">
        <f t="shared" si="317"/>
        <v>1</v>
      </c>
      <c r="BA88" s="128">
        <v>0</v>
      </c>
      <c r="BB88" s="143">
        <f t="shared" si="318"/>
        <v>1</v>
      </c>
      <c r="BC88" s="144">
        <v>0</v>
      </c>
      <c r="BD88" s="143" t="s">
        <v>109</v>
      </c>
      <c r="BE88" s="144">
        <v>0</v>
      </c>
      <c r="BF88" s="143">
        <v>0</v>
      </c>
      <c r="BG88" s="144">
        <v>0</v>
      </c>
      <c r="BH88" s="130">
        <v>0</v>
      </c>
      <c r="BI88" s="133">
        <v>0</v>
      </c>
      <c r="BJ88" s="131">
        <v>0</v>
      </c>
      <c r="BK88" s="128">
        <v>0</v>
      </c>
      <c r="BL88" s="139">
        <v>0</v>
      </c>
      <c r="BM88" s="130">
        <v>0</v>
      </c>
      <c r="BN88" s="145">
        <f t="shared" si="319"/>
        <v>0</v>
      </c>
      <c r="BO88" s="129">
        <f t="shared" si="320"/>
        <v>82</v>
      </c>
      <c r="BP88" s="135">
        <f t="shared" si="321"/>
        <v>26.119999999999997</v>
      </c>
      <c r="BQ88" s="144" t="str">
        <f t="shared" si="322"/>
        <v>Positive Margin</v>
      </c>
      <c r="BR88" s="146" t="s">
        <v>209</v>
      </c>
      <c r="BS88" s="128">
        <f t="shared" si="323"/>
        <v>26.119999999999997</v>
      </c>
      <c r="BT88" s="147" t="str">
        <f t="shared" si="324"/>
        <v>Positive Margin at Inception</v>
      </c>
      <c r="BU88" s="148">
        <f t="shared" si="325"/>
        <v>0.31853658536585361</v>
      </c>
      <c r="BV88" s="147" t="str">
        <f t="shared" si="326"/>
        <v>More than 2%</v>
      </c>
      <c r="BW88" s="128">
        <f t="shared" si="327"/>
        <v>0</v>
      </c>
      <c r="BX88" s="129">
        <f t="shared" si="328"/>
        <v>0</v>
      </c>
      <c r="BY88" s="128">
        <f t="shared" si="329"/>
        <v>0</v>
      </c>
      <c r="BZ88" s="149">
        <f t="shared" si="330"/>
        <v>0</v>
      </c>
      <c r="CA88" s="149">
        <f t="shared" si="331"/>
        <v>0</v>
      </c>
      <c r="CB88" s="130">
        <f t="shared" si="332"/>
        <v>0</v>
      </c>
      <c r="CC88" s="149" t="s">
        <v>282</v>
      </c>
      <c r="CD88" s="130">
        <v>0</v>
      </c>
      <c r="CE88" s="130">
        <f t="shared" si="333"/>
        <v>55.88</v>
      </c>
      <c r="CF88" s="130">
        <f t="shared" si="334"/>
        <v>82</v>
      </c>
      <c r="CG88" s="130">
        <f t="shared" si="335"/>
        <v>6</v>
      </c>
      <c r="CH88" s="150">
        <v>0</v>
      </c>
      <c r="CI88" s="130">
        <v>0</v>
      </c>
      <c r="CJ88" s="130" t="e">
        <f>_xlfn.XLOOKUP(AP88,POC!B:B,POC!D:D)</f>
        <v>#N/A</v>
      </c>
      <c r="CK88" s="130">
        <f t="shared" si="336"/>
        <v>26.119999999999997</v>
      </c>
      <c r="CL88" s="130">
        <f t="shared" si="337"/>
        <v>26.119999999999997</v>
      </c>
      <c r="CM88" s="130">
        <f t="shared" si="338"/>
        <v>26.119999999999997</v>
      </c>
      <c r="CN88" s="130">
        <f t="shared" si="339"/>
        <v>96.759999999999991</v>
      </c>
      <c r="CO88" s="130">
        <f t="shared" si="340"/>
        <v>-65.938400000000001</v>
      </c>
      <c r="CP88" s="130">
        <f t="shared" si="341"/>
        <v>0</v>
      </c>
      <c r="CQ88" s="130">
        <f t="shared" si="342"/>
        <v>0</v>
      </c>
      <c r="CR88" s="130">
        <f t="shared" si="343"/>
        <v>30.821599999999989</v>
      </c>
      <c r="CS88" s="130" t="s">
        <v>236</v>
      </c>
      <c r="CT88" s="130" t="s">
        <v>236</v>
      </c>
      <c r="CU88" s="145" t="str">
        <f t="shared" si="344"/>
        <v>AADCS0655F</v>
      </c>
      <c r="CV88" s="145" t="str">
        <f t="shared" si="345"/>
        <v>GOWPS6814G</v>
      </c>
    </row>
    <row r="89" spans="2:100" s="152" customFormat="1" ht="11.85" customHeight="1" x14ac:dyDescent="0.25">
      <c r="B89" s="123" t="str">
        <f t="shared" si="310"/>
        <v>Q1</v>
      </c>
      <c r="C89" s="124" t="str">
        <f t="shared" si="311"/>
        <v>May-26</v>
      </c>
      <c r="D89" s="125">
        <v>46150</v>
      </c>
      <c r="E89" s="126" t="s">
        <v>522</v>
      </c>
      <c r="F89" s="126" t="s">
        <v>511</v>
      </c>
      <c r="G89" s="126" t="s">
        <v>512</v>
      </c>
      <c r="H89" s="127" t="s">
        <v>523</v>
      </c>
      <c r="I89" s="349">
        <v>46150</v>
      </c>
      <c r="J89" s="350" t="s">
        <v>524</v>
      </c>
      <c r="K89" s="349">
        <v>46151</v>
      </c>
      <c r="L89" s="126" t="s">
        <v>237</v>
      </c>
      <c r="M89" s="126" t="s">
        <v>525</v>
      </c>
      <c r="N89" s="127" t="s">
        <v>527</v>
      </c>
      <c r="O89" s="126">
        <v>1</v>
      </c>
      <c r="P89" s="283">
        <v>242.63</v>
      </c>
      <c r="Q89" s="128">
        <f t="shared" si="312"/>
        <v>242.63</v>
      </c>
      <c r="R89" s="129">
        <v>0</v>
      </c>
      <c r="S89" s="128">
        <f t="shared" si="313"/>
        <v>1</v>
      </c>
      <c r="T89" s="129">
        <v>0</v>
      </c>
      <c r="U89" s="130">
        <v>0</v>
      </c>
      <c r="V89" s="131">
        <v>0</v>
      </c>
      <c r="W89" s="130">
        <v>0</v>
      </c>
      <c r="X89" s="132">
        <v>0</v>
      </c>
      <c r="Y89" s="130">
        <v>0</v>
      </c>
      <c r="Z89" s="130">
        <v>0</v>
      </c>
      <c r="AA89" s="129">
        <v>0</v>
      </c>
      <c r="AB89" s="133">
        <f t="shared" si="314"/>
        <v>0</v>
      </c>
      <c r="AC89" s="132">
        <v>0</v>
      </c>
      <c r="AD89" s="128">
        <v>0</v>
      </c>
      <c r="AE89" s="147">
        <v>0</v>
      </c>
      <c r="AF89" s="130">
        <v>0</v>
      </c>
      <c r="AG89" s="134">
        <v>0</v>
      </c>
      <c r="AH89" s="130">
        <v>0</v>
      </c>
      <c r="AI89" s="131">
        <v>0</v>
      </c>
      <c r="AJ89" s="130">
        <v>0</v>
      </c>
      <c r="AK89" s="130">
        <v>0</v>
      </c>
      <c r="AL89" s="130">
        <v>0</v>
      </c>
      <c r="AM89" s="135">
        <f t="shared" si="315"/>
        <v>242.63</v>
      </c>
      <c r="AN89" s="136">
        <v>46151</v>
      </c>
      <c r="AO89" s="137" t="s">
        <v>540</v>
      </c>
      <c r="AP89" s="138" t="s">
        <v>532</v>
      </c>
      <c r="AQ89" s="139" t="s">
        <v>533</v>
      </c>
      <c r="AR89" s="139" t="s">
        <v>534</v>
      </c>
      <c r="AS89" s="126" t="s">
        <v>541</v>
      </c>
      <c r="AT89" s="140" t="s">
        <v>360</v>
      </c>
      <c r="AU89" s="140" t="s">
        <v>361</v>
      </c>
      <c r="AV89" s="141" t="s">
        <v>542</v>
      </c>
      <c r="AW89" s="139">
        <v>1</v>
      </c>
      <c r="AX89" s="141">
        <v>360</v>
      </c>
      <c r="AY89" s="139">
        <f t="shared" si="316"/>
        <v>360</v>
      </c>
      <c r="AZ89" s="142" t="b">
        <f t="shared" si="317"/>
        <v>1</v>
      </c>
      <c r="BA89" s="128">
        <v>0</v>
      </c>
      <c r="BB89" s="143">
        <f t="shared" si="318"/>
        <v>1</v>
      </c>
      <c r="BC89" s="144">
        <v>0</v>
      </c>
      <c r="BD89" s="143" t="s">
        <v>109</v>
      </c>
      <c r="BE89" s="144">
        <v>0</v>
      </c>
      <c r="BF89" s="143">
        <v>0</v>
      </c>
      <c r="BG89" s="144">
        <v>0</v>
      </c>
      <c r="BH89" s="130">
        <v>0</v>
      </c>
      <c r="BI89" s="133">
        <v>0</v>
      </c>
      <c r="BJ89" s="131">
        <v>0</v>
      </c>
      <c r="BK89" s="128">
        <v>0</v>
      </c>
      <c r="BL89" s="139">
        <v>0</v>
      </c>
      <c r="BM89" s="130">
        <v>0</v>
      </c>
      <c r="BN89" s="145">
        <f t="shared" si="319"/>
        <v>0</v>
      </c>
      <c r="BO89" s="129">
        <f t="shared" si="320"/>
        <v>360</v>
      </c>
      <c r="BP89" s="135">
        <f t="shared" si="321"/>
        <v>117.37</v>
      </c>
      <c r="BQ89" s="144" t="str">
        <f t="shared" si="322"/>
        <v>Positive Margin</v>
      </c>
      <c r="BR89" s="146" t="s">
        <v>209</v>
      </c>
      <c r="BS89" s="128">
        <f t="shared" si="323"/>
        <v>117.37</v>
      </c>
      <c r="BT89" s="147" t="str">
        <f t="shared" si="324"/>
        <v>Positive Margin at Inception</v>
      </c>
      <c r="BU89" s="148">
        <f t="shared" si="325"/>
        <v>0.32602777777777781</v>
      </c>
      <c r="BV89" s="147" t="str">
        <f t="shared" si="326"/>
        <v>More than 2%</v>
      </c>
      <c r="BW89" s="128">
        <f t="shared" si="327"/>
        <v>0</v>
      </c>
      <c r="BX89" s="129">
        <f t="shared" si="328"/>
        <v>0</v>
      </c>
      <c r="BY89" s="128">
        <f t="shared" si="329"/>
        <v>0</v>
      </c>
      <c r="BZ89" s="149">
        <f t="shared" si="330"/>
        <v>0</v>
      </c>
      <c r="CA89" s="149">
        <f t="shared" si="331"/>
        <v>0</v>
      </c>
      <c r="CB89" s="130">
        <f t="shared" si="332"/>
        <v>0</v>
      </c>
      <c r="CC89" s="149" t="s">
        <v>282</v>
      </c>
      <c r="CD89" s="130">
        <v>0</v>
      </c>
      <c r="CE89" s="130">
        <f t="shared" si="333"/>
        <v>242.63</v>
      </c>
      <c r="CF89" s="130">
        <f t="shared" si="334"/>
        <v>360</v>
      </c>
      <c r="CG89" s="130">
        <f t="shared" si="335"/>
        <v>6</v>
      </c>
      <c r="CH89" s="150">
        <v>0</v>
      </c>
      <c r="CI89" s="130">
        <v>0</v>
      </c>
      <c r="CJ89" s="130" t="e">
        <f>_xlfn.XLOOKUP(AP89,POC!B:B,POC!D:D)</f>
        <v>#N/A</v>
      </c>
      <c r="CK89" s="130">
        <f t="shared" si="336"/>
        <v>117.37</v>
      </c>
      <c r="CL89" s="130">
        <f t="shared" si="337"/>
        <v>117.37</v>
      </c>
      <c r="CM89" s="130">
        <f t="shared" si="338"/>
        <v>117.37</v>
      </c>
      <c r="CN89" s="130">
        <f t="shared" si="339"/>
        <v>424.79999999999995</v>
      </c>
      <c r="CO89" s="130">
        <f t="shared" si="340"/>
        <v>-286.30339999999995</v>
      </c>
      <c r="CP89" s="130">
        <f t="shared" si="341"/>
        <v>0</v>
      </c>
      <c r="CQ89" s="130">
        <f t="shared" si="342"/>
        <v>0</v>
      </c>
      <c r="CR89" s="130">
        <f t="shared" si="343"/>
        <v>138.4966</v>
      </c>
      <c r="CS89" s="130" t="s">
        <v>236</v>
      </c>
      <c r="CT89" s="130" t="s">
        <v>236</v>
      </c>
      <c r="CU89" s="145" t="str">
        <f t="shared" si="344"/>
        <v>AADCS0655F</v>
      </c>
      <c r="CV89" s="145" t="str">
        <f t="shared" si="345"/>
        <v>GOWPS6814G</v>
      </c>
    </row>
    <row r="90" spans="2:100" s="152" customFormat="1" ht="11.85" customHeight="1" x14ac:dyDescent="0.25">
      <c r="B90" s="123" t="str">
        <f t="shared" si="310"/>
        <v>Q1</v>
      </c>
      <c r="C90" s="124" t="str">
        <f t="shared" si="311"/>
        <v>May-26</v>
      </c>
      <c r="D90" s="125">
        <v>46150</v>
      </c>
      <c r="E90" s="126" t="s">
        <v>522</v>
      </c>
      <c r="F90" s="126" t="s">
        <v>511</v>
      </c>
      <c r="G90" s="126" t="s">
        <v>512</v>
      </c>
      <c r="H90" s="127" t="s">
        <v>523</v>
      </c>
      <c r="I90" s="349">
        <v>46150</v>
      </c>
      <c r="J90" s="350" t="s">
        <v>524</v>
      </c>
      <c r="K90" s="349">
        <v>46151</v>
      </c>
      <c r="L90" s="126" t="s">
        <v>237</v>
      </c>
      <c r="M90" s="126" t="s">
        <v>525</v>
      </c>
      <c r="N90" s="127" t="s">
        <v>527</v>
      </c>
      <c r="O90" s="126">
        <v>1</v>
      </c>
      <c r="P90" s="283">
        <v>183.12</v>
      </c>
      <c r="Q90" s="128">
        <f t="shared" si="312"/>
        <v>183.12</v>
      </c>
      <c r="R90" s="129">
        <v>0</v>
      </c>
      <c r="S90" s="128">
        <f t="shared" si="313"/>
        <v>1</v>
      </c>
      <c r="T90" s="129">
        <v>0</v>
      </c>
      <c r="U90" s="130">
        <v>0</v>
      </c>
      <c r="V90" s="131">
        <v>0</v>
      </c>
      <c r="W90" s="130">
        <v>0</v>
      </c>
      <c r="X90" s="132">
        <v>0</v>
      </c>
      <c r="Y90" s="130">
        <v>0</v>
      </c>
      <c r="Z90" s="130">
        <v>0</v>
      </c>
      <c r="AA90" s="129">
        <v>0</v>
      </c>
      <c r="AB90" s="133">
        <f t="shared" si="314"/>
        <v>0</v>
      </c>
      <c r="AC90" s="132">
        <v>0</v>
      </c>
      <c r="AD90" s="128">
        <v>0</v>
      </c>
      <c r="AE90" s="147">
        <v>0</v>
      </c>
      <c r="AF90" s="130">
        <v>0</v>
      </c>
      <c r="AG90" s="134">
        <v>0</v>
      </c>
      <c r="AH90" s="130">
        <v>0</v>
      </c>
      <c r="AI90" s="131">
        <v>0</v>
      </c>
      <c r="AJ90" s="130">
        <v>0</v>
      </c>
      <c r="AK90" s="130">
        <v>0</v>
      </c>
      <c r="AL90" s="130">
        <v>0</v>
      </c>
      <c r="AM90" s="135">
        <f t="shared" si="315"/>
        <v>183.12</v>
      </c>
      <c r="AN90" s="136">
        <v>46151</v>
      </c>
      <c r="AO90" s="137" t="s">
        <v>540</v>
      </c>
      <c r="AP90" s="138" t="s">
        <v>532</v>
      </c>
      <c r="AQ90" s="139" t="s">
        <v>533</v>
      </c>
      <c r="AR90" s="139" t="s">
        <v>534</v>
      </c>
      <c r="AS90" s="126" t="s">
        <v>541</v>
      </c>
      <c r="AT90" s="140" t="s">
        <v>360</v>
      </c>
      <c r="AU90" s="140" t="s">
        <v>361</v>
      </c>
      <c r="AV90" s="141" t="s">
        <v>542</v>
      </c>
      <c r="AW90" s="139">
        <v>1</v>
      </c>
      <c r="AX90" s="141">
        <v>275</v>
      </c>
      <c r="AY90" s="139">
        <f t="shared" si="316"/>
        <v>275</v>
      </c>
      <c r="AZ90" s="142" t="b">
        <f t="shared" si="317"/>
        <v>1</v>
      </c>
      <c r="BA90" s="128">
        <v>0</v>
      </c>
      <c r="BB90" s="143">
        <f t="shared" si="318"/>
        <v>1</v>
      </c>
      <c r="BC90" s="144">
        <v>0</v>
      </c>
      <c r="BD90" s="143" t="s">
        <v>109</v>
      </c>
      <c r="BE90" s="144">
        <v>0</v>
      </c>
      <c r="BF90" s="143">
        <v>0</v>
      </c>
      <c r="BG90" s="144">
        <v>0</v>
      </c>
      <c r="BH90" s="130">
        <v>0</v>
      </c>
      <c r="BI90" s="133">
        <v>0</v>
      </c>
      <c r="BJ90" s="131">
        <v>0</v>
      </c>
      <c r="BK90" s="128">
        <v>0</v>
      </c>
      <c r="BL90" s="139">
        <v>0</v>
      </c>
      <c r="BM90" s="130">
        <v>0</v>
      </c>
      <c r="BN90" s="145">
        <f t="shared" si="319"/>
        <v>0</v>
      </c>
      <c r="BO90" s="129">
        <f t="shared" si="320"/>
        <v>275</v>
      </c>
      <c r="BP90" s="135">
        <f t="shared" si="321"/>
        <v>91.88</v>
      </c>
      <c r="BQ90" s="144" t="str">
        <f t="shared" si="322"/>
        <v>Positive Margin</v>
      </c>
      <c r="BR90" s="146" t="s">
        <v>209</v>
      </c>
      <c r="BS90" s="128">
        <f t="shared" si="323"/>
        <v>91.88</v>
      </c>
      <c r="BT90" s="147" t="str">
        <f t="shared" si="324"/>
        <v>Positive Margin at Inception</v>
      </c>
      <c r="BU90" s="148">
        <f t="shared" si="325"/>
        <v>0.33410909090909091</v>
      </c>
      <c r="BV90" s="147" t="str">
        <f t="shared" si="326"/>
        <v>More than 2%</v>
      </c>
      <c r="BW90" s="128">
        <f t="shared" si="327"/>
        <v>0</v>
      </c>
      <c r="BX90" s="129">
        <f t="shared" si="328"/>
        <v>0</v>
      </c>
      <c r="BY90" s="128">
        <f t="shared" si="329"/>
        <v>0</v>
      </c>
      <c r="BZ90" s="149">
        <f t="shared" si="330"/>
        <v>0</v>
      </c>
      <c r="CA90" s="149">
        <f t="shared" si="331"/>
        <v>0</v>
      </c>
      <c r="CB90" s="130">
        <f t="shared" si="332"/>
        <v>0</v>
      </c>
      <c r="CC90" s="149" t="s">
        <v>282</v>
      </c>
      <c r="CD90" s="130">
        <v>0</v>
      </c>
      <c r="CE90" s="130">
        <f t="shared" si="333"/>
        <v>183.12</v>
      </c>
      <c r="CF90" s="130">
        <f t="shared" si="334"/>
        <v>275</v>
      </c>
      <c r="CG90" s="130">
        <f t="shared" si="335"/>
        <v>6</v>
      </c>
      <c r="CH90" s="150">
        <v>0</v>
      </c>
      <c r="CI90" s="130">
        <v>0</v>
      </c>
      <c r="CJ90" s="130" t="e">
        <f>_xlfn.XLOOKUP(AP90,POC!B:B,POC!D:D)</f>
        <v>#N/A</v>
      </c>
      <c r="CK90" s="130">
        <f t="shared" si="336"/>
        <v>91.88</v>
      </c>
      <c r="CL90" s="130">
        <f t="shared" si="337"/>
        <v>91.88</v>
      </c>
      <c r="CM90" s="130">
        <f t="shared" si="338"/>
        <v>91.88</v>
      </c>
      <c r="CN90" s="130">
        <f t="shared" si="339"/>
        <v>324.5</v>
      </c>
      <c r="CO90" s="130">
        <f t="shared" si="340"/>
        <v>-216.08159999999998</v>
      </c>
      <c r="CP90" s="130">
        <f t="shared" si="341"/>
        <v>0</v>
      </c>
      <c r="CQ90" s="130">
        <f t="shared" si="342"/>
        <v>0</v>
      </c>
      <c r="CR90" s="130">
        <f t="shared" si="343"/>
        <v>108.41840000000002</v>
      </c>
      <c r="CS90" s="130" t="s">
        <v>236</v>
      </c>
      <c r="CT90" s="130" t="s">
        <v>236</v>
      </c>
      <c r="CU90" s="145" t="str">
        <f t="shared" si="344"/>
        <v>AADCS0655F</v>
      </c>
      <c r="CV90" s="145" t="str">
        <f t="shared" si="345"/>
        <v>GOWPS6814G</v>
      </c>
    </row>
    <row r="91" spans="2:100" s="152" customFormat="1" ht="11.85" customHeight="1" x14ac:dyDescent="0.25">
      <c r="B91" s="123" t="str">
        <f t="shared" si="310"/>
        <v>Q1</v>
      </c>
      <c r="C91" s="124" t="str">
        <f t="shared" si="311"/>
        <v>May-26</v>
      </c>
      <c r="D91" s="125">
        <v>46150</v>
      </c>
      <c r="E91" s="126" t="s">
        <v>528</v>
      </c>
      <c r="F91" s="126" t="s">
        <v>511</v>
      </c>
      <c r="G91" s="126" t="s">
        <v>512</v>
      </c>
      <c r="H91" s="127" t="s">
        <v>529</v>
      </c>
      <c r="I91" s="349">
        <v>46150</v>
      </c>
      <c r="J91" s="350" t="s">
        <v>530</v>
      </c>
      <c r="K91" s="349">
        <v>46151</v>
      </c>
      <c r="L91" s="126" t="s">
        <v>237</v>
      </c>
      <c r="M91" s="126" t="s">
        <v>525</v>
      </c>
      <c r="N91" s="127" t="s">
        <v>527</v>
      </c>
      <c r="O91" s="126">
        <v>1</v>
      </c>
      <c r="P91" s="283">
        <v>456.68</v>
      </c>
      <c r="Q91" s="128">
        <f t="shared" si="312"/>
        <v>456.68</v>
      </c>
      <c r="R91" s="129">
        <v>0</v>
      </c>
      <c r="S91" s="128">
        <f t="shared" si="313"/>
        <v>1</v>
      </c>
      <c r="T91" s="129">
        <v>0</v>
      </c>
      <c r="U91" s="130">
        <v>0</v>
      </c>
      <c r="V91" s="131">
        <v>0</v>
      </c>
      <c r="W91" s="130">
        <v>0</v>
      </c>
      <c r="X91" s="132">
        <v>0</v>
      </c>
      <c r="Y91" s="130">
        <v>0</v>
      </c>
      <c r="Z91" s="130">
        <v>0</v>
      </c>
      <c r="AA91" s="129">
        <v>0</v>
      </c>
      <c r="AB91" s="133">
        <f t="shared" si="314"/>
        <v>0</v>
      </c>
      <c r="AC91" s="132">
        <v>0</v>
      </c>
      <c r="AD91" s="128">
        <v>0</v>
      </c>
      <c r="AE91" s="147">
        <v>0</v>
      </c>
      <c r="AF91" s="130">
        <v>0</v>
      </c>
      <c r="AG91" s="134">
        <v>0</v>
      </c>
      <c r="AH91" s="130">
        <v>0</v>
      </c>
      <c r="AI91" s="131">
        <v>0</v>
      </c>
      <c r="AJ91" s="130">
        <v>0</v>
      </c>
      <c r="AK91" s="130">
        <v>0</v>
      </c>
      <c r="AL91" s="130">
        <v>0</v>
      </c>
      <c r="AM91" s="135">
        <f t="shared" si="315"/>
        <v>456.68</v>
      </c>
      <c r="AN91" s="136">
        <v>46151</v>
      </c>
      <c r="AO91" s="137" t="s">
        <v>543</v>
      </c>
      <c r="AP91" s="138" t="s">
        <v>532</v>
      </c>
      <c r="AQ91" s="139" t="s">
        <v>533</v>
      </c>
      <c r="AR91" s="139" t="s">
        <v>534</v>
      </c>
      <c r="AS91" s="126" t="s">
        <v>535</v>
      </c>
      <c r="AT91" s="140" t="s">
        <v>360</v>
      </c>
      <c r="AU91" s="140" t="s">
        <v>361</v>
      </c>
      <c r="AV91" s="141" t="s">
        <v>544</v>
      </c>
      <c r="AW91" s="139">
        <v>1</v>
      </c>
      <c r="AX91" s="141">
        <v>655</v>
      </c>
      <c r="AY91" s="139">
        <f t="shared" si="316"/>
        <v>655</v>
      </c>
      <c r="AZ91" s="142" t="b">
        <f t="shared" si="317"/>
        <v>1</v>
      </c>
      <c r="BA91" s="128">
        <v>0</v>
      </c>
      <c r="BB91" s="143">
        <f t="shared" si="318"/>
        <v>1</v>
      </c>
      <c r="BC91" s="144">
        <v>0</v>
      </c>
      <c r="BD91" s="143" t="s">
        <v>109</v>
      </c>
      <c r="BE91" s="144">
        <v>0</v>
      </c>
      <c r="BF91" s="143">
        <v>0</v>
      </c>
      <c r="BG91" s="144">
        <v>0</v>
      </c>
      <c r="BH91" s="130">
        <v>0</v>
      </c>
      <c r="BI91" s="133">
        <v>0</v>
      </c>
      <c r="BJ91" s="131">
        <v>0</v>
      </c>
      <c r="BK91" s="128">
        <v>0</v>
      </c>
      <c r="BL91" s="139">
        <v>0</v>
      </c>
      <c r="BM91" s="130">
        <v>0</v>
      </c>
      <c r="BN91" s="145">
        <f t="shared" si="319"/>
        <v>0</v>
      </c>
      <c r="BO91" s="129">
        <f t="shared" si="320"/>
        <v>655</v>
      </c>
      <c r="BP91" s="135">
        <f t="shared" si="321"/>
        <v>198.32</v>
      </c>
      <c r="BQ91" s="144" t="str">
        <f t="shared" si="322"/>
        <v>Positive Margin</v>
      </c>
      <c r="BR91" s="146" t="s">
        <v>209</v>
      </c>
      <c r="BS91" s="128">
        <f t="shared" si="323"/>
        <v>198.32</v>
      </c>
      <c r="BT91" s="147" t="str">
        <f t="shared" si="324"/>
        <v>Positive Margin at Inception</v>
      </c>
      <c r="BU91" s="148">
        <f t="shared" si="325"/>
        <v>0.30277862595419847</v>
      </c>
      <c r="BV91" s="147" t="str">
        <f t="shared" si="326"/>
        <v>More than 2%</v>
      </c>
      <c r="BW91" s="128">
        <f t="shared" si="327"/>
        <v>0</v>
      </c>
      <c r="BX91" s="129">
        <f t="shared" si="328"/>
        <v>0</v>
      </c>
      <c r="BY91" s="128">
        <f t="shared" si="329"/>
        <v>0</v>
      </c>
      <c r="BZ91" s="149">
        <f t="shared" si="330"/>
        <v>0</v>
      </c>
      <c r="CA91" s="149">
        <f t="shared" si="331"/>
        <v>0</v>
      </c>
      <c r="CB91" s="130">
        <f t="shared" si="332"/>
        <v>0</v>
      </c>
      <c r="CC91" s="149" t="s">
        <v>282</v>
      </c>
      <c r="CD91" s="130">
        <v>0</v>
      </c>
      <c r="CE91" s="130">
        <f t="shared" si="333"/>
        <v>456.68</v>
      </c>
      <c r="CF91" s="130">
        <f t="shared" si="334"/>
        <v>655</v>
      </c>
      <c r="CG91" s="130">
        <f t="shared" si="335"/>
        <v>6</v>
      </c>
      <c r="CH91" s="150">
        <v>0</v>
      </c>
      <c r="CI91" s="130">
        <v>0</v>
      </c>
      <c r="CJ91" s="130" t="e">
        <f>_xlfn.XLOOKUP(AP91,POC!B:B,POC!D:D)</f>
        <v>#N/A</v>
      </c>
      <c r="CK91" s="130">
        <f t="shared" si="336"/>
        <v>198.32</v>
      </c>
      <c r="CL91" s="130">
        <f t="shared" si="337"/>
        <v>198.32</v>
      </c>
      <c r="CM91" s="130">
        <f t="shared" si="338"/>
        <v>198.32</v>
      </c>
      <c r="CN91" s="130">
        <f t="shared" si="339"/>
        <v>772.9</v>
      </c>
      <c r="CO91" s="130">
        <f t="shared" si="340"/>
        <v>-538.88239999999996</v>
      </c>
      <c r="CP91" s="130">
        <f t="shared" si="341"/>
        <v>0</v>
      </c>
      <c r="CQ91" s="130">
        <f t="shared" si="342"/>
        <v>0</v>
      </c>
      <c r="CR91" s="130">
        <f t="shared" si="343"/>
        <v>234.01760000000002</v>
      </c>
      <c r="CS91" s="130" t="s">
        <v>236</v>
      </c>
      <c r="CT91" s="130" t="s">
        <v>236</v>
      </c>
      <c r="CU91" s="145" t="str">
        <f t="shared" si="344"/>
        <v>AADCS0655F</v>
      </c>
      <c r="CV91" s="145" t="str">
        <f t="shared" si="345"/>
        <v>GOWPS6814G</v>
      </c>
    </row>
    <row r="92" spans="2:100" s="152" customFormat="1" ht="11.85" customHeight="1" x14ac:dyDescent="0.25">
      <c r="B92" s="123" t="str">
        <f t="shared" si="310"/>
        <v>Q1</v>
      </c>
      <c r="C92" s="124" t="str">
        <f t="shared" si="311"/>
        <v>May-26</v>
      </c>
      <c r="D92" s="125">
        <v>46150</v>
      </c>
      <c r="E92" s="126" t="s">
        <v>528</v>
      </c>
      <c r="F92" s="126" t="s">
        <v>511</v>
      </c>
      <c r="G92" s="126" t="s">
        <v>512</v>
      </c>
      <c r="H92" s="127" t="s">
        <v>529</v>
      </c>
      <c r="I92" s="349">
        <v>46150</v>
      </c>
      <c r="J92" s="350" t="s">
        <v>530</v>
      </c>
      <c r="K92" s="349">
        <v>46151</v>
      </c>
      <c r="L92" s="126" t="s">
        <v>237</v>
      </c>
      <c r="M92" s="126" t="s">
        <v>525</v>
      </c>
      <c r="N92" s="127" t="s">
        <v>527</v>
      </c>
      <c r="O92" s="126">
        <v>1</v>
      </c>
      <c r="P92" s="283">
        <v>738.44</v>
      </c>
      <c r="Q92" s="128">
        <f t="shared" si="312"/>
        <v>738.44</v>
      </c>
      <c r="R92" s="129">
        <v>0</v>
      </c>
      <c r="S92" s="128">
        <f t="shared" si="313"/>
        <v>1</v>
      </c>
      <c r="T92" s="129">
        <v>0</v>
      </c>
      <c r="U92" s="130">
        <v>0</v>
      </c>
      <c r="V92" s="131">
        <v>0</v>
      </c>
      <c r="W92" s="130">
        <v>0</v>
      </c>
      <c r="X92" s="132">
        <v>0</v>
      </c>
      <c r="Y92" s="130">
        <v>0</v>
      </c>
      <c r="Z92" s="130">
        <v>0</v>
      </c>
      <c r="AA92" s="129">
        <v>0</v>
      </c>
      <c r="AB92" s="133">
        <f t="shared" si="314"/>
        <v>0</v>
      </c>
      <c r="AC92" s="132">
        <v>0</v>
      </c>
      <c r="AD92" s="128">
        <v>0</v>
      </c>
      <c r="AE92" s="147">
        <v>0</v>
      </c>
      <c r="AF92" s="130">
        <v>0</v>
      </c>
      <c r="AG92" s="134">
        <v>0</v>
      </c>
      <c r="AH92" s="130">
        <v>0</v>
      </c>
      <c r="AI92" s="131">
        <v>0</v>
      </c>
      <c r="AJ92" s="130">
        <v>0</v>
      </c>
      <c r="AK92" s="130">
        <v>0</v>
      </c>
      <c r="AL92" s="130">
        <v>0</v>
      </c>
      <c r="AM92" s="135">
        <f t="shared" si="315"/>
        <v>738.44</v>
      </c>
      <c r="AN92" s="136">
        <v>46151</v>
      </c>
      <c r="AO92" s="137" t="s">
        <v>543</v>
      </c>
      <c r="AP92" s="138" t="s">
        <v>532</v>
      </c>
      <c r="AQ92" s="139" t="s">
        <v>533</v>
      </c>
      <c r="AR92" s="139" t="s">
        <v>534</v>
      </c>
      <c r="AS92" s="126" t="s">
        <v>535</v>
      </c>
      <c r="AT92" s="140" t="s">
        <v>360</v>
      </c>
      <c r="AU92" s="140" t="s">
        <v>361</v>
      </c>
      <c r="AV92" s="141" t="s">
        <v>544</v>
      </c>
      <c r="AW92" s="139">
        <v>1</v>
      </c>
      <c r="AX92" s="141">
        <v>1060</v>
      </c>
      <c r="AY92" s="139">
        <f t="shared" si="316"/>
        <v>1060</v>
      </c>
      <c r="AZ92" s="142" t="b">
        <f t="shared" si="317"/>
        <v>1</v>
      </c>
      <c r="BA92" s="128">
        <v>0</v>
      </c>
      <c r="BB92" s="143">
        <f t="shared" si="318"/>
        <v>1</v>
      </c>
      <c r="BC92" s="144">
        <v>0</v>
      </c>
      <c r="BD92" s="143" t="s">
        <v>109</v>
      </c>
      <c r="BE92" s="144">
        <v>0</v>
      </c>
      <c r="BF92" s="143">
        <v>0</v>
      </c>
      <c r="BG92" s="144">
        <v>0</v>
      </c>
      <c r="BH92" s="130">
        <v>0</v>
      </c>
      <c r="BI92" s="133">
        <v>0</v>
      </c>
      <c r="BJ92" s="131">
        <v>0</v>
      </c>
      <c r="BK92" s="128">
        <v>0</v>
      </c>
      <c r="BL92" s="139">
        <v>0</v>
      </c>
      <c r="BM92" s="130">
        <v>0</v>
      </c>
      <c r="BN92" s="145">
        <f t="shared" si="319"/>
        <v>0</v>
      </c>
      <c r="BO92" s="129">
        <f t="shared" si="320"/>
        <v>1060</v>
      </c>
      <c r="BP92" s="135">
        <f t="shared" si="321"/>
        <v>321.55999999999995</v>
      </c>
      <c r="BQ92" s="144" t="str">
        <f t="shared" si="322"/>
        <v>Positive Margin</v>
      </c>
      <c r="BR92" s="146" t="s">
        <v>209</v>
      </c>
      <c r="BS92" s="128">
        <f t="shared" si="323"/>
        <v>321.55999999999995</v>
      </c>
      <c r="BT92" s="147" t="str">
        <f t="shared" si="324"/>
        <v>Positive Margin at Inception</v>
      </c>
      <c r="BU92" s="148">
        <f t="shared" si="325"/>
        <v>0.3033584905660377</v>
      </c>
      <c r="BV92" s="147" t="str">
        <f t="shared" si="326"/>
        <v>More than 2%</v>
      </c>
      <c r="BW92" s="128">
        <f t="shared" si="327"/>
        <v>0</v>
      </c>
      <c r="BX92" s="129">
        <f t="shared" si="328"/>
        <v>0</v>
      </c>
      <c r="BY92" s="128">
        <f t="shared" si="329"/>
        <v>0</v>
      </c>
      <c r="BZ92" s="149">
        <f t="shared" si="330"/>
        <v>0</v>
      </c>
      <c r="CA92" s="149">
        <f t="shared" si="331"/>
        <v>0</v>
      </c>
      <c r="CB92" s="130">
        <f t="shared" si="332"/>
        <v>0</v>
      </c>
      <c r="CC92" s="149" t="s">
        <v>282</v>
      </c>
      <c r="CD92" s="130">
        <v>0</v>
      </c>
      <c r="CE92" s="130">
        <f t="shared" si="333"/>
        <v>738.44</v>
      </c>
      <c r="CF92" s="130">
        <f t="shared" si="334"/>
        <v>1060</v>
      </c>
      <c r="CG92" s="130">
        <f t="shared" si="335"/>
        <v>6</v>
      </c>
      <c r="CH92" s="150">
        <v>0</v>
      </c>
      <c r="CI92" s="130">
        <v>0</v>
      </c>
      <c r="CJ92" s="130" t="e">
        <f>_xlfn.XLOOKUP(AP92,POC!B:B,POC!D:D)</f>
        <v>#N/A</v>
      </c>
      <c r="CK92" s="130">
        <f t="shared" si="336"/>
        <v>321.55999999999995</v>
      </c>
      <c r="CL92" s="130">
        <f t="shared" si="337"/>
        <v>321.55999999999995</v>
      </c>
      <c r="CM92" s="130">
        <f t="shared" si="338"/>
        <v>321.55999999999995</v>
      </c>
      <c r="CN92" s="130">
        <f t="shared" si="339"/>
        <v>1250.8</v>
      </c>
      <c r="CO92" s="130">
        <f t="shared" si="340"/>
        <v>-871.35919999999999</v>
      </c>
      <c r="CP92" s="130">
        <f t="shared" si="341"/>
        <v>0</v>
      </c>
      <c r="CQ92" s="130">
        <f t="shared" si="342"/>
        <v>0</v>
      </c>
      <c r="CR92" s="130">
        <f t="shared" si="343"/>
        <v>379.44079999999997</v>
      </c>
      <c r="CS92" s="130" t="s">
        <v>236</v>
      </c>
      <c r="CT92" s="130" t="s">
        <v>236</v>
      </c>
      <c r="CU92" s="145" t="str">
        <f t="shared" si="344"/>
        <v>AADCS0655F</v>
      </c>
      <c r="CV92" s="145" t="str">
        <f t="shared" si="345"/>
        <v>GOWPS6814G</v>
      </c>
    </row>
    <row r="93" spans="2:100" s="152" customFormat="1" ht="11.85" customHeight="1" x14ac:dyDescent="0.25">
      <c r="B93" s="123" t="str">
        <f t="shared" si="310"/>
        <v>Q1</v>
      </c>
      <c r="C93" s="124" t="str">
        <f t="shared" si="311"/>
        <v>May-26</v>
      </c>
      <c r="D93" s="125">
        <v>46150</v>
      </c>
      <c r="E93" s="126" t="s">
        <v>528</v>
      </c>
      <c r="F93" s="126" t="s">
        <v>511</v>
      </c>
      <c r="G93" s="126" t="s">
        <v>512</v>
      </c>
      <c r="H93" s="127" t="s">
        <v>529</v>
      </c>
      <c r="I93" s="349">
        <v>46150</v>
      </c>
      <c r="J93" s="350" t="s">
        <v>530</v>
      </c>
      <c r="K93" s="349">
        <v>46151</v>
      </c>
      <c r="L93" s="126" t="s">
        <v>237</v>
      </c>
      <c r="M93" s="126" t="s">
        <v>525</v>
      </c>
      <c r="N93" s="127" t="s">
        <v>527</v>
      </c>
      <c r="O93" s="126">
        <v>1</v>
      </c>
      <c r="P93" s="283">
        <v>456.68</v>
      </c>
      <c r="Q93" s="128">
        <f t="shared" si="312"/>
        <v>456.68</v>
      </c>
      <c r="R93" s="129">
        <v>0</v>
      </c>
      <c r="S93" s="128">
        <f t="shared" si="313"/>
        <v>1</v>
      </c>
      <c r="T93" s="129">
        <v>0</v>
      </c>
      <c r="U93" s="130">
        <v>0</v>
      </c>
      <c r="V93" s="131">
        <v>0</v>
      </c>
      <c r="W93" s="130">
        <v>0</v>
      </c>
      <c r="X93" s="132">
        <v>0</v>
      </c>
      <c r="Y93" s="130">
        <v>0</v>
      </c>
      <c r="Z93" s="130">
        <v>0</v>
      </c>
      <c r="AA93" s="129">
        <v>0</v>
      </c>
      <c r="AB93" s="133">
        <f t="shared" si="314"/>
        <v>0</v>
      </c>
      <c r="AC93" s="132">
        <v>0</v>
      </c>
      <c r="AD93" s="128">
        <v>0</v>
      </c>
      <c r="AE93" s="147">
        <v>0</v>
      </c>
      <c r="AF93" s="130">
        <v>0</v>
      </c>
      <c r="AG93" s="134">
        <v>0</v>
      </c>
      <c r="AH93" s="130">
        <v>0</v>
      </c>
      <c r="AI93" s="131">
        <v>0</v>
      </c>
      <c r="AJ93" s="130">
        <v>0</v>
      </c>
      <c r="AK93" s="130">
        <v>0</v>
      </c>
      <c r="AL93" s="130">
        <v>0</v>
      </c>
      <c r="AM93" s="135">
        <f t="shared" si="315"/>
        <v>456.68</v>
      </c>
      <c r="AN93" s="136">
        <v>46151</v>
      </c>
      <c r="AO93" s="137" t="s">
        <v>543</v>
      </c>
      <c r="AP93" s="138" t="s">
        <v>532</v>
      </c>
      <c r="AQ93" s="139" t="s">
        <v>533</v>
      </c>
      <c r="AR93" s="139" t="s">
        <v>534</v>
      </c>
      <c r="AS93" s="126" t="s">
        <v>535</v>
      </c>
      <c r="AT93" s="140" t="s">
        <v>360</v>
      </c>
      <c r="AU93" s="140" t="s">
        <v>361</v>
      </c>
      <c r="AV93" s="141" t="s">
        <v>544</v>
      </c>
      <c r="AW93" s="139">
        <v>1</v>
      </c>
      <c r="AX93" s="141">
        <v>655</v>
      </c>
      <c r="AY93" s="139">
        <f t="shared" si="316"/>
        <v>655</v>
      </c>
      <c r="AZ93" s="142" t="b">
        <f t="shared" si="317"/>
        <v>1</v>
      </c>
      <c r="BA93" s="128">
        <v>0</v>
      </c>
      <c r="BB93" s="143">
        <f t="shared" si="318"/>
        <v>1</v>
      </c>
      <c r="BC93" s="144">
        <v>0</v>
      </c>
      <c r="BD93" s="143" t="s">
        <v>109</v>
      </c>
      <c r="BE93" s="144">
        <v>0</v>
      </c>
      <c r="BF93" s="143">
        <v>0</v>
      </c>
      <c r="BG93" s="144">
        <v>0</v>
      </c>
      <c r="BH93" s="130">
        <v>0</v>
      </c>
      <c r="BI93" s="133">
        <v>0</v>
      </c>
      <c r="BJ93" s="131">
        <v>0</v>
      </c>
      <c r="BK93" s="128">
        <v>0</v>
      </c>
      <c r="BL93" s="139">
        <v>0</v>
      </c>
      <c r="BM93" s="130">
        <v>0</v>
      </c>
      <c r="BN93" s="145">
        <f t="shared" si="319"/>
        <v>0</v>
      </c>
      <c r="BO93" s="129">
        <f t="shared" si="320"/>
        <v>655</v>
      </c>
      <c r="BP93" s="135">
        <f t="shared" si="321"/>
        <v>198.32</v>
      </c>
      <c r="BQ93" s="144" t="str">
        <f t="shared" si="322"/>
        <v>Positive Margin</v>
      </c>
      <c r="BR93" s="146" t="s">
        <v>209</v>
      </c>
      <c r="BS93" s="128">
        <f t="shared" si="323"/>
        <v>198.32</v>
      </c>
      <c r="BT93" s="147" t="str">
        <f t="shared" si="324"/>
        <v>Positive Margin at Inception</v>
      </c>
      <c r="BU93" s="148">
        <f t="shared" si="325"/>
        <v>0.30277862595419847</v>
      </c>
      <c r="BV93" s="147" t="str">
        <f t="shared" si="326"/>
        <v>More than 2%</v>
      </c>
      <c r="BW93" s="128">
        <f t="shared" si="327"/>
        <v>0</v>
      </c>
      <c r="BX93" s="129">
        <f t="shared" si="328"/>
        <v>0</v>
      </c>
      <c r="BY93" s="128">
        <f t="shared" si="329"/>
        <v>0</v>
      </c>
      <c r="BZ93" s="149">
        <f t="shared" si="330"/>
        <v>0</v>
      </c>
      <c r="CA93" s="149">
        <f t="shared" si="331"/>
        <v>0</v>
      </c>
      <c r="CB93" s="130">
        <f t="shared" si="332"/>
        <v>0</v>
      </c>
      <c r="CC93" s="149" t="s">
        <v>282</v>
      </c>
      <c r="CD93" s="130">
        <v>0</v>
      </c>
      <c r="CE93" s="130">
        <f t="shared" si="333"/>
        <v>456.68</v>
      </c>
      <c r="CF93" s="130">
        <f t="shared" si="334"/>
        <v>655</v>
      </c>
      <c r="CG93" s="130">
        <f t="shared" si="335"/>
        <v>6</v>
      </c>
      <c r="CH93" s="150">
        <v>0</v>
      </c>
      <c r="CI93" s="130">
        <v>0</v>
      </c>
      <c r="CJ93" s="130" t="e">
        <f>_xlfn.XLOOKUP(AP93,POC!B:B,POC!D:D)</f>
        <v>#N/A</v>
      </c>
      <c r="CK93" s="130">
        <f t="shared" si="336"/>
        <v>198.32</v>
      </c>
      <c r="CL93" s="130">
        <f t="shared" si="337"/>
        <v>198.32</v>
      </c>
      <c r="CM93" s="130">
        <f t="shared" si="338"/>
        <v>198.32</v>
      </c>
      <c r="CN93" s="130">
        <f t="shared" si="339"/>
        <v>772.9</v>
      </c>
      <c r="CO93" s="130">
        <f t="shared" si="340"/>
        <v>-538.88239999999996</v>
      </c>
      <c r="CP93" s="130">
        <f t="shared" si="341"/>
        <v>0</v>
      </c>
      <c r="CQ93" s="130">
        <f t="shared" si="342"/>
        <v>0</v>
      </c>
      <c r="CR93" s="130">
        <f t="shared" si="343"/>
        <v>234.01760000000002</v>
      </c>
      <c r="CS93" s="130" t="s">
        <v>236</v>
      </c>
      <c r="CT93" s="130" t="s">
        <v>236</v>
      </c>
      <c r="CU93" s="145" t="str">
        <f t="shared" si="344"/>
        <v>AADCS0655F</v>
      </c>
      <c r="CV93" s="145" t="str">
        <f t="shared" si="345"/>
        <v>GOWPS6814G</v>
      </c>
    </row>
    <row r="94" spans="2:100" s="152" customFormat="1" ht="11.85" customHeight="1" x14ac:dyDescent="0.25">
      <c r="B94" s="123" t="str">
        <f t="shared" si="310"/>
        <v>Q1</v>
      </c>
      <c r="C94" s="124" t="str">
        <f t="shared" si="311"/>
        <v>May-26</v>
      </c>
      <c r="D94" s="125">
        <v>46150</v>
      </c>
      <c r="E94" s="126" t="s">
        <v>528</v>
      </c>
      <c r="F94" s="126" t="s">
        <v>511</v>
      </c>
      <c r="G94" s="126" t="s">
        <v>512</v>
      </c>
      <c r="H94" s="127" t="s">
        <v>529</v>
      </c>
      <c r="I94" s="349">
        <v>46150</v>
      </c>
      <c r="J94" s="350" t="s">
        <v>530</v>
      </c>
      <c r="K94" s="349">
        <v>46151</v>
      </c>
      <c r="L94" s="126" t="s">
        <v>237</v>
      </c>
      <c r="M94" s="126" t="s">
        <v>525</v>
      </c>
      <c r="N94" s="127" t="s">
        <v>527</v>
      </c>
      <c r="O94" s="126">
        <v>1</v>
      </c>
      <c r="P94" s="283">
        <v>732.29</v>
      </c>
      <c r="Q94" s="128">
        <f t="shared" si="312"/>
        <v>732.29</v>
      </c>
      <c r="R94" s="129">
        <v>0</v>
      </c>
      <c r="S94" s="128">
        <f t="shared" si="313"/>
        <v>1</v>
      </c>
      <c r="T94" s="129">
        <v>0</v>
      </c>
      <c r="U94" s="130">
        <v>0</v>
      </c>
      <c r="V94" s="131">
        <v>0</v>
      </c>
      <c r="W94" s="130">
        <v>0</v>
      </c>
      <c r="X94" s="132">
        <v>0</v>
      </c>
      <c r="Y94" s="130">
        <v>0</v>
      </c>
      <c r="Z94" s="130">
        <v>0</v>
      </c>
      <c r="AA94" s="129">
        <v>0</v>
      </c>
      <c r="AB94" s="133">
        <f t="shared" si="314"/>
        <v>0</v>
      </c>
      <c r="AC94" s="132">
        <v>0</v>
      </c>
      <c r="AD94" s="128">
        <v>0</v>
      </c>
      <c r="AE94" s="147">
        <v>0</v>
      </c>
      <c r="AF94" s="130">
        <v>0</v>
      </c>
      <c r="AG94" s="134">
        <v>0</v>
      </c>
      <c r="AH94" s="130">
        <v>0</v>
      </c>
      <c r="AI94" s="131">
        <v>0</v>
      </c>
      <c r="AJ94" s="130">
        <v>0</v>
      </c>
      <c r="AK94" s="130">
        <v>0</v>
      </c>
      <c r="AL94" s="130">
        <v>0</v>
      </c>
      <c r="AM94" s="135">
        <f t="shared" si="315"/>
        <v>732.29</v>
      </c>
      <c r="AN94" s="136">
        <v>46151</v>
      </c>
      <c r="AO94" s="137" t="s">
        <v>543</v>
      </c>
      <c r="AP94" s="138" t="s">
        <v>532</v>
      </c>
      <c r="AQ94" s="139" t="s">
        <v>533</v>
      </c>
      <c r="AR94" s="139" t="s">
        <v>534</v>
      </c>
      <c r="AS94" s="126" t="s">
        <v>535</v>
      </c>
      <c r="AT94" s="140" t="s">
        <v>360</v>
      </c>
      <c r="AU94" s="140" t="s">
        <v>361</v>
      </c>
      <c r="AV94" s="141" t="s">
        <v>544</v>
      </c>
      <c r="AW94" s="139">
        <v>1</v>
      </c>
      <c r="AX94" s="141">
        <v>1060</v>
      </c>
      <c r="AY94" s="139">
        <f t="shared" si="316"/>
        <v>1060</v>
      </c>
      <c r="AZ94" s="142" t="b">
        <f t="shared" si="317"/>
        <v>1</v>
      </c>
      <c r="BA94" s="128">
        <v>0</v>
      </c>
      <c r="BB94" s="143">
        <f t="shared" si="318"/>
        <v>1</v>
      </c>
      <c r="BC94" s="144">
        <v>0</v>
      </c>
      <c r="BD94" s="143" t="s">
        <v>109</v>
      </c>
      <c r="BE94" s="144">
        <v>0</v>
      </c>
      <c r="BF94" s="143">
        <v>0</v>
      </c>
      <c r="BG94" s="144">
        <v>0</v>
      </c>
      <c r="BH94" s="130">
        <v>0</v>
      </c>
      <c r="BI94" s="133">
        <v>0</v>
      </c>
      <c r="BJ94" s="131">
        <v>0</v>
      </c>
      <c r="BK94" s="128">
        <v>0</v>
      </c>
      <c r="BL94" s="139">
        <v>0</v>
      </c>
      <c r="BM94" s="130">
        <v>0</v>
      </c>
      <c r="BN94" s="145">
        <f t="shared" si="319"/>
        <v>0</v>
      </c>
      <c r="BO94" s="129">
        <f t="shared" si="320"/>
        <v>1060</v>
      </c>
      <c r="BP94" s="135">
        <f t="shared" si="321"/>
        <v>327.71000000000004</v>
      </c>
      <c r="BQ94" s="144" t="str">
        <f t="shared" si="322"/>
        <v>Positive Margin</v>
      </c>
      <c r="BR94" s="146" t="s">
        <v>209</v>
      </c>
      <c r="BS94" s="128">
        <f t="shared" si="323"/>
        <v>327.71000000000004</v>
      </c>
      <c r="BT94" s="147" t="str">
        <f t="shared" si="324"/>
        <v>Positive Margin at Inception</v>
      </c>
      <c r="BU94" s="148">
        <f t="shared" si="325"/>
        <v>0.30916037735849061</v>
      </c>
      <c r="BV94" s="147" t="str">
        <f t="shared" si="326"/>
        <v>More than 2%</v>
      </c>
      <c r="BW94" s="128">
        <f t="shared" si="327"/>
        <v>0</v>
      </c>
      <c r="BX94" s="129">
        <f t="shared" si="328"/>
        <v>0</v>
      </c>
      <c r="BY94" s="128">
        <f t="shared" si="329"/>
        <v>0</v>
      </c>
      <c r="BZ94" s="149">
        <f t="shared" si="330"/>
        <v>0</v>
      </c>
      <c r="CA94" s="149">
        <f t="shared" si="331"/>
        <v>0</v>
      </c>
      <c r="CB94" s="130">
        <f t="shared" si="332"/>
        <v>0</v>
      </c>
      <c r="CC94" s="149" t="s">
        <v>282</v>
      </c>
      <c r="CD94" s="130">
        <v>0</v>
      </c>
      <c r="CE94" s="130">
        <f t="shared" si="333"/>
        <v>732.29</v>
      </c>
      <c r="CF94" s="130">
        <f t="shared" si="334"/>
        <v>1060</v>
      </c>
      <c r="CG94" s="130">
        <f t="shared" si="335"/>
        <v>6</v>
      </c>
      <c r="CH94" s="150">
        <v>0</v>
      </c>
      <c r="CI94" s="130">
        <v>0</v>
      </c>
      <c r="CJ94" s="130" t="e">
        <f>_xlfn.XLOOKUP(AP94,POC!B:B,POC!D:D)</f>
        <v>#N/A</v>
      </c>
      <c r="CK94" s="130">
        <f t="shared" si="336"/>
        <v>327.71000000000004</v>
      </c>
      <c r="CL94" s="130">
        <f t="shared" si="337"/>
        <v>327.71000000000004</v>
      </c>
      <c r="CM94" s="130">
        <f t="shared" si="338"/>
        <v>327.71000000000004</v>
      </c>
      <c r="CN94" s="130">
        <f t="shared" si="339"/>
        <v>1250.8</v>
      </c>
      <c r="CO94" s="130">
        <f t="shared" si="340"/>
        <v>-864.10219999999993</v>
      </c>
      <c r="CP94" s="130">
        <f t="shared" si="341"/>
        <v>0</v>
      </c>
      <c r="CQ94" s="130">
        <f t="shared" si="342"/>
        <v>0</v>
      </c>
      <c r="CR94" s="130">
        <f t="shared" si="343"/>
        <v>386.69780000000003</v>
      </c>
      <c r="CS94" s="130" t="s">
        <v>236</v>
      </c>
      <c r="CT94" s="130" t="s">
        <v>236</v>
      </c>
      <c r="CU94" s="145" t="str">
        <f t="shared" si="344"/>
        <v>AADCS0655F</v>
      </c>
      <c r="CV94" s="145" t="str">
        <f t="shared" si="345"/>
        <v>GOWPS6814G</v>
      </c>
    </row>
    <row r="95" spans="2:100" s="152" customFormat="1" ht="11.85" customHeight="1" x14ac:dyDescent="0.25">
      <c r="B95" s="123" t="str">
        <f t="shared" si="310"/>
        <v>Q1</v>
      </c>
      <c r="C95" s="124" t="str">
        <f t="shared" si="311"/>
        <v>May-26</v>
      </c>
      <c r="D95" s="125">
        <v>46150</v>
      </c>
      <c r="E95" s="126" t="s">
        <v>528</v>
      </c>
      <c r="F95" s="126" t="s">
        <v>511</v>
      </c>
      <c r="G95" s="126" t="s">
        <v>512</v>
      </c>
      <c r="H95" s="127" t="s">
        <v>529</v>
      </c>
      <c r="I95" s="349">
        <v>46150</v>
      </c>
      <c r="J95" s="350" t="s">
        <v>530</v>
      </c>
      <c r="K95" s="349">
        <v>46151</v>
      </c>
      <c r="L95" s="126" t="s">
        <v>237</v>
      </c>
      <c r="M95" s="126" t="s">
        <v>525</v>
      </c>
      <c r="N95" s="127" t="s">
        <v>527</v>
      </c>
      <c r="O95" s="126">
        <v>1</v>
      </c>
      <c r="P95" s="283">
        <v>664.91</v>
      </c>
      <c r="Q95" s="128">
        <f t="shared" si="312"/>
        <v>664.91</v>
      </c>
      <c r="R95" s="129">
        <v>0</v>
      </c>
      <c r="S95" s="128">
        <f t="shared" si="313"/>
        <v>1</v>
      </c>
      <c r="T95" s="129">
        <v>0</v>
      </c>
      <c r="U95" s="130">
        <v>0</v>
      </c>
      <c r="V95" s="131">
        <v>0</v>
      </c>
      <c r="W95" s="130">
        <v>0</v>
      </c>
      <c r="X95" s="132">
        <v>0</v>
      </c>
      <c r="Y95" s="130">
        <v>0</v>
      </c>
      <c r="Z95" s="130">
        <v>0</v>
      </c>
      <c r="AA95" s="129">
        <v>0</v>
      </c>
      <c r="AB95" s="133">
        <f t="shared" si="314"/>
        <v>0</v>
      </c>
      <c r="AC95" s="132">
        <v>0</v>
      </c>
      <c r="AD95" s="128">
        <v>0</v>
      </c>
      <c r="AE95" s="147">
        <v>0</v>
      </c>
      <c r="AF95" s="130">
        <v>0</v>
      </c>
      <c r="AG95" s="134">
        <v>0</v>
      </c>
      <c r="AH95" s="130">
        <v>0</v>
      </c>
      <c r="AI95" s="131">
        <v>0</v>
      </c>
      <c r="AJ95" s="130">
        <v>0</v>
      </c>
      <c r="AK95" s="130">
        <v>0</v>
      </c>
      <c r="AL95" s="130">
        <v>0</v>
      </c>
      <c r="AM95" s="135">
        <f t="shared" si="315"/>
        <v>664.91</v>
      </c>
      <c r="AN95" s="136">
        <v>46151</v>
      </c>
      <c r="AO95" s="137" t="s">
        <v>543</v>
      </c>
      <c r="AP95" s="138" t="s">
        <v>532</v>
      </c>
      <c r="AQ95" s="139" t="s">
        <v>533</v>
      </c>
      <c r="AR95" s="139" t="s">
        <v>534</v>
      </c>
      <c r="AS95" s="126" t="s">
        <v>535</v>
      </c>
      <c r="AT95" s="140" t="s">
        <v>360</v>
      </c>
      <c r="AU95" s="140" t="s">
        <v>361</v>
      </c>
      <c r="AV95" s="141" t="s">
        <v>544</v>
      </c>
      <c r="AW95" s="139">
        <v>1</v>
      </c>
      <c r="AX95" s="141">
        <v>950</v>
      </c>
      <c r="AY95" s="139">
        <f t="shared" si="316"/>
        <v>950</v>
      </c>
      <c r="AZ95" s="142" t="b">
        <f t="shared" si="317"/>
        <v>1</v>
      </c>
      <c r="BA95" s="128">
        <v>0</v>
      </c>
      <c r="BB95" s="143">
        <f t="shared" si="318"/>
        <v>1</v>
      </c>
      <c r="BC95" s="144">
        <v>0</v>
      </c>
      <c r="BD95" s="143" t="s">
        <v>109</v>
      </c>
      <c r="BE95" s="144">
        <v>0</v>
      </c>
      <c r="BF95" s="143">
        <v>0</v>
      </c>
      <c r="BG95" s="144">
        <v>0</v>
      </c>
      <c r="BH95" s="130">
        <v>0</v>
      </c>
      <c r="BI95" s="133">
        <v>0</v>
      </c>
      <c r="BJ95" s="131">
        <v>0</v>
      </c>
      <c r="BK95" s="128">
        <v>0</v>
      </c>
      <c r="BL95" s="139">
        <v>0</v>
      </c>
      <c r="BM95" s="130">
        <v>0</v>
      </c>
      <c r="BN95" s="145">
        <f t="shared" si="319"/>
        <v>0</v>
      </c>
      <c r="BO95" s="129">
        <f t="shared" si="320"/>
        <v>950</v>
      </c>
      <c r="BP95" s="135">
        <f t="shared" si="321"/>
        <v>285.09000000000003</v>
      </c>
      <c r="BQ95" s="144" t="str">
        <f t="shared" si="322"/>
        <v>Positive Margin</v>
      </c>
      <c r="BR95" s="146" t="s">
        <v>209</v>
      </c>
      <c r="BS95" s="128">
        <f t="shared" si="323"/>
        <v>285.09000000000003</v>
      </c>
      <c r="BT95" s="147" t="str">
        <f t="shared" si="324"/>
        <v>Positive Margin at Inception</v>
      </c>
      <c r="BU95" s="148">
        <f t="shared" si="325"/>
        <v>0.3000947368421053</v>
      </c>
      <c r="BV95" s="147" t="str">
        <f t="shared" si="326"/>
        <v>More than 2%</v>
      </c>
      <c r="BW95" s="128">
        <f t="shared" si="327"/>
        <v>0</v>
      </c>
      <c r="BX95" s="129">
        <f t="shared" si="328"/>
        <v>0</v>
      </c>
      <c r="BY95" s="128">
        <f t="shared" si="329"/>
        <v>0</v>
      </c>
      <c r="BZ95" s="149">
        <f t="shared" si="330"/>
        <v>0</v>
      </c>
      <c r="CA95" s="149">
        <f t="shared" si="331"/>
        <v>0</v>
      </c>
      <c r="CB95" s="130">
        <f t="shared" si="332"/>
        <v>0</v>
      </c>
      <c r="CC95" s="149" t="s">
        <v>282</v>
      </c>
      <c r="CD95" s="130">
        <v>0</v>
      </c>
      <c r="CE95" s="130">
        <f t="shared" si="333"/>
        <v>664.91</v>
      </c>
      <c r="CF95" s="130">
        <f t="shared" si="334"/>
        <v>950</v>
      </c>
      <c r="CG95" s="130">
        <f t="shared" si="335"/>
        <v>6</v>
      </c>
      <c r="CH95" s="150">
        <v>0</v>
      </c>
      <c r="CI95" s="130">
        <v>0</v>
      </c>
      <c r="CJ95" s="130" t="e">
        <f>_xlfn.XLOOKUP(AP95,POC!B:B,POC!D:D)</f>
        <v>#N/A</v>
      </c>
      <c r="CK95" s="130">
        <f t="shared" si="336"/>
        <v>285.09000000000003</v>
      </c>
      <c r="CL95" s="130">
        <f t="shared" si="337"/>
        <v>285.09000000000003</v>
      </c>
      <c r="CM95" s="130">
        <f t="shared" si="338"/>
        <v>285.09000000000003</v>
      </c>
      <c r="CN95" s="130">
        <f t="shared" si="339"/>
        <v>1121</v>
      </c>
      <c r="CO95" s="130">
        <f t="shared" si="340"/>
        <v>-784.59379999999987</v>
      </c>
      <c r="CP95" s="130">
        <f t="shared" si="341"/>
        <v>0</v>
      </c>
      <c r="CQ95" s="130">
        <f t="shared" si="342"/>
        <v>0</v>
      </c>
      <c r="CR95" s="130">
        <f t="shared" si="343"/>
        <v>336.40620000000013</v>
      </c>
      <c r="CS95" s="130" t="s">
        <v>236</v>
      </c>
      <c r="CT95" s="130" t="s">
        <v>236</v>
      </c>
      <c r="CU95" s="145" t="str">
        <f t="shared" si="344"/>
        <v>AADCS0655F</v>
      </c>
      <c r="CV95" s="145" t="str">
        <f t="shared" si="345"/>
        <v>GOWPS6814G</v>
      </c>
    </row>
    <row r="96" spans="2:100" s="152" customFormat="1" ht="11.85" customHeight="1" x14ac:dyDescent="0.25">
      <c r="B96" s="123" t="str">
        <f t="shared" si="310"/>
        <v>Q1</v>
      </c>
      <c r="C96" s="124" t="str">
        <f t="shared" si="311"/>
        <v>May-26</v>
      </c>
      <c r="D96" s="125">
        <v>46150</v>
      </c>
      <c r="E96" s="126" t="s">
        <v>528</v>
      </c>
      <c r="F96" s="126" t="s">
        <v>511</v>
      </c>
      <c r="G96" s="126" t="s">
        <v>512</v>
      </c>
      <c r="H96" s="127" t="s">
        <v>529</v>
      </c>
      <c r="I96" s="349">
        <v>46150</v>
      </c>
      <c r="J96" s="350" t="s">
        <v>530</v>
      </c>
      <c r="K96" s="349">
        <v>46151</v>
      </c>
      <c r="L96" s="126" t="s">
        <v>237</v>
      </c>
      <c r="M96" s="126" t="s">
        <v>525</v>
      </c>
      <c r="N96" s="127" t="s">
        <v>526</v>
      </c>
      <c r="O96" s="126">
        <v>1</v>
      </c>
      <c r="P96" s="283">
        <v>85.27</v>
      </c>
      <c r="Q96" s="128">
        <f t="shared" si="312"/>
        <v>85.27</v>
      </c>
      <c r="R96" s="129">
        <v>0</v>
      </c>
      <c r="S96" s="128">
        <f t="shared" si="313"/>
        <v>1</v>
      </c>
      <c r="T96" s="129">
        <v>0</v>
      </c>
      <c r="U96" s="130">
        <v>0</v>
      </c>
      <c r="V96" s="131">
        <v>0</v>
      </c>
      <c r="W96" s="130">
        <v>0</v>
      </c>
      <c r="X96" s="132">
        <v>0</v>
      </c>
      <c r="Y96" s="130">
        <v>0</v>
      </c>
      <c r="Z96" s="130">
        <v>0</v>
      </c>
      <c r="AA96" s="129">
        <v>0</v>
      </c>
      <c r="AB96" s="133">
        <f t="shared" si="314"/>
        <v>0</v>
      </c>
      <c r="AC96" s="132">
        <v>0</v>
      </c>
      <c r="AD96" s="128">
        <v>0</v>
      </c>
      <c r="AE96" s="147">
        <v>0</v>
      </c>
      <c r="AF96" s="130">
        <v>0</v>
      </c>
      <c r="AG96" s="134">
        <v>0</v>
      </c>
      <c r="AH96" s="130">
        <v>0</v>
      </c>
      <c r="AI96" s="131">
        <v>0</v>
      </c>
      <c r="AJ96" s="130">
        <v>0</v>
      </c>
      <c r="AK96" s="130">
        <v>0</v>
      </c>
      <c r="AL96" s="130">
        <v>0</v>
      </c>
      <c r="AM96" s="135">
        <f t="shared" si="315"/>
        <v>85.27</v>
      </c>
      <c r="AN96" s="136">
        <v>46151</v>
      </c>
      <c r="AO96" s="137" t="s">
        <v>543</v>
      </c>
      <c r="AP96" s="138" t="s">
        <v>532</v>
      </c>
      <c r="AQ96" s="139" t="s">
        <v>533</v>
      </c>
      <c r="AR96" s="139" t="s">
        <v>534</v>
      </c>
      <c r="AS96" s="126" t="s">
        <v>535</v>
      </c>
      <c r="AT96" s="140" t="s">
        <v>360</v>
      </c>
      <c r="AU96" s="140" t="s">
        <v>361</v>
      </c>
      <c r="AV96" s="141" t="s">
        <v>544</v>
      </c>
      <c r="AW96" s="139">
        <v>1</v>
      </c>
      <c r="AX96" s="141">
        <v>122</v>
      </c>
      <c r="AY96" s="139">
        <f t="shared" si="316"/>
        <v>122</v>
      </c>
      <c r="AZ96" s="142" t="b">
        <f t="shared" si="317"/>
        <v>1</v>
      </c>
      <c r="BA96" s="128">
        <v>0</v>
      </c>
      <c r="BB96" s="143">
        <f t="shared" si="318"/>
        <v>1</v>
      </c>
      <c r="BC96" s="144">
        <v>0</v>
      </c>
      <c r="BD96" s="143" t="s">
        <v>109</v>
      </c>
      <c r="BE96" s="144">
        <v>0</v>
      </c>
      <c r="BF96" s="143">
        <v>0</v>
      </c>
      <c r="BG96" s="144">
        <v>0</v>
      </c>
      <c r="BH96" s="130">
        <v>0</v>
      </c>
      <c r="BI96" s="133">
        <v>0</v>
      </c>
      <c r="BJ96" s="131">
        <v>0</v>
      </c>
      <c r="BK96" s="128">
        <v>0</v>
      </c>
      <c r="BL96" s="139">
        <v>0</v>
      </c>
      <c r="BM96" s="130">
        <v>0</v>
      </c>
      <c r="BN96" s="145">
        <f t="shared" si="319"/>
        <v>0</v>
      </c>
      <c r="BO96" s="129">
        <f t="shared" si="320"/>
        <v>122</v>
      </c>
      <c r="BP96" s="135">
        <f t="shared" si="321"/>
        <v>36.730000000000004</v>
      </c>
      <c r="BQ96" s="144" t="str">
        <f t="shared" si="322"/>
        <v>Positive Margin</v>
      </c>
      <c r="BR96" s="146" t="s">
        <v>209</v>
      </c>
      <c r="BS96" s="128">
        <f t="shared" si="323"/>
        <v>36.730000000000004</v>
      </c>
      <c r="BT96" s="147" t="str">
        <f t="shared" si="324"/>
        <v>Positive Margin at Inception</v>
      </c>
      <c r="BU96" s="148">
        <f t="shared" si="325"/>
        <v>0.30106557377049181</v>
      </c>
      <c r="BV96" s="147" t="str">
        <f t="shared" si="326"/>
        <v>More than 2%</v>
      </c>
      <c r="BW96" s="128">
        <f t="shared" si="327"/>
        <v>0</v>
      </c>
      <c r="BX96" s="129">
        <f t="shared" si="328"/>
        <v>0</v>
      </c>
      <c r="BY96" s="128">
        <f t="shared" si="329"/>
        <v>0</v>
      </c>
      <c r="BZ96" s="149">
        <f t="shared" si="330"/>
        <v>0</v>
      </c>
      <c r="CA96" s="149">
        <f t="shared" si="331"/>
        <v>0</v>
      </c>
      <c r="CB96" s="130">
        <f t="shared" si="332"/>
        <v>0</v>
      </c>
      <c r="CC96" s="149" t="s">
        <v>282</v>
      </c>
      <c r="CD96" s="130">
        <v>0</v>
      </c>
      <c r="CE96" s="130">
        <f t="shared" si="333"/>
        <v>85.27</v>
      </c>
      <c r="CF96" s="130">
        <f t="shared" si="334"/>
        <v>122</v>
      </c>
      <c r="CG96" s="130">
        <f t="shared" si="335"/>
        <v>6</v>
      </c>
      <c r="CH96" s="150">
        <v>0</v>
      </c>
      <c r="CI96" s="130">
        <v>0</v>
      </c>
      <c r="CJ96" s="130" t="e">
        <f>_xlfn.XLOOKUP(AP96,POC!B:B,POC!D:D)</f>
        <v>#N/A</v>
      </c>
      <c r="CK96" s="130">
        <f t="shared" si="336"/>
        <v>36.730000000000004</v>
      </c>
      <c r="CL96" s="130">
        <f t="shared" si="337"/>
        <v>36.730000000000004</v>
      </c>
      <c r="CM96" s="130">
        <f t="shared" si="338"/>
        <v>36.730000000000004</v>
      </c>
      <c r="CN96" s="130">
        <f t="shared" si="339"/>
        <v>143.95999999999998</v>
      </c>
      <c r="CO96" s="130">
        <f t="shared" si="340"/>
        <v>-100.61859999999999</v>
      </c>
      <c r="CP96" s="130">
        <f t="shared" si="341"/>
        <v>0</v>
      </c>
      <c r="CQ96" s="130">
        <f t="shared" si="342"/>
        <v>0</v>
      </c>
      <c r="CR96" s="130">
        <f t="shared" si="343"/>
        <v>43.341399999999993</v>
      </c>
      <c r="CS96" s="130" t="s">
        <v>236</v>
      </c>
      <c r="CT96" s="130" t="s">
        <v>236</v>
      </c>
      <c r="CU96" s="145" t="str">
        <f t="shared" si="344"/>
        <v>AADCS0655F</v>
      </c>
      <c r="CV96" s="145" t="str">
        <f t="shared" si="345"/>
        <v>GOWPS6814G</v>
      </c>
    </row>
    <row r="97" spans="2:100" s="152" customFormat="1" ht="11.85" customHeight="1" x14ac:dyDescent="0.25">
      <c r="B97" s="123" t="str">
        <f t="shared" si="310"/>
        <v>Q1</v>
      </c>
      <c r="C97" s="124" t="str">
        <f t="shared" si="311"/>
        <v>May-26</v>
      </c>
      <c r="D97" s="125">
        <v>46150</v>
      </c>
      <c r="E97" s="126" t="s">
        <v>528</v>
      </c>
      <c r="F97" s="126" t="s">
        <v>511</v>
      </c>
      <c r="G97" s="126" t="s">
        <v>512</v>
      </c>
      <c r="H97" s="127" t="s">
        <v>529</v>
      </c>
      <c r="I97" s="349">
        <v>46150</v>
      </c>
      <c r="J97" s="350" t="s">
        <v>530</v>
      </c>
      <c r="K97" s="349">
        <v>46151</v>
      </c>
      <c r="L97" s="126" t="s">
        <v>237</v>
      </c>
      <c r="M97" s="126" t="s">
        <v>525</v>
      </c>
      <c r="N97" s="127" t="s">
        <v>527</v>
      </c>
      <c r="O97" s="126">
        <v>1</v>
      </c>
      <c r="P97" s="283">
        <v>741.11</v>
      </c>
      <c r="Q97" s="128">
        <f t="shared" si="312"/>
        <v>741.11</v>
      </c>
      <c r="R97" s="129">
        <v>0</v>
      </c>
      <c r="S97" s="128">
        <f t="shared" si="313"/>
        <v>1</v>
      </c>
      <c r="T97" s="129">
        <v>0</v>
      </c>
      <c r="U97" s="130">
        <v>0</v>
      </c>
      <c r="V97" s="131">
        <v>0</v>
      </c>
      <c r="W97" s="130">
        <v>0</v>
      </c>
      <c r="X97" s="132">
        <v>0</v>
      </c>
      <c r="Y97" s="130">
        <v>0</v>
      </c>
      <c r="Z97" s="130">
        <v>0</v>
      </c>
      <c r="AA97" s="129">
        <v>0</v>
      </c>
      <c r="AB97" s="133">
        <f t="shared" si="314"/>
        <v>0</v>
      </c>
      <c r="AC97" s="132">
        <v>0</v>
      </c>
      <c r="AD97" s="128">
        <v>0</v>
      </c>
      <c r="AE97" s="147">
        <v>0</v>
      </c>
      <c r="AF97" s="130">
        <v>0</v>
      </c>
      <c r="AG97" s="134">
        <v>0</v>
      </c>
      <c r="AH97" s="130">
        <v>0</v>
      </c>
      <c r="AI97" s="131">
        <v>0</v>
      </c>
      <c r="AJ97" s="130">
        <v>0</v>
      </c>
      <c r="AK97" s="130">
        <v>0</v>
      </c>
      <c r="AL97" s="130">
        <v>0</v>
      </c>
      <c r="AM97" s="135">
        <f t="shared" si="315"/>
        <v>741.11</v>
      </c>
      <c r="AN97" s="136">
        <v>46151</v>
      </c>
      <c r="AO97" s="137" t="s">
        <v>543</v>
      </c>
      <c r="AP97" s="138" t="s">
        <v>532</v>
      </c>
      <c r="AQ97" s="139" t="s">
        <v>533</v>
      </c>
      <c r="AR97" s="139" t="s">
        <v>534</v>
      </c>
      <c r="AS97" s="126" t="s">
        <v>535</v>
      </c>
      <c r="AT97" s="140" t="s">
        <v>360</v>
      </c>
      <c r="AU97" s="140" t="s">
        <v>361</v>
      </c>
      <c r="AV97" s="141" t="s">
        <v>544</v>
      </c>
      <c r="AW97" s="139">
        <v>1</v>
      </c>
      <c r="AX97" s="141">
        <v>1060</v>
      </c>
      <c r="AY97" s="139">
        <f t="shared" si="316"/>
        <v>1060</v>
      </c>
      <c r="AZ97" s="142" t="b">
        <f t="shared" si="317"/>
        <v>1</v>
      </c>
      <c r="BA97" s="128">
        <v>0</v>
      </c>
      <c r="BB97" s="143">
        <f t="shared" si="318"/>
        <v>1</v>
      </c>
      <c r="BC97" s="144">
        <v>0</v>
      </c>
      <c r="BD97" s="143" t="s">
        <v>109</v>
      </c>
      <c r="BE97" s="144">
        <v>0</v>
      </c>
      <c r="BF97" s="143">
        <v>0</v>
      </c>
      <c r="BG97" s="144">
        <v>0</v>
      </c>
      <c r="BH97" s="130">
        <v>0</v>
      </c>
      <c r="BI97" s="133">
        <v>0</v>
      </c>
      <c r="BJ97" s="131">
        <v>0</v>
      </c>
      <c r="BK97" s="128">
        <v>0</v>
      </c>
      <c r="BL97" s="139">
        <v>0</v>
      </c>
      <c r="BM97" s="130">
        <v>0</v>
      </c>
      <c r="BN97" s="145">
        <f t="shared" si="319"/>
        <v>0</v>
      </c>
      <c r="BO97" s="129">
        <f t="shared" si="320"/>
        <v>1060</v>
      </c>
      <c r="BP97" s="135">
        <f t="shared" si="321"/>
        <v>318.89</v>
      </c>
      <c r="BQ97" s="144" t="str">
        <f t="shared" si="322"/>
        <v>Positive Margin</v>
      </c>
      <c r="BR97" s="146" t="s">
        <v>209</v>
      </c>
      <c r="BS97" s="128">
        <f t="shared" si="323"/>
        <v>318.89</v>
      </c>
      <c r="BT97" s="147" t="str">
        <f t="shared" si="324"/>
        <v>Positive Margin at Inception</v>
      </c>
      <c r="BU97" s="148">
        <f t="shared" si="325"/>
        <v>0.30083962264150943</v>
      </c>
      <c r="BV97" s="147" t="str">
        <f t="shared" si="326"/>
        <v>More than 2%</v>
      </c>
      <c r="BW97" s="128">
        <f t="shared" si="327"/>
        <v>0</v>
      </c>
      <c r="BX97" s="129">
        <f t="shared" si="328"/>
        <v>0</v>
      </c>
      <c r="BY97" s="128">
        <f t="shared" si="329"/>
        <v>0</v>
      </c>
      <c r="BZ97" s="149">
        <f t="shared" si="330"/>
        <v>0</v>
      </c>
      <c r="CA97" s="149">
        <f t="shared" si="331"/>
        <v>0</v>
      </c>
      <c r="CB97" s="130">
        <f t="shared" si="332"/>
        <v>0</v>
      </c>
      <c r="CC97" s="149" t="s">
        <v>282</v>
      </c>
      <c r="CD97" s="130">
        <v>0</v>
      </c>
      <c r="CE97" s="130">
        <f t="shared" si="333"/>
        <v>741.11</v>
      </c>
      <c r="CF97" s="130">
        <f t="shared" si="334"/>
        <v>1060</v>
      </c>
      <c r="CG97" s="130">
        <f t="shared" si="335"/>
        <v>6</v>
      </c>
      <c r="CH97" s="150">
        <v>0</v>
      </c>
      <c r="CI97" s="130">
        <v>0</v>
      </c>
      <c r="CJ97" s="130" t="e">
        <f>_xlfn.XLOOKUP(AP97,POC!B:B,POC!D:D)</f>
        <v>#N/A</v>
      </c>
      <c r="CK97" s="130">
        <f t="shared" si="336"/>
        <v>318.89</v>
      </c>
      <c r="CL97" s="130">
        <f t="shared" si="337"/>
        <v>318.89</v>
      </c>
      <c r="CM97" s="130">
        <f t="shared" si="338"/>
        <v>318.89</v>
      </c>
      <c r="CN97" s="130">
        <f t="shared" si="339"/>
        <v>1250.8</v>
      </c>
      <c r="CO97" s="130">
        <f t="shared" si="340"/>
        <v>-874.50979999999993</v>
      </c>
      <c r="CP97" s="130">
        <f t="shared" si="341"/>
        <v>0</v>
      </c>
      <c r="CQ97" s="130">
        <f t="shared" si="342"/>
        <v>0</v>
      </c>
      <c r="CR97" s="130">
        <f t="shared" si="343"/>
        <v>376.29020000000003</v>
      </c>
      <c r="CS97" s="130" t="s">
        <v>236</v>
      </c>
      <c r="CT97" s="130" t="s">
        <v>236</v>
      </c>
      <c r="CU97" s="145" t="str">
        <f t="shared" si="344"/>
        <v>AADCS0655F</v>
      </c>
      <c r="CV97" s="145" t="str">
        <f t="shared" si="345"/>
        <v>GOWPS6814G</v>
      </c>
    </row>
    <row r="98" spans="2:100" s="152" customFormat="1" ht="11.85" customHeight="1" x14ac:dyDescent="0.25">
      <c r="B98" s="123" t="str">
        <f t="shared" si="310"/>
        <v>Q1</v>
      </c>
      <c r="C98" s="124" t="str">
        <f t="shared" si="311"/>
        <v>May-26</v>
      </c>
      <c r="D98" s="125">
        <v>46150</v>
      </c>
      <c r="E98" s="126" t="s">
        <v>528</v>
      </c>
      <c r="F98" s="126" t="s">
        <v>511</v>
      </c>
      <c r="G98" s="126" t="s">
        <v>512</v>
      </c>
      <c r="H98" s="127" t="s">
        <v>529</v>
      </c>
      <c r="I98" s="349">
        <v>46150</v>
      </c>
      <c r="J98" s="350" t="s">
        <v>530</v>
      </c>
      <c r="K98" s="349">
        <v>46151</v>
      </c>
      <c r="L98" s="126" t="s">
        <v>237</v>
      </c>
      <c r="M98" s="126" t="s">
        <v>525</v>
      </c>
      <c r="N98" s="127" t="s">
        <v>526</v>
      </c>
      <c r="O98" s="126">
        <v>1</v>
      </c>
      <c r="P98" s="283">
        <v>85.27</v>
      </c>
      <c r="Q98" s="128">
        <f t="shared" si="312"/>
        <v>85.27</v>
      </c>
      <c r="R98" s="129">
        <v>0</v>
      </c>
      <c r="S98" s="128">
        <f t="shared" si="313"/>
        <v>1</v>
      </c>
      <c r="T98" s="129">
        <v>0</v>
      </c>
      <c r="U98" s="130">
        <v>0</v>
      </c>
      <c r="V98" s="131">
        <v>0</v>
      </c>
      <c r="W98" s="130">
        <v>0</v>
      </c>
      <c r="X98" s="132">
        <v>0</v>
      </c>
      <c r="Y98" s="130">
        <v>0</v>
      </c>
      <c r="Z98" s="130">
        <v>0</v>
      </c>
      <c r="AA98" s="129">
        <v>0</v>
      </c>
      <c r="AB98" s="133">
        <f t="shared" si="314"/>
        <v>0</v>
      </c>
      <c r="AC98" s="132">
        <v>0</v>
      </c>
      <c r="AD98" s="128">
        <v>0</v>
      </c>
      <c r="AE98" s="147">
        <v>0</v>
      </c>
      <c r="AF98" s="130">
        <v>0</v>
      </c>
      <c r="AG98" s="134">
        <v>0</v>
      </c>
      <c r="AH98" s="130">
        <v>0</v>
      </c>
      <c r="AI98" s="131">
        <v>0</v>
      </c>
      <c r="AJ98" s="130">
        <v>0</v>
      </c>
      <c r="AK98" s="130">
        <v>0</v>
      </c>
      <c r="AL98" s="130">
        <v>0</v>
      </c>
      <c r="AM98" s="135">
        <f t="shared" si="315"/>
        <v>85.27</v>
      </c>
      <c r="AN98" s="136">
        <v>46151</v>
      </c>
      <c r="AO98" s="137" t="s">
        <v>543</v>
      </c>
      <c r="AP98" s="138" t="s">
        <v>532</v>
      </c>
      <c r="AQ98" s="139" t="s">
        <v>533</v>
      </c>
      <c r="AR98" s="139" t="s">
        <v>534</v>
      </c>
      <c r="AS98" s="126" t="s">
        <v>535</v>
      </c>
      <c r="AT98" s="140" t="s">
        <v>360</v>
      </c>
      <c r="AU98" s="140" t="s">
        <v>361</v>
      </c>
      <c r="AV98" s="141" t="s">
        <v>544</v>
      </c>
      <c r="AW98" s="139">
        <v>1</v>
      </c>
      <c r="AX98" s="141">
        <v>122</v>
      </c>
      <c r="AY98" s="139">
        <f t="shared" si="316"/>
        <v>122</v>
      </c>
      <c r="AZ98" s="142" t="b">
        <f t="shared" si="317"/>
        <v>1</v>
      </c>
      <c r="BA98" s="128">
        <v>0</v>
      </c>
      <c r="BB98" s="143">
        <f t="shared" si="318"/>
        <v>1</v>
      </c>
      <c r="BC98" s="144">
        <v>0</v>
      </c>
      <c r="BD98" s="143" t="s">
        <v>109</v>
      </c>
      <c r="BE98" s="144">
        <v>0</v>
      </c>
      <c r="BF98" s="143">
        <v>0</v>
      </c>
      <c r="BG98" s="144">
        <v>0</v>
      </c>
      <c r="BH98" s="130">
        <v>0</v>
      </c>
      <c r="BI98" s="133">
        <v>0</v>
      </c>
      <c r="BJ98" s="131">
        <v>0</v>
      </c>
      <c r="BK98" s="128">
        <v>0</v>
      </c>
      <c r="BL98" s="139">
        <v>0</v>
      </c>
      <c r="BM98" s="130">
        <v>0</v>
      </c>
      <c r="BN98" s="145">
        <f t="shared" si="319"/>
        <v>0</v>
      </c>
      <c r="BO98" s="129">
        <f t="shared" si="320"/>
        <v>122</v>
      </c>
      <c r="BP98" s="135">
        <f t="shared" si="321"/>
        <v>36.730000000000004</v>
      </c>
      <c r="BQ98" s="144" t="str">
        <f t="shared" si="322"/>
        <v>Positive Margin</v>
      </c>
      <c r="BR98" s="146" t="s">
        <v>209</v>
      </c>
      <c r="BS98" s="128">
        <f t="shared" si="323"/>
        <v>36.730000000000004</v>
      </c>
      <c r="BT98" s="147" t="str">
        <f t="shared" si="324"/>
        <v>Positive Margin at Inception</v>
      </c>
      <c r="BU98" s="148">
        <f t="shared" si="325"/>
        <v>0.30106557377049181</v>
      </c>
      <c r="BV98" s="147" t="str">
        <f t="shared" si="326"/>
        <v>More than 2%</v>
      </c>
      <c r="BW98" s="128">
        <f t="shared" si="327"/>
        <v>0</v>
      </c>
      <c r="BX98" s="129">
        <f t="shared" si="328"/>
        <v>0</v>
      </c>
      <c r="BY98" s="128">
        <f t="shared" si="329"/>
        <v>0</v>
      </c>
      <c r="BZ98" s="149">
        <f t="shared" si="330"/>
        <v>0</v>
      </c>
      <c r="CA98" s="149">
        <f t="shared" si="331"/>
        <v>0</v>
      </c>
      <c r="CB98" s="130">
        <f t="shared" si="332"/>
        <v>0</v>
      </c>
      <c r="CC98" s="149" t="s">
        <v>282</v>
      </c>
      <c r="CD98" s="130">
        <v>0</v>
      </c>
      <c r="CE98" s="130">
        <f t="shared" si="333"/>
        <v>85.27</v>
      </c>
      <c r="CF98" s="130">
        <f t="shared" si="334"/>
        <v>122</v>
      </c>
      <c r="CG98" s="130">
        <f t="shared" si="335"/>
        <v>6</v>
      </c>
      <c r="CH98" s="150">
        <v>0</v>
      </c>
      <c r="CI98" s="130">
        <v>0</v>
      </c>
      <c r="CJ98" s="130" t="e">
        <f>_xlfn.XLOOKUP(AP98,POC!B:B,POC!D:D)</f>
        <v>#N/A</v>
      </c>
      <c r="CK98" s="130">
        <f t="shared" si="336"/>
        <v>36.730000000000004</v>
      </c>
      <c r="CL98" s="130">
        <f t="shared" si="337"/>
        <v>36.730000000000004</v>
      </c>
      <c r="CM98" s="130">
        <f t="shared" si="338"/>
        <v>36.730000000000004</v>
      </c>
      <c r="CN98" s="130">
        <f t="shared" si="339"/>
        <v>143.95999999999998</v>
      </c>
      <c r="CO98" s="130">
        <f t="shared" si="340"/>
        <v>-100.61859999999999</v>
      </c>
      <c r="CP98" s="130">
        <f t="shared" si="341"/>
        <v>0</v>
      </c>
      <c r="CQ98" s="130">
        <f t="shared" si="342"/>
        <v>0</v>
      </c>
      <c r="CR98" s="130">
        <f t="shared" si="343"/>
        <v>43.341399999999993</v>
      </c>
      <c r="CS98" s="130" t="s">
        <v>236</v>
      </c>
      <c r="CT98" s="130" t="s">
        <v>236</v>
      </c>
      <c r="CU98" s="145" t="str">
        <f t="shared" si="344"/>
        <v>AADCS0655F</v>
      </c>
      <c r="CV98" s="145" t="str">
        <f t="shared" si="345"/>
        <v>GOWPS6814G</v>
      </c>
    </row>
    <row r="99" spans="2:100" s="152" customFormat="1" ht="11.85" customHeight="1" x14ac:dyDescent="0.25">
      <c r="B99" s="123" t="str">
        <f t="shared" si="310"/>
        <v>Q1</v>
      </c>
      <c r="C99" s="124" t="str">
        <f t="shared" si="311"/>
        <v>May-26</v>
      </c>
      <c r="D99" s="125">
        <v>46150</v>
      </c>
      <c r="E99" s="126" t="s">
        <v>528</v>
      </c>
      <c r="F99" s="126" t="s">
        <v>511</v>
      </c>
      <c r="G99" s="126" t="s">
        <v>512</v>
      </c>
      <c r="H99" s="127" t="s">
        <v>529</v>
      </c>
      <c r="I99" s="349">
        <v>46150</v>
      </c>
      <c r="J99" s="350" t="s">
        <v>530</v>
      </c>
      <c r="K99" s="349">
        <v>46151</v>
      </c>
      <c r="L99" s="126" t="s">
        <v>237</v>
      </c>
      <c r="M99" s="126" t="s">
        <v>525</v>
      </c>
      <c r="N99" s="127" t="s">
        <v>526</v>
      </c>
      <c r="O99" s="126">
        <v>1</v>
      </c>
      <c r="P99" s="283">
        <v>78.23</v>
      </c>
      <c r="Q99" s="128">
        <f t="shared" si="312"/>
        <v>78.23</v>
      </c>
      <c r="R99" s="129">
        <v>0</v>
      </c>
      <c r="S99" s="128">
        <f t="shared" si="313"/>
        <v>1</v>
      </c>
      <c r="T99" s="129">
        <v>0</v>
      </c>
      <c r="U99" s="130">
        <v>0</v>
      </c>
      <c r="V99" s="131">
        <v>0</v>
      </c>
      <c r="W99" s="130">
        <v>0</v>
      </c>
      <c r="X99" s="132">
        <v>0</v>
      </c>
      <c r="Y99" s="130">
        <v>0</v>
      </c>
      <c r="Z99" s="130">
        <v>0</v>
      </c>
      <c r="AA99" s="129">
        <v>0</v>
      </c>
      <c r="AB99" s="133">
        <f t="shared" si="314"/>
        <v>0</v>
      </c>
      <c r="AC99" s="132">
        <v>0</v>
      </c>
      <c r="AD99" s="128">
        <v>0</v>
      </c>
      <c r="AE99" s="147">
        <v>0</v>
      </c>
      <c r="AF99" s="130">
        <v>0</v>
      </c>
      <c r="AG99" s="134">
        <v>0</v>
      </c>
      <c r="AH99" s="130">
        <v>0</v>
      </c>
      <c r="AI99" s="131">
        <v>0</v>
      </c>
      <c r="AJ99" s="130">
        <v>0</v>
      </c>
      <c r="AK99" s="130">
        <v>0</v>
      </c>
      <c r="AL99" s="130">
        <v>0</v>
      </c>
      <c r="AM99" s="135">
        <f t="shared" si="315"/>
        <v>78.23</v>
      </c>
      <c r="AN99" s="136">
        <v>46151</v>
      </c>
      <c r="AO99" s="137" t="s">
        <v>543</v>
      </c>
      <c r="AP99" s="138" t="s">
        <v>532</v>
      </c>
      <c r="AQ99" s="139" t="s">
        <v>533</v>
      </c>
      <c r="AR99" s="139" t="s">
        <v>534</v>
      </c>
      <c r="AS99" s="126" t="s">
        <v>535</v>
      </c>
      <c r="AT99" s="140" t="s">
        <v>360</v>
      </c>
      <c r="AU99" s="140" t="s">
        <v>361</v>
      </c>
      <c r="AV99" s="141" t="s">
        <v>544</v>
      </c>
      <c r="AW99" s="139">
        <v>1</v>
      </c>
      <c r="AX99" s="141">
        <v>112</v>
      </c>
      <c r="AY99" s="139">
        <f t="shared" si="316"/>
        <v>112</v>
      </c>
      <c r="AZ99" s="142" t="b">
        <f t="shared" si="317"/>
        <v>1</v>
      </c>
      <c r="BA99" s="128">
        <v>0</v>
      </c>
      <c r="BB99" s="143">
        <f t="shared" si="318"/>
        <v>1</v>
      </c>
      <c r="BC99" s="144">
        <v>0</v>
      </c>
      <c r="BD99" s="143" t="s">
        <v>109</v>
      </c>
      <c r="BE99" s="144">
        <v>0</v>
      </c>
      <c r="BF99" s="143">
        <v>0</v>
      </c>
      <c r="BG99" s="144">
        <v>0</v>
      </c>
      <c r="BH99" s="130">
        <v>0</v>
      </c>
      <c r="BI99" s="133">
        <v>0</v>
      </c>
      <c r="BJ99" s="131">
        <v>0</v>
      </c>
      <c r="BK99" s="128">
        <v>0</v>
      </c>
      <c r="BL99" s="139">
        <v>0</v>
      </c>
      <c r="BM99" s="130">
        <v>0</v>
      </c>
      <c r="BN99" s="145">
        <f t="shared" si="319"/>
        <v>0</v>
      </c>
      <c r="BO99" s="129">
        <f t="shared" si="320"/>
        <v>112</v>
      </c>
      <c r="BP99" s="135">
        <f t="shared" si="321"/>
        <v>33.769999999999996</v>
      </c>
      <c r="BQ99" s="144" t="str">
        <f t="shared" si="322"/>
        <v>Positive Margin</v>
      </c>
      <c r="BR99" s="146" t="s">
        <v>209</v>
      </c>
      <c r="BS99" s="128">
        <f t="shared" si="323"/>
        <v>33.769999999999996</v>
      </c>
      <c r="BT99" s="147" t="str">
        <f t="shared" si="324"/>
        <v>Positive Margin at Inception</v>
      </c>
      <c r="BU99" s="148">
        <f t="shared" si="325"/>
        <v>0.30151785714285712</v>
      </c>
      <c r="BV99" s="147" t="str">
        <f t="shared" si="326"/>
        <v>More than 2%</v>
      </c>
      <c r="BW99" s="128">
        <f t="shared" si="327"/>
        <v>0</v>
      </c>
      <c r="BX99" s="129">
        <f t="shared" si="328"/>
        <v>0</v>
      </c>
      <c r="BY99" s="128">
        <f t="shared" si="329"/>
        <v>0</v>
      </c>
      <c r="BZ99" s="149">
        <f t="shared" si="330"/>
        <v>0</v>
      </c>
      <c r="CA99" s="149">
        <f t="shared" si="331"/>
        <v>0</v>
      </c>
      <c r="CB99" s="130">
        <f t="shared" si="332"/>
        <v>0</v>
      </c>
      <c r="CC99" s="149" t="s">
        <v>282</v>
      </c>
      <c r="CD99" s="130">
        <v>0</v>
      </c>
      <c r="CE99" s="130">
        <f t="shared" si="333"/>
        <v>78.23</v>
      </c>
      <c r="CF99" s="130">
        <f t="shared" si="334"/>
        <v>112</v>
      </c>
      <c r="CG99" s="130">
        <f t="shared" si="335"/>
        <v>6</v>
      </c>
      <c r="CH99" s="150">
        <v>0</v>
      </c>
      <c r="CI99" s="130">
        <v>0</v>
      </c>
      <c r="CJ99" s="130" t="e">
        <f>_xlfn.XLOOKUP(AP99,POC!B:B,POC!D:D)</f>
        <v>#N/A</v>
      </c>
      <c r="CK99" s="130">
        <f t="shared" si="336"/>
        <v>33.769999999999996</v>
      </c>
      <c r="CL99" s="130">
        <f t="shared" si="337"/>
        <v>33.769999999999996</v>
      </c>
      <c r="CM99" s="130">
        <f t="shared" si="338"/>
        <v>33.769999999999996</v>
      </c>
      <c r="CN99" s="130">
        <f t="shared" si="339"/>
        <v>132.16</v>
      </c>
      <c r="CO99" s="130">
        <f t="shared" si="340"/>
        <v>-92.311400000000006</v>
      </c>
      <c r="CP99" s="130">
        <f t="shared" si="341"/>
        <v>0</v>
      </c>
      <c r="CQ99" s="130">
        <f t="shared" si="342"/>
        <v>0</v>
      </c>
      <c r="CR99" s="130">
        <f t="shared" si="343"/>
        <v>39.84859999999999</v>
      </c>
      <c r="CS99" s="130" t="s">
        <v>236</v>
      </c>
      <c r="CT99" s="130" t="s">
        <v>236</v>
      </c>
      <c r="CU99" s="145" t="str">
        <f t="shared" si="344"/>
        <v>AADCS0655F</v>
      </c>
      <c r="CV99" s="145" t="str">
        <f t="shared" si="345"/>
        <v>GOWPS6814G</v>
      </c>
    </row>
    <row r="100" spans="2:100" s="152" customFormat="1" ht="11.85" customHeight="1" x14ac:dyDescent="0.25">
      <c r="B100" s="123" t="str">
        <f t="shared" si="310"/>
        <v>Q1</v>
      </c>
      <c r="C100" s="124" t="str">
        <f t="shared" si="311"/>
        <v>May-26</v>
      </c>
      <c r="D100" s="125">
        <v>46150</v>
      </c>
      <c r="E100" s="126" t="s">
        <v>528</v>
      </c>
      <c r="F100" s="126" t="s">
        <v>511</v>
      </c>
      <c r="G100" s="126" t="s">
        <v>512</v>
      </c>
      <c r="H100" s="127" t="s">
        <v>529</v>
      </c>
      <c r="I100" s="349">
        <v>46150</v>
      </c>
      <c r="J100" s="350" t="s">
        <v>530</v>
      </c>
      <c r="K100" s="349">
        <v>46151</v>
      </c>
      <c r="L100" s="126" t="s">
        <v>237</v>
      </c>
      <c r="M100" s="126" t="s">
        <v>525</v>
      </c>
      <c r="N100" s="127" t="s">
        <v>527</v>
      </c>
      <c r="O100" s="126">
        <v>1</v>
      </c>
      <c r="P100" s="283">
        <v>183.05</v>
      </c>
      <c r="Q100" s="128">
        <f t="shared" si="312"/>
        <v>183.05</v>
      </c>
      <c r="R100" s="129">
        <v>0</v>
      </c>
      <c r="S100" s="128">
        <f t="shared" si="313"/>
        <v>1</v>
      </c>
      <c r="T100" s="129">
        <v>0</v>
      </c>
      <c r="U100" s="130">
        <v>0</v>
      </c>
      <c r="V100" s="131">
        <v>0</v>
      </c>
      <c r="W100" s="130">
        <v>0</v>
      </c>
      <c r="X100" s="132">
        <v>0</v>
      </c>
      <c r="Y100" s="130">
        <v>0</v>
      </c>
      <c r="Z100" s="130">
        <v>0</v>
      </c>
      <c r="AA100" s="129">
        <v>0</v>
      </c>
      <c r="AB100" s="133">
        <f t="shared" si="314"/>
        <v>0</v>
      </c>
      <c r="AC100" s="132">
        <v>0</v>
      </c>
      <c r="AD100" s="128">
        <v>0</v>
      </c>
      <c r="AE100" s="147">
        <v>0</v>
      </c>
      <c r="AF100" s="130">
        <v>0</v>
      </c>
      <c r="AG100" s="134">
        <v>0</v>
      </c>
      <c r="AH100" s="130">
        <v>0</v>
      </c>
      <c r="AI100" s="131">
        <v>0</v>
      </c>
      <c r="AJ100" s="130">
        <v>0</v>
      </c>
      <c r="AK100" s="130">
        <v>0</v>
      </c>
      <c r="AL100" s="130">
        <v>0</v>
      </c>
      <c r="AM100" s="135">
        <f t="shared" si="315"/>
        <v>183.05</v>
      </c>
      <c r="AN100" s="136">
        <v>46151</v>
      </c>
      <c r="AO100" s="137" t="s">
        <v>543</v>
      </c>
      <c r="AP100" s="138" t="s">
        <v>532</v>
      </c>
      <c r="AQ100" s="139" t="s">
        <v>533</v>
      </c>
      <c r="AR100" s="139" t="s">
        <v>534</v>
      </c>
      <c r="AS100" s="126" t="s">
        <v>535</v>
      </c>
      <c r="AT100" s="140" t="s">
        <v>360</v>
      </c>
      <c r="AU100" s="140" t="s">
        <v>361</v>
      </c>
      <c r="AV100" s="141" t="s">
        <v>544</v>
      </c>
      <c r="AW100" s="139">
        <v>1</v>
      </c>
      <c r="AX100" s="141">
        <v>262</v>
      </c>
      <c r="AY100" s="139">
        <f t="shared" si="316"/>
        <v>262</v>
      </c>
      <c r="AZ100" s="142" t="b">
        <f t="shared" si="317"/>
        <v>1</v>
      </c>
      <c r="BA100" s="128">
        <v>0</v>
      </c>
      <c r="BB100" s="143">
        <f t="shared" si="318"/>
        <v>1</v>
      </c>
      <c r="BC100" s="144">
        <v>0</v>
      </c>
      <c r="BD100" s="143" t="s">
        <v>109</v>
      </c>
      <c r="BE100" s="144">
        <v>0</v>
      </c>
      <c r="BF100" s="143">
        <v>0</v>
      </c>
      <c r="BG100" s="144">
        <v>0</v>
      </c>
      <c r="BH100" s="130">
        <v>0</v>
      </c>
      <c r="BI100" s="133">
        <v>0</v>
      </c>
      <c r="BJ100" s="131">
        <v>0</v>
      </c>
      <c r="BK100" s="128">
        <v>0</v>
      </c>
      <c r="BL100" s="139">
        <v>0</v>
      </c>
      <c r="BM100" s="130">
        <v>0</v>
      </c>
      <c r="BN100" s="145">
        <f t="shared" si="319"/>
        <v>0</v>
      </c>
      <c r="BO100" s="129">
        <f t="shared" si="320"/>
        <v>262</v>
      </c>
      <c r="BP100" s="135">
        <f t="shared" si="321"/>
        <v>78.949999999999989</v>
      </c>
      <c r="BQ100" s="144" t="str">
        <f t="shared" si="322"/>
        <v>Positive Margin</v>
      </c>
      <c r="BR100" s="146" t="s">
        <v>209</v>
      </c>
      <c r="BS100" s="128">
        <f t="shared" si="323"/>
        <v>78.949999999999989</v>
      </c>
      <c r="BT100" s="147" t="str">
        <f t="shared" si="324"/>
        <v>Positive Margin at Inception</v>
      </c>
      <c r="BU100" s="148">
        <f t="shared" si="325"/>
        <v>0.30133587786259536</v>
      </c>
      <c r="BV100" s="147" t="str">
        <f t="shared" si="326"/>
        <v>More than 2%</v>
      </c>
      <c r="BW100" s="128">
        <f t="shared" si="327"/>
        <v>0</v>
      </c>
      <c r="BX100" s="129">
        <f t="shared" si="328"/>
        <v>0</v>
      </c>
      <c r="BY100" s="128">
        <f t="shared" si="329"/>
        <v>0</v>
      </c>
      <c r="BZ100" s="149">
        <f t="shared" si="330"/>
        <v>0</v>
      </c>
      <c r="CA100" s="149">
        <f t="shared" si="331"/>
        <v>0</v>
      </c>
      <c r="CB100" s="130">
        <f t="shared" si="332"/>
        <v>0</v>
      </c>
      <c r="CC100" s="149" t="s">
        <v>282</v>
      </c>
      <c r="CD100" s="130">
        <v>0</v>
      </c>
      <c r="CE100" s="130">
        <f t="shared" si="333"/>
        <v>183.05</v>
      </c>
      <c r="CF100" s="130">
        <f t="shared" si="334"/>
        <v>262</v>
      </c>
      <c r="CG100" s="130">
        <f t="shared" si="335"/>
        <v>6</v>
      </c>
      <c r="CH100" s="150">
        <v>0</v>
      </c>
      <c r="CI100" s="130">
        <v>0</v>
      </c>
      <c r="CJ100" s="130" t="e">
        <f>_xlfn.XLOOKUP(AP100,POC!B:B,POC!D:D)</f>
        <v>#N/A</v>
      </c>
      <c r="CK100" s="130">
        <f t="shared" si="336"/>
        <v>78.949999999999989</v>
      </c>
      <c r="CL100" s="130">
        <f t="shared" si="337"/>
        <v>78.949999999999989</v>
      </c>
      <c r="CM100" s="130">
        <f t="shared" si="338"/>
        <v>78.949999999999989</v>
      </c>
      <c r="CN100" s="130">
        <f t="shared" si="339"/>
        <v>309.15999999999997</v>
      </c>
      <c r="CO100" s="130">
        <f t="shared" si="340"/>
        <v>-215.999</v>
      </c>
      <c r="CP100" s="130">
        <f t="shared" si="341"/>
        <v>0</v>
      </c>
      <c r="CQ100" s="130">
        <f t="shared" si="342"/>
        <v>0</v>
      </c>
      <c r="CR100" s="130">
        <f t="shared" si="343"/>
        <v>93.160999999999973</v>
      </c>
      <c r="CS100" s="130" t="s">
        <v>236</v>
      </c>
      <c r="CT100" s="130" t="s">
        <v>236</v>
      </c>
      <c r="CU100" s="145" t="str">
        <f t="shared" si="344"/>
        <v>AADCS0655F</v>
      </c>
      <c r="CV100" s="145" t="str">
        <f t="shared" si="345"/>
        <v>GOWPS6814G</v>
      </c>
    </row>
    <row r="101" spans="2:100" s="152" customFormat="1" ht="11.85" customHeight="1" x14ac:dyDescent="0.25">
      <c r="B101" s="123" t="str">
        <f t="shared" si="310"/>
        <v>Q1</v>
      </c>
      <c r="C101" s="124" t="str">
        <f t="shared" si="311"/>
        <v>May-26</v>
      </c>
      <c r="D101" s="125">
        <v>46150</v>
      </c>
      <c r="E101" s="126" t="s">
        <v>528</v>
      </c>
      <c r="F101" s="126" t="s">
        <v>511</v>
      </c>
      <c r="G101" s="126" t="s">
        <v>512</v>
      </c>
      <c r="H101" s="127" t="s">
        <v>529</v>
      </c>
      <c r="I101" s="349">
        <v>46150</v>
      </c>
      <c r="J101" s="350" t="s">
        <v>530</v>
      </c>
      <c r="K101" s="349">
        <v>46151</v>
      </c>
      <c r="L101" s="126" t="s">
        <v>237</v>
      </c>
      <c r="M101" s="126" t="s">
        <v>525</v>
      </c>
      <c r="N101" s="127" t="s">
        <v>527</v>
      </c>
      <c r="O101" s="126">
        <v>1</v>
      </c>
      <c r="P101" s="283">
        <v>456.68</v>
      </c>
      <c r="Q101" s="128">
        <f t="shared" si="312"/>
        <v>456.68</v>
      </c>
      <c r="R101" s="129">
        <v>0</v>
      </c>
      <c r="S101" s="128">
        <f t="shared" si="313"/>
        <v>1</v>
      </c>
      <c r="T101" s="129">
        <v>0</v>
      </c>
      <c r="U101" s="130">
        <v>0</v>
      </c>
      <c r="V101" s="131">
        <v>0</v>
      </c>
      <c r="W101" s="130">
        <v>0</v>
      </c>
      <c r="X101" s="132">
        <v>0</v>
      </c>
      <c r="Y101" s="130">
        <v>0</v>
      </c>
      <c r="Z101" s="130">
        <v>0</v>
      </c>
      <c r="AA101" s="129">
        <v>0</v>
      </c>
      <c r="AB101" s="133">
        <f t="shared" si="314"/>
        <v>0</v>
      </c>
      <c r="AC101" s="132">
        <v>0</v>
      </c>
      <c r="AD101" s="128">
        <v>0</v>
      </c>
      <c r="AE101" s="147">
        <v>0</v>
      </c>
      <c r="AF101" s="130">
        <v>0</v>
      </c>
      <c r="AG101" s="134">
        <v>0</v>
      </c>
      <c r="AH101" s="130">
        <v>0</v>
      </c>
      <c r="AI101" s="131">
        <v>0</v>
      </c>
      <c r="AJ101" s="130">
        <v>0</v>
      </c>
      <c r="AK101" s="130">
        <v>0</v>
      </c>
      <c r="AL101" s="130">
        <v>0</v>
      </c>
      <c r="AM101" s="135">
        <f t="shared" si="315"/>
        <v>456.68</v>
      </c>
      <c r="AN101" s="136">
        <v>46151</v>
      </c>
      <c r="AO101" s="137" t="s">
        <v>543</v>
      </c>
      <c r="AP101" s="138" t="s">
        <v>532</v>
      </c>
      <c r="AQ101" s="139" t="s">
        <v>533</v>
      </c>
      <c r="AR101" s="139" t="s">
        <v>534</v>
      </c>
      <c r="AS101" s="126" t="s">
        <v>535</v>
      </c>
      <c r="AT101" s="140" t="s">
        <v>360</v>
      </c>
      <c r="AU101" s="140" t="s">
        <v>361</v>
      </c>
      <c r="AV101" s="141" t="s">
        <v>544</v>
      </c>
      <c r="AW101" s="139">
        <v>1</v>
      </c>
      <c r="AX101" s="141">
        <v>655</v>
      </c>
      <c r="AY101" s="139">
        <f t="shared" si="316"/>
        <v>655</v>
      </c>
      <c r="AZ101" s="142" t="b">
        <f t="shared" si="317"/>
        <v>1</v>
      </c>
      <c r="BA101" s="128">
        <v>0</v>
      </c>
      <c r="BB101" s="143">
        <f t="shared" si="318"/>
        <v>1</v>
      </c>
      <c r="BC101" s="144">
        <v>0</v>
      </c>
      <c r="BD101" s="143" t="s">
        <v>109</v>
      </c>
      <c r="BE101" s="144">
        <v>0</v>
      </c>
      <c r="BF101" s="143">
        <v>0</v>
      </c>
      <c r="BG101" s="144">
        <v>0</v>
      </c>
      <c r="BH101" s="130">
        <v>0</v>
      </c>
      <c r="BI101" s="133">
        <v>0</v>
      </c>
      <c r="BJ101" s="131">
        <v>0</v>
      </c>
      <c r="BK101" s="128">
        <v>0</v>
      </c>
      <c r="BL101" s="139">
        <v>0</v>
      </c>
      <c r="BM101" s="130">
        <v>0</v>
      </c>
      <c r="BN101" s="145">
        <f t="shared" si="319"/>
        <v>0</v>
      </c>
      <c r="BO101" s="129">
        <f t="shared" si="320"/>
        <v>655</v>
      </c>
      <c r="BP101" s="135">
        <f t="shared" si="321"/>
        <v>198.32</v>
      </c>
      <c r="BQ101" s="144" t="str">
        <f t="shared" si="322"/>
        <v>Positive Margin</v>
      </c>
      <c r="BR101" s="146" t="s">
        <v>209</v>
      </c>
      <c r="BS101" s="128">
        <f t="shared" si="323"/>
        <v>198.32</v>
      </c>
      <c r="BT101" s="147" t="str">
        <f t="shared" si="324"/>
        <v>Positive Margin at Inception</v>
      </c>
      <c r="BU101" s="148">
        <f t="shared" si="325"/>
        <v>0.30277862595419847</v>
      </c>
      <c r="BV101" s="147" t="str">
        <f t="shared" si="326"/>
        <v>More than 2%</v>
      </c>
      <c r="BW101" s="128">
        <f t="shared" si="327"/>
        <v>0</v>
      </c>
      <c r="BX101" s="129">
        <f t="shared" si="328"/>
        <v>0</v>
      </c>
      <c r="BY101" s="128">
        <f t="shared" si="329"/>
        <v>0</v>
      </c>
      <c r="BZ101" s="149">
        <f t="shared" si="330"/>
        <v>0</v>
      </c>
      <c r="CA101" s="149">
        <f t="shared" si="331"/>
        <v>0</v>
      </c>
      <c r="CB101" s="130">
        <f t="shared" si="332"/>
        <v>0</v>
      </c>
      <c r="CC101" s="149" t="s">
        <v>282</v>
      </c>
      <c r="CD101" s="130">
        <v>0</v>
      </c>
      <c r="CE101" s="130">
        <f t="shared" si="333"/>
        <v>456.68</v>
      </c>
      <c r="CF101" s="130">
        <f t="shared" si="334"/>
        <v>655</v>
      </c>
      <c r="CG101" s="130">
        <f t="shared" si="335"/>
        <v>6</v>
      </c>
      <c r="CH101" s="150">
        <v>0</v>
      </c>
      <c r="CI101" s="130">
        <v>0</v>
      </c>
      <c r="CJ101" s="130" t="e">
        <f>_xlfn.XLOOKUP(AP101,POC!B:B,POC!D:D)</f>
        <v>#N/A</v>
      </c>
      <c r="CK101" s="130">
        <f t="shared" si="336"/>
        <v>198.32</v>
      </c>
      <c r="CL101" s="130">
        <f t="shared" si="337"/>
        <v>198.32</v>
      </c>
      <c r="CM101" s="130">
        <f t="shared" si="338"/>
        <v>198.32</v>
      </c>
      <c r="CN101" s="130">
        <f t="shared" si="339"/>
        <v>772.9</v>
      </c>
      <c r="CO101" s="130">
        <f t="shared" si="340"/>
        <v>-538.88239999999996</v>
      </c>
      <c r="CP101" s="130">
        <f t="shared" si="341"/>
        <v>0</v>
      </c>
      <c r="CQ101" s="130">
        <f t="shared" si="342"/>
        <v>0</v>
      </c>
      <c r="CR101" s="130">
        <f t="shared" si="343"/>
        <v>234.01760000000002</v>
      </c>
      <c r="CS101" s="130" t="s">
        <v>236</v>
      </c>
      <c r="CT101" s="130" t="s">
        <v>236</v>
      </c>
      <c r="CU101" s="145" t="str">
        <f t="shared" si="344"/>
        <v>AADCS0655F</v>
      </c>
      <c r="CV101" s="145" t="str">
        <f t="shared" si="345"/>
        <v>GOWPS6814G</v>
      </c>
    </row>
    <row r="102" spans="2:100" s="152" customFormat="1" ht="11.85" customHeight="1" x14ac:dyDescent="0.25">
      <c r="B102" s="123" t="str">
        <f t="shared" si="310"/>
        <v>Q1</v>
      </c>
      <c r="C102" s="124" t="str">
        <f t="shared" si="311"/>
        <v>May-26</v>
      </c>
      <c r="D102" s="125">
        <v>46150</v>
      </c>
      <c r="E102" s="126" t="s">
        <v>528</v>
      </c>
      <c r="F102" s="126" t="s">
        <v>511</v>
      </c>
      <c r="G102" s="126" t="s">
        <v>512</v>
      </c>
      <c r="H102" s="127" t="s">
        <v>529</v>
      </c>
      <c r="I102" s="349">
        <v>46150</v>
      </c>
      <c r="J102" s="350" t="s">
        <v>530</v>
      </c>
      <c r="K102" s="349">
        <v>46151</v>
      </c>
      <c r="L102" s="126" t="s">
        <v>237</v>
      </c>
      <c r="M102" s="126" t="s">
        <v>525</v>
      </c>
      <c r="N102" s="127" t="s">
        <v>526</v>
      </c>
      <c r="O102" s="126">
        <v>1</v>
      </c>
      <c r="P102" s="283">
        <v>85.27</v>
      </c>
      <c r="Q102" s="128">
        <f t="shared" si="312"/>
        <v>85.27</v>
      </c>
      <c r="R102" s="129">
        <v>0</v>
      </c>
      <c r="S102" s="128">
        <f t="shared" si="313"/>
        <v>1</v>
      </c>
      <c r="T102" s="129">
        <v>0</v>
      </c>
      <c r="U102" s="130">
        <v>0</v>
      </c>
      <c r="V102" s="131">
        <v>0</v>
      </c>
      <c r="W102" s="130">
        <v>0</v>
      </c>
      <c r="X102" s="132">
        <v>0</v>
      </c>
      <c r="Y102" s="130">
        <v>0</v>
      </c>
      <c r="Z102" s="130">
        <v>0</v>
      </c>
      <c r="AA102" s="129">
        <v>0</v>
      </c>
      <c r="AB102" s="133">
        <f t="shared" si="314"/>
        <v>0</v>
      </c>
      <c r="AC102" s="132">
        <v>0</v>
      </c>
      <c r="AD102" s="128">
        <v>0</v>
      </c>
      <c r="AE102" s="147">
        <v>0</v>
      </c>
      <c r="AF102" s="130">
        <v>0</v>
      </c>
      <c r="AG102" s="134">
        <v>0</v>
      </c>
      <c r="AH102" s="130">
        <v>0</v>
      </c>
      <c r="AI102" s="131">
        <v>0</v>
      </c>
      <c r="AJ102" s="130">
        <v>0</v>
      </c>
      <c r="AK102" s="130">
        <v>0</v>
      </c>
      <c r="AL102" s="130">
        <v>0</v>
      </c>
      <c r="AM102" s="135">
        <f t="shared" si="315"/>
        <v>85.27</v>
      </c>
      <c r="AN102" s="136">
        <v>46151</v>
      </c>
      <c r="AO102" s="137" t="s">
        <v>543</v>
      </c>
      <c r="AP102" s="138" t="s">
        <v>532</v>
      </c>
      <c r="AQ102" s="139" t="s">
        <v>533</v>
      </c>
      <c r="AR102" s="139" t="s">
        <v>534</v>
      </c>
      <c r="AS102" s="126" t="s">
        <v>535</v>
      </c>
      <c r="AT102" s="140" t="s">
        <v>360</v>
      </c>
      <c r="AU102" s="140" t="s">
        <v>361</v>
      </c>
      <c r="AV102" s="141" t="s">
        <v>544</v>
      </c>
      <c r="AW102" s="139">
        <v>1</v>
      </c>
      <c r="AX102" s="141">
        <v>122</v>
      </c>
      <c r="AY102" s="139">
        <f t="shared" si="316"/>
        <v>122</v>
      </c>
      <c r="AZ102" s="142" t="b">
        <f t="shared" si="317"/>
        <v>1</v>
      </c>
      <c r="BA102" s="128">
        <v>0</v>
      </c>
      <c r="BB102" s="143">
        <f t="shared" si="318"/>
        <v>1</v>
      </c>
      <c r="BC102" s="144">
        <v>0</v>
      </c>
      <c r="BD102" s="143" t="s">
        <v>109</v>
      </c>
      <c r="BE102" s="144">
        <v>0</v>
      </c>
      <c r="BF102" s="143">
        <v>0</v>
      </c>
      <c r="BG102" s="144">
        <v>0</v>
      </c>
      <c r="BH102" s="130">
        <v>0</v>
      </c>
      <c r="BI102" s="133">
        <v>0</v>
      </c>
      <c r="BJ102" s="131">
        <v>0</v>
      </c>
      <c r="BK102" s="128">
        <v>0</v>
      </c>
      <c r="BL102" s="139">
        <v>0</v>
      </c>
      <c r="BM102" s="130">
        <v>0</v>
      </c>
      <c r="BN102" s="145">
        <f t="shared" si="319"/>
        <v>0</v>
      </c>
      <c r="BO102" s="129">
        <f t="shared" si="320"/>
        <v>122</v>
      </c>
      <c r="BP102" s="135">
        <f t="shared" si="321"/>
        <v>36.730000000000004</v>
      </c>
      <c r="BQ102" s="144" t="str">
        <f t="shared" si="322"/>
        <v>Positive Margin</v>
      </c>
      <c r="BR102" s="146" t="s">
        <v>209</v>
      </c>
      <c r="BS102" s="128">
        <f t="shared" si="323"/>
        <v>36.730000000000004</v>
      </c>
      <c r="BT102" s="147" t="str">
        <f t="shared" si="324"/>
        <v>Positive Margin at Inception</v>
      </c>
      <c r="BU102" s="148">
        <f t="shared" si="325"/>
        <v>0.30106557377049181</v>
      </c>
      <c r="BV102" s="147" t="str">
        <f t="shared" si="326"/>
        <v>More than 2%</v>
      </c>
      <c r="BW102" s="128">
        <f t="shared" si="327"/>
        <v>0</v>
      </c>
      <c r="BX102" s="129">
        <f t="shared" si="328"/>
        <v>0</v>
      </c>
      <c r="BY102" s="128">
        <f t="shared" si="329"/>
        <v>0</v>
      </c>
      <c r="BZ102" s="149">
        <f t="shared" si="330"/>
        <v>0</v>
      </c>
      <c r="CA102" s="149">
        <f t="shared" si="331"/>
        <v>0</v>
      </c>
      <c r="CB102" s="130">
        <f t="shared" si="332"/>
        <v>0</v>
      </c>
      <c r="CC102" s="149" t="s">
        <v>282</v>
      </c>
      <c r="CD102" s="130">
        <v>0</v>
      </c>
      <c r="CE102" s="130">
        <f t="shared" si="333"/>
        <v>85.27</v>
      </c>
      <c r="CF102" s="130">
        <f t="shared" si="334"/>
        <v>122</v>
      </c>
      <c r="CG102" s="130">
        <f t="shared" si="335"/>
        <v>6</v>
      </c>
      <c r="CH102" s="150">
        <v>0</v>
      </c>
      <c r="CI102" s="130">
        <v>0</v>
      </c>
      <c r="CJ102" s="130" t="e">
        <f>_xlfn.XLOOKUP(AP102,POC!B:B,POC!D:D)</f>
        <v>#N/A</v>
      </c>
      <c r="CK102" s="130">
        <f t="shared" si="336"/>
        <v>36.730000000000004</v>
      </c>
      <c r="CL102" s="130">
        <f t="shared" si="337"/>
        <v>36.730000000000004</v>
      </c>
      <c r="CM102" s="130">
        <f t="shared" si="338"/>
        <v>36.730000000000004</v>
      </c>
      <c r="CN102" s="130">
        <f t="shared" si="339"/>
        <v>143.95999999999998</v>
      </c>
      <c r="CO102" s="130">
        <f t="shared" si="340"/>
        <v>-100.61859999999999</v>
      </c>
      <c r="CP102" s="130">
        <f t="shared" si="341"/>
        <v>0</v>
      </c>
      <c r="CQ102" s="130">
        <f t="shared" si="342"/>
        <v>0</v>
      </c>
      <c r="CR102" s="130">
        <f t="shared" si="343"/>
        <v>43.341399999999993</v>
      </c>
      <c r="CS102" s="130" t="s">
        <v>236</v>
      </c>
      <c r="CT102" s="130" t="s">
        <v>236</v>
      </c>
      <c r="CU102" s="145" t="str">
        <f t="shared" si="344"/>
        <v>AADCS0655F</v>
      </c>
      <c r="CV102" s="145" t="str">
        <f t="shared" si="345"/>
        <v>GOWPS6814G</v>
      </c>
    </row>
    <row r="103" spans="2:100" s="152" customFormat="1" ht="11.85" customHeight="1" x14ac:dyDescent="0.25">
      <c r="B103" s="123" t="str">
        <f t="shared" si="310"/>
        <v>Q1</v>
      </c>
      <c r="C103" s="124" t="str">
        <f t="shared" si="311"/>
        <v>May-26</v>
      </c>
      <c r="D103" s="125">
        <v>46150</v>
      </c>
      <c r="E103" s="126" t="s">
        <v>528</v>
      </c>
      <c r="F103" s="126" t="s">
        <v>511</v>
      </c>
      <c r="G103" s="126" t="s">
        <v>512</v>
      </c>
      <c r="H103" s="127" t="s">
        <v>529</v>
      </c>
      <c r="I103" s="349">
        <v>46150</v>
      </c>
      <c r="J103" s="350" t="s">
        <v>530</v>
      </c>
      <c r="K103" s="349">
        <v>46151</v>
      </c>
      <c r="L103" s="126" t="s">
        <v>237</v>
      </c>
      <c r="M103" s="126" t="s">
        <v>525</v>
      </c>
      <c r="N103" s="127" t="s">
        <v>527</v>
      </c>
      <c r="O103" s="126">
        <v>1</v>
      </c>
      <c r="P103" s="283">
        <v>244.39</v>
      </c>
      <c r="Q103" s="128">
        <f t="shared" si="312"/>
        <v>244.39</v>
      </c>
      <c r="R103" s="129">
        <v>0</v>
      </c>
      <c r="S103" s="128">
        <f t="shared" si="313"/>
        <v>1</v>
      </c>
      <c r="T103" s="129">
        <v>0</v>
      </c>
      <c r="U103" s="130">
        <v>0</v>
      </c>
      <c r="V103" s="131">
        <v>0</v>
      </c>
      <c r="W103" s="130">
        <v>0</v>
      </c>
      <c r="X103" s="132">
        <v>0</v>
      </c>
      <c r="Y103" s="130">
        <v>0</v>
      </c>
      <c r="Z103" s="130">
        <v>0</v>
      </c>
      <c r="AA103" s="129">
        <v>0</v>
      </c>
      <c r="AB103" s="133">
        <f t="shared" si="314"/>
        <v>0</v>
      </c>
      <c r="AC103" s="132">
        <v>0</v>
      </c>
      <c r="AD103" s="128">
        <v>0</v>
      </c>
      <c r="AE103" s="147">
        <v>0</v>
      </c>
      <c r="AF103" s="130">
        <v>0</v>
      </c>
      <c r="AG103" s="134">
        <v>0</v>
      </c>
      <c r="AH103" s="130">
        <v>0</v>
      </c>
      <c r="AI103" s="131">
        <v>0</v>
      </c>
      <c r="AJ103" s="130">
        <v>0</v>
      </c>
      <c r="AK103" s="130">
        <v>0</v>
      </c>
      <c r="AL103" s="130">
        <v>0</v>
      </c>
      <c r="AM103" s="135">
        <f t="shared" si="315"/>
        <v>244.39</v>
      </c>
      <c r="AN103" s="136">
        <v>46151</v>
      </c>
      <c r="AO103" s="137" t="s">
        <v>543</v>
      </c>
      <c r="AP103" s="138" t="s">
        <v>532</v>
      </c>
      <c r="AQ103" s="139" t="s">
        <v>533</v>
      </c>
      <c r="AR103" s="139" t="s">
        <v>534</v>
      </c>
      <c r="AS103" s="126" t="s">
        <v>535</v>
      </c>
      <c r="AT103" s="140" t="s">
        <v>360</v>
      </c>
      <c r="AU103" s="140" t="s">
        <v>361</v>
      </c>
      <c r="AV103" s="141" t="s">
        <v>544</v>
      </c>
      <c r="AW103" s="139">
        <v>1</v>
      </c>
      <c r="AX103" s="141">
        <v>350</v>
      </c>
      <c r="AY103" s="139">
        <f t="shared" si="316"/>
        <v>350</v>
      </c>
      <c r="AZ103" s="142" t="b">
        <f t="shared" si="317"/>
        <v>1</v>
      </c>
      <c r="BA103" s="128">
        <v>0</v>
      </c>
      <c r="BB103" s="143">
        <f t="shared" si="318"/>
        <v>1</v>
      </c>
      <c r="BC103" s="144">
        <v>0</v>
      </c>
      <c r="BD103" s="143" t="s">
        <v>109</v>
      </c>
      <c r="BE103" s="144">
        <v>0</v>
      </c>
      <c r="BF103" s="143">
        <v>0</v>
      </c>
      <c r="BG103" s="144">
        <v>0</v>
      </c>
      <c r="BH103" s="130">
        <v>0</v>
      </c>
      <c r="BI103" s="133">
        <v>0</v>
      </c>
      <c r="BJ103" s="131">
        <v>0</v>
      </c>
      <c r="BK103" s="128">
        <v>0</v>
      </c>
      <c r="BL103" s="139">
        <v>0</v>
      </c>
      <c r="BM103" s="130">
        <v>0</v>
      </c>
      <c r="BN103" s="145">
        <f t="shared" si="319"/>
        <v>0</v>
      </c>
      <c r="BO103" s="129">
        <f t="shared" si="320"/>
        <v>350</v>
      </c>
      <c r="BP103" s="135">
        <f t="shared" si="321"/>
        <v>105.61000000000001</v>
      </c>
      <c r="BQ103" s="144" t="str">
        <f t="shared" si="322"/>
        <v>Positive Margin</v>
      </c>
      <c r="BR103" s="146" t="s">
        <v>209</v>
      </c>
      <c r="BS103" s="128">
        <f t="shared" si="323"/>
        <v>105.61000000000001</v>
      </c>
      <c r="BT103" s="147" t="str">
        <f t="shared" si="324"/>
        <v>Positive Margin at Inception</v>
      </c>
      <c r="BU103" s="148">
        <f t="shared" si="325"/>
        <v>0.3017428571428572</v>
      </c>
      <c r="BV103" s="147" t="str">
        <f t="shared" si="326"/>
        <v>More than 2%</v>
      </c>
      <c r="BW103" s="128">
        <f t="shared" si="327"/>
        <v>0</v>
      </c>
      <c r="BX103" s="129">
        <f t="shared" si="328"/>
        <v>0</v>
      </c>
      <c r="BY103" s="128">
        <f t="shared" si="329"/>
        <v>0</v>
      </c>
      <c r="BZ103" s="149">
        <f t="shared" si="330"/>
        <v>0</v>
      </c>
      <c r="CA103" s="149">
        <f t="shared" si="331"/>
        <v>0</v>
      </c>
      <c r="CB103" s="130">
        <f t="shared" si="332"/>
        <v>0</v>
      </c>
      <c r="CC103" s="149" t="s">
        <v>282</v>
      </c>
      <c r="CD103" s="130">
        <v>0</v>
      </c>
      <c r="CE103" s="130">
        <f t="shared" si="333"/>
        <v>244.39</v>
      </c>
      <c r="CF103" s="130">
        <f t="shared" si="334"/>
        <v>350</v>
      </c>
      <c r="CG103" s="130">
        <f t="shared" si="335"/>
        <v>6</v>
      </c>
      <c r="CH103" s="150">
        <v>0</v>
      </c>
      <c r="CI103" s="130">
        <v>0</v>
      </c>
      <c r="CJ103" s="130" t="e">
        <f>_xlfn.XLOOKUP(AP103,POC!B:B,POC!D:D)</f>
        <v>#N/A</v>
      </c>
      <c r="CK103" s="130">
        <f t="shared" si="336"/>
        <v>105.61000000000001</v>
      </c>
      <c r="CL103" s="130">
        <f t="shared" si="337"/>
        <v>105.61000000000001</v>
      </c>
      <c r="CM103" s="130">
        <f t="shared" si="338"/>
        <v>105.61000000000001</v>
      </c>
      <c r="CN103" s="130">
        <f t="shared" si="339"/>
        <v>413</v>
      </c>
      <c r="CO103" s="130">
        <f t="shared" si="340"/>
        <v>-288.38019999999995</v>
      </c>
      <c r="CP103" s="130">
        <f t="shared" si="341"/>
        <v>0</v>
      </c>
      <c r="CQ103" s="130">
        <f t="shared" si="342"/>
        <v>0</v>
      </c>
      <c r="CR103" s="130">
        <f t="shared" si="343"/>
        <v>124.61980000000005</v>
      </c>
      <c r="CS103" s="130" t="s">
        <v>236</v>
      </c>
      <c r="CT103" s="130" t="s">
        <v>236</v>
      </c>
      <c r="CU103" s="145" t="str">
        <f t="shared" si="344"/>
        <v>AADCS0655F</v>
      </c>
      <c r="CV103" s="145" t="str">
        <f t="shared" si="345"/>
        <v>GOWPS6814G</v>
      </c>
    </row>
    <row r="104" spans="2:100" s="152" customFormat="1" ht="11.85" customHeight="1" x14ac:dyDescent="0.25">
      <c r="B104" s="123" t="str">
        <f t="shared" si="310"/>
        <v>Q1</v>
      </c>
      <c r="C104" s="124" t="str">
        <f t="shared" si="311"/>
        <v>May-26</v>
      </c>
      <c r="D104" s="125">
        <v>46150</v>
      </c>
      <c r="E104" s="126" t="s">
        <v>528</v>
      </c>
      <c r="F104" s="126" t="s">
        <v>511</v>
      </c>
      <c r="G104" s="126" t="s">
        <v>512</v>
      </c>
      <c r="H104" s="127" t="s">
        <v>529</v>
      </c>
      <c r="I104" s="349">
        <v>46150</v>
      </c>
      <c r="J104" s="350" t="s">
        <v>530</v>
      </c>
      <c r="K104" s="349">
        <v>46151</v>
      </c>
      <c r="L104" s="126" t="s">
        <v>237</v>
      </c>
      <c r="M104" s="126" t="s">
        <v>525</v>
      </c>
      <c r="N104" s="127" t="s">
        <v>526</v>
      </c>
      <c r="O104" s="126">
        <v>1</v>
      </c>
      <c r="P104" s="283">
        <v>78.23</v>
      </c>
      <c r="Q104" s="128">
        <f t="shared" si="312"/>
        <v>78.23</v>
      </c>
      <c r="R104" s="129">
        <v>0</v>
      </c>
      <c r="S104" s="128">
        <f t="shared" si="313"/>
        <v>1</v>
      </c>
      <c r="T104" s="129">
        <v>0</v>
      </c>
      <c r="U104" s="130">
        <v>0</v>
      </c>
      <c r="V104" s="131">
        <v>0</v>
      </c>
      <c r="W104" s="130">
        <v>0</v>
      </c>
      <c r="X104" s="132">
        <v>0</v>
      </c>
      <c r="Y104" s="130">
        <v>0</v>
      </c>
      <c r="Z104" s="130">
        <v>0</v>
      </c>
      <c r="AA104" s="129">
        <v>0</v>
      </c>
      <c r="AB104" s="133">
        <f t="shared" si="314"/>
        <v>0</v>
      </c>
      <c r="AC104" s="132">
        <v>0</v>
      </c>
      <c r="AD104" s="128">
        <v>0</v>
      </c>
      <c r="AE104" s="147">
        <v>0</v>
      </c>
      <c r="AF104" s="130">
        <v>0</v>
      </c>
      <c r="AG104" s="134">
        <v>0</v>
      </c>
      <c r="AH104" s="130">
        <v>0</v>
      </c>
      <c r="AI104" s="131">
        <v>0</v>
      </c>
      <c r="AJ104" s="130">
        <v>0</v>
      </c>
      <c r="AK104" s="130">
        <v>0</v>
      </c>
      <c r="AL104" s="130">
        <v>0</v>
      </c>
      <c r="AM104" s="135">
        <f t="shared" si="315"/>
        <v>78.23</v>
      </c>
      <c r="AN104" s="136">
        <v>46151</v>
      </c>
      <c r="AO104" s="137" t="s">
        <v>543</v>
      </c>
      <c r="AP104" s="138" t="s">
        <v>532</v>
      </c>
      <c r="AQ104" s="139" t="s">
        <v>533</v>
      </c>
      <c r="AR104" s="139" t="s">
        <v>534</v>
      </c>
      <c r="AS104" s="126" t="s">
        <v>535</v>
      </c>
      <c r="AT104" s="140" t="s">
        <v>360</v>
      </c>
      <c r="AU104" s="140" t="s">
        <v>361</v>
      </c>
      <c r="AV104" s="141" t="s">
        <v>544</v>
      </c>
      <c r="AW104" s="139">
        <v>1</v>
      </c>
      <c r="AX104" s="141">
        <v>112</v>
      </c>
      <c r="AY104" s="139">
        <f t="shared" si="316"/>
        <v>112</v>
      </c>
      <c r="AZ104" s="142" t="b">
        <f t="shared" si="317"/>
        <v>1</v>
      </c>
      <c r="BA104" s="128">
        <v>0</v>
      </c>
      <c r="BB104" s="143">
        <f t="shared" si="318"/>
        <v>1</v>
      </c>
      <c r="BC104" s="144">
        <v>0</v>
      </c>
      <c r="BD104" s="143" t="s">
        <v>109</v>
      </c>
      <c r="BE104" s="144">
        <v>0</v>
      </c>
      <c r="BF104" s="143">
        <v>0</v>
      </c>
      <c r="BG104" s="144">
        <v>0</v>
      </c>
      <c r="BH104" s="130">
        <v>0</v>
      </c>
      <c r="BI104" s="133">
        <v>0</v>
      </c>
      <c r="BJ104" s="131">
        <v>0</v>
      </c>
      <c r="BK104" s="128">
        <v>0</v>
      </c>
      <c r="BL104" s="139">
        <v>0</v>
      </c>
      <c r="BM104" s="130">
        <v>0</v>
      </c>
      <c r="BN104" s="145">
        <f t="shared" si="319"/>
        <v>0</v>
      </c>
      <c r="BO104" s="129">
        <f t="shared" si="320"/>
        <v>112</v>
      </c>
      <c r="BP104" s="135">
        <f t="shared" si="321"/>
        <v>33.769999999999996</v>
      </c>
      <c r="BQ104" s="144" t="str">
        <f t="shared" si="322"/>
        <v>Positive Margin</v>
      </c>
      <c r="BR104" s="146" t="s">
        <v>209</v>
      </c>
      <c r="BS104" s="128">
        <f t="shared" si="323"/>
        <v>33.769999999999996</v>
      </c>
      <c r="BT104" s="147" t="str">
        <f t="shared" si="324"/>
        <v>Positive Margin at Inception</v>
      </c>
      <c r="BU104" s="148">
        <f t="shared" si="325"/>
        <v>0.30151785714285712</v>
      </c>
      <c r="BV104" s="147" t="str">
        <f t="shared" si="326"/>
        <v>More than 2%</v>
      </c>
      <c r="BW104" s="128">
        <f t="shared" si="327"/>
        <v>0</v>
      </c>
      <c r="BX104" s="129">
        <f t="shared" si="328"/>
        <v>0</v>
      </c>
      <c r="BY104" s="128">
        <f t="shared" si="329"/>
        <v>0</v>
      </c>
      <c r="BZ104" s="149">
        <f t="shared" si="330"/>
        <v>0</v>
      </c>
      <c r="CA104" s="149">
        <f t="shared" si="331"/>
        <v>0</v>
      </c>
      <c r="CB104" s="130">
        <f t="shared" si="332"/>
        <v>0</v>
      </c>
      <c r="CC104" s="149" t="s">
        <v>282</v>
      </c>
      <c r="CD104" s="130">
        <v>0</v>
      </c>
      <c r="CE104" s="130">
        <f t="shared" si="333"/>
        <v>78.23</v>
      </c>
      <c r="CF104" s="130">
        <f t="shared" si="334"/>
        <v>112</v>
      </c>
      <c r="CG104" s="130">
        <f t="shared" si="335"/>
        <v>6</v>
      </c>
      <c r="CH104" s="150">
        <v>0</v>
      </c>
      <c r="CI104" s="130">
        <v>0</v>
      </c>
      <c r="CJ104" s="130" t="e">
        <f>_xlfn.XLOOKUP(AP104,POC!B:B,POC!D:D)</f>
        <v>#N/A</v>
      </c>
      <c r="CK104" s="130">
        <f t="shared" si="336"/>
        <v>33.769999999999996</v>
      </c>
      <c r="CL104" s="130">
        <f t="shared" si="337"/>
        <v>33.769999999999996</v>
      </c>
      <c r="CM104" s="130">
        <f t="shared" si="338"/>
        <v>33.769999999999996</v>
      </c>
      <c r="CN104" s="130">
        <f t="shared" si="339"/>
        <v>132.16</v>
      </c>
      <c r="CO104" s="130">
        <f t="shared" si="340"/>
        <v>-92.311400000000006</v>
      </c>
      <c r="CP104" s="130">
        <f t="shared" si="341"/>
        <v>0</v>
      </c>
      <c r="CQ104" s="130">
        <f t="shared" si="342"/>
        <v>0</v>
      </c>
      <c r="CR104" s="130">
        <f t="shared" si="343"/>
        <v>39.84859999999999</v>
      </c>
      <c r="CS104" s="130" t="s">
        <v>236</v>
      </c>
      <c r="CT104" s="130" t="s">
        <v>236</v>
      </c>
      <c r="CU104" s="145" t="str">
        <f t="shared" si="344"/>
        <v>AADCS0655F</v>
      </c>
      <c r="CV104" s="145" t="str">
        <f t="shared" si="345"/>
        <v>GOWPS6814G</v>
      </c>
    </row>
    <row r="105" spans="2:100" s="152" customFormat="1" ht="11.85" customHeight="1" x14ac:dyDescent="0.25">
      <c r="B105" s="123" t="str">
        <f t="shared" si="310"/>
        <v>Q1</v>
      </c>
      <c r="C105" s="124" t="str">
        <f t="shared" si="311"/>
        <v>May-26</v>
      </c>
      <c r="D105" s="125">
        <v>46150</v>
      </c>
      <c r="E105" s="126" t="s">
        <v>528</v>
      </c>
      <c r="F105" s="126" t="s">
        <v>511</v>
      </c>
      <c r="G105" s="126" t="s">
        <v>512</v>
      </c>
      <c r="H105" s="127" t="s">
        <v>529</v>
      </c>
      <c r="I105" s="349">
        <v>46150</v>
      </c>
      <c r="J105" s="350" t="s">
        <v>530</v>
      </c>
      <c r="K105" s="349">
        <v>46151</v>
      </c>
      <c r="L105" s="126" t="s">
        <v>237</v>
      </c>
      <c r="M105" s="126" t="s">
        <v>525</v>
      </c>
      <c r="N105" s="127" t="s">
        <v>527</v>
      </c>
      <c r="O105" s="126">
        <v>1</v>
      </c>
      <c r="P105" s="283">
        <v>456.68</v>
      </c>
      <c r="Q105" s="128">
        <f t="shared" si="312"/>
        <v>456.68</v>
      </c>
      <c r="R105" s="129">
        <v>0</v>
      </c>
      <c r="S105" s="128">
        <f t="shared" si="313"/>
        <v>1</v>
      </c>
      <c r="T105" s="129">
        <v>0</v>
      </c>
      <c r="U105" s="130">
        <v>0</v>
      </c>
      <c r="V105" s="131">
        <v>0</v>
      </c>
      <c r="W105" s="130">
        <v>0</v>
      </c>
      <c r="X105" s="132">
        <v>0</v>
      </c>
      <c r="Y105" s="130">
        <v>0</v>
      </c>
      <c r="Z105" s="130">
        <v>0</v>
      </c>
      <c r="AA105" s="129">
        <v>0</v>
      </c>
      <c r="AB105" s="133">
        <f t="shared" si="314"/>
        <v>0</v>
      </c>
      <c r="AC105" s="132">
        <v>0</v>
      </c>
      <c r="AD105" s="128">
        <v>0</v>
      </c>
      <c r="AE105" s="147">
        <v>0</v>
      </c>
      <c r="AF105" s="130">
        <v>0</v>
      </c>
      <c r="AG105" s="134">
        <v>0</v>
      </c>
      <c r="AH105" s="130">
        <v>0</v>
      </c>
      <c r="AI105" s="131">
        <v>0</v>
      </c>
      <c r="AJ105" s="130">
        <v>0</v>
      </c>
      <c r="AK105" s="130">
        <v>0</v>
      </c>
      <c r="AL105" s="130">
        <v>0</v>
      </c>
      <c r="AM105" s="135">
        <f t="shared" si="315"/>
        <v>456.68</v>
      </c>
      <c r="AN105" s="136">
        <v>46151</v>
      </c>
      <c r="AO105" s="137" t="s">
        <v>543</v>
      </c>
      <c r="AP105" s="138" t="s">
        <v>532</v>
      </c>
      <c r="AQ105" s="139" t="s">
        <v>533</v>
      </c>
      <c r="AR105" s="139" t="s">
        <v>534</v>
      </c>
      <c r="AS105" s="126" t="s">
        <v>535</v>
      </c>
      <c r="AT105" s="140" t="s">
        <v>360</v>
      </c>
      <c r="AU105" s="140" t="s">
        <v>361</v>
      </c>
      <c r="AV105" s="141" t="s">
        <v>544</v>
      </c>
      <c r="AW105" s="139">
        <v>1</v>
      </c>
      <c r="AX105" s="141">
        <v>655</v>
      </c>
      <c r="AY105" s="139">
        <f t="shared" si="316"/>
        <v>655</v>
      </c>
      <c r="AZ105" s="142" t="b">
        <f t="shared" si="317"/>
        <v>1</v>
      </c>
      <c r="BA105" s="128">
        <v>0</v>
      </c>
      <c r="BB105" s="143">
        <f t="shared" si="318"/>
        <v>1</v>
      </c>
      <c r="BC105" s="144">
        <v>0</v>
      </c>
      <c r="BD105" s="143" t="s">
        <v>109</v>
      </c>
      <c r="BE105" s="144">
        <v>0</v>
      </c>
      <c r="BF105" s="143">
        <v>0</v>
      </c>
      <c r="BG105" s="144">
        <v>0</v>
      </c>
      <c r="BH105" s="130">
        <v>0</v>
      </c>
      <c r="BI105" s="133">
        <v>0</v>
      </c>
      <c r="BJ105" s="131">
        <v>0</v>
      </c>
      <c r="BK105" s="128">
        <v>0</v>
      </c>
      <c r="BL105" s="139">
        <v>0</v>
      </c>
      <c r="BM105" s="130">
        <v>0</v>
      </c>
      <c r="BN105" s="145">
        <f t="shared" si="319"/>
        <v>0</v>
      </c>
      <c r="BO105" s="129">
        <f t="shared" si="320"/>
        <v>655</v>
      </c>
      <c r="BP105" s="135">
        <f t="shared" si="321"/>
        <v>198.32</v>
      </c>
      <c r="BQ105" s="144" t="str">
        <f t="shared" si="322"/>
        <v>Positive Margin</v>
      </c>
      <c r="BR105" s="146" t="s">
        <v>209</v>
      </c>
      <c r="BS105" s="128">
        <f t="shared" si="323"/>
        <v>198.32</v>
      </c>
      <c r="BT105" s="147" t="str">
        <f t="shared" si="324"/>
        <v>Positive Margin at Inception</v>
      </c>
      <c r="BU105" s="148">
        <f t="shared" si="325"/>
        <v>0.30277862595419847</v>
      </c>
      <c r="BV105" s="147" t="str">
        <f t="shared" si="326"/>
        <v>More than 2%</v>
      </c>
      <c r="BW105" s="128">
        <f t="shared" si="327"/>
        <v>0</v>
      </c>
      <c r="BX105" s="129">
        <f t="shared" si="328"/>
        <v>0</v>
      </c>
      <c r="BY105" s="128">
        <f t="shared" si="329"/>
        <v>0</v>
      </c>
      <c r="BZ105" s="149">
        <f t="shared" si="330"/>
        <v>0</v>
      </c>
      <c r="CA105" s="149">
        <f t="shared" si="331"/>
        <v>0</v>
      </c>
      <c r="CB105" s="130">
        <f t="shared" si="332"/>
        <v>0</v>
      </c>
      <c r="CC105" s="149" t="s">
        <v>282</v>
      </c>
      <c r="CD105" s="130">
        <v>0</v>
      </c>
      <c r="CE105" s="130">
        <f t="shared" si="333"/>
        <v>456.68</v>
      </c>
      <c r="CF105" s="130">
        <f t="shared" si="334"/>
        <v>655</v>
      </c>
      <c r="CG105" s="130">
        <f t="shared" si="335"/>
        <v>6</v>
      </c>
      <c r="CH105" s="150">
        <v>0</v>
      </c>
      <c r="CI105" s="130">
        <v>0</v>
      </c>
      <c r="CJ105" s="130" t="e">
        <f>_xlfn.XLOOKUP(AP105,POC!B:B,POC!D:D)</f>
        <v>#N/A</v>
      </c>
      <c r="CK105" s="130">
        <f t="shared" si="336"/>
        <v>198.32</v>
      </c>
      <c r="CL105" s="130">
        <f t="shared" si="337"/>
        <v>198.32</v>
      </c>
      <c r="CM105" s="130">
        <f t="shared" si="338"/>
        <v>198.32</v>
      </c>
      <c r="CN105" s="130">
        <f t="shared" si="339"/>
        <v>772.9</v>
      </c>
      <c r="CO105" s="130">
        <f t="shared" si="340"/>
        <v>-538.88239999999996</v>
      </c>
      <c r="CP105" s="130">
        <f t="shared" si="341"/>
        <v>0</v>
      </c>
      <c r="CQ105" s="130">
        <f t="shared" si="342"/>
        <v>0</v>
      </c>
      <c r="CR105" s="130">
        <f t="shared" si="343"/>
        <v>234.01760000000002</v>
      </c>
      <c r="CS105" s="130" t="s">
        <v>236</v>
      </c>
      <c r="CT105" s="130" t="s">
        <v>236</v>
      </c>
      <c r="CU105" s="145" t="str">
        <f t="shared" si="344"/>
        <v>AADCS0655F</v>
      </c>
      <c r="CV105" s="145" t="str">
        <f t="shared" si="345"/>
        <v>GOWPS6814G</v>
      </c>
    </row>
    <row r="106" spans="2:100" s="152" customFormat="1" ht="11.85" customHeight="1" x14ac:dyDescent="0.25">
      <c r="B106" s="123" t="str">
        <f t="shared" si="310"/>
        <v>Q1</v>
      </c>
      <c r="C106" s="124" t="str">
        <f t="shared" si="311"/>
        <v>May-26</v>
      </c>
      <c r="D106" s="125">
        <v>46150</v>
      </c>
      <c r="E106" s="126" t="s">
        <v>528</v>
      </c>
      <c r="F106" s="126" t="s">
        <v>511</v>
      </c>
      <c r="G106" s="126" t="s">
        <v>512</v>
      </c>
      <c r="H106" s="127" t="s">
        <v>529</v>
      </c>
      <c r="I106" s="349">
        <v>46150</v>
      </c>
      <c r="J106" s="350" t="s">
        <v>530</v>
      </c>
      <c r="K106" s="349">
        <v>46151</v>
      </c>
      <c r="L106" s="126" t="s">
        <v>237</v>
      </c>
      <c r="M106" s="126" t="s">
        <v>525</v>
      </c>
      <c r="N106" s="127" t="s">
        <v>526</v>
      </c>
      <c r="O106" s="126">
        <v>1</v>
      </c>
      <c r="P106" s="283">
        <v>98.46</v>
      </c>
      <c r="Q106" s="128">
        <f t="shared" si="312"/>
        <v>98.46</v>
      </c>
      <c r="R106" s="129">
        <v>0</v>
      </c>
      <c r="S106" s="128">
        <f t="shared" si="313"/>
        <v>1</v>
      </c>
      <c r="T106" s="129">
        <v>0</v>
      </c>
      <c r="U106" s="130">
        <v>0</v>
      </c>
      <c r="V106" s="131">
        <v>0</v>
      </c>
      <c r="W106" s="130">
        <v>0</v>
      </c>
      <c r="X106" s="132">
        <v>0</v>
      </c>
      <c r="Y106" s="130">
        <v>0</v>
      </c>
      <c r="Z106" s="130">
        <v>0</v>
      </c>
      <c r="AA106" s="129">
        <v>0</v>
      </c>
      <c r="AB106" s="133">
        <f t="shared" si="314"/>
        <v>0</v>
      </c>
      <c r="AC106" s="132">
        <v>0</v>
      </c>
      <c r="AD106" s="128">
        <v>0</v>
      </c>
      <c r="AE106" s="147">
        <v>0</v>
      </c>
      <c r="AF106" s="130">
        <v>0</v>
      </c>
      <c r="AG106" s="134">
        <v>0</v>
      </c>
      <c r="AH106" s="130">
        <v>0</v>
      </c>
      <c r="AI106" s="131">
        <v>0</v>
      </c>
      <c r="AJ106" s="130">
        <v>0</v>
      </c>
      <c r="AK106" s="130">
        <v>0</v>
      </c>
      <c r="AL106" s="130">
        <v>0</v>
      </c>
      <c r="AM106" s="135">
        <f t="shared" si="315"/>
        <v>98.46</v>
      </c>
      <c r="AN106" s="136">
        <v>46151</v>
      </c>
      <c r="AO106" s="137" t="s">
        <v>543</v>
      </c>
      <c r="AP106" s="138" t="s">
        <v>532</v>
      </c>
      <c r="AQ106" s="139" t="s">
        <v>533</v>
      </c>
      <c r="AR106" s="139" t="s">
        <v>534</v>
      </c>
      <c r="AS106" s="126" t="s">
        <v>535</v>
      </c>
      <c r="AT106" s="140" t="s">
        <v>360</v>
      </c>
      <c r="AU106" s="140" t="s">
        <v>361</v>
      </c>
      <c r="AV106" s="141" t="s">
        <v>544</v>
      </c>
      <c r="AW106" s="139">
        <v>1</v>
      </c>
      <c r="AX106" s="141">
        <v>141</v>
      </c>
      <c r="AY106" s="139">
        <f t="shared" si="316"/>
        <v>141</v>
      </c>
      <c r="AZ106" s="142" t="b">
        <f t="shared" si="317"/>
        <v>1</v>
      </c>
      <c r="BA106" s="128">
        <v>0</v>
      </c>
      <c r="BB106" s="143">
        <f t="shared" si="318"/>
        <v>1</v>
      </c>
      <c r="BC106" s="144">
        <v>0</v>
      </c>
      <c r="BD106" s="143" t="s">
        <v>109</v>
      </c>
      <c r="BE106" s="144">
        <v>0</v>
      </c>
      <c r="BF106" s="143">
        <v>0</v>
      </c>
      <c r="BG106" s="144">
        <v>0</v>
      </c>
      <c r="BH106" s="130">
        <v>0</v>
      </c>
      <c r="BI106" s="133">
        <v>0</v>
      </c>
      <c r="BJ106" s="131">
        <v>0</v>
      </c>
      <c r="BK106" s="128">
        <v>0</v>
      </c>
      <c r="BL106" s="139">
        <v>0</v>
      </c>
      <c r="BM106" s="130">
        <v>0</v>
      </c>
      <c r="BN106" s="145">
        <f t="shared" si="319"/>
        <v>0</v>
      </c>
      <c r="BO106" s="129">
        <f t="shared" si="320"/>
        <v>141</v>
      </c>
      <c r="BP106" s="135">
        <f t="shared" si="321"/>
        <v>42.540000000000006</v>
      </c>
      <c r="BQ106" s="144" t="str">
        <f t="shared" si="322"/>
        <v>Positive Margin</v>
      </c>
      <c r="BR106" s="146" t="s">
        <v>209</v>
      </c>
      <c r="BS106" s="128">
        <f t="shared" si="323"/>
        <v>42.540000000000006</v>
      </c>
      <c r="BT106" s="147" t="str">
        <f t="shared" si="324"/>
        <v>Positive Margin at Inception</v>
      </c>
      <c r="BU106" s="148">
        <f t="shared" si="325"/>
        <v>0.30170212765957449</v>
      </c>
      <c r="BV106" s="147" t="str">
        <f t="shared" si="326"/>
        <v>More than 2%</v>
      </c>
      <c r="BW106" s="128">
        <f t="shared" si="327"/>
        <v>0</v>
      </c>
      <c r="BX106" s="129">
        <f t="shared" si="328"/>
        <v>0</v>
      </c>
      <c r="BY106" s="128">
        <f t="shared" si="329"/>
        <v>0</v>
      </c>
      <c r="BZ106" s="149">
        <f t="shared" si="330"/>
        <v>0</v>
      </c>
      <c r="CA106" s="149">
        <f t="shared" si="331"/>
        <v>0</v>
      </c>
      <c r="CB106" s="130">
        <f t="shared" si="332"/>
        <v>0</v>
      </c>
      <c r="CC106" s="149" t="s">
        <v>282</v>
      </c>
      <c r="CD106" s="130">
        <v>0</v>
      </c>
      <c r="CE106" s="130">
        <f t="shared" si="333"/>
        <v>98.46</v>
      </c>
      <c r="CF106" s="130">
        <f t="shared" si="334"/>
        <v>141</v>
      </c>
      <c r="CG106" s="130">
        <f t="shared" si="335"/>
        <v>6</v>
      </c>
      <c r="CH106" s="150">
        <v>0</v>
      </c>
      <c r="CI106" s="130">
        <v>0</v>
      </c>
      <c r="CJ106" s="130" t="e">
        <f>_xlfn.XLOOKUP(AP106,POC!B:B,POC!D:D)</f>
        <v>#N/A</v>
      </c>
      <c r="CK106" s="130">
        <f t="shared" si="336"/>
        <v>42.540000000000006</v>
      </c>
      <c r="CL106" s="130">
        <f t="shared" si="337"/>
        <v>42.540000000000006</v>
      </c>
      <c r="CM106" s="130">
        <f t="shared" si="338"/>
        <v>42.540000000000006</v>
      </c>
      <c r="CN106" s="130">
        <f t="shared" si="339"/>
        <v>166.38</v>
      </c>
      <c r="CO106" s="130">
        <f t="shared" si="340"/>
        <v>-116.18279999999999</v>
      </c>
      <c r="CP106" s="130">
        <f t="shared" si="341"/>
        <v>0</v>
      </c>
      <c r="CQ106" s="130">
        <f t="shared" si="342"/>
        <v>0</v>
      </c>
      <c r="CR106" s="130">
        <f t="shared" si="343"/>
        <v>50.197200000000009</v>
      </c>
      <c r="CS106" s="130" t="s">
        <v>236</v>
      </c>
      <c r="CT106" s="130" t="s">
        <v>236</v>
      </c>
      <c r="CU106" s="145" t="str">
        <f t="shared" si="344"/>
        <v>AADCS0655F</v>
      </c>
      <c r="CV106" s="145" t="str">
        <f t="shared" si="345"/>
        <v>GOWPS6814G</v>
      </c>
    </row>
    <row r="107" spans="2:100" s="152" customFormat="1" ht="11.85" customHeight="1" x14ac:dyDescent="0.25">
      <c r="B107" s="123" t="str">
        <f t="shared" si="310"/>
        <v>Q1</v>
      </c>
      <c r="C107" s="124" t="str">
        <f t="shared" si="311"/>
        <v>May-26</v>
      </c>
      <c r="D107" s="125">
        <v>46150</v>
      </c>
      <c r="E107" s="126" t="s">
        <v>528</v>
      </c>
      <c r="F107" s="126" t="s">
        <v>511</v>
      </c>
      <c r="G107" s="126" t="s">
        <v>512</v>
      </c>
      <c r="H107" s="127" t="s">
        <v>529</v>
      </c>
      <c r="I107" s="349">
        <v>46150</v>
      </c>
      <c r="J107" s="350" t="s">
        <v>530</v>
      </c>
      <c r="K107" s="349">
        <v>46151</v>
      </c>
      <c r="L107" s="126" t="s">
        <v>237</v>
      </c>
      <c r="M107" s="126" t="s">
        <v>525</v>
      </c>
      <c r="N107" s="127" t="s">
        <v>527</v>
      </c>
      <c r="O107" s="126">
        <v>1</v>
      </c>
      <c r="P107" s="283">
        <v>457.13</v>
      </c>
      <c r="Q107" s="128">
        <f t="shared" si="312"/>
        <v>457.13</v>
      </c>
      <c r="R107" s="129">
        <v>0</v>
      </c>
      <c r="S107" s="128">
        <f t="shared" si="313"/>
        <v>1</v>
      </c>
      <c r="T107" s="129">
        <v>0</v>
      </c>
      <c r="U107" s="130">
        <v>0</v>
      </c>
      <c r="V107" s="131">
        <v>0</v>
      </c>
      <c r="W107" s="130">
        <v>0</v>
      </c>
      <c r="X107" s="132">
        <v>0</v>
      </c>
      <c r="Y107" s="130">
        <v>0</v>
      </c>
      <c r="Z107" s="130">
        <v>0</v>
      </c>
      <c r="AA107" s="129">
        <v>0</v>
      </c>
      <c r="AB107" s="133">
        <f t="shared" si="314"/>
        <v>0</v>
      </c>
      <c r="AC107" s="132">
        <v>0</v>
      </c>
      <c r="AD107" s="128">
        <v>0</v>
      </c>
      <c r="AE107" s="147">
        <v>0</v>
      </c>
      <c r="AF107" s="130">
        <v>0</v>
      </c>
      <c r="AG107" s="134">
        <v>0</v>
      </c>
      <c r="AH107" s="130">
        <v>0</v>
      </c>
      <c r="AI107" s="131">
        <v>0</v>
      </c>
      <c r="AJ107" s="130">
        <v>0</v>
      </c>
      <c r="AK107" s="130">
        <v>0</v>
      </c>
      <c r="AL107" s="130">
        <v>0</v>
      </c>
      <c r="AM107" s="135">
        <f t="shared" si="315"/>
        <v>457.13</v>
      </c>
      <c r="AN107" s="136">
        <v>46151</v>
      </c>
      <c r="AO107" s="137" t="s">
        <v>543</v>
      </c>
      <c r="AP107" s="138" t="s">
        <v>532</v>
      </c>
      <c r="AQ107" s="139" t="s">
        <v>533</v>
      </c>
      <c r="AR107" s="139" t="s">
        <v>534</v>
      </c>
      <c r="AS107" s="126" t="s">
        <v>535</v>
      </c>
      <c r="AT107" s="140" t="s">
        <v>360</v>
      </c>
      <c r="AU107" s="140" t="s">
        <v>361</v>
      </c>
      <c r="AV107" s="141" t="s">
        <v>544</v>
      </c>
      <c r="AW107" s="139">
        <v>1</v>
      </c>
      <c r="AX107" s="141">
        <v>655</v>
      </c>
      <c r="AY107" s="139">
        <f t="shared" si="316"/>
        <v>655</v>
      </c>
      <c r="AZ107" s="142" t="b">
        <f t="shared" si="317"/>
        <v>1</v>
      </c>
      <c r="BA107" s="128">
        <v>0</v>
      </c>
      <c r="BB107" s="143">
        <f t="shared" si="318"/>
        <v>1</v>
      </c>
      <c r="BC107" s="144">
        <v>0</v>
      </c>
      <c r="BD107" s="143" t="s">
        <v>109</v>
      </c>
      <c r="BE107" s="144">
        <v>0</v>
      </c>
      <c r="BF107" s="143">
        <v>0</v>
      </c>
      <c r="BG107" s="144">
        <v>0</v>
      </c>
      <c r="BH107" s="130">
        <v>0</v>
      </c>
      <c r="BI107" s="133">
        <v>0</v>
      </c>
      <c r="BJ107" s="131">
        <v>0</v>
      </c>
      <c r="BK107" s="128">
        <v>0</v>
      </c>
      <c r="BL107" s="139">
        <v>0</v>
      </c>
      <c r="BM107" s="130">
        <v>0</v>
      </c>
      <c r="BN107" s="145">
        <f t="shared" si="319"/>
        <v>0</v>
      </c>
      <c r="BO107" s="129">
        <f t="shared" si="320"/>
        <v>655</v>
      </c>
      <c r="BP107" s="135">
        <f t="shared" si="321"/>
        <v>197.87</v>
      </c>
      <c r="BQ107" s="144" t="str">
        <f t="shared" si="322"/>
        <v>Positive Margin</v>
      </c>
      <c r="BR107" s="146" t="s">
        <v>209</v>
      </c>
      <c r="BS107" s="128">
        <f t="shared" si="323"/>
        <v>197.87</v>
      </c>
      <c r="BT107" s="147" t="str">
        <f t="shared" si="324"/>
        <v>Positive Margin at Inception</v>
      </c>
      <c r="BU107" s="148">
        <f t="shared" si="325"/>
        <v>0.30209160305343513</v>
      </c>
      <c r="BV107" s="147" t="str">
        <f t="shared" si="326"/>
        <v>More than 2%</v>
      </c>
      <c r="BW107" s="128">
        <f t="shared" si="327"/>
        <v>0</v>
      </c>
      <c r="BX107" s="129">
        <f t="shared" si="328"/>
        <v>0</v>
      </c>
      <c r="BY107" s="128">
        <f t="shared" si="329"/>
        <v>0</v>
      </c>
      <c r="BZ107" s="149">
        <f t="shared" si="330"/>
        <v>0</v>
      </c>
      <c r="CA107" s="149">
        <f t="shared" si="331"/>
        <v>0</v>
      </c>
      <c r="CB107" s="130">
        <f t="shared" si="332"/>
        <v>0</v>
      </c>
      <c r="CC107" s="149" t="s">
        <v>282</v>
      </c>
      <c r="CD107" s="130">
        <v>0</v>
      </c>
      <c r="CE107" s="130">
        <f t="shared" si="333"/>
        <v>457.13</v>
      </c>
      <c r="CF107" s="130">
        <f t="shared" si="334"/>
        <v>655</v>
      </c>
      <c r="CG107" s="130">
        <f t="shared" si="335"/>
        <v>6</v>
      </c>
      <c r="CH107" s="150">
        <v>0</v>
      </c>
      <c r="CI107" s="130">
        <v>0</v>
      </c>
      <c r="CJ107" s="130" t="e">
        <f>_xlfn.XLOOKUP(AP107,POC!B:B,POC!D:D)</f>
        <v>#N/A</v>
      </c>
      <c r="CK107" s="130">
        <f t="shared" si="336"/>
        <v>197.87</v>
      </c>
      <c r="CL107" s="130">
        <f t="shared" si="337"/>
        <v>197.87</v>
      </c>
      <c r="CM107" s="130">
        <f t="shared" si="338"/>
        <v>197.87</v>
      </c>
      <c r="CN107" s="130">
        <f t="shared" si="339"/>
        <v>772.9</v>
      </c>
      <c r="CO107" s="130">
        <f t="shared" si="340"/>
        <v>-539.41339999999991</v>
      </c>
      <c r="CP107" s="130">
        <f t="shared" si="341"/>
        <v>0</v>
      </c>
      <c r="CQ107" s="130">
        <f t="shared" si="342"/>
        <v>0</v>
      </c>
      <c r="CR107" s="130">
        <f t="shared" si="343"/>
        <v>233.48660000000007</v>
      </c>
      <c r="CS107" s="130" t="s">
        <v>236</v>
      </c>
      <c r="CT107" s="130" t="s">
        <v>236</v>
      </c>
      <c r="CU107" s="145" t="str">
        <f t="shared" si="344"/>
        <v>AADCS0655F</v>
      </c>
      <c r="CV107" s="145" t="str">
        <f t="shared" si="345"/>
        <v>GOWPS6814G</v>
      </c>
    </row>
    <row r="108" spans="2:100" s="152" customFormat="1" ht="11.85" customHeight="1" x14ac:dyDescent="0.25">
      <c r="B108" s="123" t="str">
        <f t="shared" si="310"/>
        <v>Q1</v>
      </c>
      <c r="C108" s="124" t="str">
        <f t="shared" si="311"/>
        <v>May-26</v>
      </c>
      <c r="D108" s="125">
        <v>46150</v>
      </c>
      <c r="E108" s="126" t="s">
        <v>528</v>
      </c>
      <c r="F108" s="126" t="s">
        <v>511</v>
      </c>
      <c r="G108" s="126" t="s">
        <v>512</v>
      </c>
      <c r="H108" s="127" t="s">
        <v>529</v>
      </c>
      <c r="I108" s="349">
        <v>46150</v>
      </c>
      <c r="J108" s="350" t="s">
        <v>530</v>
      </c>
      <c r="K108" s="349">
        <v>46151</v>
      </c>
      <c r="L108" s="126" t="s">
        <v>237</v>
      </c>
      <c r="M108" s="126" t="s">
        <v>525</v>
      </c>
      <c r="N108" s="127" t="s">
        <v>527</v>
      </c>
      <c r="O108" s="126">
        <v>1</v>
      </c>
      <c r="P108" s="283">
        <v>256.7</v>
      </c>
      <c r="Q108" s="128">
        <f t="shared" si="312"/>
        <v>256.7</v>
      </c>
      <c r="R108" s="129">
        <v>0</v>
      </c>
      <c r="S108" s="128">
        <f t="shared" si="313"/>
        <v>1</v>
      </c>
      <c r="T108" s="129">
        <v>0</v>
      </c>
      <c r="U108" s="130">
        <v>0</v>
      </c>
      <c r="V108" s="131">
        <v>0</v>
      </c>
      <c r="W108" s="130">
        <v>0</v>
      </c>
      <c r="X108" s="132">
        <v>0</v>
      </c>
      <c r="Y108" s="130">
        <v>0</v>
      </c>
      <c r="Z108" s="130">
        <v>0</v>
      </c>
      <c r="AA108" s="129">
        <v>0</v>
      </c>
      <c r="AB108" s="133">
        <f t="shared" si="314"/>
        <v>0</v>
      </c>
      <c r="AC108" s="132">
        <v>0</v>
      </c>
      <c r="AD108" s="128">
        <v>0</v>
      </c>
      <c r="AE108" s="147">
        <v>0</v>
      </c>
      <c r="AF108" s="130">
        <v>0</v>
      </c>
      <c r="AG108" s="134">
        <v>0</v>
      </c>
      <c r="AH108" s="130">
        <v>0</v>
      </c>
      <c r="AI108" s="131">
        <v>0</v>
      </c>
      <c r="AJ108" s="130">
        <v>0</v>
      </c>
      <c r="AK108" s="130">
        <v>0</v>
      </c>
      <c r="AL108" s="130">
        <v>0</v>
      </c>
      <c r="AM108" s="135">
        <f t="shared" si="315"/>
        <v>256.7</v>
      </c>
      <c r="AN108" s="136">
        <v>46151</v>
      </c>
      <c r="AO108" s="137" t="s">
        <v>543</v>
      </c>
      <c r="AP108" s="138" t="s">
        <v>532</v>
      </c>
      <c r="AQ108" s="139" t="s">
        <v>533</v>
      </c>
      <c r="AR108" s="139" t="s">
        <v>534</v>
      </c>
      <c r="AS108" s="126" t="s">
        <v>535</v>
      </c>
      <c r="AT108" s="140" t="s">
        <v>360</v>
      </c>
      <c r="AU108" s="140" t="s">
        <v>361</v>
      </c>
      <c r="AV108" s="141" t="s">
        <v>544</v>
      </c>
      <c r="AW108" s="139">
        <v>1</v>
      </c>
      <c r="AX108" s="141">
        <v>370</v>
      </c>
      <c r="AY108" s="139">
        <f t="shared" si="316"/>
        <v>370</v>
      </c>
      <c r="AZ108" s="142" t="b">
        <f t="shared" si="317"/>
        <v>1</v>
      </c>
      <c r="BA108" s="128">
        <v>0</v>
      </c>
      <c r="BB108" s="143">
        <f t="shared" si="318"/>
        <v>1</v>
      </c>
      <c r="BC108" s="144">
        <v>0</v>
      </c>
      <c r="BD108" s="143" t="s">
        <v>109</v>
      </c>
      <c r="BE108" s="144">
        <v>0</v>
      </c>
      <c r="BF108" s="143">
        <v>0</v>
      </c>
      <c r="BG108" s="144">
        <v>0</v>
      </c>
      <c r="BH108" s="130">
        <v>0</v>
      </c>
      <c r="BI108" s="133">
        <v>0</v>
      </c>
      <c r="BJ108" s="131">
        <v>0</v>
      </c>
      <c r="BK108" s="128">
        <v>0</v>
      </c>
      <c r="BL108" s="139">
        <v>0</v>
      </c>
      <c r="BM108" s="130">
        <v>0</v>
      </c>
      <c r="BN108" s="145">
        <f t="shared" si="319"/>
        <v>0</v>
      </c>
      <c r="BO108" s="129">
        <f t="shared" si="320"/>
        <v>370</v>
      </c>
      <c r="BP108" s="135">
        <f t="shared" si="321"/>
        <v>113.30000000000001</v>
      </c>
      <c r="BQ108" s="144" t="str">
        <f t="shared" si="322"/>
        <v>Positive Margin</v>
      </c>
      <c r="BR108" s="146" t="s">
        <v>209</v>
      </c>
      <c r="BS108" s="128">
        <f t="shared" si="323"/>
        <v>113.30000000000001</v>
      </c>
      <c r="BT108" s="147" t="str">
        <f t="shared" si="324"/>
        <v>Positive Margin at Inception</v>
      </c>
      <c r="BU108" s="148">
        <f t="shared" si="325"/>
        <v>0.30621621621621625</v>
      </c>
      <c r="BV108" s="147" t="str">
        <f t="shared" si="326"/>
        <v>More than 2%</v>
      </c>
      <c r="BW108" s="128">
        <f t="shared" si="327"/>
        <v>0</v>
      </c>
      <c r="BX108" s="129">
        <f t="shared" si="328"/>
        <v>0</v>
      </c>
      <c r="BY108" s="128">
        <f t="shared" si="329"/>
        <v>0</v>
      </c>
      <c r="BZ108" s="149">
        <f t="shared" si="330"/>
        <v>0</v>
      </c>
      <c r="CA108" s="149">
        <f t="shared" si="331"/>
        <v>0</v>
      </c>
      <c r="CB108" s="130">
        <f t="shared" si="332"/>
        <v>0</v>
      </c>
      <c r="CC108" s="149" t="s">
        <v>282</v>
      </c>
      <c r="CD108" s="130">
        <v>0</v>
      </c>
      <c r="CE108" s="130">
        <f t="shared" si="333"/>
        <v>256.7</v>
      </c>
      <c r="CF108" s="130">
        <f t="shared" si="334"/>
        <v>370</v>
      </c>
      <c r="CG108" s="130">
        <f t="shared" si="335"/>
        <v>6</v>
      </c>
      <c r="CH108" s="150">
        <v>0</v>
      </c>
      <c r="CI108" s="130">
        <v>0</v>
      </c>
      <c r="CJ108" s="130" t="e">
        <f>_xlfn.XLOOKUP(AP108,POC!B:B,POC!D:D)</f>
        <v>#N/A</v>
      </c>
      <c r="CK108" s="130">
        <f t="shared" si="336"/>
        <v>113.30000000000001</v>
      </c>
      <c r="CL108" s="130">
        <f t="shared" si="337"/>
        <v>113.30000000000001</v>
      </c>
      <c r="CM108" s="130">
        <f t="shared" si="338"/>
        <v>113.30000000000001</v>
      </c>
      <c r="CN108" s="130">
        <f t="shared" si="339"/>
        <v>436.59999999999997</v>
      </c>
      <c r="CO108" s="130">
        <f t="shared" si="340"/>
        <v>-302.90599999999995</v>
      </c>
      <c r="CP108" s="130">
        <f t="shared" si="341"/>
        <v>0</v>
      </c>
      <c r="CQ108" s="130">
        <f t="shared" si="342"/>
        <v>0</v>
      </c>
      <c r="CR108" s="130">
        <f t="shared" si="343"/>
        <v>133.69400000000002</v>
      </c>
      <c r="CS108" s="130" t="s">
        <v>236</v>
      </c>
      <c r="CT108" s="130" t="s">
        <v>236</v>
      </c>
      <c r="CU108" s="145" t="str">
        <f t="shared" si="344"/>
        <v>AADCS0655F</v>
      </c>
      <c r="CV108" s="145" t="str">
        <f t="shared" si="345"/>
        <v>GOWPS6814G</v>
      </c>
    </row>
    <row r="109" spans="2:100" s="152" customFormat="1" ht="11.85" customHeight="1" x14ac:dyDescent="0.25">
      <c r="B109" s="123" t="str">
        <f t="shared" si="310"/>
        <v>Q1</v>
      </c>
      <c r="C109" s="124" t="str">
        <f t="shared" si="311"/>
        <v>May-26</v>
      </c>
      <c r="D109" s="125">
        <v>46150</v>
      </c>
      <c r="E109" s="126" t="s">
        <v>528</v>
      </c>
      <c r="F109" s="126" t="s">
        <v>511</v>
      </c>
      <c r="G109" s="126" t="s">
        <v>512</v>
      </c>
      <c r="H109" s="127" t="s">
        <v>529</v>
      </c>
      <c r="I109" s="349">
        <v>46150</v>
      </c>
      <c r="J109" s="350" t="s">
        <v>530</v>
      </c>
      <c r="K109" s="349">
        <v>46151</v>
      </c>
      <c r="L109" s="126" t="s">
        <v>237</v>
      </c>
      <c r="M109" s="126" t="s">
        <v>525</v>
      </c>
      <c r="N109" s="127" t="s">
        <v>527</v>
      </c>
      <c r="O109" s="126">
        <v>1</v>
      </c>
      <c r="P109" s="283">
        <v>1722.81</v>
      </c>
      <c r="Q109" s="128">
        <f t="shared" si="312"/>
        <v>1722.81</v>
      </c>
      <c r="R109" s="129">
        <v>0</v>
      </c>
      <c r="S109" s="128">
        <f t="shared" si="313"/>
        <v>1</v>
      </c>
      <c r="T109" s="129">
        <v>0</v>
      </c>
      <c r="U109" s="130">
        <v>0</v>
      </c>
      <c r="V109" s="131">
        <v>0</v>
      </c>
      <c r="W109" s="130">
        <v>0</v>
      </c>
      <c r="X109" s="132">
        <v>0</v>
      </c>
      <c r="Y109" s="130">
        <v>0</v>
      </c>
      <c r="Z109" s="130">
        <v>0</v>
      </c>
      <c r="AA109" s="129">
        <v>0</v>
      </c>
      <c r="AB109" s="133">
        <f t="shared" si="314"/>
        <v>0</v>
      </c>
      <c r="AC109" s="132">
        <v>0</v>
      </c>
      <c r="AD109" s="128">
        <v>0</v>
      </c>
      <c r="AE109" s="147">
        <v>0</v>
      </c>
      <c r="AF109" s="130">
        <v>0</v>
      </c>
      <c r="AG109" s="134">
        <v>0</v>
      </c>
      <c r="AH109" s="130">
        <v>0</v>
      </c>
      <c r="AI109" s="131">
        <v>0</v>
      </c>
      <c r="AJ109" s="130">
        <v>0</v>
      </c>
      <c r="AK109" s="130">
        <v>0</v>
      </c>
      <c r="AL109" s="130">
        <v>0</v>
      </c>
      <c r="AM109" s="135">
        <f t="shared" si="315"/>
        <v>1722.81</v>
      </c>
      <c r="AN109" s="136">
        <v>46151</v>
      </c>
      <c r="AO109" s="137" t="s">
        <v>543</v>
      </c>
      <c r="AP109" s="138" t="s">
        <v>532</v>
      </c>
      <c r="AQ109" s="139" t="s">
        <v>533</v>
      </c>
      <c r="AR109" s="139" t="s">
        <v>534</v>
      </c>
      <c r="AS109" s="126" t="s">
        <v>535</v>
      </c>
      <c r="AT109" s="140" t="s">
        <v>360</v>
      </c>
      <c r="AU109" s="140" t="s">
        <v>361</v>
      </c>
      <c r="AV109" s="141" t="s">
        <v>544</v>
      </c>
      <c r="AW109" s="139">
        <v>1</v>
      </c>
      <c r="AX109" s="141">
        <v>2475</v>
      </c>
      <c r="AY109" s="139">
        <f t="shared" si="316"/>
        <v>2475</v>
      </c>
      <c r="AZ109" s="142" t="b">
        <f t="shared" si="317"/>
        <v>1</v>
      </c>
      <c r="BA109" s="128">
        <v>0</v>
      </c>
      <c r="BB109" s="143">
        <f t="shared" si="318"/>
        <v>1</v>
      </c>
      <c r="BC109" s="144">
        <v>0</v>
      </c>
      <c r="BD109" s="143" t="s">
        <v>109</v>
      </c>
      <c r="BE109" s="144">
        <v>0</v>
      </c>
      <c r="BF109" s="143">
        <v>0</v>
      </c>
      <c r="BG109" s="144">
        <v>0</v>
      </c>
      <c r="BH109" s="130">
        <v>0</v>
      </c>
      <c r="BI109" s="133">
        <v>0</v>
      </c>
      <c r="BJ109" s="131">
        <v>0</v>
      </c>
      <c r="BK109" s="128">
        <v>0</v>
      </c>
      <c r="BL109" s="139">
        <v>0</v>
      </c>
      <c r="BM109" s="130">
        <v>0</v>
      </c>
      <c r="BN109" s="145">
        <f t="shared" si="319"/>
        <v>0</v>
      </c>
      <c r="BO109" s="129">
        <f t="shared" si="320"/>
        <v>2475</v>
      </c>
      <c r="BP109" s="135">
        <f t="shared" si="321"/>
        <v>752.19</v>
      </c>
      <c r="BQ109" s="144" t="str">
        <f t="shared" si="322"/>
        <v>Positive Margin</v>
      </c>
      <c r="BR109" s="146" t="s">
        <v>209</v>
      </c>
      <c r="BS109" s="128">
        <f t="shared" si="323"/>
        <v>752.19</v>
      </c>
      <c r="BT109" s="147" t="str">
        <f t="shared" si="324"/>
        <v>Positive Margin at Inception</v>
      </c>
      <c r="BU109" s="148">
        <f t="shared" si="325"/>
        <v>0.30391515151515153</v>
      </c>
      <c r="BV109" s="147" t="str">
        <f t="shared" si="326"/>
        <v>More than 2%</v>
      </c>
      <c r="BW109" s="128">
        <f t="shared" si="327"/>
        <v>0</v>
      </c>
      <c r="BX109" s="129">
        <f t="shared" si="328"/>
        <v>0</v>
      </c>
      <c r="BY109" s="128">
        <f t="shared" si="329"/>
        <v>0</v>
      </c>
      <c r="BZ109" s="149">
        <f t="shared" si="330"/>
        <v>0</v>
      </c>
      <c r="CA109" s="149">
        <f t="shared" si="331"/>
        <v>0</v>
      </c>
      <c r="CB109" s="130">
        <f t="shared" si="332"/>
        <v>0</v>
      </c>
      <c r="CC109" s="149" t="s">
        <v>282</v>
      </c>
      <c r="CD109" s="130">
        <v>0</v>
      </c>
      <c r="CE109" s="130">
        <f t="shared" si="333"/>
        <v>1722.81</v>
      </c>
      <c r="CF109" s="130">
        <f t="shared" si="334"/>
        <v>2475</v>
      </c>
      <c r="CG109" s="130">
        <f t="shared" si="335"/>
        <v>6</v>
      </c>
      <c r="CH109" s="150">
        <v>0</v>
      </c>
      <c r="CI109" s="130">
        <v>0</v>
      </c>
      <c r="CJ109" s="130" t="e">
        <f>_xlfn.XLOOKUP(AP109,POC!B:B,POC!D:D)</f>
        <v>#N/A</v>
      </c>
      <c r="CK109" s="130">
        <f t="shared" si="336"/>
        <v>752.19</v>
      </c>
      <c r="CL109" s="130">
        <f t="shared" si="337"/>
        <v>752.19</v>
      </c>
      <c r="CM109" s="130">
        <f t="shared" si="338"/>
        <v>752.19</v>
      </c>
      <c r="CN109" s="130">
        <f t="shared" si="339"/>
        <v>2920.5</v>
      </c>
      <c r="CO109" s="130">
        <f t="shared" si="340"/>
        <v>-2032.9157999999998</v>
      </c>
      <c r="CP109" s="130">
        <f t="shared" si="341"/>
        <v>0</v>
      </c>
      <c r="CQ109" s="130">
        <f t="shared" si="342"/>
        <v>0</v>
      </c>
      <c r="CR109" s="130">
        <f t="shared" si="343"/>
        <v>887.58420000000024</v>
      </c>
      <c r="CS109" s="130" t="s">
        <v>236</v>
      </c>
      <c r="CT109" s="130" t="s">
        <v>236</v>
      </c>
      <c r="CU109" s="145" t="str">
        <f t="shared" si="344"/>
        <v>AADCS0655F</v>
      </c>
      <c r="CV109" s="145" t="str">
        <f t="shared" si="345"/>
        <v>GOWPS6814G</v>
      </c>
    </row>
    <row r="110" spans="2:100" s="152" customFormat="1" ht="11.85" customHeight="1" x14ac:dyDescent="0.25">
      <c r="B110" s="123" t="str">
        <f t="shared" ref="B110" si="346">"Q" &amp; IF(ROUNDUP(MONTH(D110)/3,0)-1=0,4,ROUNDUP(MONTH(D110)/3,0)-1)</f>
        <v>Q1</v>
      </c>
      <c r="C110" s="124" t="str">
        <f t="shared" ref="C110" si="347">TEXT(AN110,"mmm-yy")</f>
        <v>May-26</v>
      </c>
      <c r="D110" s="125">
        <v>46155</v>
      </c>
      <c r="E110" s="126" t="s">
        <v>545</v>
      </c>
      <c r="F110" s="126" t="s">
        <v>546</v>
      </c>
      <c r="G110" s="126" t="s">
        <v>547</v>
      </c>
      <c r="H110" s="127" t="s">
        <v>548</v>
      </c>
      <c r="I110" s="349">
        <v>46155</v>
      </c>
      <c r="J110" s="350" t="s">
        <v>549</v>
      </c>
      <c r="K110" s="349">
        <v>46156</v>
      </c>
      <c r="L110" s="126" t="s">
        <v>230</v>
      </c>
      <c r="M110" s="126" t="s">
        <v>550</v>
      </c>
      <c r="N110" s="127" t="s">
        <v>551</v>
      </c>
      <c r="O110" s="126">
        <v>1</v>
      </c>
      <c r="P110" s="283">
        <v>72034</v>
      </c>
      <c r="Q110" s="128">
        <f t="shared" ref="Q110" si="348">O110*P110</f>
        <v>72034</v>
      </c>
      <c r="R110" s="129">
        <v>0</v>
      </c>
      <c r="S110" s="128">
        <f t="shared" ref="S110" si="349">O110-R110</f>
        <v>1</v>
      </c>
      <c r="T110" s="129">
        <v>0</v>
      </c>
      <c r="U110" s="130">
        <v>0</v>
      </c>
      <c r="V110" s="131">
        <v>0</v>
      </c>
      <c r="W110" s="130">
        <v>0</v>
      </c>
      <c r="X110" s="132">
        <v>0</v>
      </c>
      <c r="Y110" s="130">
        <v>0</v>
      </c>
      <c r="Z110" s="130">
        <v>0</v>
      </c>
      <c r="AA110" s="129">
        <v>0</v>
      </c>
      <c r="AB110" s="133">
        <f t="shared" ref="AB110" si="350">Y110+AA110+Z110</f>
        <v>0</v>
      </c>
      <c r="AC110" s="132">
        <v>0</v>
      </c>
      <c r="AD110" s="128">
        <v>0</v>
      </c>
      <c r="AE110" s="147">
        <v>0</v>
      </c>
      <c r="AF110" s="130">
        <v>0</v>
      </c>
      <c r="AG110" s="134">
        <v>0</v>
      </c>
      <c r="AH110" s="130">
        <v>0</v>
      </c>
      <c r="AI110" s="131">
        <v>0</v>
      </c>
      <c r="AJ110" s="130">
        <v>0</v>
      </c>
      <c r="AK110" s="130">
        <v>0</v>
      </c>
      <c r="AL110" s="130">
        <v>0</v>
      </c>
      <c r="AM110" s="135">
        <f t="shared" ref="AM110" si="351">Q110+AB110+AL110+AK110+AJ110+T110+AE110</f>
        <v>72034</v>
      </c>
      <c r="AN110" s="136">
        <v>46156</v>
      </c>
      <c r="AO110" s="137" t="s">
        <v>552</v>
      </c>
      <c r="AP110" s="138" t="s">
        <v>532</v>
      </c>
      <c r="AQ110" s="139" t="s">
        <v>533</v>
      </c>
      <c r="AR110" s="139" t="s">
        <v>534</v>
      </c>
      <c r="AS110" s="126" t="s">
        <v>553</v>
      </c>
      <c r="AT110" s="140" t="s">
        <v>360</v>
      </c>
      <c r="AU110" s="140" t="s">
        <v>361</v>
      </c>
      <c r="AV110" s="141" t="s">
        <v>554</v>
      </c>
      <c r="AW110" s="139">
        <v>1</v>
      </c>
      <c r="AX110" s="141">
        <v>83084.081000000006</v>
      </c>
      <c r="AY110" s="139">
        <f t="shared" ref="AY110" si="352">AW110*AX110</f>
        <v>83084.081000000006</v>
      </c>
      <c r="AZ110" s="142" t="b">
        <f t="shared" ref="AZ110" si="353">AW110=O110</f>
        <v>1</v>
      </c>
      <c r="BA110" s="128">
        <v>0</v>
      </c>
      <c r="BB110" s="143">
        <f t="shared" ref="BB110" si="354">AW110-BA110</f>
        <v>1</v>
      </c>
      <c r="BC110" s="144">
        <v>0</v>
      </c>
      <c r="BD110" s="143" t="s">
        <v>109</v>
      </c>
      <c r="BE110" s="144">
        <v>0</v>
      </c>
      <c r="BF110" s="143">
        <v>0</v>
      </c>
      <c r="BG110" s="144">
        <v>0</v>
      </c>
      <c r="BH110" s="130">
        <v>0</v>
      </c>
      <c r="BI110" s="133">
        <v>0</v>
      </c>
      <c r="BJ110" s="131">
        <v>0</v>
      </c>
      <c r="BK110" s="128">
        <v>0</v>
      </c>
      <c r="BL110" s="139">
        <v>0</v>
      </c>
      <c r="BM110" s="130">
        <v>0</v>
      </c>
      <c r="BN110" s="145">
        <f t="shared" ref="BN110" si="355">AY110*$BM$3</f>
        <v>0</v>
      </c>
      <c r="BO110" s="129">
        <f t="shared" ref="BO110" si="356">AY110+BL110+BM110+BN110+BC110+BG110</f>
        <v>83084.081000000006</v>
      </c>
      <c r="BP110" s="135">
        <f t="shared" ref="BP110" si="357">BO110-AM110</f>
        <v>11050.081000000006</v>
      </c>
      <c r="BQ110" s="144" t="str">
        <f t="shared" ref="BQ110" si="358">IF(BP110&gt;=0,"Positive Margin","Negative Margin")</f>
        <v>Positive Margin</v>
      </c>
      <c r="BR110" s="146" t="s">
        <v>209</v>
      </c>
      <c r="BS110" s="128">
        <f t="shared" ref="BS110" si="359">AY110-Y110-Q110-AA110-T110+BC110</f>
        <v>11050.081000000006</v>
      </c>
      <c r="BT110" s="147" t="str">
        <f t="shared" ref="BT110" si="360">IF(BS110&lt;0, "Negative Margin at Inception", "Positive Margin at Inception")</f>
        <v>Positive Margin at Inception</v>
      </c>
      <c r="BU110" s="148">
        <f t="shared" ref="BU110" si="361">IFERROR(BP110/BO110,"0")</f>
        <v>0.13299877506017074</v>
      </c>
      <c r="BV110" s="147" t="str">
        <f t="shared" ref="BV110" si="362">IF(BU110&lt;1%,"Less Than 1%",IF(BU110&gt;2%,"More than 2%",IF(BU110&gt;=1%,"1% - 2%")))</f>
        <v>More than 2%</v>
      </c>
      <c r="BW110" s="128">
        <f t="shared" ref="BW110" si="363">BM110+BN110</f>
        <v>0</v>
      </c>
      <c r="BX110" s="129">
        <f t="shared" ref="BX110" si="364">AL110+AK110</f>
        <v>0</v>
      </c>
      <c r="BY110" s="128">
        <f t="shared" ref="BY110" si="365">BW110-BX110</f>
        <v>0</v>
      </c>
      <c r="BZ110" s="149">
        <f t="shared" ref="BZ110" si="366">BM110</f>
        <v>0</v>
      </c>
      <c r="CA110" s="149">
        <f t="shared" ref="CA110" si="367">AK110</f>
        <v>0</v>
      </c>
      <c r="CB110" s="130">
        <f t="shared" ref="CB110" si="368">BZ110-CA110</f>
        <v>0</v>
      </c>
      <c r="CC110" s="149" t="s">
        <v>282</v>
      </c>
      <c r="CD110" s="130">
        <v>0</v>
      </c>
      <c r="CE110" s="130">
        <f t="shared" ref="CE110" si="369">AM110-AL110-AA110</f>
        <v>72034</v>
      </c>
      <c r="CF110" s="130">
        <f t="shared" ref="CF110" si="370">BO110-BN110</f>
        <v>83084.081000000006</v>
      </c>
      <c r="CG110" s="130">
        <f t="shared" ref="CG110" si="371">INT((D110- IF(MONTH(D110) &gt;= 4, DATE(YEAR(D110), 4, 1), DATE(YEAR(D110)-1, 4, 1))) / 7) + 1</f>
        <v>7</v>
      </c>
      <c r="CH110" s="150">
        <v>0</v>
      </c>
      <c r="CI110" s="130">
        <v>0</v>
      </c>
      <c r="CJ110" s="130" t="e">
        <f>_xlfn.XLOOKUP(AP110,POC!B:B,POC!D:D)</f>
        <v>#N/A</v>
      </c>
      <c r="CK110" s="130">
        <f t="shared" ref="CK110" si="372">AY110-Q110</f>
        <v>11050.081000000006</v>
      </c>
      <c r="CL110" s="130">
        <f t="shared" ref="CL110" si="373">CK110-Y110+Z110</f>
        <v>11050.081000000006</v>
      </c>
      <c r="CM110" s="130">
        <f t="shared" ref="CM110" si="374">BO110-AM110</f>
        <v>11050.081000000006</v>
      </c>
      <c r="CN110" s="130">
        <f t="shared" ref="CN110" si="375">AY110*118%</f>
        <v>98039.215580000004</v>
      </c>
      <c r="CO110" s="130">
        <f t="shared" ref="CO110" si="376">-Q110*118%</f>
        <v>-85000.12</v>
      </c>
      <c r="CP110" s="130">
        <f t="shared" ref="CP110" si="377">-BZ110*118%</f>
        <v>0</v>
      </c>
      <c r="CQ110" s="130">
        <f t="shared" ref="CQ110" si="378">-CA110*118%</f>
        <v>0</v>
      </c>
      <c r="CR110" s="130">
        <f t="shared" ref="CR110" si="379">SUM(CN110:CQ110)</f>
        <v>13039.095580000008</v>
      </c>
      <c r="CS110" s="130" t="s">
        <v>236</v>
      </c>
      <c r="CT110" s="130" t="s">
        <v>236</v>
      </c>
      <c r="CU110" s="145" t="str">
        <f t="shared" ref="CU110" si="380">MID(G110,3,10)</f>
        <v>AACCV3080E</v>
      </c>
      <c r="CV110" s="145" t="str">
        <f t="shared" ref="CV110" si="381">MID(AR110,3,10)</f>
        <v>GOWPS6814G</v>
      </c>
    </row>
    <row r="111" spans="2:100" s="152" customFormat="1" ht="11.85" customHeight="1" x14ac:dyDescent="0.25">
      <c r="B111" s="123" t="str">
        <f t="shared" ref="B111:B112" si="382">"Q" &amp; IF(ROUNDUP(MONTH(D111)/3,0)-1=0,4,ROUNDUP(MONTH(D111)/3,0)-1)</f>
        <v>Q1</v>
      </c>
      <c r="C111" s="124" t="str">
        <f t="shared" ref="C111:C112" si="383">TEXT(AN111,"mmm-yy")</f>
        <v>May-26</v>
      </c>
      <c r="D111" s="125">
        <v>46162</v>
      </c>
      <c r="E111" s="126" t="s">
        <v>567</v>
      </c>
      <c r="F111" s="126" t="s">
        <v>568</v>
      </c>
      <c r="G111" s="126" t="s">
        <v>569</v>
      </c>
      <c r="H111" s="127" t="s">
        <v>570</v>
      </c>
      <c r="I111" s="349">
        <v>46162</v>
      </c>
      <c r="J111" s="350" t="s">
        <v>571</v>
      </c>
      <c r="K111" s="349">
        <v>46163</v>
      </c>
      <c r="L111" s="126" t="s">
        <v>375</v>
      </c>
      <c r="M111" s="126" t="s">
        <v>208</v>
      </c>
      <c r="N111" s="127" t="s">
        <v>212</v>
      </c>
      <c r="O111" s="126">
        <v>1</v>
      </c>
      <c r="P111" s="283">
        <v>589050</v>
      </c>
      <c r="Q111" s="128">
        <f t="shared" ref="Q111:Q112" si="384">O111*P111</f>
        <v>589050</v>
      </c>
      <c r="R111" s="129">
        <v>0</v>
      </c>
      <c r="S111" s="128">
        <f t="shared" ref="S111:S112" si="385">O111-R111</f>
        <v>1</v>
      </c>
      <c r="T111" s="129">
        <v>0</v>
      </c>
      <c r="U111" s="130">
        <v>0</v>
      </c>
      <c r="V111" s="131">
        <v>0</v>
      </c>
      <c r="W111" s="130">
        <v>0</v>
      </c>
      <c r="X111" s="132">
        <v>0</v>
      </c>
      <c r="Y111" s="130">
        <v>0</v>
      </c>
      <c r="Z111" s="130">
        <v>0</v>
      </c>
      <c r="AA111" s="129">
        <v>0</v>
      </c>
      <c r="AB111" s="133">
        <f t="shared" ref="AB111:AB112" si="386">Y111+AA111+Z111</f>
        <v>0</v>
      </c>
      <c r="AC111" s="132">
        <v>0</v>
      </c>
      <c r="AD111" s="128">
        <v>0</v>
      </c>
      <c r="AE111" s="147">
        <v>0</v>
      </c>
      <c r="AF111" s="130">
        <v>0</v>
      </c>
      <c r="AG111" s="134">
        <v>0</v>
      </c>
      <c r="AH111" s="130">
        <v>0</v>
      </c>
      <c r="AI111" s="131">
        <v>0</v>
      </c>
      <c r="AJ111" s="130">
        <v>0</v>
      </c>
      <c r="AK111" s="130">
        <v>0</v>
      </c>
      <c r="AL111" s="130">
        <v>0</v>
      </c>
      <c r="AM111" s="135">
        <f t="shared" ref="AM111:AM112" si="387">Q111+AB111+AL111+AK111+AJ111+T111+AE111</f>
        <v>589050</v>
      </c>
      <c r="AN111" s="136">
        <v>46163</v>
      </c>
      <c r="AO111" s="137" t="s">
        <v>576</v>
      </c>
      <c r="AP111" s="138" t="s">
        <v>577</v>
      </c>
      <c r="AQ111" s="139" t="s">
        <v>578</v>
      </c>
      <c r="AR111" s="139" t="s">
        <v>579</v>
      </c>
      <c r="AS111" s="126" t="s">
        <v>580</v>
      </c>
      <c r="AT111" s="140" t="s">
        <v>581</v>
      </c>
      <c r="AU111" s="140" t="s">
        <v>147</v>
      </c>
      <c r="AV111" s="141" t="s">
        <v>208</v>
      </c>
      <c r="AW111" s="139">
        <v>1</v>
      </c>
      <c r="AX111" s="141">
        <v>628406.44999999995</v>
      </c>
      <c r="AY111" s="139">
        <f t="shared" ref="AY111:AY112" si="388">AW111*AX111</f>
        <v>628406.44999999995</v>
      </c>
      <c r="AZ111" s="142" t="b">
        <f t="shared" ref="AZ111:AZ112" si="389">AW111=O111</f>
        <v>1</v>
      </c>
      <c r="BA111" s="128">
        <v>0</v>
      </c>
      <c r="BB111" s="143">
        <f t="shared" ref="BB111:BB112" si="390">AW111-BA111</f>
        <v>1</v>
      </c>
      <c r="BC111" s="144">
        <v>0</v>
      </c>
      <c r="BD111" s="143" t="s">
        <v>109</v>
      </c>
      <c r="BE111" s="144">
        <v>0</v>
      </c>
      <c r="BF111" s="143">
        <v>0</v>
      </c>
      <c r="BG111" s="144">
        <v>0</v>
      </c>
      <c r="BH111" s="130">
        <v>0</v>
      </c>
      <c r="BI111" s="133">
        <v>0</v>
      </c>
      <c r="BJ111" s="131">
        <v>0</v>
      </c>
      <c r="BK111" s="128">
        <v>0</v>
      </c>
      <c r="BL111" s="139">
        <v>0</v>
      </c>
      <c r="BM111" s="130">
        <v>0</v>
      </c>
      <c r="BN111" s="145">
        <f t="shared" ref="BN111:BN112" si="391">AY111*$BM$3</f>
        <v>0</v>
      </c>
      <c r="BO111" s="129">
        <f t="shared" ref="BO111:BO112" si="392">AY111+BL111+BM111+BN111+BC111+BG111</f>
        <v>628406.44999999995</v>
      </c>
      <c r="BP111" s="135">
        <f t="shared" ref="BP111:BP112" si="393">BO111-AM111</f>
        <v>39356.449999999953</v>
      </c>
      <c r="BQ111" s="144" t="str">
        <f t="shared" ref="BQ111:BQ112" si="394">IF(BP111&gt;=0,"Positive Margin","Negative Margin")</f>
        <v>Positive Margin</v>
      </c>
      <c r="BR111" s="146" t="s">
        <v>209</v>
      </c>
      <c r="BS111" s="128">
        <f t="shared" ref="BS111:BS112" si="395">AY111-Y111-Q111-AA111-T111+BC111</f>
        <v>39356.449999999953</v>
      </c>
      <c r="BT111" s="147" t="str">
        <f t="shared" ref="BT111:BT112" si="396">IF(BS111&lt;0, "Negative Margin at Inception", "Positive Margin at Inception")</f>
        <v>Positive Margin at Inception</v>
      </c>
      <c r="BU111" s="148">
        <f t="shared" ref="BU111:BU112" si="397">IFERROR(BP111/BO111,"0")</f>
        <v>6.2628972060996435E-2</v>
      </c>
      <c r="BV111" s="147" t="str">
        <f t="shared" ref="BV111:BV112" si="398">IF(BU111&lt;1%,"Less Than 1%",IF(BU111&gt;2%,"More than 2%",IF(BU111&gt;=1%,"1% - 2%")))</f>
        <v>More than 2%</v>
      </c>
      <c r="BW111" s="128">
        <f t="shared" ref="BW111:BW112" si="399">BM111+BN111</f>
        <v>0</v>
      </c>
      <c r="BX111" s="129">
        <f t="shared" ref="BX111:BX112" si="400">AL111+AK111</f>
        <v>0</v>
      </c>
      <c r="BY111" s="128">
        <f t="shared" ref="BY111:BY112" si="401">BW111-BX111</f>
        <v>0</v>
      </c>
      <c r="BZ111" s="149">
        <f t="shared" ref="BZ111:BZ112" si="402">BM111</f>
        <v>0</v>
      </c>
      <c r="CA111" s="149">
        <f t="shared" ref="CA111:CA112" si="403">AK111</f>
        <v>0</v>
      </c>
      <c r="CB111" s="130">
        <f t="shared" ref="CB111:CB112" si="404">BZ111-CA111</f>
        <v>0</v>
      </c>
      <c r="CC111" s="149" t="s">
        <v>282</v>
      </c>
      <c r="CD111" s="130">
        <v>0</v>
      </c>
      <c r="CE111" s="130">
        <f t="shared" ref="CE111:CE112" si="405">AM111-AL111-AA111</f>
        <v>589050</v>
      </c>
      <c r="CF111" s="130">
        <f t="shared" ref="CF111:CF112" si="406">BO111-BN111</f>
        <v>628406.44999999995</v>
      </c>
      <c r="CG111" s="130">
        <f t="shared" ref="CG111:CG112" si="407">INT((D111- IF(MONTH(D111) &gt;= 4, DATE(YEAR(D111), 4, 1), DATE(YEAR(D111)-1, 4, 1))) / 7) + 1</f>
        <v>8</v>
      </c>
      <c r="CH111" s="150">
        <v>0</v>
      </c>
      <c r="CI111" s="130">
        <v>0</v>
      </c>
      <c r="CJ111" s="130" t="e">
        <f>_xlfn.XLOOKUP(AP111,POC!B:B,POC!D:D)</f>
        <v>#N/A</v>
      </c>
      <c r="CK111" s="130">
        <f t="shared" ref="CK111:CK112" si="408">AY111-Q111</f>
        <v>39356.449999999953</v>
      </c>
      <c r="CL111" s="130">
        <f t="shared" ref="CL111:CL112" si="409">CK111-Y111+Z111</f>
        <v>39356.449999999953</v>
      </c>
      <c r="CM111" s="130">
        <f t="shared" ref="CM111:CM112" si="410">BO111-AM111</f>
        <v>39356.449999999953</v>
      </c>
      <c r="CN111" s="130">
        <f t="shared" ref="CN111:CN112" si="411">AY111*118%</f>
        <v>741519.61099999992</v>
      </c>
      <c r="CO111" s="130">
        <f t="shared" ref="CO111:CO112" si="412">-Q111*118%</f>
        <v>-695079</v>
      </c>
      <c r="CP111" s="130">
        <f t="shared" ref="CP111:CP112" si="413">-BZ111*118%</f>
        <v>0</v>
      </c>
      <c r="CQ111" s="130">
        <f t="shared" ref="CQ111:CQ112" si="414">-CA111*118%</f>
        <v>0</v>
      </c>
      <c r="CR111" s="130">
        <f t="shared" ref="CR111:CR112" si="415">SUM(CN111:CQ111)</f>
        <v>46440.610999999917</v>
      </c>
      <c r="CS111" s="130" t="s">
        <v>236</v>
      </c>
      <c r="CT111" s="130" t="s">
        <v>236</v>
      </c>
      <c r="CU111" s="145" t="str">
        <f t="shared" ref="CU111:CU112" si="416">MID(G111,3,10)</f>
        <v>AAACG2086M</v>
      </c>
      <c r="CV111" s="145" t="str">
        <f t="shared" ref="CV111:CV112" si="417">MID(AR111,3,10)</f>
        <v>AAFCC0260J</v>
      </c>
    </row>
    <row r="112" spans="2:100" s="152" customFormat="1" ht="11.85" customHeight="1" x14ac:dyDescent="0.25">
      <c r="B112" s="123" t="str">
        <f t="shared" si="382"/>
        <v>Q1</v>
      </c>
      <c r="C112" s="124" t="str">
        <f t="shared" si="383"/>
        <v>May-26</v>
      </c>
      <c r="D112" s="125">
        <v>46162</v>
      </c>
      <c r="E112" s="126" t="s">
        <v>572</v>
      </c>
      <c r="F112" s="126" t="s">
        <v>568</v>
      </c>
      <c r="G112" s="126" t="s">
        <v>573</v>
      </c>
      <c r="H112" s="127" t="s">
        <v>574</v>
      </c>
      <c r="I112" s="349">
        <v>46162</v>
      </c>
      <c r="J112" s="350" t="s">
        <v>575</v>
      </c>
      <c r="K112" s="349">
        <v>46163</v>
      </c>
      <c r="L112" s="126" t="s">
        <v>397</v>
      </c>
      <c r="M112" s="126" t="s">
        <v>208</v>
      </c>
      <c r="N112" s="127" t="s">
        <v>212</v>
      </c>
      <c r="O112" s="126">
        <v>1</v>
      </c>
      <c r="P112" s="283">
        <v>322245</v>
      </c>
      <c r="Q112" s="128">
        <f t="shared" si="384"/>
        <v>322245</v>
      </c>
      <c r="R112" s="129">
        <v>0</v>
      </c>
      <c r="S112" s="128">
        <f t="shared" si="385"/>
        <v>1</v>
      </c>
      <c r="T112" s="129">
        <v>0</v>
      </c>
      <c r="U112" s="130">
        <v>0</v>
      </c>
      <c r="V112" s="131">
        <v>0</v>
      </c>
      <c r="W112" s="130">
        <v>0</v>
      </c>
      <c r="X112" s="132">
        <v>0</v>
      </c>
      <c r="Y112" s="130">
        <v>0</v>
      </c>
      <c r="Z112" s="130">
        <v>0</v>
      </c>
      <c r="AA112" s="129">
        <v>0</v>
      </c>
      <c r="AB112" s="133">
        <f t="shared" si="386"/>
        <v>0</v>
      </c>
      <c r="AC112" s="132">
        <v>0</v>
      </c>
      <c r="AD112" s="128">
        <v>0</v>
      </c>
      <c r="AE112" s="147">
        <v>0</v>
      </c>
      <c r="AF112" s="130">
        <v>0</v>
      </c>
      <c r="AG112" s="134">
        <v>0</v>
      </c>
      <c r="AH112" s="130">
        <v>0</v>
      </c>
      <c r="AI112" s="131">
        <v>0</v>
      </c>
      <c r="AJ112" s="130">
        <v>0</v>
      </c>
      <c r="AK112" s="130">
        <v>0</v>
      </c>
      <c r="AL112" s="130">
        <v>0</v>
      </c>
      <c r="AM112" s="135">
        <f t="shared" si="387"/>
        <v>322245</v>
      </c>
      <c r="AN112" s="136">
        <v>46163</v>
      </c>
      <c r="AO112" s="137" t="s">
        <v>582</v>
      </c>
      <c r="AP112" s="138" t="s">
        <v>577</v>
      </c>
      <c r="AQ112" s="139" t="s">
        <v>578</v>
      </c>
      <c r="AR112" s="139" t="s">
        <v>579</v>
      </c>
      <c r="AS112" s="126" t="s">
        <v>583</v>
      </c>
      <c r="AT112" s="140" t="s">
        <v>581</v>
      </c>
      <c r="AU112" s="140" t="s">
        <v>147</v>
      </c>
      <c r="AV112" s="141" t="s">
        <v>208</v>
      </c>
      <c r="AW112" s="139">
        <v>1</v>
      </c>
      <c r="AX112" s="141">
        <v>343677.3</v>
      </c>
      <c r="AY112" s="139">
        <f t="shared" si="388"/>
        <v>343677.3</v>
      </c>
      <c r="AZ112" s="142" t="b">
        <f t="shared" si="389"/>
        <v>1</v>
      </c>
      <c r="BA112" s="128">
        <v>0</v>
      </c>
      <c r="BB112" s="143">
        <f t="shared" si="390"/>
        <v>1</v>
      </c>
      <c r="BC112" s="144">
        <v>0</v>
      </c>
      <c r="BD112" s="143" t="s">
        <v>109</v>
      </c>
      <c r="BE112" s="144">
        <v>0</v>
      </c>
      <c r="BF112" s="143">
        <v>0</v>
      </c>
      <c r="BG112" s="144">
        <v>0</v>
      </c>
      <c r="BH112" s="130">
        <v>0</v>
      </c>
      <c r="BI112" s="133">
        <v>0</v>
      </c>
      <c r="BJ112" s="131">
        <v>0</v>
      </c>
      <c r="BK112" s="128">
        <v>0</v>
      </c>
      <c r="BL112" s="139">
        <v>0</v>
      </c>
      <c r="BM112" s="130">
        <v>0</v>
      </c>
      <c r="BN112" s="145">
        <f t="shared" si="391"/>
        <v>0</v>
      </c>
      <c r="BO112" s="129">
        <f t="shared" si="392"/>
        <v>343677.3</v>
      </c>
      <c r="BP112" s="135">
        <f t="shared" si="393"/>
        <v>21432.299999999988</v>
      </c>
      <c r="BQ112" s="144" t="str">
        <f t="shared" si="394"/>
        <v>Positive Margin</v>
      </c>
      <c r="BR112" s="146" t="s">
        <v>209</v>
      </c>
      <c r="BS112" s="128">
        <f t="shared" si="395"/>
        <v>21432.299999999988</v>
      </c>
      <c r="BT112" s="147" t="str">
        <f t="shared" si="396"/>
        <v>Positive Margin at Inception</v>
      </c>
      <c r="BU112" s="148">
        <f t="shared" si="397"/>
        <v>6.2361698023116419E-2</v>
      </c>
      <c r="BV112" s="147" t="str">
        <f t="shared" si="398"/>
        <v>More than 2%</v>
      </c>
      <c r="BW112" s="128">
        <f t="shared" si="399"/>
        <v>0</v>
      </c>
      <c r="BX112" s="129">
        <f t="shared" si="400"/>
        <v>0</v>
      </c>
      <c r="BY112" s="128">
        <f t="shared" si="401"/>
        <v>0</v>
      </c>
      <c r="BZ112" s="149">
        <f t="shared" si="402"/>
        <v>0</v>
      </c>
      <c r="CA112" s="149">
        <f t="shared" si="403"/>
        <v>0</v>
      </c>
      <c r="CB112" s="130">
        <f t="shared" si="404"/>
        <v>0</v>
      </c>
      <c r="CC112" s="149" t="s">
        <v>282</v>
      </c>
      <c r="CD112" s="130">
        <v>0</v>
      </c>
      <c r="CE112" s="130">
        <f t="shared" si="405"/>
        <v>322245</v>
      </c>
      <c r="CF112" s="130">
        <f t="shared" si="406"/>
        <v>343677.3</v>
      </c>
      <c r="CG112" s="130">
        <f t="shared" si="407"/>
        <v>8</v>
      </c>
      <c r="CH112" s="150">
        <v>0</v>
      </c>
      <c r="CI112" s="130">
        <v>0</v>
      </c>
      <c r="CJ112" s="130" t="e">
        <f>_xlfn.XLOOKUP(AP112,POC!B:B,POC!D:D)</f>
        <v>#N/A</v>
      </c>
      <c r="CK112" s="130">
        <f t="shared" si="408"/>
        <v>21432.299999999988</v>
      </c>
      <c r="CL112" s="130">
        <f t="shared" si="409"/>
        <v>21432.299999999988</v>
      </c>
      <c r="CM112" s="130">
        <f t="shared" si="410"/>
        <v>21432.299999999988</v>
      </c>
      <c r="CN112" s="130">
        <f t="shared" si="411"/>
        <v>405539.21399999998</v>
      </c>
      <c r="CO112" s="130">
        <f t="shared" si="412"/>
        <v>-380249.1</v>
      </c>
      <c r="CP112" s="130">
        <f t="shared" si="413"/>
        <v>0</v>
      </c>
      <c r="CQ112" s="130">
        <f t="shared" si="414"/>
        <v>0</v>
      </c>
      <c r="CR112" s="130">
        <f t="shared" si="415"/>
        <v>25290.114000000001</v>
      </c>
      <c r="CS112" s="130" t="s">
        <v>236</v>
      </c>
      <c r="CT112" s="130" t="s">
        <v>236</v>
      </c>
      <c r="CU112" s="145" t="str">
        <f t="shared" si="416"/>
        <v>AAACG2086M</v>
      </c>
      <c r="CV112" s="145" t="str">
        <f t="shared" si="417"/>
        <v>AAFCC0260J</v>
      </c>
    </row>
    <row r="113" spans="2:100" s="152" customFormat="1" ht="11.85" customHeight="1" x14ac:dyDescent="0.25">
      <c r="B113" s="123" t="str">
        <f t="shared" ref="B113" si="418">"Q" &amp; IF(ROUNDUP(MONTH(D113)/3,0)-1=0,4,ROUNDUP(MONTH(D113)/3,0)-1)</f>
        <v>Q1</v>
      </c>
      <c r="C113" s="124" t="str">
        <f t="shared" ref="C113" si="419">TEXT(AN113,"mmm-yy")</f>
        <v>May-26</v>
      </c>
      <c r="D113" s="125">
        <v>46170</v>
      </c>
      <c r="E113" s="126" t="s">
        <v>586</v>
      </c>
      <c r="F113" s="126" t="s">
        <v>587</v>
      </c>
      <c r="G113" s="126" t="s">
        <v>588</v>
      </c>
      <c r="H113" s="127" t="s">
        <v>589</v>
      </c>
      <c r="I113" s="349">
        <v>46170</v>
      </c>
      <c r="J113" s="350" t="s">
        <v>590</v>
      </c>
      <c r="K113" s="349">
        <v>46170</v>
      </c>
      <c r="L113" s="126" t="s">
        <v>397</v>
      </c>
      <c r="M113" s="126" t="s">
        <v>591</v>
      </c>
      <c r="N113" s="127" t="s">
        <v>592</v>
      </c>
      <c r="O113" s="126">
        <v>1</v>
      </c>
      <c r="P113" s="283">
        <v>21186.44</v>
      </c>
      <c r="Q113" s="128">
        <f t="shared" ref="Q113" si="420">O113*P113</f>
        <v>21186.44</v>
      </c>
      <c r="R113" s="129">
        <v>0</v>
      </c>
      <c r="S113" s="128">
        <f t="shared" ref="S113" si="421">O113-R113</f>
        <v>1</v>
      </c>
      <c r="T113" s="129">
        <v>0</v>
      </c>
      <c r="U113" s="130">
        <v>0</v>
      </c>
      <c r="V113" s="131">
        <v>0</v>
      </c>
      <c r="W113" s="130">
        <v>0</v>
      </c>
      <c r="X113" s="132">
        <v>0</v>
      </c>
      <c r="Y113" s="130">
        <v>0</v>
      </c>
      <c r="Z113" s="130">
        <v>0</v>
      </c>
      <c r="AA113" s="129">
        <v>0</v>
      </c>
      <c r="AB113" s="133">
        <f t="shared" ref="AB113" si="422">Y113+AA113+Z113</f>
        <v>0</v>
      </c>
      <c r="AC113" s="132">
        <v>0</v>
      </c>
      <c r="AD113" s="128">
        <v>0</v>
      </c>
      <c r="AE113" s="147">
        <v>0</v>
      </c>
      <c r="AF113" s="130">
        <v>0</v>
      </c>
      <c r="AG113" s="134">
        <v>0</v>
      </c>
      <c r="AH113" s="130">
        <v>0</v>
      </c>
      <c r="AI113" s="131">
        <v>0</v>
      </c>
      <c r="AJ113" s="130">
        <v>0</v>
      </c>
      <c r="AK113" s="130">
        <v>0</v>
      </c>
      <c r="AL113" s="130">
        <v>0</v>
      </c>
      <c r="AM113" s="135">
        <f t="shared" ref="AM113" si="423">Q113+AB113+AL113+AK113+AJ113+T113+AE113</f>
        <v>21186.44</v>
      </c>
      <c r="AN113" s="136">
        <v>46170</v>
      </c>
      <c r="AO113" s="137" t="s">
        <v>593</v>
      </c>
      <c r="AP113" s="138" t="s">
        <v>594</v>
      </c>
      <c r="AQ113" s="139" t="s">
        <v>324</v>
      </c>
      <c r="AR113" s="139" t="s">
        <v>325</v>
      </c>
      <c r="AS113" s="126" t="s">
        <v>595</v>
      </c>
      <c r="AT113" s="140" t="s">
        <v>596</v>
      </c>
      <c r="AU113" s="140" t="s">
        <v>597</v>
      </c>
      <c r="AV113" s="141" t="s">
        <v>598</v>
      </c>
      <c r="AW113" s="139">
        <v>1</v>
      </c>
      <c r="AX113" s="141">
        <v>29079.43</v>
      </c>
      <c r="AY113" s="139">
        <f t="shared" ref="AY113" si="424">AW113*AX113</f>
        <v>29079.43</v>
      </c>
      <c r="AZ113" s="142" t="b">
        <f t="shared" ref="AZ113" si="425">AW113=O113</f>
        <v>1</v>
      </c>
      <c r="BA113" s="128">
        <v>0</v>
      </c>
      <c r="BB113" s="143">
        <f t="shared" ref="BB113" si="426">AW113-BA113</f>
        <v>1</v>
      </c>
      <c r="BC113" s="144">
        <v>0</v>
      </c>
      <c r="BD113" s="143" t="s">
        <v>109</v>
      </c>
      <c r="BE113" s="144">
        <v>0</v>
      </c>
      <c r="BF113" s="143">
        <v>0</v>
      </c>
      <c r="BG113" s="144">
        <v>0</v>
      </c>
      <c r="BH113" s="130">
        <v>0</v>
      </c>
      <c r="BI113" s="133">
        <v>0</v>
      </c>
      <c r="BJ113" s="131">
        <v>0</v>
      </c>
      <c r="BK113" s="128">
        <v>0</v>
      </c>
      <c r="BL113" s="139">
        <v>0</v>
      </c>
      <c r="BM113" s="130">
        <v>0</v>
      </c>
      <c r="BN113" s="145">
        <f t="shared" ref="BN113" si="427">AY113*$BM$3</f>
        <v>0</v>
      </c>
      <c r="BO113" s="129">
        <f t="shared" ref="BO113" si="428">AY113+BL113+BM113+BN113+BC113+BG113</f>
        <v>29079.43</v>
      </c>
      <c r="BP113" s="135">
        <f t="shared" ref="BP113" si="429">BO113-AM113</f>
        <v>7892.9900000000016</v>
      </c>
      <c r="BQ113" s="144" t="str">
        <f t="shared" ref="BQ113" si="430">IF(BP113&gt;=0,"Positive Margin","Negative Margin")</f>
        <v>Positive Margin</v>
      </c>
      <c r="BR113" s="146" t="s">
        <v>209</v>
      </c>
      <c r="BS113" s="128">
        <f t="shared" ref="BS113" si="431">AY113-Y113-Q113-AA113-T113+BC113</f>
        <v>7892.9900000000016</v>
      </c>
      <c r="BT113" s="147" t="str">
        <f t="shared" ref="BT113" si="432">IF(BS113&lt;0, "Negative Margin at Inception", "Positive Margin at Inception")</f>
        <v>Positive Margin at Inception</v>
      </c>
      <c r="BU113" s="148">
        <f t="shared" ref="BU113" si="433">IFERROR(BP113/BO113,"0")</f>
        <v>0.27142863529305772</v>
      </c>
      <c r="BV113" s="147" t="str">
        <f t="shared" ref="BV113" si="434">IF(BU113&lt;1%,"Less Than 1%",IF(BU113&gt;2%,"More than 2%",IF(BU113&gt;=1%,"1% - 2%")))</f>
        <v>More than 2%</v>
      </c>
      <c r="BW113" s="128">
        <f t="shared" ref="BW113" si="435">BM113+BN113</f>
        <v>0</v>
      </c>
      <c r="BX113" s="129">
        <f t="shared" ref="BX113" si="436">AL113+AK113</f>
        <v>0</v>
      </c>
      <c r="BY113" s="128">
        <f t="shared" ref="BY113" si="437">BW113-BX113</f>
        <v>0</v>
      </c>
      <c r="BZ113" s="149">
        <f t="shared" ref="BZ113" si="438">BM113</f>
        <v>0</v>
      </c>
      <c r="CA113" s="149">
        <f t="shared" ref="CA113" si="439">AK113</f>
        <v>0</v>
      </c>
      <c r="CB113" s="130">
        <f t="shared" ref="CB113" si="440">BZ113-CA113</f>
        <v>0</v>
      </c>
      <c r="CC113" s="149" t="s">
        <v>282</v>
      </c>
      <c r="CD113" s="130">
        <v>0</v>
      </c>
      <c r="CE113" s="130">
        <f t="shared" ref="CE113" si="441">AM113-AL113-AA113</f>
        <v>21186.44</v>
      </c>
      <c r="CF113" s="130">
        <f t="shared" ref="CF113" si="442">BO113-BN113</f>
        <v>29079.43</v>
      </c>
      <c r="CG113" s="130">
        <f t="shared" ref="CG113" si="443">INT((D113- IF(MONTH(D113) &gt;= 4, DATE(YEAR(D113), 4, 1), DATE(YEAR(D113)-1, 4, 1))) / 7) + 1</f>
        <v>9</v>
      </c>
      <c r="CH113" s="150">
        <v>0</v>
      </c>
      <c r="CI113" s="130">
        <v>0</v>
      </c>
      <c r="CJ113" s="130" t="e">
        <f>_xlfn.XLOOKUP(AP113,POC!B:B,POC!D:D)</f>
        <v>#N/A</v>
      </c>
      <c r="CK113" s="130">
        <f t="shared" ref="CK113" si="444">AY113-Q113</f>
        <v>7892.9900000000016</v>
      </c>
      <c r="CL113" s="130">
        <f t="shared" ref="CL113" si="445">CK113-Y113+Z113</f>
        <v>7892.9900000000016</v>
      </c>
      <c r="CM113" s="130">
        <f t="shared" ref="CM113" si="446">BO113-AM113</f>
        <v>7892.9900000000016</v>
      </c>
      <c r="CN113" s="130">
        <f t="shared" ref="CN113" si="447">AY113*118%</f>
        <v>34313.727399999996</v>
      </c>
      <c r="CO113" s="130">
        <f t="shared" ref="CO113" si="448">-Q113*118%</f>
        <v>-24999.999199999998</v>
      </c>
      <c r="CP113" s="130">
        <f t="shared" ref="CP113" si="449">-BZ113*118%</f>
        <v>0</v>
      </c>
      <c r="CQ113" s="130">
        <f t="shared" ref="CQ113" si="450">-CA113*118%</f>
        <v>0</v>
      </c>
      <c r="CR113" s="130">
        <f t="shared" ref="CR113" si="451">SUM(CN113:CQ113)</f>
        <v>9313.7281999999977</v>
      </c>
      <c r="CS113" s="130" t="s">
        <v>236</v>
      </c>
      <c r="CT113" s="130" t="s">
        <v>236</v>
      </c>
      <c r="CU113" s="145" t="str">
        <f t="shared" ref="CU113" si="452">MID(G113,3,10)</f>
        <v>AAQPC0353E</v>
      </c>
      <c r="CV113" s="145" t="str">
        <f t="shared" ref="CV113" si="453">MID(AR113,3,10)</f>
        <v>ACHFA4592Q</v>
      </c>
    </row>
    <row r="114" spans="2:100" s="152" customFormat="1" ht="11.85" customHeight="1" x14ac:dyDescent="0.25">
      <c r="B114" s="123" t="str">
        <f t="shared" ref="B114:B116" si="454">"Q" &amp; IF(ROUNDUP(MONTH(D114)/3,0)-1=0,4,ROUNDUP(MONTH(D114)/3,0)-1)</f>
        <v>Q1</v>
      </c>
      <c r="C114" s="124" t="str">
        <f t="shared" ref="C114:C116" si="455">TEXT(AN114,"mmm-yy")</f>
        <v>Jun-26</v>
      </c>
      <c r="D114" s="125">
        <v>46176</v>
      </c>
      <c r="E114" s="126" t="s">
        <v>599</v>
      </c>
      <c r="F114" s="126" t="s">
        <v>600</v>
      </c>
      <c r="G114" s="126" t="s">
        <v>601</v>
      </c>
      <c r="H114" s="127" t="s">
        <v>602</v>
      </c>
      <c r="I114" s="349">
        <v>46176</v>
      </c>
      <c r="J114" s="350" t="s">
        <v>603</v>
      </c>
      <c r="K114" s="349">
        <v>46177</v>
      </c>
      <c r="L114" s="126" t="s">
        <v>237</v>
      </c>
      <c r="M114" s="126" t="s">
        <v>591</v>
      </c>
      <c r="N114" s="127" t="s">
        <v>604</v>
      </c>
      <c r="O114" s="126">
        <v>7</v>
      </c>
      <c r="P114" s="283">
        <v>456.96199999999999</v>
      </c>
      <c r="Q114" s="128">
        <f t="shared" ref="Q114:Q116" si="456">O114*P114</f>
        <v>3198.7339999999999</v>
      </c>
      <c r="R114" s="129">
        <v>0</v>
      </c>
      <c r="S114" s="128">
        <f t="shared" ref="S114:S116" si="457">O114-R114</f>
        <v>7</v>
      </c>
      <c r="T114" s="129">
        <v>0</v>
      </c>
      <c r="U114" s="130">
        <v>0</v>
      </c>
      <c r="V114" s="131">
        <v>0</v>
      </c>
      <c r="W114" s="130">
        <v>0</v>
      </c>
      <c r="X114" s="132">
        <v>0</v>
      </c>
      <c r="Y114" s="130">
        <v>0</v>
      </c>
      <c r="Z114" s="130">
        <v>0</v>
      </c>
      <c r="AA114" s="129">
        <v>0</v>
      </c>
      <c r="AB114" s="133">
        <f t="shared" ref="AB114:AB116" si="458">Y114+AA114+Z114</f>
        <v>0</v>
      </c>
      <c r="AC114" s="132">
        <v>0</v>
      </c>
      <c r="AD114" s="128">
        <v>0</v>
      </c>
      <c r="AE114" s="147">
        <v>0</v>
      </c>
      <c r="AF114" s="130">
        <v>0</v>
      </c>
      <c r="AG114" s="134">
        <v>0</v>
      </c>
      <c r="AH114" s="130">
        <v>0</v>
      </c>
      <c r="AI114" s="131">
        <v>0</v>
      </c>
      <c r="AJ114" s="130">
        <v>0</v>
      </c>
      <c r="AK114" s="130">
        <v>0</v>
      </c>
      <c r="AL114" s="130">
        <v>0</v>
      </c>
      <c r="AM114" s="135">
        <f t="shared" ref="AM114:AM116" si="459">Q114+AB114+AL114+AK114+AJ114+T114+AE114</f>
        <v>3198.7339999999999</v>
      </c>
      <c r="AN114" s="136">
        <v>46177</v>
      </c>
      <c r="AO114" s="137" t="s">
        <v>605</v>
      </c>
      <c r="AP114" s="138" t="s">
        <v>594</v>
      </c>
      <c r="AQ114" s="139" t="s">
        <v>324</v>
      </c>
      <c r="AR114" s="139" t="s">
        <v>325</v>
      </c>
      <c r="AS114" s="126" t="s">
        <v>606</v>
      </c>
      <c r="AT114" s="140" t="s">
        <v>596</v>
      </c>
      <c r="AU114" s="140" t="s">
        <v>597</v>
      </c>
      <c r="AV114" s="141" t="s">
        <v>607</v>
      </c>
      <c r="AW114" s="139">
        <v>7</v>
      </c>
      <c r="AX114" s="141">
        <v>499.61</v>
      </c>
      <c r="AY114" s="139">
        <f t="shared" ref="AY114:AY116" si="460">AW114*AX114</f>
        <v>3497.27</v>
      </c>
      <c r="AZ114" s="142" t="b">
        <f t="shared" ref="AZ114:AZ116" si="461">AW114=O114</f>
        <v>1</v>
      </c>
      <c r="BA114" s="128">
        <v>0</v>
      </c>
      <c r="BB114" s="143">
        <f t="shared" ref="BB114:BB116" si="462">AW114-BA114</f>
        <v>7</v>
      </c>
      <c r="BC114" s="144">
        <v>0</v>
      </c>
      <c r="BD114" s="143" t="s">
        <v>109</v>
      </c>
      <c r="BE114" s="144">
        <v>0</v>
      </c>
      <c r="BF114" s="143">
        <v>0</v>
      </c>
      <c r="BG114" s="144">
        <v>0</v>
      </c>
      <c r="BH114" s="130">
        <v>0</v>
      </c>
      <c r="BI114" s="133">
        <v>0</v>
      </c>
      <c r="BJ114" s="131">
        <v>0</v>
      </c>
      <c r="BK114" s="128">
        <v>0</v>
      </c>
      <c r="BL114" s="139">
        <v>0</v>
      </c>
      <c r="BM114" s="130">
        <v>0</v>
      </c>
      <c r="BN114" s="145">
        <f t="shared" ref="BN114:BN116" si="463">AY114*$BM$3</f>
        <v>0</v>
      </c>
      <c r="BO114" s="129">
        <f t="shared" ref="BO114:BO116" si="464">AY114+BL114+BM114+BN114+BC114+BG114</f>
        <v>3497.27</v>
      </c>
      <c r="BP114" s="135">
        <f t="shared" ref="BP114:BP116" si="465">BO114-AM114</f>
        <v>298.53600000000006</v>
      </c>
      <c r="BQ114" s="144" t="str">
        <f t="shared" ref="BQ114:BQ116" si="466">IF(BP114&gt;=0,"Positive Margin","Negative Margin")</f>
        <v>Positive Margin</v>
      </c>
      <c r="BR114" s="146" t="s">
        <v>209</v>
      </c>
      <c r="BS114" s="128">
        <f t="shared" ref="BS114:BS116" si="467">AY114-Y114-Q114-AA114-T114+BC114</f>
        <v>298.53600000000006</v>
      </c>
      <c r="BT114" s="147" t="str">
        <f t="shared" ref="BT114:BT116" si="468">IF(BS114&lt;0, "Negative Margin at Inception", "Positive Margin at Inception")</f>
        <v>Positive Margin at Inception</v>
      </c>
      <c r="BU114" s="148">
        <f t="shared" ref="BU114:BU116" si="469">IFERROR(BP114/BO114,"0")</f>
        <v>8.5362582814595397E-2</v>
      </c>
      <c r="BV114" s="147" t="str">
        <f t="shared" ref="BV114:BV116" si="470">IF(BU114&lt;1%,"Less Than 1%",IF(BU114&gt;2%,"More than 2%",IF(BU114&gt;=1%,"1% - 2%")))</f>
        <v>More than 2%</v>
      </c>
      <c r="BW114" s="128">
        <f t="shared" ref="BW114:BW116" si="471">BM114+BN114</f>
        <v>0</v>
      </c>
      <c r="BX114" s="129">
        <f t="shared" ref="BX114:BX116" si="472">AL114+AK114</f>
        <v>0</v>
      </c>
      <c r="BY114" s="128">
        <f t="shared" ref="BY114:BY116" si="473">BW114-BX114</f>
        <v>0</v>
      </c>
      <c r="BZ114" s="149">
        <f t="shared" ref="BZ114:BZ116" si="474">BM114</f>
        <v>0</v>
      </c>
      <c r="CA114" s="149">
        <f t="shared" ref="CA114:CA116" si="475">AK114</f>
        <v>0</v>
      </c>
      <c r="CB114" s="130">
        <f t="shared" ref="CB114:CB116" si="476">BZ114-CA114</f>
        <v>0</v>
      </c>
      <c r="CC114" s="149" t="s">
        <v>282</v>
      </c>
      <c r="CD114" s="130">
        <v>0</v>
      </c>
      <c r="CE114" s="130">
        <f t="shared" ref="CE114:CE116" si="477">AM114-AL114-AA114</f>
        <v>3198.7339999999999</v>
      </c>
      <c r="CF114" s="130">
        <f t="shared" ref="CF114:CF116" si="478">BO114-BN114</f>
        <v>3497.27</v>
      </c>
      <c r="CG114" s="130">
        <f t="shared" ref="CG114:CG116" si="479">INT((D114- IF(MONTH(D114) &gt;= 4, DATE(YEAR(D114), 4, 1), DATE(YEAR(D114)-1, 4, 1))) / 7) + 1</f>
        <v>10</v>
      </c>
      <c r="CH114" s="150">
        <v>0</v>
      </c>
      <c r="CI114" s="130">
        <v>0</v>
      </c>
      <c r="CJ114" s="130" t="e">
        <f>_xlfn.XLOOKUP(AP114,POC!B:B,POC!D:D)</f>
        <v>#N/A</v>
      </c>
      <c r="CK114" s="130">
        <f t="shared" ref="CK114:CK116" si="480">AY114-Q114</f>
        <v>298.53600000000006</v>
      </c>
      <c r="CL114" s="130">
        <f t="shared" ref="CL114:CL116" si="481">CK114-Y114+Z114</f>
        <v>298.53600000000006</v>
      </c>
      <c r="CM114" s="130">
        <f t="shared" ref="CM114:CM116" si="482">BO114-AM114</f>
        <v>298.53600000000006</v>
      </c>
      <c r="CN114" s="130">
        <f t="shared" ref="CN114:CN116" si="483">AY114*118%</f>
        <v>4126.7785999999996</v>
      </c>
      <c r="CO114" s="130">
        <f t="shared" ref="CO114:CO116" si="484">-Q114*118%</f>
        <v>-3774.5061199999996</v>
      </c>
      <c r="CP114" s="130">
        <f t="shared" ref="CP114:CP116" si="485">-BZ114*118%</f>
        <v>0</v>
      </c>
      <c r="CQ114" s="130">
        <f t="shared" ref="CQ114:CQ116" si="486">-CA114*118%</f>
        <v>0</v>
      </c>
      <c r="CR114" s="130">
        <f t="shared" ref="CR114:CR116" si="487">SUM(CN114:CQ114)</f>
        <v>352.27248000000009</v>
      </c>
      <c r="CS114" s="130" t="s">
        <v>236</v>
      </c>
      <c r="CT114" s="130" t="s">
        <v>236</v>
      </c>
      <c r="CU114" s="145" t="str">
        <f t="shared" ref="CU114:CU116" si="488">MID(G114,3,10)</f>
        <v>AABCA7366H</v>
      </c>
      <c r="CV114" s="145" t="str">
        <f t="shared" ref="CV114:CV116" si="489">MID(AR114,3,10)</f>
        <v>ACHFA4592Q</v>
      </c>
    </row>
    <row r="115" spans="2:100" s="152" customFormat="1" ht="11.85" customHeight="1" x14ac:dyDescent="0.25">
      <c r="B115" s="123" t="str">
        <f t="shared" si="454"/>
        <v>Q1</v>
      </c>
      <c r="C115" s="124" t="str">
        <f t="shared" si="455"/>
        <v>Jun-26</v>
      </c>
      <c r="D115" s="125">
        <v>46176</v>
      </c>
      <c r="E115" s="126" t="s">
        <v>599</v>
      </c>
      <c r="F115" s="126" t="s">
        <v>600</v>
      </c>
      <c r="G115" s="126" t="s">
        <v>601</v>
      </c>
      <c r="H115" s="127" t="s">
        <v>602</v>
      </c>
      <c r="I115" s="349">
        <v>46176</v>
      </c>
      <c r="J115" s="350" t="s">
        <v>603</v>
      </c>
      <c r="K115" s="349">
        <v>46177</v>
      </c>
      <c r="L115" s="126" t="s">
        <v>237</v>
      </c>
      <c r="M115" s="126" t="s">
        <v>591</v>
      </c>
      <c r="N115" s="127" t="s">
        <v>604</v>
      </c>
      <c r="O115" s="126">
        <v>40</v>
      </c>
      <c r="P115" s="283">
        <v>5151.21</v>
      </c>
      <c r="Q115" s="128">
        <f t="shared" si="456"/>
        <v>206048.4</v>
      </c>
      <c r="R115" s="129">
        <v>0</v>
      </c>
      <c r="S115" s="128">
        <f t="shared" si="457"/>
        <v>40</v>
      </c>
      <c r="T115" s="129">
        <v>0</v>
      </c>
      <c r="U115" s="130">
        <v>0</v>
      </c>
      <c r="V115" s="131">
        <v>0</v>
      </c>
      <c r="W115" s="130">
        <v>0</v>
      </c>
      <c r="X115" s="132">
        <v>0</v>
      </c>
      <c r="Y115" s="130">
        <v>0</v>
      </c>
      <c r="Z115" s="130">
        <v>0</v>
      </c>
      <c r="AA115" s="129">
        <v>0</v>
      </c>
      <c r="AB115" s="133">
        <f t="shared" si="458"/>
        <v>0</v>
      </c>
      <c r="AC115" s="132">
        <v>0</v>
      </c>
      <c r="AD115" s="128">
        <v>0</v>
      </c>
      <c r="AE115" s="147">
        <v>0</v>
      </c>
      <c r="AF115" s="130">
        <v>0</v>
      </c>
      <c r="AG115" s="134">
        <v>0</v>
      </c>
      <c r="AH115" s="130">
        <v>0</v>
      </c>
      <c r="AI115" s="131">
        <v>0</v>
      </c>
      <c r="AJ115" s="130">
        <v>0</v>
      </c>
      <c r="AK115" s="130">
        <v>0</v>
      </c>
      <c r="AL115" s="130">
        <v>0</v>
      </c>
      <c r="AM115" s="135">
        <f t="shared" si="459"/>
        <v>206048.4</v>
      </c>
      <c r="AN115" s="136">
        <v>46177</v>
      </c>
      <c r="AO115" s="137" t="s">
        <v>605</v>
      </c>
      <c r="AP115" s="138" t="s">
        <v>594</v>
      </c>
      <c r="AQ115" s="139" t="s">
        <v>324</v>
      </c>
      <c r="AR115" s="139" t="s">
        <v>325</v>
      </c>
      <c r="AS115" s="126" t="s">
        <v>606</v>
      </c>
      <c r="AT115" s="140" t="s">
        <v>596</v>
      </c>
      <c r="AU115" s="140" t="s">
        <v>597</v>
      </c>
      <c r="AV115" s="141" t="s">
        <v>607</v>
      </c>
      <c r="AW115" s="139">
        <v>40</v>
      </c>
      <c r="AX115" s="141">
        <v>5631.99</v>
      </c>
      <c r="AY115" s="139">
        <f t="shared" si="460"/>
        <v>225279.59999999998</v>
      </c>
      <c r="AZ115" s="142" t="b">
        <f t="shared" si="461"/>
        <v>1</v>
      </c>
      <c r="BA115" s="128">
        <v>0</v>
      </c>
      <c r="BB115" s="143">
        <f t="shared" si="462"/>
        <v>40</v>
      </c>
      <c r="BC115" s="144">
        <v>0</v>
      </c>
      <c r="BD115" s="143" t="s">
        <v>109</v>
      </c>
      <c r="BE115" s="144">
        <v>0</v>
      </c>
      <c r="BF115" s="143">
        <v>0</v>
      </c>
      <c r="BG115" s="144">
        <v>0</v>
      </c>
      <c r="BH115" s="130">
        <v>0</v>
      </c>
      <c r="BI115" s="133">
        <v>0</v>
      </c>
      <c r="BJ115" s="131">
        <v>0</v>
      </c>
      <c r="BK115" s="128">
        <v>0</v>
      </c>
      <c r="BL115" s="139">
        <v>0</v>
      </c>
      <c r="BM115" s="130">
        <v>0</v>
      </c>
      <c r="BN115" s="145">
        <f t="shared" si="463"/>
        <v>0</v>
      </c>
      <c r="BO115" s="129">
        <f t="shared" si="464"/>
        <v>225279.59999999998</v>
      </c>
      <c r="BP115" s="135">
        <f t="shared" si="465"/>
        <v>19231.199999999983</v>
      </c>
      <c r="BQ115" s="144" t="str">
        <f t="shared" si="466"/>
        <v>Positive Margin</v>
      </c>
      <c r="BR115" s="146" t="s">
        <v>209</v>
      </c>
      <c r="BS115" s="128">
        <f t="shared" si="467"/>
        <v>19231.199999999983</v>
      </c>
      <c r="BT115" s="147" t="str">
        <f t="shared" si="468"/>
        <v>Positive Margin at Inception</v>
      </c>
      <c r="BU115" s="148">
        <f t="shared" si="469"/>
        <v>8.5365918618463391E-2</v>
      </c>
      <c r="BV115" s="147" t="str">
        <f t="shared" si="470"/>
        <v>More than 2%</v>
      </c>
      <c r="BW115" s="128">
        <f t="shared" si="471"/>
        <v>0</v>
      </c>
      <c r="BX115" s="129">
        <f t="shared" si="472"/>
        <v>0</v>
      </c>
      <c r="BY115" s="128">
        <f t="shared" si="473"/>
        <v>0</v>
      </c>
      <c r="BZ115" s="149">
        <f t="shared" si="474"/>
        <v>0</v>
      </c>
      <c r="CA115" s="149">
        <f t="shared" si="475"/>
        <v>0</v>
      </c>
      <c r="CB115" s="130">
        <f t="shared" si="476"/>
        <v>0</v>
      </c>
      <c r="CC115" s="149" t="s">
        <v>282</v>
      </c>
      <c r="CD115" s="130">
        <v>0</v>
      </c>
      <c r="CE115" s="130">
        <f t="shared" si="477"/>
        <v>206048.4</v>
      </c>
      <c r="CF115" s="130">
        <f t="shared" si="478"/>
        <v>225279.59999999998</v>
      </c>
      <c r="CG115" s="130">
        <f t="shared" si="479"/>
        <v>10</v>
      </c>
      <c r="CH115" s="150">
        <v>0</v>
      </c>
      <c r="CI115" s="130">
        <v>0</v>
      </c>
      <c r="CJ115" s="130" t="e">
        <f>_xlfn.XLOOKUP(AP115,POC!B:B,POC!D:D)</f>
        <v>#N/A</v>
      </c>
      <c r="CK115" s="130">
        <f t="shared" si="480"/>
        <v>19231.199999999983</v>
      </c>
      <c r="CL115" s="130">
        <f t="shared" si="481"/>
        <v>19231.199999999983</v>
      </c>
      <c r="CM115" s="130">
        <f t="shared" si="482"/>
        <v>19231.199999999983</v>
      </c>
      <c r="CN115" s="130">
        <f t="shared" si="483"/>
        <v>265829.92799999996</v>
      </c>
      <c r="CO115" s="130">
        <f t="shared" si="484"/>
        <v>-243137.11199999999</v>
      </c>
      <c r="CP115" s="130">
        <f t="shared" si="485"/>
        <v>0</v>
      </c>
      <c r="CQ115" s="130">
        <f t="shared" si="486"/>
        <v>0</v>
      </c>
      <c r="CR115" s="130">
        <f t="shared" si="487"/>
        <v>22692.815999999963</v>
      </c>
      <c r="CS115" s="130" t="s">
        <v>236</v>
      </c>
      <c r="CT115" s="130" t="s">
        <v>236</v>
      </c>
      <c r="CU115" s="145" t="str">
        <f t="shared" si="488"/>
        <v>AABCA7366H</v>
      </c>
      <c r="CV115" s="145" t="str">
        <f t="shared" si="489"/>
        <v>ACHFA4592Q</v>
      </c>
    </row>
    <row r="116" spans="2:100" s="152" customFormat="1" ht="11.85" customHeight="1" x14ac:dyDescent="0.25">
      <c r="B116" s="123" t="str">
        <f t="shared" si="454"/>
        <v>Q1</v>
      </c>
      <c r="C116" s="124" t="str">
        <f t="shared" si="455"/>
        <v>Jun-26</v>
      </c>
      <c r="D116" s="125">
        <v>46176</v>
      </c>
      <c r="E116" s="126" t="s">
        <v>599</v>
      </c>
      <c r="F116" s="126" t="s">
        <v>600</v>
      </c>
      <c r="G116" s="126" t="s">
        <v>601</v>
      </c>
      <c r="H116" s="127" t="s">
        <v>602</v>
      </c>
      <c r="I116" s="349">
        <v>46176</v>
      </c>
      <c r="J116" s="350" t="s">
        <v>603</v>
      </c>
      <c r="K116" s="349">
        <v>46177</v>
      </c>
      <c r="L116" s="126" t="s">
        <v>237</v>
      </c>
      <c r="M116" s="126" t="s">
        <v>591</v>
      </c>
      <c r="N116" s="127" t="s">
        <v>604</v>
      </c>
      <c r="O116" s="126">
        <v>3</v>
      </c>
      <c r="P116" s="283">
        <v>13335</v>
      </c>
      <c r="Q116" s="128">
        <f t="shared" si="456"/>
        <v>40005</v>
      </c>
      <c r="R116" s="129">
        <v>0</v>
      </c>
      <c r="S116" s="128">
        <f t="shared" si="457"/>
        <v>3</v>
      </c>
      <c r="T116" s="129">
        <v>0</v>
      </c>
      <c r="U116" s="130">
        <v>0</v>
      </c>
      <c r="V116" s="131">
        <v>0</v>
      </c>
      <c r="W116" s="130">
        <v>0</v>
      </c>
      <c r="X116" s="132">
        <v>0</v>
      </c>
      <c r="Y116" s="130">
        <v>0</v>
      </c>
      <c r="Z116" s="130">
        <v>0</v>
      </c>
      <c r="AA116" s="129">
        <v>0</v>
      </c>
      <c r="AB116" s="133">
        <f t="shared" si="458"/>
        <v>0</v>
      </c>
      <c r="AC116" s="132">
        <v>0</v>
      </c>
      <c r="AD116" s="128">
        <v>0</v>
      </c>
      <c r="AE116" s="147">
        <v>0</v>
      </c>
      <c r="AF116" s="130">
        <v>0</v>
      </c>
      <c r="AG116" s="134">
        <v>0</v>
      </c>
      <c r="AH116" s="130">
        <v>0</v>
      </c>
      <c r="AI116" s="131">
        <v>0</v>
      </c>
      <c r="AJ116" s="130">
        <v>0</v>
      </c>
      <c r="AK116" s="130">
        <v>0</v>
      </c>
      <c r="AL116" s="130">
        <v>0</v>
      </c>
      <c r="AM116" s="135">
        <f t="shared" si="459"/>
        <v>40005</v>
      </c>
      <c r="AN116" s="136">
        <v>46177</v>
      </c>
      <c r="AO116" s="137" t="s">
        <v>605</v>
      </c>
      <c r="AP116" s="138" t="s">
        <v>594</v>
      </c>
      <c r="AQ116" s="139" t="s">
        <v>324</v>
      </c>
      <c r="AR116" s="139" t="s">
        <v>325</v>
      </c>
      <c r="AS116" s="126" t="s">
        <v>606</v>
      </c>
      <c r="AT116" s="140" t="s">
        <v>596</v>
      </c>
      <c r="AU116" s="140" t="s">
        <v>597</v>
      </c>
      <c r="AV116" s="141" t="s">
        <v>607</v>
      </c>
      <c r="AW116" s="139">
        <v>3</v>
      </c>
      <c r="AX116" s="141">
        <v>14579.61</v>
      </c>
      <c r="AY116" s="139">
        <f t="shared" si="460"/>
        <v>43738.83</v>
      </c>
      <c r="AZ116" s="142" t="b">
        <f t="shared" si="461"/>
        <v>1</v>
      </c>
      <c r="BA116" s="128">
        <v>0</v>
      </c>
      <c r="BB116" s="143">
        <f t="shared" si="462"/>
        <v>3</v>
      </c>
      <c r="BC116" s="144">
        <v>0</v>
      </c>
      <c r="BD116" s="143" t="s">
        <v>109</v>
      </c>
      <c r="BE116" s="144">
        <v>0</v>
      </c>
      <c r="BF116" s="143">
        <v>0</v>
      </c>
      <c r="BG116" s="144">
        <v>0</v>
      </c>
      <c r="BH116" s="130">
        <v>0</v>
      </c>
      <c r="BI116" s="133">
        <v>0</v>
      </c>
      <c r="BJ116" s="131">
        <v>0</v>
      </c>
      <c r="BK116" s="128">
        <v>0</v>
      </c>
      <c r="BL116" s="139">
        <v>0</v>
      </c>
      <c r="BM116" s="130">
        <v>0</v>
      </c>
      <c r="BN116" s="145">
        <f t="shared" si="463"/>
        <v>0</v>
      </c>
      <c r="BO116" s="129">
        <f t="shared" si="464"/>
        <v>43738.83</v>
      </c>
      <c r="BP116" s="135">
        <f t="shared" si="465"/>
        <v>3733.8300000000017</v>
      </c>
      <c r="BQ116" s="144" t="str">
        <f t="shared" si="466"/>
        <v>Positive Margin</v>
      </c>
      <c r="BR116" s="146" t="s">
        <v>209</v>
      </c>
      <c r="BS116" s="128">
        <f t="shared" si="467"/>
        <v>3733.8300000000017</v>
      </c>
      <c r="BT116" s="147" t="str">
        <f t="shared" si="468"/>
        <v>Positive Margin at Inception</v>
      </c>
      <c r="BU116" s="148">
        <f t="shared" si="469"/>
        <v>8.5366480996405286E-2</v>
      </c>
      <c r="BV116" s="147" t="str">
        <f t="shared" si="470"/>
        <v>More than 2%</v>
      </c>
      <c r="BW116" s="128">
        <f t="shared" si="471"/>
        <v>0</v>
      </c>
      <c r="BX116" s="129">
        <f t="shared" si="472"/>
        <v>0</v>
      </c>
      <c r="BY116" s="128">
        <f t="shared" si="473"/>
        <v>0</v>
      </c>
      <c r="BZ116" s="149">
        <f t="shared" si="474"/>
        <v>0</v>
      </c>
      <c r="CA116" s="149">
        <f t="shared" si="475"/>
        <v>0</v>
      </c>
      <c r="CB116" s="130">
        <f t="shared" si="476"/>
        <v>0</v>
      </c>
      <c r="CC116" s="149" t="s">
        <v>282</v>
      </c>
      <c r="CD116" s="130">
        <v>0</v>
      </c>
      <c r="CE116" s="130">
        <f t="shared" si="477"/>
        <v>40005</v>
      </c>
      <c r="CF116" s="130">
        <f t="shared" si="478"/>
        <v>43738.83</v>
      </c>
      <c r="CG116" s="130">
        <f t="shared" si="479"/>
        <v>10</v>
      </c>
      <c r="CH116" s="150">
        <v>0</v>
      </c>
      <c r="CI116" s="130">
        <v>0</v>
      </c>
      <c r="CJ116" s="130" t="e">
        <f>_xlfn.XLOOKUP(AP116,POC!B:B,POC!D:D)</f>
        <v>#N/A</v>
      </c>
      <c r="CK116" s="130">
        <f t="shared" si="480"/>
        <v>3733.8300000000017</v>
      </c>
      <c r="CL116" s="130">
        <f t="shared" si="481"/>
        <v>3733.8300000000017</v>
      </c>
      <c r="CM116" s="130">
        <f t="shared" si="482"/>
        <v>3733.8300000000017</v>
      </c>
      <c r="CN116" s="130">
        <f t="shared" si="483"/>
        <v>51611.8194</v>
      </c>
      <c r="CO116" s="130">
        <f t="shared" si="484"/>
        <v>-47205.899999999994</v>
      </c>
      <c r="CP116" s="130">
        <f t="shared" si="485"/>
        <v>0</v>
      </c>
      <c r="CQ116" s="130">
        <f t="shared" si="486"/>
        <v>0</v>
      </c>
      <c r="CR116" s="130">
        <f t="shared" si="487"/>
        <v>4405.9194000000061</v>
      </c>
      <c r="CS116" s="130" t="s">
        <v>236</v>
      </c>
      <c r="CT116" s="130" t="s">
        <v>236</v>
      </c>
      <c r="CU116" s="145" t="str">
        <f t="shared" si="488"/>
        <v>AABCA7366H</v>
      </c>
      <c r="CV116" s="145" t="str">
        <f t="shared" si="489"/>
        <v>ACHFA4592Q</v>
      </c>
    </row>
    <row r="117" spans="2:100" s="152" customFormat="1" ht="11.85" customHeight="1" x14ac:dyDescent="0.25">
      <c r="B117" s="123" t="str">
        <f t="shared" ref="B117:B118" si="490">"Q" &amp; IF(ROUNDUP(MONTH(D117)/3,0)-1=0,4,ROUNDUP(MONTH(D117)/3,0)-1)</f>
        <v>Q1</v>
      </c>
      <c r="C117" s="124" t="str">
        <f t="shared" ref="C117:C118" si="491">TEXT(AN117,"mmm-yy")</f>
        <v>Jun-26</v>
      </c>
      <c r="D117" s="125">
        <v>46174</v>
      </c>
      <c r="E117" s="126" t="s">
        <v>609</v>
      </c>
      <c r="F117" s="126" t="s">
        <v>587</v>
      </c>
      <c r="G117" s="126" t="s">
        <v>588</v>
      </c>
      <c r="H117" s="127" t="s">
        <v>610</v>
      </c>
      <c r="I117" s="349">
        <v>46174</v>
      </c>
      <c r="J117" s="350" t="s">
        <v>611</v>
      </c>
      <c r="K117" s="349">
        <v>46182</v>
      </c>
      <c r="L117" s="126" t="s">
        <v>397</v>
      </c>
      <c r="M117" s="126" t="s">
        <v>612</v>
      </c>
      <c r="N117" s="127" t="s">
        <v>297</v>
      </c>
      <c r="O117" s="126">
        <v>1</v>
      </c>
      <c r="P117" s="283">
        <v>2700</v>
      </c>
      <c r="Q117" s="128">
        <f t="shared" ref="Q117:Q118" si="492">O117*P117</f>
        <v>2700</v>
      </c>
      <c r="R117" s="129">
        <v>0</v>
      </c>
      <c r="S117" s="128">
        <f t="shared" ref="S117:S118" si="493">O117-R117</f>
        <v>1</v>
      </c>
      <c r="T117" s="129">
        <v>0</v>
      </c>
      <c r="U117" s="130">
        <v>0</v>
      </c>
      <c r="V117" s="131">
        <v>0</v>
      </c>
      <c r="W117" s="130">
        <v>0</v>
      </c>
      <c r="X117" s="132">
        <v>0</v>
      </c>
      <c r="Y117" s="130">
        <v>0</v>
      </c>
      <c r="Z117" s="130">
        <v>0</v>
      </c>
      <c r="AA117" s="129">
        <v>0</v>
      </c>
      <c r="AB117" s="133">
        <f t="shared" ref="AB117:AB118" si="494">Y117+AA117+Z117</f>
        <v>0</v>
      </c>
      <c r="AC117" s="132">
        <v>0</v>
      </c>
      <c r="AD117" s="128">
        <v>0</v>
      </c>
      <c r="AE117" s="147">
        <v>0</v>
      </c>
      <c r="AF117" s="130">
        <v>0</v>
      </c>
      <c r="AG117" s="134">
        <v>0</v>
      </c>
      <c r="AH117" s="130">
        <v>0</v>
      </c>
      <c r="AI117" s="131">
        <v>0</v>
      </c>
      <c r="AJ117" s="130">
        <v>0</v>
      </c>
      <c r="AK117" s="130">
        <v>0</v>
      </c>
      <c r="AL117" s="130">
        <v>0</v>
      </c>
      <c r="AM117" s="135">
        <f t="shared" ref="AM117:AM118" si="495">Q117+AB117+AL117+AK117+AJ117+T117+AE117</f>
        <v>2700</v>
      </c>
      <c r="AN117" s="136">
        <v>46182</v>
      </c>
      <c r="AO117" s="137" t="s">
        <v>614</v>
      </c>
      <c r="AP117" s="138" t="s">
        <v>594</v>
      </c>
      <c r="AQ117" s="139" t="s">
        <v>324</v>
      </c>
      <c r="AR117" s="139" t="s">
        <v>325</v>
      </c>
      <c r="AS117" s="126" t="s">
        <v>248</v>
      </c>
      <c r="AT117" s="140" t="s">
        <v>596</v>
      </c>
      <c r="AU117" s="140" t="s">
        <v>597</v>
      </c>
      <c r="AV117" s="141" t="s">
        <v>615</v>
      </c>
      <c r="AW117" s="139">
        <v>1</v>
      </c>
      <c r="AX117" s="141">
        <v>2907.94</v>
      </c>
      <c r="AY117" s="139">
        <f t="shared" ref="AY117:AY118" si="496">AW117*AX117</f>
        <v>2907.94</v>
      </c>
      <c r="AZ117" s="142" t="b">
        <f t="shared" ref="AZ117:AZ118" si="497">AW117=O117</f>
        <v>1</v>
      </c>
      <c r="BA117" s="128">
        <v>0</v>
      </c>
      <c r="BB117" s="143">
        <f t="shared" ref="BB117:BB118" si="498">AW117-BA117</f>
        <v>1</v>
      </c>
      <c r="BC117" s="144">
        <v>0</v>
      </c>
      <c r="BD117" s="143" t="s">
        <v>109</v>
      </c>
      <c r="BE117" s="144">
        <v>0</v>
      </c>
      <c r="BF117" s="143">
        <v>0</v>
      </c>
      <c r="BG117" s="144">
        <v>0</v>
      </c>
      <c r="BH117" s="130">
        <v>0</v>
      </c>
      <c r="BI117" s="133">
        <v>0</v>
      </c>
      <c r="BJ117" s="131">
        <v>0</v>
      </c>
      <c r="BK117" s="128">
        <v>0</v>
      </c>
      <c r="BL117" s="139">
        <v>0</v>
      </c>
      <c r="BM117" s="130">
        <v>0</v>
      </c>
      <c r="BN117" s="145">
        <f t="shared" ref="BN117:BN118" si="499">AY117*$BM$3</f>
        <v>0</v>
      </c>
      <c r="BO117" s="129">
        <f t="shared" ref="BO117:BO118" si="500">AY117+BL117+BM117+BN117+BC117+BG117</f>
        <v>2907.94</v>
      </c>
      <c r="BP117" s="135">
        <f t="shared" ref="BP117:BP118" si="501">BO117-AM117</f>
        <v>207.94000000000005</v>
      </c>
      <c r="BQ117" s="144" t="str">
        <f t="shared" ref="BQ117:BQ118" si="502">IF(BP117&gt;=0,"Positive Margin","Negative Margin")</f>
        <v>Positive Margin</v>
      </c>
      <c r="BR117" s="146" t="s">
        <v>209</v>
      </c>
      <c r="BS117" s="128">
        <f t="shared" ref="BS117:BS118" si="503">AY117-Y117-Q117-AA117-T117+BC117</f>
        <v>207.94000000000005</v>
      </c>
      <c r="BT117" s="147" t="str">
        <f t="shared" ref="BT117:BT118" si="504">IF(BS117&lt;0, "Negative Margin at Inception", "Positive Margin at Inception")</f>
        <v>Positive Margin at Inception</v>
      </c>
      <c r="BU117" s="148">
        <f t="shared" ref="BU117:BU118" si="505">IFERROR(BP117/BO117,"0")</f>
        <v>7.1507665220052696E-2</v>
      </c>
      <c r="BV117" s="147" t="str">
        <f t="shared" ref="BV117:BV118" si="506">IF(BU117&lt;1%,"Less Than 1%",IF(BU117&gt;2%,"More than 2%",IF(BU117&gt;=1%,"1% - 2%")))</f>
        <v>More than 2%</v>
      </c>
      <c r="BW117" s="128">
        <f t="shared" ref="BW117:BW118" si="507">BM117+BN117</f>
        <v>0</v>
      </c>
      <c r="BX117" s="129">
        <f t="shared" ref="BX117:BX118" si="508">AL117+AK117</f>
        <v>0</v>
      </c>
      <c r="BY117" s="128">
        <f t="shared" ref="BY117:BY118" si="509">BW117-BX117</f>
        <v>0</v>
      </c>
      <c r="BZ117" s="149">
        <f t="shared" ref="BZ117:BZ118" si="510">BM117</f>
        <v>0</v>
      </c>
      <c r="CA117" s="149">
        <f t="shared" ref="CA117:CA118" si="511">AK117</f>
        <v>0</v>
      </c>
      <c r="CB117" s="130">
        <f t="shared" ref="CB117:CB118" si="512">BZ117-CA117</f>
        <v>0</v>
      </c>
      <c r="CC117" s="149" t="s">
        <v>282</v>
      </c>
      <c r="CD117" s="130">
        <v>0</v>
      </c>
      <c r="CE117" s="130">
        <f t="shared" ref="CE117:CE118" si="513">AM117-AL117-AA117</f>
        <v>2700</v>
      </c>
      <c r="CF117" s="130">
        <f t="shared" ref="CF117:CF118" si="514">BO117-BN117</f>
        <v>2907.94</v>
      </c>
      <c r="CG117" s="130">
        <f t="shared" ref="CG117:CG118" si="515">INT((D117- IF(MONTH(D117) &gt;= 4, DATE(YEAR(D117), 4, 1), DATE(YEAR(D117)-1, 4, 1))) / 7) + 1</f>
        <v>9</v>
      </c>
      <c r="CH117" s="150">
        <v>0</v>
      </c>
      <c r="CI117" s="130">
        <v>0</v>
      </c>
      <c r="CJ117" s="130" t="e">
        <f>_xlfn.XLOOKUP(AP117,POC!B:B,POC!D:D)</f>
        <v>#N/A</v>
      </c>
      <c r="CK117" s="130">
        <f t="shared" ref="CK117:CK118" si="516">AY117-Q117</f>
        <v>207.94000000000005</v>
      </c>
      <c r="CL117" s="130">
        <f t="shared" ref="CL117:CL118" si="517">CK117-Y117+Z117</f>
        <v>207.94000000000005</v>
      </c>
      <c r="CM117" s="130">
        <f t="shared" ref="CM117:CM118" si="518">BO117-AM117</f>
        <v>207.94000000000005</v>
      </c>
      <c r="CN117" s="130">
        <f t="shared" ref="CN117:CN118" si="519">AY117*118%</f>
        <v>3431.3692000000001</v>
      </c>
      <c r="CO117" s="130">
        <f t="shared" ref="CO117:CO118" si="520">-Q117*118%</f>
        <v>-3186</v>
      </c>
      <c r="CP117" s="130">
        <f t="shared" ref="CP117:CP118" si="521">-BZ117*118%</f>
        <v>0</v>
      </c>
      <c r="CQ117" s="130">
        <f t="shared" ref="CQ117:CQ118" si="522">-CA117*118%</f>
        <v>0</v>
      </c>
      <c r="CR117" s="130">
        <f t="shared" ref="CR117:CR118" si="523">SUM(CN117:CQ117)</f>
        <v>245.36920000000009</v>
      </c>
      <c r="CS117" s="130" t="s">
        <v>236</v>
      </c>
      <c r="CT117" s="130" t="s">
        <v>236</v>
      </c>
      <c r="CU117" s="145" t="str">
        <f t="shared" ref="CU117:CU118" si="524">MID(G117,3,10)</f>
        <v>AAQPC0353E</v>
      </c>
      <c r="CV117" s="145" t="str">
        <f t="shared" ref="CV117:CV118" si="525">MID(AR117,3,10)</f>
        <v>ACHFA4592Q</v>
      </c>
    </row>
    <row r="118" spans="2:100" s="152" customFormat="1" ht="11.85" customHeight="1" x14ac:dyDescent="0.25">
      <c r="B118" s="123" t="str">
        <f t="shared" si="490"/>
        <v>Q1</v>
      </c>
      <c r="C118" s="124" t="str">
        <f t="shared" si="491"/>
        <v>Jun-26</v>
      </c>
      <c r="D118" s="125">
        <v>46174</v>
      </c>
      <c r="E118" s="126" t="s">
        <v>609</v>
      </c>
      <c r="F118" s="126" t="s">
        <v>587</v>
      </c>
      <c r="G118" s="126" t="s">
        <v>588</v>
      </c>
      <c r="H118" s="127" t="s">
        <v>610</v>
      </c>
      <c r="I118" s="349">
        <v>46174</v>
      </c>
      <c r="J118" s="350" t="s">
        <v>611</v>
      </c>
      <c r="K118" s="349">
        <v>46182</v>
      </c>
      <c r="L118" s="126" t="s">
        <v>397</v>
      </c>
      <c r="M118" s="126" t="s">
        <v>612</v>
      </c>
      <c r="N118" s="127" t="s">
        <v>613</v>
      </c>
      <c r="O118" s="126">
        <v>18</v>
      </c>
      <c r="P118" s="283">
        <v>500</v>
      </c>
      <c r="Q118" s="128">
        <f t="shared" si="492"/>
        <v>9000</v>
      </c>
      <c r="R118" s="129">
        <v>0</v>
      </c>
      <c r="S118" s="128">
        <f t="shared" si="493"/>
        <v>18</v>
      </c>
      <c r="T118" s="129">
        <v>0</v>
      </c>
      <c r="U118" s="130">
        <v>0</v>
      </c>
      <c r="V118" s="131">
        <v>0</v>
      </c>
      <c r="W118" s="130">
        <v>0</v>
      </c>
      <c r="X118" s="132">
        <v>0</v>
      </c>
      <c r="Y118" s="130">
        <v>0</v>
      </c>
      <c r="Z118" s="130">
        <v>0</v>
      </c>
      <c r="AA118" s="129">
        <v>0</v>
      </c>
      <c r="AB118" s="133">
        <f t="shared" si="494"/>
        <v>0</v>
      </c>
      <c r="AC118" s="132">
        <v>0</v>
      </c>
      <c r="AD118" s="128">
        <v>0</v>
      </c>
      <c r="AE118" s="147">
        <v>0</v>
      </c>
      <c r="AF118" s="130">
        <v>0</v>
      </c>
      <c r="AG118" s="134">
        <v>0</v>
      </c>
      <c r="AH118" s="130">
        <v>0</v>
      </c>
      <c r="AI118" s="131">
        <v>0</v>
      </c>
      <c r="AJ118" s="130">
        <v>0</v>
      </c>
      <c r="AK118" s="130">
        <v>0</v>
      </c>
      <c r="AL118" s="130">
        <v>0</v>
      </c>
      <c r="AM118" s="135">
        <f t="shared" si="495"/>
        <v>9000</v>
      </c>
      <c r="AN118" s="136">
        <v>46182</v>
      </c>
      <c r="AO118" s="137" t="s">
        <v>614</v>
      </c>
      <c r="AP118" s="138" t="s">
        <v>594</v>
      </c>
      <c r="AQ118" s="139" t="s">
        <v>324</v>
      </c>
      <c r="AR118" s="139" t="s">
        <v>325</v>
      </c>
      <c r="AS118" s="126" t="s">
        <v>248</v>
      </c>
      <c r="AT118" s="140" t="s">
        <v>596</v>
      </c>
      <c r="AU118" s="140" t="s">
        <v>597</v>
      </c>
      <c r="AV118" s="141" t="s">
        <v>615</v>
      </c>
      <c r="AW118" s="139">
        <v>18</v>
      </c>
      <c r="AX118" s="141">
        <v>540.04600000000005</v>
      </c>
      <c r="AY118" s="139">
        <f t="shared" si="496"/>
        <v>9720.8280000000013</v>
      </c>
      <c r="AZ118" s="142" t="b">
        <f t="shared" si="497"/>
        <v>1</v>
      </c>
      <c r="BA118" s="128">
        <v>0</v>
      </c>
      <c r="BB118" s="143">
        <f t="shared" si="498"/>
        <v>18</v>
      </c>
      <c r="BC118" s="144">
        <v>0</v>
      </c>
      <c r="BD118" s="143" t="s">
        <v>109</v>
      </c>
      <c r="BE118" s="144">
        <v>0</v>
      </c>
      <c r="BF118" s="143">
        <v>0</v>
      </c>
      <c r="BG118" s="144">
        <v>0</v>
      </c>
      <c r="BH118" s="130">
        <v>0</v>
      </c>
      <c r="BI118" s="133">
        <v>0</v>
      </c>
      <c r="BJ118" s="131">
        <v>0</v>
      </c>
      <c r="BK118" s="128">
        <v>0</v>
      </c>
      <c r="BL118" s="139">
        <v>0</v>
      </c>
      <c r="BM118" s="130">
        <v>0</v>
      </c>
      <c r="BN118" s="145">
        <f t="shared" si="499"/>
        <v>0</v>
      </c>
      <c r="BO118" s="129">
        <f t="shared" si="500"/>
        <v>9720.8280000000013</v>
      </c>
      <c r="BP118" s="135">
        <f t="shared" si="501"/>
        <v>720.82800000000134</v>
      </c>
      <c r="BQ118" s="144" t="str">
        <f t="shared" si="502"/>
        <v>Positive Margin</v>
      </c>
      <c r="BR118" s="146" t="s">
        <v>209</v>
      </c>
      <c r="BS118" s="128">
        <f t="shared" si="503"/>
        <v>720.82800000000134</v>
      </c>
      <c r="BT118" s="147" t="str">
        <f t="shared" si="504"/>
        <v>Positive Margin at Inception</v>
      </c>
      <c r="BU118" s="148">
        <f t="shared" si="505"/>
        <v>7.4152942527118182E-2</v>
      </c>
      <c r="BV118" s="147" t="str">
        <f t="shared" si="506"/>
        <v>More than 2%</v>
      </c>
      <c r="BW118" s="128">
        <f t="shared" si="507"/>
        <v>0</v>
      </c>
      <c r="BX118" s="129">
        <f t="shared" si="508"/>
        <v>0</v>
      </c>
      <c r="BY118" s="128">
        <f t="shared" si="509"/>
        <v>0</v>
      </c>
      <c r="BZ118" s="149">
        <f t="shared" si="510"/>
        <v>0</v>
      </c>
      <c r="CA118" s="149">
        <f t="shared" si="511"/>
        <v>0</v>
      </c>
      <c r="CB118" s="130">
        <f t="shared" si="512"/>
        <v>0</v>
      </c>
      <c r="CC118" s="149" t="s">
        <v>282</v>
      </c>
      <c r="CD118" s="130">
        <v>0</v>
      </c>
      <c r="CE118" s="130">
        <f t="shared" si="513"/>
        <v>9000</v>
      </c>
      <c r="CF118" s="130">
        <f t="shared" si="514"/>
        <v>9720.8280000000013</v>
      </c>
      <c r="CG118" s="130">
        <f t="shared" si="515"/>
        <v>9</v>
      </c>
      <c r="CH118" s="150">
        <v>0</v>
      </c>
      <c r="CI118" s="130">
        <v>0</v>
      </c>
      <c r="CJ118" s="130" t="e">
        <f>_xlfn.XLOOKUP(AP118,POC!B:B,POC!D:D)</f>
        <v>#N/A</v>
      </c>
      <c r="CK118" s="130">
        <f t="shared" si="516"/>
        <v>720.82800000000134</v>
      </c>
      <c r="CL118" s="130">
        <f t="shared" si="517"/>
        <v>720.82800000000134</v>
      </c>
      <c r="CM118" s="130">
        <f t="shared" si="518"/>
        <v>720.82800000000134</v>
      </c>
      <c r="CN118" s="130">
        <f t="shared" si="519"/>
        <v>11470.57704</v>
      </c>
      <c r="CO118" s="130">
        <f t="shared" si="520"/>
        <v>-10620</v>
      </c>
      <c r="CP118" s="130">
        <f t="shared" si="521"/>
        <v>0</v>
      </c>
      <c r="CQ118" s="130">
        <f t="shared" si="522"/>
        <v>0</v>
      </c>
      <c r="CR118" s="130">
        <f t="shared" si="523"/>
        <v>850.57704000000012</v>
      </c>
      <c r="CS118" s="130" t="s">
        <v>236</v>
      </c>
      <c r="CT118" s="130" t="s">
        <v>236</v>
      </c>
      <c r="CU118" s="145" t="str">
        <f t="shared" si="524"/>
        <v>AAQPC0353E</v>
      </c>
      <c r="CV118" s="145" t="str">
        <f t="shared" si="525"/>
        <v>ACHFA4592Q</v>
      </c>
    </row>
    <row r="119" spans="2:100" s="152" customFormat="1" ht="11.85" customHeight="1" x14ac:dyDescent="0.25">
      <c r="B119" s="123" t="str">
        <f t="shared" ref="B119:B143" si="526">"Q" &amp; IF(ROUNDUP(MONTH(D119)/3,0)-1=0,4,ROUNDUP(MONTH(D119)/3,0)-1)</f>
        <v>Q1</v>
      </c>
      <c r="C119" s="124" t="str">
        <f t="shared" ref="C119:C143" si="527">TEXT(AN119,"mmm-yy")</f>
        <v>Jun-26</v>
      </c>
      <c r="D119" s="125">
        <v>46178</v>
      </c>
      <c r="E119" s="126" t="s">
        <v>619</v>
      </c>
      <c r="F119" s="126" t="s">
        <v>620</v>
      </c>
      <c r="G119" s="126" t="s">
        <v>621</v>
      </c>
      <c r="H119" s="127" t="s">
        <v>622</v>
      </c>
      <c r="I119" s="349">
        <v>46178</v>
      </c>
      <c r="J119" s="350" t="s">
        <v>623</v>
      </c>
      <c r="K119" s="349">
        <v>46192</v>
      </c>
      <c r="L119" s="126" t="s">
        <v>237</v>
      </c>
      <c r="M119" s="126" t="s">
        <v>525</v>
      </c>
      <c r="N119" s="127" t="s">
        <v>212</v>
      </c>
      <c r="O119" s="126">
        <v>53</v>
      </c>
      <c r="P119" s="283">
        <v>1250</v>
      </c>
      <c r="Q119" s="128">
        <f t="shared" ref="Q119:Q143" si="528">O119*P119</f>
        <v>66250</v>
      </c>
      <c r="R119" s="129">
        <v>0</v>
      </c>
      <c r="S119" s="128">
        <f t="shared" ref="S119:S143" si="529">O119-R119</f>
        <v>53</v>
      </c>
      <c r="T119" s="129">
        <v>0</v>
      </c>
      <c r="U119" s="130">
        <v>0</v>
      </c>
      <c r="V119" s="131">
        <v>0</v>
      </c>
      <c r="W119" s="130">
        <v>0</v>
      </c>
      <c r="X119" s="132">
        <v>0</v>
      </c>
      <c r="Y119" s="130">
        <v>0</v>
      </c>
      <c r="Z119" s="130">
        <v>0</v>
      </c>
      <c r="AA119" s="129">
        <v>0</v>
      </c>
      <c r="AB119" s="133">
        <f t="shared" ref="AB119:AB143" si="530">Y119+AA119+Z119</f>
        <v>0</v>
      </c>
      <c r="AC119" s="132">
        <v>0</v>
      </c>
      <c r="AD119" s="128">
        <v>0</v>
      </c>
      <c r="AE119" s="147">
        <v>0</v>
      </c>
      <c r="AF119" s="130">
        <v>0</v>
      </c>
      <c r="AG119" s="134">
        <v>0</v>
      </c>
      <c r="AH119" s="130">
        <v>0</v>
      </c>
      <c r="AI119" s="131">
        <v>0</v>
      </c>
      <c r="AJ119" s="130">
        <v>0</v>
      </c>
      <c r="AK119" s="130">
        <v>0</v>
      </c>
      <c r="AL119" s="130">
        <v>0</v>
      </c>
      <c r="AM119" s="135">
        <f t="shared" ref="AM119:AM143" si="531">Q119+AB119+AL119+AK119+AJ119+T119+AE119</f>
        <v>66250</v>
      </c>
      <c r="AN119" s="136">
        <v>46192</v>
      </c>
      <c r="AO119" s="137" t="s">
        <v>656</v>
      </c>
      <c r="AP119" s="138" t="s">
        <v>532</v>
      </c>
      <c r="AQ119" s="139" t="s">
        <v>533</v>
      </c>
      <c r="AR119" s="139" t="s">
        <v>534</v>
      </c>
      <c r="AS119" s="126" t="s">
        <v>657</v>
      </c>
      <c r="AT119" s="140" t="s">
        <v>360</v>
      </c>
      <c r="AU119" s="140" t="s">
        <v>361</v>
      </c>
      <c r="AV119" s="141" t="s">
        <v>658</v>
      </c>
      <c r="AW119" s="139">
        <v>53</v>
      </c>
      <c r="AX119" s="141">
        <v>1312.5</v>
      </c>
      <c r="AY119" s="139">
        <f t="shared" ref="AY119:AY143" si="532">AW119*AX119</f>
        <v>69562.5</v>
      </c>
      <c r="AZ119" s="142" t="b">
        <f t="shared" ref="AZ119:AZ143" si="533">AW119=O119</f>
        <v>1</v>
      </c>
      <c r="BA119" s="128">
        <v>0</v>
      </c>
      <c r="BB119" s="143">
        <f t="shared" ref="BB119:BB143" si="534">AW119-BA119</f>
        <v>53</v>
      </c>
      <c r="BC119" s="144">
        <v>0</v>
      </c>
      <c r="BD119" s="143" t="s">
        <v>109</v>
      </c>
      <c r="BE119" s="144">
        <v>0</v>
      </c>
      <c r="BF119" s="143">
        <v>0</v>
      </c>
      <c r="BG119" s="144">
        <v>0</v>
      </c>
      <c r="BH119" s="130">
        <v>0</v>
      </c>
      <c r="BI119" s="133">
        <v>0</v>
      </c>
      <c r="BJ119" s="131">
        <v>0</v>
      </c>
      <c r="BK119" s="128">
        <v>0</v>
      </c>
      <c r="BL119" s="139">
        <v>0</v>
      </c>
      <c r="BM119" s="130">
        <v>0</v>
      </c>
      <c r="BN119" s="145">
        <f t="shared" ref="BN119:BN143" si="535">AY119*$BM$3</f>
        <v>0</v>
      </c>
      <c r="BO119" s="129">
        <f t="shared" ref="BO119:BO143" si="536">AY119+BL119+BM119+BN119+BC119+BG119</f>
        <v>69562.5</v>
      </c>
      <c r="BP119" s="135">
        <f t="shared" ref="BP119:BP143" si="537">BO119-AM119</f>
        <v>3312.5</v>
      </c>
      <c r="BQ119" s="144" t="str">
        <f t="shared" ref="BQ119:BQ143" si="538">IF(BP119&gt;=0,"Positive Margin","Negative Margin")</f>
        <v>Positive Margin</v>
      </c>
      <c r="BR119" s="146" t="s">
        <v>209</v>
      </c>
      <c r="BS119" s="128">
        <f t="shared" ref="BS119:BS143" si="539">AY119-Y119-Q119-AA119-T119+BC119</f>
        <v>3312.5</v>
      </c>
      <c r="BT119" s="147" t="str">
        <f t="shared" ref="BT119:BT143" si="540">IF(BS119&lt;0, "Negative Margin at Inception", "Positive Margin at Inception")</f>
        <v>Positive Margin at Inception</v>
      </c>
      <c r="BU119" s="148">
        <f t="shared" ref="BU119:BU143" si="541">IFERROR(BP119/BO119,"0")</f>
        <v>4.7619047619047616E-2</v>
      </c>
      <c r="BV119" s="147" t="str">
        <f t="shared" ref="BV119:BV143" si="542">IF(BU119&lt;1%,"Less Than 1%",IF(BU119&gt;2%,"More than 2%",IF(BU119&gt;=1%,"1% - 2%")))</f>
        <v>More than 2%</v>
      </c>
      <c r="BW119" s="128">
        <f t="shared" ref="BW119:BW143" si="543">BM119+BN119</f>
        <v>0</v>
      </c>
      <c r="BX119" s="129">
        <f t="shared" ref="BX119:BX143" si="544">AL119+AK119</f>
        <v>0</v>
      </c>
      <c r="BY119" s="128">
        <f t="shared" ref="BY119:BY143" si="545">BW119-BX119</f>
        <v>0</v>
      </c>
      <c r="BZ119" s="149">
        <f t="shared" ref="BZ119:BZ143" si="546">BM119</f>
        <v>0</v>
      </c>
      <c r="CA119" s="149">
        <f t="shared" ref="CA119:CA143" si="547">AK119</f>
        <v>0</v>
      </c>
      <c r="CB119" s="130">
        <f t="shared" ref="CB119:CB143" si="548">BZ119-CA119</f>
        <v>0</v>
      </c>
      <c r="CC119" s="149" t="s">
        <v>282</v>
      </c>
      <c r="CD119" s="130">
        <v>0</v>
      </c>
      <c r="CE119" s="130">
        <f t="shared" ref="CE119:CE143" si="549">AM119-AL119-AA119</f>
        <v>66250</v>
      </c>
      <c r="CF119" s="130">
        <f t="shared" ref="CF119:CF143" si="550">BO119-BN119</f>
        <v>69562.5</v>
      </c>
      <c r="CG119" s="130">
        <f t="shared" ref="CG119:CG143" si="551">INT((D119- IF(MONTH(D119) &gt;= 4, DATE(YEAR(D119), 4, 1), DATE(YEAR(D119)-1, 4, 1))) / 7) + 1</f>
        <v>10</v>
      </c>
      <c r="CH119" s="150">
        <v>0</v>
      </c>
      <c r="CI119" s="130">
        <v>0</v>
      </c>
      <c r="CJ119" s="130" t="e">
        <f>_xlfn.XLOOKUP(AP119,POC!B:B,POC!D:D)</f>
        <v>#N/A</v>
      </c>
      <c r="CK119" s="130">
        <f t="shared" ref="CK119:CK143" si="552">AY119-Q119</f>
        <v>3312.5</v>
      </c>
      <c r="CL119" s="130">
        <f t="shared" ref="CL119:CL143" si="553">CK119-Y119+Z119</f>
        <v>3312.5</v>
      </c>
      <c r="CM119" s="130">
        <f t="shared" ref="CM119:CM143" si="554">BO119-AM119</f>
        <v>3312.5</v>
      </c>
      <c r="CN119" s="130">
        <f t="shared" ref="CN119:CN143" si="555">AY119*118%</f>
        <v>82083.75</v>
      </c>
      <c r="CO119" s="130">
        <f t="shared" ref="CO119:CO143" si="556">-Q119*118%</f>
        <v>-78175</v>
      </c>
      <c r="CP119" s="130">
        <f t="shared" ref="CP119:CP143" si="557">-BZ119*118%</f>
        <v>0</v>
      </c>
      <c r="CQ119" s="130">
        <f t="shared" ref="CQ119:CQ143" si="558">-CA119*118%</f>
        <v>0</v>
      </c>
      <c r="CR119" s="130">
        <f t="shared" ref="CR119:CR143" si="559">SUM(CN119:CQ119)</f>
        <v>3908.75</v>
      </c>
      <c r="CS119" s="130" t="s">
        <v>236</v>
      </c>
      <c r="CT119" s="130" t="s">
        <v>236</v>
      </c>
      <c r="CU119" s="145" t="str">
        <f t="shared" ref="CU119:CU143" si="560">MID(G119,3,10)</f>
        <v>AAATB2599R</v>
      </c>
      <c r="CV119" s="145" t="str">
        <f t="shared" ref="CV119:CV143" si="561">MID(AR119,3,10)</f>
        <v>GOWPS6814G</v>
      </c>
    </row>
    <row r="120" spans="2:100" s="152" customFormat="1" ht="11.85" customHeight="1" x14ac:dyDescent="0.25">
      <c r="B120" s="123" t="str">
        <f t="shared" si="526"/>
        <v>Q1</v>
      </c>
      <c r="C120" s="124" t="str">
        <f t="shared" si="527"/>
        <v>Jun-26</v>
      </c>
      <c r="D120" s="125">
        <v>46178</v>
      </c>
      <c r="E120" s="126" t="s">
        <v>619</v>
      </c>
      <c r="F120" s="126" t="s">
        <v>620</v>
      </c>
      <c r="G120" s="126" t="s">
        <v>621</v>
      </c>
      <c r="H120" s="127" t="s">
        <v>622</v>
      </c>
      <c r="I120" s="349">
        <v>46178</v>
      </c>
      <c r="J120" s="350" t="s">
        <v>623</v>
      </c>
      <c r="K120" s="349">
        <v>46192</v>
      </c>
      <c r="L120" s="126" t="s">
        <v>237</v>
      </c>
      <c r="M120" s="126" t="s">
        <v>525</v>
      </c>
      <c r="N120" s="127" t="s">
        <v>212</v>
      </c>
      <c r="O120" s="126">
        <v>49</v>
      </c>
      <c r="P120" s="283">
        <v>2300</v>
      </c>
      <c r="Q120" s="128">
        <f t="shared" si="528"/>
        <v>112700</v>
      </c>
      <c r="R120" s="129">
        <v>0</v>
      </c>
      <c r="S120" s="128">
        <f t="shared" si="529"/>
        <v>49</v>
      </c>
      <c r="T120" s="129">
        <v>0</v>
      </c>
      <c r="U120" s="130">
        <v>0</v>
      </c>
      <c r="V120" s="131">
        <v>0</v>
      </c>
      <c r="W120" s="130">
        <v>0</v>
      </c>
      <c r="X120" s="132">
        <v>0</v>
      </c>
      <c r="Y120" s="130">
        <v>0</v>
      </c>
      <c r="Z120" s="130">
        <v>0</v>
      </c>
      <c r="AA120" s="129">
        <v>0</v>
      </c>
      <c r="AB120" s="133">
        <f t="shared" si="530"/>
        <v>0</v>
      </c>
      <c r="AC120" s="132">
        <v>0</v>
      </c>
      <c r="AD120" s="128">
        <v>0</v>
      </c>
      <c r="AE120" s="147">
        <v>0</v>
      </c>
      <c r="AF120" s="130">
        <v>0</v>
      </c>
      <c r="AG120" s="134">
        <v>0</v>
      </c>
      <c r="AH120" s="130">
        <v>0</v>
      </c>
      <c r="AI120" s="131">
        <v>0</v>
      </c>
      <c r="AJ120" s="130">
        <v>0</v>
      </c>
      <c r="AK120" s="130">
        <v>0</v>
      </c>
      <c r="AL120" s="130">
        <v>0</v>
      </c>
      <c r="AM120" s="135">
        <f t="shared" si="531"/>
        <v>112700</v>
      </c>
      <c r="AN120" s="136">
        <v>46192</v>
      </c>
      <c r="AO120" s="137" t="s">
        <v>656</v>
      </c>
      <c r="AP120" s="138" t="s">
        <v>532</v>
      </c>
      <c r="AQ120" s="139" t="s">
        <v>533</v>
      </c>
      <c r="AR120" s="139" t="s">
        <v>534</v>
      </c>
      <c r="AS120" s="126" t="s">
        <v>657</v>
      </c>
      <c r="AT120" s="140" t="s">
        <v>360</v>
      </c>
      <c r="AU120" s="140" t="s">
        <v>361</v>
      </c>
      <c r="AV120" s="141" t="s">
        <v>658</v>
      </c>
      <c r="AW120" s="139">
        <v>49</v>
      </c>
      <c r="AX120" s="141">
        <v>2415</v>
      </c>
      <c r="AY120" s="139">
        <f t="shared" si="532"/>
        <v>118335</v>
      </c>
      <c r="AZ120" s="142" t="b">
        <f t="shared" si="533"/>
        <v>1</v>
      </c>
      <c r="BA120" s="128">
        <v>0</v>
      </c>
      <c r="BB120" s="143">
        <f t="shared" si="534"/>
        <v>49</v>
      </c>
      <c r="BC120" s="144">
        <v>0</v>
      </c>
      <c r="BD120" s="143" t="s">
        <v>109</v>
      </c>
      <c r="BE120" s="144">
        <v>0</v>
      </c>
      <c r="BF120" s="143">
        <v>0</v>
      </c>
      <c r="BG120" s="144">
        <v>0</v>
      </c>
      <c r="BH120" s="130">
        <v>0</v>
      </c>
      <c r="BI120" s="133">
        <v>0</v>
      </c>
      <c r="BJ120" s="131">
        <v>0</v>
      </c>
      <c r="BK120" s="128">
        <v>0</v>
      </c>
      <c r="BL120" s="139">
        <v>0</v>
      </c>
      <c r="BM120" s="130">
        <v>0</v>
      </c>
      <c r="BN120" s="145">
        <f t="shared" si="535"/>
        <v>0</v>
      </c>
      <c r="BO120" s="129">
        <f t="shared" si="536"/>
        <v>118335</v>
      </c>
      <c r="BP120" s="135">
        <f t="shared" si="537"/>
        <v>5635</v>
      </c>
      <c r="BQ120" s="144" t="str">
        <f t="shared" si="538"/>
        <v>Positive Margin</v>
      </c>
      <c r="BR120" s="146" t="s">
        <v>209</v>
      </c>
      <c r="BS120" s="128">
        <f t="shared" si="539"/>
        <v>5635</v>
      </c>
      <c r="BT120" s="147" t="str">
        <f t="shared" si="540"/>
        <v>Positive Margin at Inception</v>
      </c>
      <c r="BU120" s="148">
        <f t="shared" si="541"/>
        <v>4.7619047619047616E-2</v>
      </c>
      <c r="BV120" s="147" t="str">
        <f t="shared" si="542"/>
        <v>More than 2%</v>
      </c>
      <c r="BW120" s="128">
        <f t="shared" si="543"/>
        <v>0</v>
      </c>
      <c r="BX120" s="129">
        <f t="shared" si="544"/>
        <v>0</v>
      </c>
      <c r="BY120" s="128">
        <f t="shared" si="545"/>
        <v>0</v>
      </c>
      <c r="BZ120" s="149">
        <f t="shared" si="546"/>
        <v>0</v>
      </c>
      <c r="CA120" s="149">
        <f t="shared" si="547"/>
        <v>0</v>
      </c>
      <c r="CB120" s="130">
        <f t="shared" si="548"/>
        <v>0</v>
      </c>
      <c r="CC120" s="149" t="s">
        <v>282</v>
      </c>
      <c r="CD120" s="130">
        <v>0</v>
      </c>
      <c r="CE120" s="130">
        <f t="shared" si="549"/>
        <v>112700</v>
      </c>
      <c r="CF120" s="130">
        <f t="shared" si="550"/>
        <v>118335</v>
      </c>
      <c r="CG120" s="130">
        <f t="shared" si="551"/>
        <v>10</v>
      </c>
      <c r="CH120" s="150">
        <v>0</v>
      </c>
      <c r="CI120" s="130">
        <v>0</v>
      </c>
      <c r="CJ120" s="130" t="e">
        <f>_xlfn.XLOOKUP(AP120,POC!B:B,POC!D:D)</f>
        <v>#N/A</v>
      </c>
      <c r="CK120" s="130">
        <f t="shared" si="552"/>
        <v>5635</v>
      </c>
      <c r="CL120" s="130">
        <f t="shared" si="553"/>
        <v>5635</v>
      </c>
      <c r="CM120" s="130">
        <f t="shared" si="554"/>
        <v>5635</v>
      </c>
      <c r="CN120" s="130">
        <f t="shared" si="555"/>
        <v>139635.29999999999</v>
      </c>
      <c r="CO120" s="130">
        <f t="shared" si="556"/>
        <v>-132986</v>
      </c>
      <c r="CP120" s="130">
        <f t="shared" si="557"/>
        <v>0</v>
      </c>
      <c r="CQ120" s="130">
        <f t="shared" si="558"/>
        <v>0</v>
      </c>
      <c r="CR120" s="130">
        <f t="shared" si="559"/>
        <v>6649.2999999999884</v>
      </c>
      <c r="CS120" s="130" t="s">
        <v>236</v>
      </c>
      <c r="CT120" s="130" t="s">
        <v>236</v>
      </c>
      <c r="CU120" s="145" t="str">
        <f t="shared" si="560"/>
        <v>AAATB2599R</v>
      </c>
      <c r="CV120" s="145" t="str">
        <f t="shared" si="561"/>
        <v>GOWPS6814G</v>
      </c>
    </row>
    <row r="121" spans="2:100" s="152" customFormat="1" ht="11.85" customHeight="1" x14ac:dyDescent="0.25">
      <c r="B121" s="123" t="str">
        <f t="shared" si="526"/>
        <v>Q1</v>
      </c>
      <c r="C121" s="124" t="str">
        <f t="shared" si="527"/>
        <v>Jun-26</v>
      </c>
      <c r="D121" s="125">
        <v>46178</v>
      </c>
      <c r="E121" s="126" t="s">
        <v>619</v>
      </c>
      <c r="F121" s="126" t="s">
        <v>620</v>
      </c>
      <c r="G121" s="126" t="s">
        <v>621</v>
      </c>
      <c r="H121" s="127" t="s">
        <v>622</v>
      </c>
      <c r="I121" s="349">
        <v>46178</v>
      </c>
      <c r="J121" s="350" t="s">
        <v>623</v>
      </c>
      <c r="K121" s="349">
        <v>46192</v>
      </c>
      <c r="L121" s="126" t="s">
        <v>237</v>
      </c>
      <c r="M121" s="126" t="s">
        <v>525</v>
      </c>
      <c r="N121" s="127" t="s">
        <v>212</v>
      </c>
      <c r="O121" s="126">
        <v>71</v>
      </c>
      <c r="P121" s="283">
        <v>2000</v>
      </c>
      <c r="Q121" s="128">
        <f t="shared" si="528"/>
        <v>142000</v>
      </c>
      <c r="R121" s="129">
        <v>0</v>
      </c>
      <c r="S121" s="128">
        <f t="shared" si="529"/>
        <v>71</v>
      </c>
      <c r="T121" s="129">
        <v>0</v>
      </c>
      <c r="U121" s="130">
        <v>0</v>
      </c>
      <c r="V121" s="131">
        <v>0</v>
      </c>
      <c r="W121" s="130">
        <v>0</v>
      </c>
      <c r="X121" s="132">
        <v>0</v>
      </c>
      <c r="Y121" s="130">
        <v>0</v>
      </c>
      <c r="Z121" s="130">
        <v>0</v>
      </c>
      <c r="AA121" s="129">
        <v>0</v>
      </c>
      <c r="AB121" s="133">
        <f t="shared" si="530"/>
        <v>0</v>
      </c>
      <c r="AC121" s="132">
        <v>0</v>
      </c>
      <c r="AD121" s="128">
        <v>0</v>
      </c>
      <c r="AE121" s="147">
        <v>0</v>
      </c>
      <c r="AF121" s="130">
        <v>0</v>
      </c>
      <c r="AG121" s="134">
        <v>0</v>
      </c>
      <c r="AH121" s="130">
        <v>0</v>
      </c>
      <c r="AI121" s="131">
        <v>0</v>
      </c>
      <c r="AJ121" s="130">
        <v>0</v>
      </c>
      <c r="AK121" s="130">
        <v>0</v>
      </c>
      <c r="AL121" s="130">
        <v>0</v>
      </c>
      <c r="AM121" s="135">
        <f t="shared" si="531"/>
        <v>142000</v>
      </c>
      <c r="AN121" s="136">
        <v>46192</v>
      </c>
      <c r="AO121" s="137" t="s">
        <v>656</v>
      </c>
      <c r="AP121" s="138" t="s">
        <v>532</v>
      </c>
      <c r="AQ121" s="139" t="s">
        <v>533</v>
      </c>
      <c r="AR121" s="139" t="s">
        <v>534</v>
      </c>
      <c r="AS121" s="126" t="s">
        <v>657</v>
      </c>
      <c r="AT121" s="140" t="s">
        <v>360</v>
      </c>
      <c r="AU121" s="140" t="s">
        <v>361</v>
      </c>
      <c r="AV121" s="141" t="s">
        <v>658</v>
      </c>
      <c r="AW121" s="139">
        <v>71</v>
      </c>
      <c r="AX121" s="141">
        <v>2100</v>
      </c>
      <c r="AY121" s="139">
        <f t="shared" si="532"/>
        <v>149100</v>
      </c>
      <c r="AZ121" s="142" t="b">
        <f t="shared" si="533"/>
        <v>1</v>
      </c>
      <c r="BA121" s="128">
        <v>0</v>
      </c>
      <c r="BB121" s="143">
        <f t="shared" si="534"/>
        <v>71</v>
      </c>
      <c r="BC121" s="144">
        <v>0</v>
      </c>
      <c r="BD121" s="143" t="s">
        <v>109</v>
      </c>
      <c r="BE121" s="144">
        <v>0</v>
      </c>
      <c r="BF121" s="143">
        <v>0</v>
      </c>
      <c r="BG121" s="144">
        <v>0</v>
      </c>
      <c r="BH121" s="130">
        <v>0</v>
      </c>
      <c r="BI121" s="133">
        <v>0</v>
      </c>
      <c r="BJ121" s="131">
        <v>0</v>
      </c>
      <c r="BK121" s="128">
        <v>0</v>
      </c>
      <c r="BL121" s="139">
        <v>0</v>
      </c>
      <c r="BM121" s="130">
        <v>0</v>
      </c>
      <c r="BN121" s="145">
        <f t="shared" si="535"/>
        <v>0</v>
      </c>
      <c r="BO121" s="129">
        <f t="shared" si="536"/>
        <v>149100</v>
      </c>
      <c r="BP121" s="135">
        <f t="shared" si="537"/>
        <v>7100</v>
      </c>
      <c r="BQ121" s="144" t="str">
        <f t="shared" si="538"/>
        <v>Positive Margin</v>
      </c>
      <c r="BR121" s="146" t="s">
        <v>209</v>
      </c>
      <c r="BS121" s="128">
        <f t="shared" si="539"/>
        <v>7100</v>
      </c>
      <c r="BT121" s="147" t="str">
        <f t="shared" si="540"/>
        <v>Positive Margin at Inception</v>
      </c>
      <c r="BU121" s="148">
        <f t="shared" si="541"/>
        <v>4.7619047619047616E-2</v>
      </c>
      <c r="BV121" s="147" t="str">
        <f t="shared" si="542"/>
        <v>More than 2%</v>
      </c>
      <c r="BW121" s="128">
        <f t="shared" si="543"/>
        <v>0</v>
      </c>
      <c r="BX121" s="129">
        <f t="shared" si="544"/>
        <v>0</v>
      </c>
      <c r="BY121" s="128">
        <f t="shared" si="545"/>
        <v>0</v>
      </c>
      <c r="BZ121" s="149">
        <f t="shared" si="546"/>
        <v>0</v>
      </c>
      <c r="CA121" s="149">
        <f t="shared" si="547"/>
        <v>0</v>
      </c>
      <c r="CB121" s="130">
        <f t="shared" si="548"/>
        <v>0</v>
      </c>
      <c r="CC121" s="149" t="s">
        <v>282</v>
      </c>
      <c r="CD121" s="130">
        <v>0</v>
      </c>
      <c r="CE121" s="130">
        <f t="shared" si="549"/>
        <v>142000</v>
      </c>
      <c r="CF121" s="130">
        <f t="shared" si="550"/>
        <v>149100</v>
      </c>
      <c r="CG121" s="130">
        <f t="shared" si="551"/>
        <v>10</v>
      </c>
      <c r="CH121" s="150">
        <v>0</v>
      </c>
      <c r="CI121" s="130">
        <v>0</v>
      </c>
      <c r="CJ121" s="130" t="e">
        <f>_xlfn.XLOOKUP(AP121,POC!B:B,POC!D:D)</f>
        <v>#N/A</v>
      </c>
      <c r="CK121" s="130">
        <f t="shared" si="552"/>
        <v>7100</v>
      </c>
      <c r="CL121" s="130">
        <f t="shared" si="553"/>
        <v>7100</v>
      </c>
      <c r="CM121" s="130">
        <f t="shared" si="554"/>
        <v>7100</v>
      </c>
      <c r="CN121" s="130">
        <f t="shared" si="555"/>
        <v>175938</v>
      </c>
      <c r="CO121" s="130">
        <f t="shared" si="556"/>
        <v>-167560</v>
      </c>
      <c r="CP121" s="130">
        <f t="shared" si="557"/>
        <v>0</v>
      </c>
      <c r="CQ121" s="130">
        <f t="shared" si="558"/>
        <v>0</v>
      </c>
      <c r="CR121" s="130">
        <f t="shared" si="559"/>
        <v>8378</v>
      </c>
      <c r="CS121" s="130" t="s">
        <v>236</v>
      </c>
      <c r="CT121" s="130" t="s">
        <v>236</v>
      </c>
      <c r="CU121" s="145" t="str">
        <f t="shared" si="560"/>
        <v>AAATB2599R</v>
      </c>
      <c r="CV121" s="145" t="str">
        <f t="shared" si="561"/>
        <v>GOWPS6814G</v>
      </c>
    </row>
    <row r="122" spans="2:100" s="152" customFormat="1" ht="11.85" customHeight="1" x14ac:dyDescent="0.25">
      <c r="B122" s="123" t="str">
        <f t="shared" si="526"/>
        <v>Q1</v>
      </c>
      <c r="C122" s="124" t="str">
        <f t="shared" si="527"/>
        <v>Jun-26</v>
      </c>
      <c r="D122" s="125">
        <v>46178</v>
      </c>
      <c r="E122" s="126" t="s">
        <v>619</v>
      </c>
      <c r="F122" s="126" t="s">
        <v>620</v>
      </c>
      <c r="G122" s="126" t="s">
        <v>621</v>
      </c>
      <c r="H122" s="127" t="s">
        <v>622</v>
      </c>
      <c r="I122" s="349">
        <v>46178</v>
      </c>
      <c r="J122" s="350" t="s">
        <v>623</v>
      </c>
      <c r="K122" s="349">
        <v>46192</v>
      </c>
      <c r="L122" s="126" t="s">
        <v>237</v>
      </c>
      <c r="M122" s="126" t="s">
        <v>525</v>
      </c>
      <c r="N122" s="127" t="s">
        <v>212</v>
      </c>
      <c r="O122" s="126">
        <v>25</v>
      </c>
      <c r="P122" s="283">
        <v>1250</v>
      </c>
      <c r="Q122" s="128">
        <f t="shared" si="528"/>
        <v>31250</v>
      </c>
      <c r="R122" s="129">
        <v>0</v>
      </c>
      <c r="S122" s="128">
        <f t="shared" si="529"/>
        <v>25</v>
      </c>
      <c r="T122" s="129">
        <v>0</v>
      </c>
      <c r="U122" s="130">
        <v>0</v>
      </c>
      <c r="V122" s="131">
        <v>0</v>
      </c>
      <c r="W122" s="130">
        <v>0</v>
      </c>
      <c r="X122" s="132">
        <v>0</v>
      </c>
      <c r="Y122" s="130">
        <v>0</v>
      </c>
      <c r="Z122" s="130">
        <v>0</v>
      </c>
      <c r="AA122" s="129">
        <v>0</v>
      </c>
      <c r="AB122" s="133">
        <f t="shared" si="530"/>
        <v>0</v>
      </c>
      <c r="AC122" s="132">
        <v>0</v>
      </c>
      <c r="AD122" s="128">
        <v>0</v>
      </c>
      <c r="AE122" s="147">
        <v>0</v>
      </c>
      <c r="AF122" s="130">
        <v>0</v>
      </c>
      <c r="AG122" s="134">
        <v>0</v>
      </c>
      <c r="AH122" s="130">
        <v>0</v>
      </c>
      <c r="AI122" s="131">
        <v>0</v>
      </c>
      <c r="AJ122" s="130">
        <v>0</v>
      </c>
      <c r="AK122" s="130">
        <v>0</v>
      </c>
      <c r="AL122" s="130">
        <v>0</v>
      </c>
      <c r="AM122" s="135">
        <f t="shared" si="531"/>
        <v>31250</v>
      </c>
      <c r="AN122" s="136">
        <v>46192</v>
      </c>
      <c r="AO122" s="137" t="s">
        <v>656</v>
      </c>
      <c r="AP122" s="138" t="s">
        <v>532</v>
      </c>
      <c r="AQ122" s="139" t="s">
        <v>533</v>
      </c>
      <c r="AR122" s="139" t="s">
        <v>534</v>
      </c>
      <c r="AS122" s="126" t="s">
        <v>657</v>
      </c>
      <c r="AT122" s="140" t="s">
        <v>360</v>
      </c>
      <c r="AU122" s="140" t="s">
        <v>361</v>
      </c>
      <c r="AV122" s="141" t="s">
        <v>658</v>
      </c>
      <c r="AW122" s="139">
        <v>25</v>
      </c>
      <c r="AX122" s="141">
        <v>1315</v>
      </c>
      <c r="AY122" s="139">
        <f t="shared" si="532"/>
        <v>32875</v>
      </c>
      <c r="AZ122" s="142" t="b">
        <f t="shared" si="533"/>
        <v>1</v>
      </c>
      <c r="BA122" s="128">
        <v>0</v>
      </c>
      <c r="BB122" s="143">
        <f t="shared" si="534"/>
        <v>25</v>
      </c>
      <c r="BC122" s="144">
        <v>0</v>
      </c>
      <c r="BD122" s="143" t="s">
        <v>109</v>
      </c>
      <c r="BE122" s="144">
        <v>0</v>
      </c>
      <c r="BF122" s="143">
        <v>0</v>
      </c>
      <c r="BG122" s="144">
        <v>0</v>
      </c>
      <c r="BH122" s="130">
        <v>0</v>
      </c>
      <c r="BI122" s="133">
        <v>0</v>
      </c>
      <c r="BJ122" s="131">
        <v>0</v>
      </c>
      <c r="BK122" s="128">
        <v>0</v>
      </c>
      <c r="BL122" s="139">
        <v>0</v>
      </c>
      <c r="BM122" s="130">
        <v>0</v>
      </c>
      <c r="BN122" s="145">
        <f t="shared" si="535"/>
        <v>0</v>
      </c>
      <c r="BO122" s="129">
        <f t="shared" si="536"/>
        <v>32875</v>
      </c>
      <c r="BP122" s="135">
        <f t="shared" si="537"/>
        <v>1625</v>
      </c>
      <c r="BQ122" s="144" t="str">
        <f t="shared" si="538"/>
        <v>Positive Margin</v>
      </c>
      <c r="BR122" s="146" t="s">
        <v>209</v>
      </c>
      <c r="BS122" s="128">
        <f t="shared" si="539"/>
        <v>1625</v>
      </c>
      <c r="BT122" s="147" t="str">
        <f t="shared" si="540"/>
        <v>Positive Margin at Inception</v>
      </c>
      <c r="BU122" s="148">
        <f t="shared" si="541"/>
        <v>4.9429657794676805E-2</v>
      </c>
      <c r="BV122" s="147" t="str">
        <f t="shared" si="542"/>
        <v>More than 2%</v>
      </c>
      <c r="BW122" s="128">
        <f t="shared" si="543"/>
        <v>0</v>
      </c>
      <c r="BX122" s="129">
        <f t="shared" si="544"/>
        <v>0</v>
      </c>
      <c r="BY122" s="128">
        <f t="shared" si="545"/>
        <v>0</v>
      </c>
      <c r="BZ122" s="149">
        <f t="shared" si="546"/>
        <v>0</v>
      </c>
      <c r="CA122" s="149">
        <f t="shared" si="547"/>
        <v>0</v>
      </c>
      <c r="CB122" s="130">
        <f t="shared" si="548"/>
        <v>0</v>
      </c>
      <c r="CC122" s="149" t="s">
        <v>282</v>
      </c>
      <c r="CD122" s="130">
        <v>0</v>
      </c>
      <c r="CE122" s="130">
        <f t="shared" si="549"/>
        <v>31250</v>
      </c>
      <c r="CF122" s="130">
        <f t="shared" si="550"/>
        <v>32875</v>
      </c>
      <c r="CG122" s="130">
        <f t="shared" si="551"/>
        <v>10</v>
      </c>
      <c r="CH122" s="150">
        <v>0</v>
      </c>
      <c r="CI122" s="130">
        <v>0</v>
      </c>
      <c r="CJ122" s="130" t="e">
        <f>_xlfn.XLOOKUP(AP122,POC!B:B,POC!D:D)</f>
        <v>#N/A</v>
      </c>
      <c r="CK122" s="130">
        <f t="shared" si="552"/>
        <v>1625</v>
      </c>
      <c r="CL122" s="130">
        <f t="shared" si="553"/>
        <v>1625</v>
      </c>
      <c r="CM122" s="130">
        <f t="shared" si="554"/>
        <v>1625</v>
      </c>
      <c r="CN122" s="130">
        <f t="shared" si="555"/>
        <v>38792.5</v>
      </c>
      <c r="CO122" s="130">
        <f t="shared" si="556"/>
        <v>-36875</v>
      </c>
      <c r="CP122" s="130">
        <f t="shared" si="557"/>
        <v>0</v>
      </c>
      <c r="CQ122" s="130">
        <f t="shared" si="558"/>
        <v>0</v>
      </c>
      <c r="CR122" s="130">
        <f t="shared" si="559"/>
        <v>1917.5</v>
      </c>
      <c r="CS122" s="130" t="s">
        <v>236</v>
      </c>
      <c r="CT122" s="130" t="s">
        <v>236</v>
      </c>
      <c r="CU122" s="145" t="str">
        <f t="shared" si="560"/>
        <v>AAATB2599R</v>
      </c>
      <c r="CV122" s="145" t="str">
        <f t="shared" si="561"/>
        <v>GOWPS6814G</v>
      </c>
    </row>
    <row r="123" spans="2:100" s="152" customFormat="1" ht="11.85" customHeight="1" x14ac:dyDescent="0.25">
      <c r="B123" s="123" t="str">
        <f t="shared" si="526"/>
        <v>Q1</v>
      </c>
      <c r="C123" s="124" t="str">
        <f t="shared" si="527"/>
        <v>Jun-26</v>
      </c>
      <c r="D123" s="125">
        <v>46178</v>
      </c>
      <c r="E123" s="126" t="s">
        <v>619</v>
      </c>
      <c r="F123" s="126" t="s">
        <v>620</v>
      </c>
      <c r="G123" s="126" t="s">
        <v>621</v>
      </c>
      <c r="H123" s="127" t="s">
        <v>622</v>
      </c>
      <c r="I123" s="349">
        <v>46178</v>
      </c>
      <c r="J123" s="350" t="s">
        <v>623</v>
      </c>
      <c r="K123" s="349">
        <v>46192</v>
      </c>
      <c r="L123" s="126" t="s">
        <v>237</v>
      </c>
      <c r="M123" s="126" t="s">
        <v>525</v>
      </c>
      <c r="N123" s="127" t="s">
        <v>624</v>
      </c>
      <c r="O123" s="126">
        <v>130</v>
      </c>
      <c r="P123" s="283">
        <v>100</v>
      </c>
      <c r="Q123" s="128">
        <f t="shared" si="528"/>
        <v>13000</v>
      </c>
      <c r="R123" s="129">
        <v>0</v>
      </c>
      <c r="S123" s="128">
        <f t="shared" si="529"/>
        <v>130</v>
      </c>
      <c r="T123" s="129">
        <v>0</v>
      </c>
      <c r="U123" s="130">
        <v>0</v>
      </c>
      <c r="V123" s="131">
        <v>0</v>
      </c>
      <c r="W123" s="130">
        <v>0</v>
      </c>
      <c r="X123" s="132">
        <v>0</v>
      </c>
      <c r="Y123" s="130">
        <v>0</v>
      </c>
      <c r="Z123" s="130">
        <v>0</v>
      </c>
      <c r="AA123" s="129">
        <v>0</v>
      </c>
      <c r="AB123" s="133">
        <f t="shared" si="530"/>
        <v>0</v>
      </c>
      <c r="AC123" s="132">
        <v>0</v>
      </c>
      <c r="AD123" s="128">
        <v>0</v>
      </c>
      <c r="AE123" s="147">
        <v>0</v>
      </c>
      <c r="AF123" s="130">
        <v>0</v>
      </c>
      <c r="AG123" s="134">
        <v>0</v>
      </c>
      <c r="AH123" s="130">
        <v>0</v>
      </c>
      <c r="AI123" s="131">
        <v>0</v>
      </c>
      <c r="AJ123" s="130">
        <v>0</v>
      </c>
      <c r="AK123" s="130">
        <v>0</v>
      </c>
      <c r="AL123" s="130">
        <v>0</v>
      </c>
      <c r="AM123" s="135">
        <f t="shared" si="531"/>
        <v>13000</v>
      </c>
      <c r="AN123" s="136">
        <v>46192</v>
      </c>
      <c r="AO123" s="137" t="s">
        <v>656</v>
      </c>
      <c r="AP123" s="138" t="s">
        <v>532</v>
      </c>
      <c r="AQ123" s="139" t="s">
        <v>533</v>
      </c>
      <c r="AR123" s="139" t="s">
        <v>534</v>
      </c>
      <c r="AS123" s="126" t="s">
        <v>657</v>
      </c>
      <c r="AT123" s="140" t="s">
        <v>360</v>
      </c>
      <c r="AU123" s="140" t="s">
        <v>361</v>
      </c>
      <c r="AV123" s="141" t="s">
        <v>658</v>
      </c>
      <c r="AW123" s="139">
        <v>130</v>
      </c>
      <c r="AX123" s="141">
        <v>105</v>
      </c>
      <c r="AY123" s="139">
        <f t="shared" si="532"/>
        <v>13650</v>
      </c>
      <c r="AZ123" s="142" t="b">
        <f t="shared" si="533"/>
        <v>1</v>
      </c>
      <c r="BA123" s="128">
        <v>0</v>
      </c>
      <c r="BB123" s="143">
        <f t="shared" si="534"/>
        <v>130</v>
      </c>
      <c r="BC123" s="144">
        <v>0</v>
      </c>
      <c r="BD123" s="143" t="s">
        <v>109</v>
      </c>
      <c r="BE123" s="144">
        <v>0</v>
      </c>
      <c r="BF123" s="143">
        <v>0</v>
      </c>
      <c r="BG123" s="144">
        <v>0</v>
      </c>
      <c r="BH123" s="130">
        <v>0</v>
      </c>
      <c r="BI123" s="133">
        <v>0</v>
      </c>
      <c r="BJ123" s="131">
        <v>0</v>
      </c>
      <c r="BK123" s="128">
        <v>0</v>
      </c>
      <c r="BL123" s="139">
        <v>0</v>
      </c>
      <c r="BM123" s="130">
        <v>0</v>
      </c>
      <c r="BN123" s="145">
        <f t="shared" si="535"/>
        <v>0</v>
      </c>
      <c r="BO123" s="129">
        <f t="shared" si="536"/>
        <v>13650</v>
      </c>
      <c r="BP123" s="135">
        <f t="shared" si="537"/>
        <v>650</v>
      </c>
      <c r="BQ123" s="144" t="str">
        <f t="shared" si="538"/>
        <v>Positive Margin</v>
      </c>
      <c r="BR123" s="146" t="s">
        <v>209</v>
      </c>
      <c r="BS123" s="128">
        <f t="shared" si="539"/>
        <v>650</v>
      </c>
      <c r="BT123" s="147" t="str">
        <f t="shared" si="540"/>
        <v>Positive Margin at Inception</v>
      </c>
      <c r="BU123" s="148">
        <f t="shared" si="541"/>
        <v>4.7619047619047616E-2</v>
      </c>
      <c r="BV123" s="147" t="str">
        <f t="shared" si="542"/>
        <v>More than 2%</v>
      </c>
      <c r="BW123" s="128">
        <f t="shared" si="543"/>
        <v>0</v>
      </c>
      <c r="BX123" s="129">
        <f t="shared" si="544"/>
        <v>0</v>
      </c>
      <c r="BY123" s="128">
        <f t="shared" si="545"/>
        <v>0</v>
      </c>
      <c r="BZ123" s="149">
        <f t="shared" si="546"/>
        <v>0</v>
      </c>
      <c r="CA123" s="149">
        <f t="shared" si="547"/>
        <v>0</v>
      </c>
      <c r="CB123" s="130">
        <f t="shared" si="548"/>
        <v>0</v>
      </c>
      <c r="CC123" s="149" t="s">
        <v>282</v>
      </c>
      <c r="CD123" s="130">
        <v>0</v>
      </c>
      <c r="CE123" s="130">
        <f t="shared" si="549"/>
        <v>13000</v>
      </c>
      <c r="CF123" s="130">
        <f t="shared" si="550"/>
        <v>13650</v>
      </c>
      <c r="CG123" s="130">
        <f t="shared" si="551"/>
        <v>10</v>
      </c>
      <c r="CH123" s="150">
        <v>0</v>
      </c>
      <c r="CI123" s="130">
        <v>0</v>
      </c>
      <c r="CJ123" s="130" t="e">
        <f>_xlfn.XLOOKUP(AP123,POC!B:B,POC!D:D)</f>
        <v>#N/A</v>
      </c>
      <c r="CK123" s="130">
        <f t="shared" si="552"/>
        <v>650</v>
      </c>
      <c r="CL123" s="130">
        <f t="shared" si="553"/>
        <v>650</v>
      </c>
      <c r="CM123" s="130">
        <f t="shared" si="554"/>
        <v>650</v>
      </c>
      <c r="CN123" s="130">
        <f t="shared" si="555"/>
        <v>16107</v>
      </c>
      <c r="CO123" s="130">
        <f t="shared" si="556"/>
        <v>-15340</v>
      </c>
      <c r="CP123" s="130">
        <f t="shared" si="557"/>
        <v>0</v>
      </c>
      <c r="CQ123" s="130">
        <f t="shared" si="558"/>
        <v>0</v>
      </c>
      <c r="CR123" s="130">
        <f t="shared" si="559"/>
        <v>767</v>
      </c>
      <c r="CS123" s="130" t="s">
        <v>236</v>
      </c>
      <c r="CT123" s="130" t="s">
        <v>236</v>
      </c>
      <c r="CU123" s="145" t="str">
        <f t="shared" si="560"/>
        <v>AAATB2599R</v>
      </c>
      <c r="CV123" s="145" t="str">
        <f t="shared" si="561"/>
        <v>GOWPS6814G</v>
      </c>
    </row>
    <row r="124" spans="2:100" s="152" customFormat="1" ht="11.85" customHeight="1" x14ac:dyDescent="0.25">
      <c r="B124" s="123" t="str">
        <f t="shared" si="526"/>
        <v>Q1</v>
      </c>
      <c r="C124" s="124" t="str">
        <f t="shared" si="527"/>
        <v>Jun-26</v>
      </c>
      <c r="D124" s="125">
        <v>46178</v>
      </c>
      <c r="E124" s="126" t="s">
        <v>625</v>
      </c>
      <c r="F124" s="126" t="s">
        <v>251</v>
      </c>
      <c r="G124" s="126" t="s">
        <v>252</v>
      </c>
      <c r="H124" s="127" t="s">
        <v>626</v>
      </c>
      <c r="I124" s="349">
        <v>46178</v>
      </c>
      <c r="J124" s="350" t="s">
        <v>627</v>
      </c>
      <c r="K124" s="349">
        <v>46192</v>
      </c>
      <c r="L124" s="126" t="s">
        <v>397</v>
      </c>
      <c r="M124" s="126" t="s">
        <v>208</v>
      </c>
      <c r="N124" s="127" t="s">
        <v>628</v>
      </c>
      <c r="O124" s="126">
        <v>1</v>
      </c>
      <c r="P124" s="283">
        <v>2897.68</v>
      </c>
      <c r="Q124" s="128">
        <f t="shared" si="528"/>
        <v>2897.68</v>
      </c>
      <c r="R124" s="129">
        <v>0</v>
      </c>
      <c r="S124" s="128">
        <f t="shared" si="529"/>
        <v>1</v>
      </c>
      <c r="T124" s="129">
        <v>0</v>
      </c>
      <c r="U124" s="130">
        <v>0</v>
      </c>
      <c r="V124" s="131">
        <v>0</v>
      </c>
      <c r="W124" s="130">
        <v>0</v>
      </c>
      <c r="X124" s="132">
        <v>0</v>
      </c>
      <c r="Y124" s="130">
        <v>0</v>
      </c>
      <c r="Z124" s="130">
        <v>0</v>
      </c>
      <c r="AA124" s="129">
        <v>0</v>
      </c>
      <c r="AB124" s="133">
        <f t="shared" si="530"/>
        <v>0</v>
      </c>
      <c r="AC124" s="132">
        <v>0</v>
      </c>
      <c r="AD124" s="128">
        <v>0</v>
      </c>
      <c r="AE124" s="147">
        <v>0</v>
      </c>
      <c r="AF124" s="130">
        <v>0</v>
      </c>
      <c r="AG124" s="134">
        <v>0</v>
      </c>
      <c r="AH124" s="130">
        <v>0</v>
      </c>
      <c r="AI124" s="131">
        <v>0</v>
      </c>
      <c r="AJ124" s="130">
        <v>0</v>
      </c>
      <c r="AK124" s="130">
        <v>0</v>
      </c>
      <c r="AL124" s="130">
        <v>0</v>
      </c>
      <c r="AM124" s="135">
        <f t="shared" si="531"/>
        <v>2897.68</v>
      </c>
      <c r="AN124" s="136">
        <v>46192</v>
      </c>
      <c r="AO124" s="137" t="s">
        <v>659</v>
      </c>
      <c r="AP124" s="138" t="s">
        <v>660</v>
      </c>
      <c r="AQ124" s="139" t="s">
        <v>661</v>
      </c>
      <c r="AR124" s="139" t="s">
        <v>662</v>
      </c>
      <c r="AS124" s="126" t="s">
        <v>663</v>
      </c>
      <c r="AT124" s="140" t="s">
        <v>664</v>
      </c>
      <c r="AU124" s="140" t="s">
        <v>147</v>
      </c>
      <c r="AV124" s="141" t="s">
        <v>208</v>
      </c>
      <c r="AW124" s="139">
        <v>1</v>
      </c>
      <c r="AX124" s="141">
        <v>3000</v>
      </c>
      <c r="AY124" s="139">
        <f t="shared" si="532"/>
        <v>3000</v>
      </c>
      <c r="AZ124" s="142" t="b">
        <f t="shared" si="533"/>
        <v>1</v>
      </c>
      <c r="BA124" s="128">
        <v>0</v>
      </c>
      <c r="BB124" s="143">
        <f t="shared" si="534"/>
        <v>1</v>
      </c>
      <c r="BC124" s="144">
        <v>0</v>
      </c>
      <c r="BD124" s="143" t="s">
        <v>109</v>
      </c>
      <c r="BE124" s="144">
        <v>0</v>
      </c>
      <c r="BF124" s="143">
        <v>0</v>
      </c>
      <c r="BG124" s="144">
        <v>0</v>
      </c>
      <c r="BH124" s="130">
        <v>0</v>
      </c>
      <c r="BI124" s="133">
        <v>0</v>
      </c>
      <c r="BJ124" s="131">
        <v>0</v>
      </c>
      <c r="BK124" s="128">
        <v>0</v>
      </c>
      <c r="BL124" s="139">
        <v>0</v>
      </c>
      <c r="BM124" s="130">
        <v>0</v>
      </c>
      <c r="BN124" s="145">
        <f t="shared" si="535"/>
        <v>0</v>
      </c>
      <c r="BO124" s="129">
        <f t="shared" si="536"/>
        <v>3000</v>
      </c>
      <c r="BP124" s="135">
        <f t="shared" si="537"/>
        <v>102.32000000000016</v>
      </c>
      <c r="BQ124" s="144" t="str">
        <f t="shared" si="538"/>
        <v>Positive Margin</v>
      </c>
      <c r="BR124" s="146" t="s">
        <v>209</v>
      </c>
      <c r="BS124" s="128">
        <f t="shared" si="539"/>
        <v>102.32000000000016</v>
      </c>
      <c r="BT124" s="147" t="str">
        <f t="shared" si="540"/>
        <v>Positive Margin at Inception</v>
      </c>
      <c r="BU124" s="148">
        <f t="shared" si="541"/>
        <v>3.4106666666666723E-2</v>
      </c>
      <c r="BV124" s="147" t="str">
        <f t="shared" si="542"/>
        <v>More than 2%</v>
      </c>
      <c r="BW124" s="128">
        <f t="shared" si="543"/>
        <v>0</v>
      </c>
      <c r="BX124" s="129">
        <f t="shared" si="544"/>
        <v>0</v>
      </c>
      <c r="BY124" s="128">
        <f t="shared" si="545"/>
        <v>0</v>
      </c>
      <c r="BZ124" s="149">
        <f t="shared" si="546"/>
        <v>0</v>
      </c>
      <c r="CA124" s="149">
        <f t="shared" si="547"/>
        <v>0</v>
      </c>
      <c r="CB124" s="130">
        <f t="shared" si="548"/>
        <v>0</v>
      </c>
      <c r="CC124" s="149" t="s">
        <v>282</v>
      </c>
      <c r="CD124" s="130">
        <v>0</v>
      </c>
      <c r="CE124" s="130">
        <f t="shared" si="549"/>
        <v>2897.68</v>
      </c>
      <c r="CF124" s="130">
        <f t="shared" si="550"/>
        <v>3000</v>
      </c>
      <c r="CG124" s="130">
        <f t="shared" si="551"/>
        <v>10</v>
      </c>
      <c r="CH124" s="150">
        <v>0</v>
      </c>
      <c r="CI124" s="130">
        <v>0</v>
      </c>
      <c r="CJ124" s="130" t="e">
        <f>_xlfn.XLOOKUP(AP124,POC!B:B,POC!D:D)</f>
        <v>#N/A</v>
      </c>
      <c r="CK124" s="130">
        <f t="shared" si="552"/>
        <v>102.32000000000016</v>
      </c>
      <c r="CL124" s="130">
        <f t="shared" si="553"/>
        <v>102.32000000000016</v>
      </c>
      <c r="CM124" s="130">
        <f t="shared" si="554"/>
        <v>102.32000000000016</v>
      </c>
      <c r="CN124" s="130">
        <f t="shared" si="555"/>
        <v>3540</v>
      </c>
      <c r="CO124" s="130">
        <f t="shared" si="556"/>
        <v>-3419.2623999999996</v>
      </c>
      <c r="CP124" s="130">
        <f t="shared" si="557"/>
        <v>0</v>
      </c>
      <c r="CQ124" s="130">
        <f t="shared" si="558"/>
        <v>0</v>
      </c>
      <c r="CR124" s="130">
        <f t="shared" si="559"/>
        <v>120.73760000000038</v>
      </c>
      <c r="CS124" s="130" t="s">
        <v>236</v>
      </c>
      <c r="CT124" s="130" t="s">
        <v>236</v>
      </c>
      <c r="CU124" s="145" t="str">
        <f t="shared" si="560"/>
        <v>AAHCR2638B</v>
      </c>
      <c r="CV124" s="145" t="str">
        <f t="shared" si="561"/>
        <v>CDXPK0245F</v>
      </c>
    </row>
    <row r="125" spans="2:100" s="152" customFormat="1" ht="11.85" customHeight="1" x14ac:dyDescent="0.25">
      <c r="B125" s="123" t="str">
        <f t="shared" si="526"/>
        <v>Q1</v>
      </c>
      <c r="C125" s="124" t="str">
        <f t="shared" si="527"/>
        <v>Jun-26</v>
      </c>
      <c r="D125" s="125">
        <v>46178</v>
      </c>
      <c r="E125" s="126" t="s">
        <v>625</v>
      </c>
      <c r="F125" s="126" t="s">
        <v>251</v>
      </c>
      <c r="G125" s="126" t="s">
        <v>252</v>
      </c>
      <c r="H125" s="127" t="s">
        <v>626</v>
      </c>
      <c r="I125" s="349">
        <v>46178</v>
      </c>
      <c r="J125" s="350" t="s">
        <v>627</v>
      </c>
      <c r="K125" s="349">
        <v>46192</v>
      </c>
      <c r="L125" s="126" t="s">
        <v>397</v>
      </c>
      <c r="M125" s="126" t="s">
        <v>208</v>
      </c>
      <c r="N125" s="127" t="s">
        <v>628</v>
      </c>
      <c r="O125" s="126">
        <v>1</v>
      </c>
      <c r="P125" s="283">
        <v>923.16</v>
      </c>
      <c r="Q125" s="128">
        <f t="shared" si="528"/>
        <v>923.16</v>
      </c>
      <c r="R125" s="129">
        <v>0</v>
      </c>
      <c r="S125" s="128">
        <f t="shared" si="529"/>
        <v>1</v>
      </c>
      <c r="T125" s="129">
        <v>0</v>
      </c>
      <c r="U125" s="130">
        <v>0</v>
      </c>
      <c r="V125" s="131">
        <v>0</v>
      </c>
      <c r="W125" s="130">
        <v>0</v>
      </c>
      <c r="X125" s="132">
        <v>0</v>
      </c>
      <c r="Y125" s="130">
        <v>0</v>
      </c>
      <c r="Z125" s="130">
        <v>0</v>
      </c>
      <c r="AA125" s="129">
        <v>0</v>
      </c>
      <c r="AB125" s="133">
        <f t="shared" si="530"/>
        <v>0</v>
      </c>
      <c r="AC125" s="132">
        <v>0</v>
      </c>
      <c r="AD125" s="128">
        <v>0</v>
      </c>
      <c r="AE125" s="147">
        <v>0</v>
      </c>
      <c r="AF125" s="130">
        <v>0</v>
      </c>
      <c r="AG125" s="134">
        <v>0</v>
      </c>
      <c r="AH125" s="130">
        <v>0</v>
      </c>
      <c r="AI125" s="131">
        <v>0</v>
      </c>
      <c r="AJ125" s="130">
        <v>0</v>
      </c>
      <c r="AK125" s="130">
        <v>0</v>
      </c>
      <c r="AL125" s="130">
        <v>0</v>
      </c>
      <c r="AM125" s="135">
        <f t="shared" si="531"/>
        <v>923.16</v>
      </c>
      <c r="AN125" s="136">
        <v>46192</v>
      </c>
      <c r="AO125" s="137" t="s">
        <v>659</v>
      </c>
      <c r="AP125" s="138" t="s">
        <v>660</v>
      </c>
      <c r="AQ125" s="139" t="s">
        <v>661</v>
      </c>
      <c r="AR125" s="139" t="s">
        <v>662</v>
      </c>
      <c r="AS125" s="126" t="s">
        <v>663</v>
      </c>
      <c r="AT125" s="140" t="s">
        <v>664</v>
      </c>
      <c r="AU125" s="140" t="s">
        <v>147</v>
      </c>
      <c r="AV125" s="141" t="s">
        <v>208</v>
      </c>
      <c r="AW125" s="139">
        <v>1</v>
      </c>
      <c r="AX125" s="141">
        <v>2302</v>
      </c>
      <c r="AY125" s="139">
        <f t="shared" si="532"/>
        <v>2302</v>
      </c>
      <c r="AZ125" s="142" t="b">
        <f t="shared" si="533"/>
        <v>1</v>
      </c>
      <c r="BA125" s="128">
        <v>0</v>
      </c>
      <c r="BB125" s="143">
        <f t="shared" si="534"/>
        <v>1</v>
      </c>
      <c r="BC125" s="144">
        <v>0</v>
      </c>
      <c r="BD125" s="143" t="s">
        <v>109</v>
      </c>
      <c r="BE125" s="144">
        <v>0</v>
      </c>
      <c r="BF125" s="143">
        <v>0</v>
      </c>
      <c r="BG125" s="144">
        <v>0</v>
      </c>
      <c r="BH125" s="130">
        <v>0</v>
      </c>
      <c r="BI125" s="133">
        <v>0</v>
      </c>
      <c r="BJ125" s="131">
        <v>0</v>
      </c>
      <c r="BK125" s="128">
        <v>0</v>
      </c>
      <c r="BL125" s="139">
        <v>0</v>
      </c>
      <c r="BM125" s="130">
        <v>0</v>
      </c>
      <c r="BN125" s="145">
        <f t="shared" si="535"/>
        <v>0</v>
      </c>
      <c r="BO125" s="129">
        <f t="shared" si="536"/>
        <v>2302</v>
      </c>
      <c r="BP125" s="135">
        <f t="shared" si="537"/>
        <v>1378.8400000000001</v>
      </c>
      <c r="BQ125" s="144" t="str">
        <f t="shared" si="538"/>
        <v>Positive Margin</v>
      </c>
      <c r="BR125" s="146" t="s">
        <v>209</v>
      </c>
      <c r="BS125" s="128">
        <f t="shared" si="539"/>
        <v>1378.8400000000001</v>
      </c>
      <c r="BT125" s="147" t="str">
        <f t="shared" si="540"/>
        <v>Positive Margin at Inception</v>
      </c>
      <c r="BU125" s="148">
        <f t="shared" si="541"/>
        <v>0.59897480451781071</v>
      </c>
      <c r="BV125" s="147" t="str">
        <f t="shared" si="542"/>
        <v>More than 2%</v>
      </c>
      <c r="BW125" s="128">
        <f t="shared" si="543"/>
        <v>0</v>
      </c>
      <c r="BX125" s="129">
        <f t="shared" si="544"/>
        <v>0</v>
      </c>
      <c r="BY125" s="128">
        <f t="shared" si="545"/>
        <v>0</v>
      </c>
      <c r="BZ125" s="149">
        <f t="shared" si="546"/>
        <v>0</v>
      </c>
      <c r="CA125" s="149">
        <f t="shared" si="547"/>
        <v>0</v>
      </c>
      <c r="CB125" s="130">
        <f t="shared" si="548"/>
        <v>0</v>
      </c>
      <c r="CC125" s="149" t="s">
        <v>282</v>
      </c>
      <c r="CD125" s="130">
        <v>0</v>
      </c>
      <c r="CE125" s="130">
        <f t="shared" si="549"/>
        <v>923.16</v>
      </c>
      <c r="CF125" s="130">
        <f t="shared" si="550"/>
        <v>2302</v>
      </c>
      <c r="CG125" s="130">
        <f t="shared" si="551"/>
        <v>10</v>
      </c>
      <c r="CH125" s="150">
        <v>0</v>
      </c>
      <c r="CI125" s="130">
        <v>0</v>
      </c>
      <c r="CJ125" s="130" t="e">
        <f>_xlfn.XLOOKUP(AP125,POC!B:B,POC!D:D)</f>
        <v>#N/A</v>
      </c>
      <c r="CK125" s="130">
        <f t="shared" si="552"/>
        <v>1378.8400000000001</v>
      </c>
      <c r="CL125" s="130">
        <f t="shared" si="553"/>
        <v>1378.8400000000001</v>
      </c>
      <c r="CM125" s="130">
        <f t="shared" si="554"/>
        <v>1378.8400000000001</v>
      </c>
      <c r="CN125" s="130">
        <f t="shared" si="555"/>
        <v>2716.3599999999997</v>
      </c>
      <c r="CO125" s="130">
        <f t="shared" si="556"/>
        <v>-1089.3288</v>
      </c>
      <c r="CP125" s="130">
        <f t="shared" si="557"/>
        <v>0</v>
      </c>
      <c r="CQ125" s="130">
        <f t="shared" si="558"/>
        <v>0</v>
      </c>
      <c r="CR125" s="130">
        <f t="shared" si="559"/>
        <v>1627.0311999999997</v>
      </c>
      <c r="CS125" s="130" t="s">
        <v>236</v>
      </c>
      <c r="CT125" s="130" t="s">
        <v>236</v>
      </c>
      <c r="CU125" s="145" t="str">
        <f t="shared" si="560"/>
        <v>AAHCR2638B</v>
      </c>
      <c r="CV125" s="145" t="str">
        <f t="shared" si="561"/>
        <v>CDXPK0245F</v>
      </c>
    </row>
    <row r="126" spans="2:100" s="152" customFormat="1" ht="11.85" customHeight="1" x14ac:dyDescent="0.25">
      <c r="B126" s="123" t="str">
        <f t="shared" si="526"/>
        <v>Q1</v>
      </c>
      <c r="C126" s="124" t="str">
        <f t="shared" si="527"/>
        <v>Jun-26</v>
      </c>
      <c r="D126" s="125">
        <v>46178</v>
      </c>
      <c r="E126" s="126" t="s">
        <v>625</v>
      </c>
      <c r="F126" s="126" t="s">
        <v>251</v>
      </c>
      <c r="G126" s="126" t="s">
        <v>252</v>
      </c>
      <c r="H126" s="127" t="s">
        <v>626</v>
      </c>
      <c r="I126" s="349">
        <v>46178</v>
      </c>
      <c r="J126" s="350" t="s">
        <v>627</v>
      </c>
      <c r="K126" s="349">
        <v>46192</v>
      </c>
      <c r="L126" s="126" t="s">
        <v>397</v>
      </c>
      <c r="M126" s="126" t="s">
        <v>208</v>
      </c>
      <c r="N126" s="127" t="s">
        <v>628</v>
      </c>
      <c r="O126" s="126">
        <v>1</v>
      </c>
      <c r="P126" s="283">
        <v>780.48</v>
      </c>
      <c r="Q126" s="128">
        <f t="shared" si="528"/>
        <v>780.48</v>
      </c>
      <c r="R126" s="129">
        <v>0</v>
      </c>
      <c r="S126" s="128">
        <f t="shared" si="529"/>
        <v>1</v>
      </c>
      <c r="T126" s="129">
        <v>0</v>
      </c>
      <c r="U126" s="130">
        <v>0</v>
      </c>
      <c r="V126" s="131">
        <v>0</v>
      </c>
      <c r="W126" s="130">
        <v>0</v>
      </c>
      <c r="X126" s="132">
        <v>0</v>
      </c>
      <c r="Y126" s="130">
        <v>0</v>
      </c>
      <c r="Z126" s="130">
        <v>0</v>
      </c>
      <c r="AA126" s="129">
        <v>0</v>
      </c>
      <c r="AB126" s="133">
        <f t="shared" si="530"/>
        <v>0</v>
      </c>
      <c r="AC126" s="132">
        <v>0</v>
      </c>
      <c r="AD126" s="128">
        <v>0</v>
      </c>
      <c r="AE126" s="147">
        <v>0</v>
      </c>
      <c r="AF126" s="130">
        <v>0</v>
      </c>
      <c r="AG126" s="134">
        <v>0</v>
      </c>
      <c r="AH126" s="130">
        <v>0</v>
      </c>
      <c r="AI126" s="131">
        <v>0</v>
      </c>
      <c r="AJ126" s="130">
        <v>0</v>
      </c>
      <c r="AK126" s="130">
        <v>0</v>
      </c>
      <c r="AL126" s="130">
        <v>0</v>
      </c>
      <c r="AM126" s="135">
        <f t="shared" si="531"/>
        <v>780.48</v>
      </c>
      <c r="AN126" s="136">
        <v>46192</v>
      </c>
      <c r="AO126" s="137" t="s">
        <v>659</v>
      </c>
      <c r="AP126" s="138" t="s">
        <v>660</v>
      </c>
      <c r="AQ126" s="139" t="s">
        <v>661</v>
      </c>
      <c r="AR126" s="139" t="s">
        <v>662</v>
      </c>
      <c r="AS126" s="126" t="s">
        <v>663</v>
      </c>
      <c r="AT126" s="140" t="s">
        <v>664</v>
      </c>
      <c r="AU126" s="140" t="s">
        <v>147</v>
      </c>
      <c r="AV126" s="141" t="s">
        <v>208</v>
      </c>
      <c r="AW126" s="139">
        <v>1</v>
      </c>
      <c r="AX126" s="141">
        <v>1000</v>
      </c>
      <c r="AY126" s="139">
        <f t="shared" si="532"/>
        <v>1000</v>
      </c>
      <c r="AZ126" s="142" t="b">
        <f t="shared" si="533"/>
        <v>1</v>
      </c>
      <c r="BA126" s="128">
        <v>0</v>
      </c>
      <c r="BB126" s="143">
        <f t="shared" si="534"/>
        <v>1</v>
      </c>
      <c r="BC126" s="144">
        <v>0</v>
      </c>
      <c r="BD126" s="143" t="s">
        <v>109</v>
      </c>
      <c r="BE126" s="144">
        <v>0</v>
      </c>
      <c r="BF126" s="143">
        <v>0</v>
      </c>
      <c r="BG126" s="144">
        <v>0</v>
      </c>
      <c r="BH126" s="130">
        <v>0</v>
      </c>
      <c r="BI126" s="133">
        <v>0</v>
      </c>
      <c r="BJ126" s="131">
        <v>0</v>
      </c>
      <c r="BK126" s="128">
        <v>0</v>
      </c>
      <c r="BL126" s="139">
        <v>0</v>
      </c>
      <c r="BM126" s="130">
        <v>0</v>
      </c>
      <c r="BN126" s="145">
        <f t="shared" si="535"/>
        <v>0</v>
      </c>
      <c r="BO126" s="129">
        <f t="shared" si="536"/>
        <v>1000</v>
      </c>
      <c r="BP126" s="135">
        <f t="shared" si="537"/>
        <v>219.51999999999998</v>
      </c>
      <c r="BQ126" s="144" t="str">
        <f t="shared" si="538"/>
        <v>Positive Margin</v>
      </c>
      <c r="BR126" s="146" t="s">
        <v>209</v>
      </c>
      <c r="BS126" s="128">
        <f t="shared" si="539"/>
        <v>219.51999999999998</v>
      </c>
      <c r="BT126" s="147" t="str">
        <f t="shared" si="540"/>
        <v>Positive Margin at Inception</v>
      </c>
      <c r="BU126" s="148">
        <f t="shared" si="541"/>
        <v>0.21951999999999999</v>
      </c>
      <c r="BV126" s="147" t="str">
        <f t="shared" si="542"/>
        <v>More than 2%</v>
      </c>
      <c r="BW126" s="128">
        <f t="shared" si="543"/>
        <v>0</v>
      </c>
      <c r="BX126" s="129">
        <f t="shared" si="544"/>
        <v>0</v>
      </c>
      <c r="BY126" s="128">
        <f t="shared" si="545"/>
        <v>0</v>
      </c>
      <c r="BZ126" s="149">
        <f t="shared" si="546"/>
        <v>0</v>
      </c>
      <c r="CA126" s="149">
        <f t="shared" si="547"/>
        <v>0</v>
      </c>
      <c r="CB126" s="130">
        <f t="shared" si="548"/>
        <v>0</v>
      </c>
      <c r="CC126" s="149" t="s">
        <v>282</v>
      </c>
      <c r="CD126" s="130">
        <v>0</v>
      </c>
      <c r="CE126" s="130">
        <f t="shared" si="549"/>
        <v>780.48</v>
      </c>
      <c r="CF126" s="130">
        <f t="shared" si="550"/>
        <v>1000</v>
      </c>
      <c r="CG126" s="130">
        <f t="shared" si="551"/>
        <v>10</v>
      </c>
      <c r="CH126" s="150">
        <v>0</v>
      </c>
      <c r="CI126" s="130">
        <v>0</v>
      </c>
      <c r="CJ126" s="130" t="e">
        <f>_xlfn.XLOOKUP(AP126,POC!B:B,POC!D:D)</f>
        <v>#N/A</v>
      </c>
      <c r="CK126" s="130">
        <f t="shared" si="552"/>
        <v>219.51999999999998</v>
      </c>
      <c r="CL126" s="130">
        <f t="shared" si="553"/>
        <v>219.51999999999998</v>
      </c>
      <c r="CM126" s="130">
        <f t="shared" si="554"/>
        <v>219.51999999999998</v>
      </c>
      <c r="CN126" s="130">
        <f t="shared" si="555"/>
        <v>1180</v>
      </c>
      <c r="CO126" s="130">
        <f t="shared" si="556"/>
        <v>-920.96640000000002</v>
      </c>
      <c r="CP126" s="130">
        <f t="shared" si="557"/>
        <v>0</v>
      </c>
      <c r="CQ126" s="130">
        <f t="shared" si="558"/>
        <v>0</v>
      </c>
      <c r="CR126" s="130">
        <f t="shared" si="559"/>
        <v>259.03359999999998</v>
      </c>
      <c r="CS126" s="130" t="s">
        <v>236</v>
      </c>
      <c r="CT126" s="130" t="s">
        <v>236</v>
      </c>
      <c r="CU126" s="145" t="str">
        <f t="shared" si="560"/>
        <v>AAHCR2638B</v>
      </c>
      <c r="CV126" s="145" t="str">
        <f t="shared" si="561"/>
        <v>CDXPK0245F</v>
      </c>
    </row>
    <row r="127" spans="2:100" s="152" customFormat="1" ht="11.85" customHeight="1" x14ac:dyDescent="0.25">
      <c r="B127" s="123" t="str">
        <f t="shared" si="526"/>
        <v>Q1</v>
      </c>
      <c r="C127" s="124" t="str">
        <f t="shared" si="527"/>
        <v>Jun-26</v>
      </c>
      <c r="D127" s="125">
        <v>46189</v>
      </c>
      <c r="E127" s="126" t="s">
        <v>629</v>
      </c>
      <c r="F127" s="126" t="s">
        <v>600</v>
      </c>
      <c r="G127" s="126" t="s">
        <v>601</v>
      </c>
      <c r="H127" s="127" t="s">
        <v>630</v>
      </c>
      <c r="I127" s="349">
        <v>46189</v>
      </c>
      <c r="J127" s="350" t="s">
        <v>631</v>
      </c>
      <c r="K127" s="349">
        <v>46190</v>
      </c>
      <c r="L127" s="126" t="s">
        <v>237</v>
      </c>
      <c r="M127" s="126" t="s">
        <v>632</v>
      </c>
      <c r="N127" s="127" t="s">
        <v>212</v>
      </c>
      <c r="O127" s="126">
        <v>1</v>
      </c>
      <c r="P127" s="283">
        <v>124.626</v>
      </c>
      <c r="Q127" s="128">
        <f t="shared" si="528"/>
        <v>124.626</v>
      </c>
      <c r="R127" s="129">
        <v>0</v>
      </c>
      <c r="S127" s="128">
        <f t="shared" si="529"/>
        <v>1</v>
      </c>
      <c r="T127" s="129">
        <v>0</v>
      </c>
      <c r="U127" s="130">
        <v>0</v>
      </c>
      <c r="V127" s="131">
        <v>0</v>
      </c>
      <c r="W127" s="130">
        <v>0</v>
      </c>
      <c r="X127" s="132">
        <v>0</v>
      </c>
      <c r="Y127" s="130">
        <v>0</v>
      </c>
      <c r="Z127" s="130">
        <v>0</v>
      </c>
      <c r="AA127" s="129">
        <v>0</v>
      </c>
      <c r="AB127" s="133">
        <f t="shared" si="530"/>
        <v>0</v>
      </c>
      <c r="AC127" s="132">
        <v>0</v>
      </c>
      <c r="AD127" s="128">
        <v>0</v>
      </c>
      <c r="AE127" s="147">
        <v>0</v>
      </c>
      <c r="AF127" s="130">
        <v>0</v>
      </c>
      <c r="AG127" s="134">
        <v>0</v>
      </c>
      <c r="AH127" s="130">
        <v>0</v>
      </c>
      <c r="AI127" s="131">
        <v>0</v>
      </c>
      <c r="AJ127" s="130">
        <v>0</v>
      </c>
      <c r="AK127" s="130">
        <v>0</v>
      </c>
      <c r="AL127" s="130">
        <v>0</v>
      </c>
      <c r="AM127" s="135">
        <f t="shared" si="531"/>
        <v>124.626</v>
      </c>
      <c r="AN127" s="136">
        <v>46190</v>
      </c>
      <c r="AO127" s="137" t="s">
        <v>665</v>
      </c>
      <c r="AP127" s="138" t="s">
        <v>356</v>
      </c>
      <c r="AQ127" s="139" t="s">
        <v>357</v>
      </c>
      <c r="AR127" s="139" t="s">
        <v>358</v>
      </c>
      <c r="AS127" s="126" t="s">
        <v>606</v>
      </c>
      <c r="AT127" s="140" t="s">
        <v>360</v>
      </c>
      <c r="AU127" s="140" t="s">
        <v>361</v>
      </c>
      <c r="AV127" s="141" t="s">
        <v>666</v>
      </c>
      <c r="AW127" s="139">
        <v>1</v>
      </c>
      <c r="AX127" s="141">
        <v>135</v>
      </c>
      <c r="AY127" s="139">
        <f t="shared" si="532"/>
        <v>135</v>
      </c>
      <c r="AZ127" s="142" t="b">
        <f t="shared" si="533"/>
        <v>1</v>
      </c>
      <c r="BA127" s="128">
        <v>0</v>
      </c>
      <c r="BB127" s="143">
        <f t="shared" si="534"/>
        <v>1</v>
      </c>
      <c r="BC127" s="144">
        <v>0</v>
      </c>
      <c r="BD127" s="143" t="s">
        <v>109</v>
      </c>
      <c r="BE127" s="144">
        <v>0</v>
      </c>
      <c r="BF127" s="143">
        <v>0</v>
      </c>
      <c r="BG127" s="144">
        <v>0</v>
      </c>
      <c r="BH127" s="130">
        <v>0</v>
      </c>
      <c r="BI127" s="133">
        <v>0</v>
      </c>
      <c r="BJ127" s="131">
        <v>0</v>
      </c>
      <c r="BK127" s="128">
        <v>0</v>
      </c>
      <c r="BL127" s="139">
        <v>0</v>
      </c>
      <c r="BM127" s="130">
        <v>0</v>
      </c>
      <c r="BN127" s="145">
        <f t="shared" si="535"/>
        <v>0</v>
      </c>
      <c r="BO127" s="129">
        <f t="shared" si="536"/>
        <v>135</v>
      </c>
      <c r="BP127" s="135">
        <f t="shared" si="537"/>
        <v>10.373999999999995</v>
      </c>
      <c r="BQ127" s="144" t="str">
        <f t="shared" si="538"/>
        <v>Positive Margin</v>
      </c>
      <c r="BR127" s="146" t="s">
        <v>209</v>
      </c>
      <c r="BS127" s="128">
        <f t="shared" si="539"/>
        <v>10.373999999999995</v>
      </c>
      <c r="BT127" s="147" t="str">
        <f t="shared" si="540"/>
        <v>Positive Margin at Inception</v>
      </c>
      <c r="BU127" s="148">
        <f t="shared" si="541"/>
        <v>7.684444444444441E-2</v>
      </c>
      <c r="BV127" s="147" t="str">
        <f t="shared" si="542"/>
        <v>More than 2%</v>
      </c>
      <c r="BW127" s="128">
        <f t="shared" si="543"/>
        <v>0</v>
      </c>
      <c r="BX127" s="129">
        <f t="shared" si="544"/>
        <v>0</v>
      </c>
      <c r="BY127" s="128">
        <f t="shared" si="545"/>
        <v>0</v>
      </c>
      <c r="BZ127" s="149">
        <f t="shared" si="546"/>
        <v>0</v>
      </c>
      <c r="CA127" s="149">
        <f t="shared" si="547"/>
        <v>0</v>
      </c>
      <c r="CB127" s="130">
        <f t="shared" si="548"/>
        <v>0</v>
      </c>
      <c r="CC127" s="149" t="s">
        <v>282</v>
      </c>
      <c r="CD127" s="130">
        <v>0</v>
      </c>
      <c r="CE127" s="130">
        <f t="shared" si="549"/>
        <v>124.626</v>
      </c>
      <c r="CF127" s="130">
        <f t="shared" si="550"/>
        <v>135</v>
      </c>
      <c r="CG127" s="130">
        <f t="shared" si="551"/>
        <v>11</v>
      </c>
      <c r="CH127" s="150">
        <v>0</v>
      </c>
      <c r="CI127" s="130">
        <v>0</v>
      </c>
      <c r="CJ127" s="130" t="e">
        <f>_xlfn.XLOOKUP(AP127,POC!B:B,POC!D:D)</f>
        <v>#N/A</v>
      </c>
      <c r="CK127" s="130">
        <f t="shared" si="552"/>
        <v>10.373999999999995</v>
      </c>
      <c r="CL127" s="130">
        <f t="shared" si="553"/>
        <v>10.373999999999995</v>
      </c>
      <c r="CM127" s="130">
        <f t="shared" si="554"/>
        <v>10.373999999999995</v>
      </c>
      <c r="CN127" s="130">
        <f t="shared" si="555"/>
        <v>159.29999999999998</v>
      </c>
      <c r="CO127" s="130">
        <f t="shared" si="556"/>
        <v>-147.05868000000001</v>
      </c>
      <c r="CP127" s="130">
        <f t="shared" si="557"/>
        <v>0</v>
      </c>
      <c r="CQ127" s="130">
        <f t="shared" si="558"/>
        <v>0</v>
      </c>
      <c r="CR127" s="130">
        <f t="shared" si="559"/>
        <v>12.241319999999973</v>
      </c>
      <c r="CS127" s="130" t="s">
        <v>236</v>
      </c>
      <c r="CT127" s="130" t="s">
        <v>236</v>
      </c>
      <c r="CU127" s="145" t="str">
        <f t="shared" si="560"/>
        <v>AABCA7366H</v>
      </c>
      <c r="CV127" s="145" t="str">
        <f t="shared" si="561"/>
        <v>DAKPA5526G</v>
      </c>
    </row>
    <row r="128" spans="2:100" s="152" customFormat="1" ht="11.85" customHeight="1" x14ac:dyDescent="0.25">
      <c r="B128" s="123" t="str">
        <f t="shared" si="526"/>
        <v>Q1</v>
      </c>
      <c r="C128" s="124" t="str">
        <f t="shared" si="527"/>
        <v>Jun-26</v>
      </c>
      <c r="D128" s="125">
        <v>46189</v>
      </c>
      <c r="E128" s="126" t="s">
        <v>629</v>
      </c>
      <c r="F128" s="126" t="s">
        <v>600</v>
      </c>
      <c r="G128" s="126" t="s">
        <v>601</v>
      </c>
      <c r="H128" s="127" t="s">
        <v>630</v>
      </c>
      <c r="I128" s="349">
        <v>46189</v>
      </c>
      <c r="J128" s="350" t="s">
        <v>631</v>
      </c>
      <c r="K128" s="349">
        <v>46190</v>
      </c>
      <c r="L128" s="126" t="s">
        <v>237</v>
      </c>
      <c r="M128" s="126" t="s">
        <v>632</v>
      </c>
      <c r="N128" s="127" t="s">
        <v>212</v>
      </c>
      <c r="O128" s="126">
        <v>373</v>
      </c>
      <c r="P128" s="283">
        <v>216.01900000000001</v>
      </c>
      <c r="Q128" s="128">
        <f t="shared" si="528"/>
        <v>80575.087</v>
      </c>
      <c r="R128" s="129">
        <v>0</v>
      </c>
      <c r="S128" s="128">
        <f t="shared" si="529"/>
        <v>373</v>
      </c>
      <c r="T128" s="129">
        <v>0</v>
      </c>
      <c r="U128" s="130">
        <v>0</v>
      </c>
      <c r="V128" s="131">
        <v>0</v>
      </c>
      <c r="W128" s="130">
        <v>0</v>
      </c>
      <c r="X128" s="132">
        <v>0</v>
      </c>
      <c r="Y128" s="130">
        <v>0</v>
      </c>
      <c r="Z128" s="130">
        <v>0</v>
      </c>
      <c r="AA128" s="129">
        <v>0</v>
      </c>
      <c r="AB128" s="133">
        <f t="shared" si="530"/>
        <v>0</v>
      </c>
      <c r="AC128" s="132">
        <v>0</v>
      </c>
      <c r="AD128" s="128">
        <v>0</v>
      </c>
      <c r="AE128" s="147">
        <v>0</v>
      </c>
      <c r="AF128" s="130">
        <v>0</v>
      </c>
      <c r="AG128" s="134">
        <v>0</v>
      </c>
      <c r="AH128" s="130">
        <v>0</v>
      </c>
      <c r="AI128" s="131">
        <v>0</v>
      </c>
      <c r="AJ128" s="130">
        <v>0</v>
      </c>
      <c r="AK128" s="130">
        <v>0</v>
      </c>
      <c r="AL128" s="130">
        <v>0</v>
      </c>
      <c r="AM128" s="135">
        <f t="shared" si="531"/>
        <v>80575.087</v>
      </c>
      <c r="AN128" s="136">
        <v>46190</v>
      </c>
      <c r="AO128" s="137" t="s">
        <v>665</v>
      </c>
      <c r="AP128" s="138" t="s">
        <v>356</v>
      </c>
      <c r="AQ128" s="139" t="s">
        <v>357</v>
      </c>
      <c r="AR128" s="139" t="s">
        <v>358</v>
      </c>
      <c r="AS128" s="126" t="s">
        <v>606</v>
      </c>
      <c r="AT128" s="140" t="s">
        <v>360</v>
      </c>
      <c r="AU128" s="140" t="s">
        <v>361</v>
      </c>
      <c r="AV128" s="141" t="s">
        <v>666</v>
      </c>
      <c r="AW128" s="139">
        <v>373</v>
      </c>
      <c r="AX128" s="141">
        <v>230</v>
      </c>
      <c r="AY128" s="139">
        <f t="shared" si="532"/>
        <v>85790</v>
      </c>
      <c r="AZ128" s="142" t="b">
        <f t="shared" si="533"/>
        <v>1</v>
      </c>
      <c r="BA128" s="128">
        <v>0</v>
      </c>
      <c r="BB128" s="143">
        <f t="shared" si="534"/>
        <v>373</v>
      </c>
      <c r="BC128" s="144">
        <v>0</v>
      </c>
      <c r="BD128" s="143" t="s">
        <v>109</v>
      </c>
      <c r="BE128" s="144">
        <v>0</v>
      </c>
      <c r="BF128" s="143">
        <v>0</v>
      </c>
      <c r="BG128" s="144">
        <v>0</v>
      </c>
      <c r="BH128" s="130">
        <v>0</v>
      </c>
      <c r="BI128" s="133">
        <v>0</v>
      </c>
      <c r="BJ128" s="131">
        <v>0</v>
      </c>
      <c r="BK128" s="128">
        <v>0</v>
      </c>
      <c r="BL128" s="139">
        <v>0</v>
      </c>
      <c r="BM128" s="130">
        <v>0</v>
      </c>
      <c r="BN128" s="145">
        <f t="shared" si="535"/>
        <v>0</v>
      </c>
      <c r="BO128" s="129">
        <f t="shared" si="536"/>
        <v>85790</v>
      </c>
      <c r="BP128" s="135">
        <f t="shared" si="537"/>
        <v>5214.9130000000005</v>
      </c>
      <c r="BQ128" s="144" t="str">
        <f t="shared" si="538"/>
        <v>Positive Margin</v>
      </c>
      <c r="BR128" s="146" t="s">
        <v>209</v>
      </c>
      <c r="BS128" s="128">
        <f t="shared" si="539"/>
        <v>5214.9130000000005</v>
      </c>
      <c r="BT128" s="147" t="str">
        <f t="shared" si="540"/>
        <v>Positive Margin at Inception</v>
      </c>
      <c r="BU128" s="148">
        <f t="shared" si="541"/>
        <v>6.0786956521739134E-2</v>
      </c>
      <c r="BV128" s="147" t="str">
        <f t="shared" si="542"/>
        <v>More than 2%</v>
      </c>
      <c r="BW128" s="128">
        <f t="shared" si="543"/>
        <v>0</v>
      </c>
      <c r="BX128" s="129">
        <f t="shared" si="544"/>
        <v>0</v>
      </c>
      <c r="BY128" s="128">
        <f t="shared" si="545"/>
        <v>0</v>
      </c>
      <c r="BZ128" s="149">
        <f t="shared" si="546"/>
        <v>0</v>
      </c>
      <c r="CA128" s="149">
        <f t="shared" si="547"/>
        <v>0</v>
      </c>
      <c r="CB128" s="130">
        <f t="shared" si="548"/>
        <v>0</v>
      </c>
      <c r="CC128" s="149" t="s">
        <v>282</v>
      </c>
      <c r="CD128" s="130">
        <v>0</v>
      </c>
      <c r="CE128" s="130">
        <f t="shared" si="549"/>
        <v>80575.087</v>
      </c>
      <c r="CF128" s="130">
        <f t="shared" si="550"/>
        <v>85790</v>
      </c>
      <c r="CG128" s="130">
        <f t="shared" si="551"/>
        <v>11</v>
      </c>
      <c r="CH128" s="150">
        <v>0</v>
      </c>
      <c r="CI128" s="130">
        <v>0</v>
      </c>
      <c r="CJ128" s="130" t="e">
        <f>_xlfn.XLOOKUP(AP128,POC!B:B,POC!D:D)</f>
        <v>#N/A</v>
      </c>
      <c r="CK128" s="130">
        <f t="shared" si="552"/>
        <v>5214.9130000000005</v>
      </c>
      <c r="CL128" s="130">
        <f t="shared" si="553"/>
        <v>5214.9130000000005</v>
      </c>
      <c r="CM128" s="130">
        <f t="shared" si="554"/>
        <v>5214.9130000000005</v>
      </c>
      <c r="CN128" s="130">
        <f t="shared" si="555"/>
        <v>101232.2</v>
      </c>
      <c r="CO128" s="130">
        <f t="shared" si="556"/>
        <v>-95078.60265999999</v>
      </c>
      <c r="CP128" s="130">
        <f t="shared" si="557"/>
        <v>0</v>
      </c>
      <c r="CQ128" s="130">
        <f t="shared" si="558"/>
        <v>0</v>
      </c>
      <c r="CR128" s="130">
        <f t="shared" si="559"/>
        <v>6153.5973400000075</v>
      </c>
      <c r="CS128" s="130" t="s">
        <v>236</v>
      </c>
      <c r="CT128" s="130" t="s">
        <v>236</v>
      </c>
      <c r="CU128" s="145" t="str">
        <f t="shared" si="560"/>
        <v>AABCA7366H</v>
      </c>
      <c r="CV128" s="145" t="str">
        <f t="shared" si="561"/>
        <v>DAKPA5526G</v>
      </c>
    </row>
    <row r="129" spans="2:100" s="152" customFormat="1" ht="11.85" customHeight="1" x14ac:dyDescent="0.25">
      <c r="B129" s="123" t="str">
        <f t="shared" si="526"/>
        <v>Q1</v>
      </c>
      <c r="C129" s="124" t="str">
        <f t="shared" si="527"/>
        <v>Jun-26</v>
      </c>
      <c r="D129" s="125">
        <v>46189</v>
      </c>
      <c r="E129" s="126" t="s">
        <v>629</v>
      </c>
      <c r="F129" s="126" t="s">
        <v>600</v>
      </c>
      <c r="G129" s="126" t="s">
        <v>601</v>
      </c>
      <c r="H129" s="127" t="s">
        <v>630</v>
      </c>
      <c r="I129" s="349">
        <v>46189</v>
      </c>
      <c r="J129" s="350" t="s">
        <v>631</v>
      </c>
      <c r="K129" s="349">
        <v>46190</v>
      </c>
      <c r="L129" s="126" t="s">
        <v>237</v>
      </c>
      <c r="M129" s="126" t="s">
        <v>632</v>
      </c>
      <c r="N129" s="127" t="s">
        <v>212</v>
      </c>
      <c r="O129" s="126">
        <v>8</v>
      </c>
      <c r="P129" s="283">
        <v>540.04700000000003</v>
      </c>
      <c r="Q129" s="128">
        <f t="shared" si="528"/>
        <v>4320.3760000000002</v>
      </c>
      <c r="R129" s="129">
        <v>0</v>
      </c>
      <c r="S129" s="128">
        <f t="shared" si="529"/>
        <v>8</v>
      </c>
      <c r="T129" s="129">
        <v>0</v>
      </c>
      <c r="U129" s="130">
        <v>0</v>
      </c>
      <c r="V129" s="131">
        <v>0</v>
      </c>
      <c r="W129" s="130">
        <v>0</v>
      </c>
      <c r="X129" s="132">
        <v>0</v>
      </c>
      <c r="Y129" s="130">
        <v>0</v>
      </c>
      <c r="Z129" s="130">
        <v>0</v>
      </c>
      <c r="AA129" s="129">
        <v>0</v>
      </c>
      <c r="AB129" s="133">
        <f t="shared" si="530"/>
        <v>0</v>
      </c>
      <c r="AC129" s="132">
        <v>0</v>
      </c>
      <c r="AD129" s="128">
        <v>0</v>
      </c>
      <c r="AE129" s="147">
        <v>0</v>
      </c>
      <c r="AF129" s="130">
        <v>0</v>
      </c>
      <c r="AG129" s="134">
        <v>0</v>
      </c>
      <c r="AH129" s="130">
        <v>0</v>
      </c>
      <c r="AI129" s="131">
        <v>0</v>
      </c>
      <c r="AJ129" s="130">
        <v>0</v>
      </c>
      <c r="AK129" s="130">
        <v>0</v>
      </c>
      <c r="AL129" s="130">
        <v>0</v>
      </c>
      <c r="AM129" s="135">
        <f t="shared" si="531"/>
        <v>4320.3760000000002</v>
      </c>
      <c r="AN129" s="136">
        <v>46190</v>
      </c>
      <c r="AO129" s="137" t="s">
        <v>665</v>
      </c>
      <c r="AP129" s="138" t="s">
        <v>356</v>
      </c>
      <c r="AQ129" s="139" t="s">
        <v>357</v>
      </c>
      <c r="AR129" s="139" t="s">
        <v>358</v>
      </c>
      <c r="AS129" s="126" t="s">
        <v>606</v>
      </c>
      <c r="AT129" s="140" t="s">
        <v>360</v>
      </c>
      <c r="AU129" s="140" t="s">
        <v>361</v>
      </c>
      <c r="AV129" s="141" t="s">
        <v>666</v>
      </c>
      <c r="AW129" s="139">
        <v>8</v>
      </c>
      <c r="AX129" s="141">
        <v>550</v>
      </c>
      <c r="AY129" s="139">
        <f t="shared" si="532"/>
        <v>4400</v>
      </c>
      <c r="AZ129" s="142" t="b">
        <f t="shared" si="533"/>
        <v>1</v>
      </c>
      <c r="BA129" s="128">
        <v>0</v>
      </c>
      <c r="BB129" s="143">
        <f t="shared" si="534"/>
        <v>8</v>
      </c>
      <c r="BC129" s="144">
        <v>0</v>
      </c>
      <c r="BD129" s="143" t="s">
        <v>109</v>
      </c>
      <c r="BE129" s="144">
        <v>0</v>
      </c>
      <c r="BF129" s="143">
        <v>0</v>
      </c>
      <c r="BG129" s="144">
        <v>0</v>
      </c>
      <c r="BH129" s="130">
        <v>0</v>
      </c>
      <c r="BI129" s="133">
        <v>0</v>
      </c>
      <c r="BJ129" s="131">
        <v>0</v>
      </c>
      <c r="BK129" s="128">
        <v>0</v>
      </c>
      <c r="BL129" s="139">
        <v>0</v>
      </c>
      <c r="BM129" s="130">
        <v>0</v>
      </c>
      <c r="BN129" s="145">
        <f t="shared" si="535"/>
        <v>0</v>
      </c>
      <c r="BO129" s="129">
        <f t="shared" si="536"/>
        <v>4400</v>
      </c>
      <c r="BP129" s="135">
        <f t="shared" si="537"/>
        <v>79.623999999999796</v>
      </c>
      <c r="BQ129" s="144" t="str">
        <f t="shared" si="538"/>
        <v>Positive Margin</v>
      </c>
      <c r="BR129" s="146" t="s">
        <v>209</v>
      </c>
      <c r="BS129" s="128">
        <f t="shared" si="539"/>
        <v>79.623999999999796</v>
      </c>
      <c r="BT129" s="147" t="str">
        <f t="shared" si="540"/>
        <v>Positive Margin at Inception</v>
      </c>
      <c r="BU129" s="148">
        <f t="shared" si="541"/>
        <v>1.8096363636363591E-2</v>
      </c>
      <c r="BV129" s="147" t="str">
        <f t="shared" si="542"/>
        <v>1% - 2%</v>
      </c>
      <c r="BW129" s="128">
        <f t="shared" si="543"/>
        <v>0</v>
      </c>
      <c r="BX129" s="129">
        <f t="shared" si="544"/>
        <v>0</v>
      </c>
      <c r="BY129" s="128">
        <f t="shared" si="545"/>
        <v>0</v>
      </c>
      <c r="BZ129" s="149">
        <f t="shared" si="546"/>
        <v>0</v>
      </c>
      <c r="CA129" s="149">
        <f t="shared" si="547"/>
        <v>0</v>
      </c>
      <c r="CB129" s="130">
        <f t="shared" si="548"/>
        <v>0</v>
      </c>
      <c r="CC129" s="149" t="s">
        <v>282</v>
      </c>
      <c r="CD129" s="130">
        <v>0</v>
      </c>
      <c r="CE129" s="130">
        <f t="shared" si="549"/>
        <v>4320.3760000000002</v>
      </c>
      <c r="CF129" s="130">
        <f t="shared" si="550"/>
        <v>4400</v>
      </c>
      <c r="CG129" s="130">
        <f t="shared" si="551"/>
        <v>11</v>
      </c>
      <c r="CH129" s="150">
        <v>0</v>
      </c>
      <c r="CI129" s="130">
        <v>0</v>
      </c>
      <c r="CJ129" s="130" t="e">
        <f>_xlfn.XLOOKUP(AP129,POC!B:B,POC!D:D)</f>
        <v>#N/A</v>
      </c>
      <c r="CK129" s="130">
        <f t="shared" si="552"/>
        <v>79.623999999999796</v>
      </c>
      <c r="CL129" s="130">
        <f t="shared" si="553"/>
        <v>79.623999999999796</v>
      </c>
      <c r="CM129" s="130">
        <f t="shared" si="554"/>
        <v>79.623999999999796</v>
      </c>
      <c r="CN129" s="130">
        <f t="shared" si="555"/>
        <v>5192</v>
      </c>
      <c r="CO129" s="130">
        <f t="shared" si="556"/>
        <v>-5098.0436799999998</v>
      </c>
      <c r="CP129" s="130">
        <f t="shared" si="557"/>
        <v>0</v>
      </c>
      <c r="CQ129" s="130">
        <f t="shared" si="558"/>
        <v>0</v>
      </c>
      <c r="CR129" s="130">
        <f t="shared" si="559"/>
        <v>93.956320000000233</v>
      </c>
      <c r="CS129" s="130" t="s">
        <v>236</v>
      </c>
      <c r="CT129" s="130" t="s">
        <v>236</v>
      </c>
      <c r="CU129" s="145" t="str">
        <f t="shared" si="560"/>
        <v>AABCA7366H</v>
      </c>
      <c r="CV129" s="145" t="str">
        <f t="shared" si="561"/>
        <v>DAKPA5526G</v>
      </c>
    </row>
    <row r="130" spans="2:100" s="152" customFormat="1" ht="11.85" customHeight="1" x14ac:dyDescent="0.25">
      <c r="B130" s="123" t="str">
        <f t="shared" si="526"/>
        <v>Q1</v>
      </c>
      <c r="C130" s="124" t="str">
        <f t="shared" si="527"/>
        <v>Jun-26</v>
      </c>
      <c r="D130" s="125">
        <v>46189</v>
      </c>
      <c r="E130" s="126" t="s">
        <v>629</v>
      </c>
      <c r="F130" s="126" t="s">
        <v>600</v>
      </c>
      <c r="G130" s="126" t="s">
        <v>601</v>
      </c>
      <c r="H130" s="127" t="s">
        <v>630</v>
      </c>
      <c r="I130" s="349">
        <v>46189</v>
      </c>
      <c r="J130" s="350" t="s">
        <v>631</v>
      </c>
      <c r="K130" s="349">
        <v>46190</v>
      </c>
      <c r="L130" s="126" t="s">
        <v>237</v>
      </c>
      <c r="M130" s="126" t="s">
        <v>632</v>
      </c>
      <c r="N130" s="127" t="s">
        <v>212</v>
      </c>
      <c r="O130" s="126">
        <v>13</v>
      </c>
      <c r="P130" s="283">
        <v>581.58900000000006</v>
      </c>
      <c r="Q130" s="128">
        <f t="shared" si="528"/>
        <v>7560.6570000000011</v>
      </c>
      <c r="R130" s="129">
        <v>0</v>
      </c>
      <c r="S130" s="128">
        <f t="shared" si="529"/>
        <v>13</v>
      </c>
      <c r="T130" s="129">
        <v>0</v>
      </c>
      <c r="U130" s="130">
        <v>0</v>
      </c>
      <c r="V130" s="131">
        <v>0</v>
      </c>
      <c r="W130" s="130">
        <v>0</v>
      </c>
      <c r="X130" s="132">
        <v>0</v>
      </c>
      <c r="Y130" s="130">
        <v>0</v>
      </c>
      <c r="Z130" s="130">
        <v>0</v>
      </c>
      <c r="AA130" s="129">
        <v>0</v>
      </c>
      <c r="AB130" s="133">
        <f t="shared" si="530"/>
        <v>0</v>
      </c>
      <c r="AC130" s="132">
        <v>0</v>
      </c>
      <c r="AD130" s="128">
        <v>0</v>
      </c>
      <c r="AE130" s="147">
        <v>0</v>
      </c>
      <c r="AF130" s="130">
        <v>0</v>
      </c>
      <c r="AG130" s="134">
        <v>0</v>
      </c>
      <c r="AH130" s="130">
        <v>0</v>
      </c>
      <c r="AI130" s="131">
        <v>0</v>
      </c>
      <c r="AJ130" s="130">
        <v>0</v>
      </c>
      <c r="AK130" s="130">
        <v>0</v>
      </c>
      <c r="AL130" s="130">
        <v>0</v>
      </c>
      <c r="AM130" s="135">
        <f t="shared" si="531"/>
        <v>7560.6570000000011</v>
      </c>
      <c r="AN130" s="136">
        <v>46190</v>
      </c>
      <c r="AO130" s="137" t="s">
        <v>665</v>
      </c>
      <c r="AP130" s="138" t="s">
        <v>356</v>
      </c>
      <c r="AQ130" s="139" t="s">
        <v>357</v>
      </c>
      <c r="AR130" s="139" t="s">
        <v>358</v>
      </c>
      <c r="AS130" s="126" t="s">
        <v>606</v>
      </c>
      <c r="AT130" s="140" t="s">
        <v>360</v>
      </c>
      <c r="AU130" s="140" t="s">
        <v>361</v>
      </c>
      <c r="AV130" s="141" t="s">
        <v>666</v>
      </c>
      <c r="AW130" s="139">
        <v>13</v>
      </c>
      <c r="AX130" s="141">
        <v>600</v>
      </c>
      <c r="AY130" s="139">
        <f t="shared" si="532"/>
        <v>7800</v>
      </c>
      <c r="AZ130" s="142" t="b">
        <f t="shared" si="533"/>
        <v>1</v>
      </c>
      <c r="BA130" s="128">
        <v>0</v>
      </c>
      <c r="BB130" s="143">
        <f t="shared" si="534"/>
        <v>13</v>
      </c>
      <c r="BC130" s="144">
        <v>0</v>
      </c>
      <c r="BD130" s="143" t="s">
        <v>109</v>
      </c>
      <c r="BE130" s="144">
        <v>0</v>
      </c>
      <c r="BF130" s="143">
        <v>0</v>
      </c>
      <c r="BG130" s="144">
        <v>0</v>
      </c>
      <c r="BH130" s="130">
        <v>0</v>
      </c>
      <c r="BI130" s="133">
        <v>0</v>
      </c>
      <c r="BJ130" s="131">
        <v>0</v>
      </c>
      <c r="BK130" s="128">
        <v>0</v>
      </c>
      <c r="BL130" s="139">
        <v>0</v>
      </c>
      <c r="BM130" s="130">
        <v>0</v>
      </c>
      <c r="BN130" s="145">
        <f t="shared" si="535"/>
        <v>0</v>
      </c>
      <c r="BO130" s="129">
        <f t="shared" si="536"/>
        <v>7800</v>
      </c>
      <c r="BP130" s="135">
        <f t="shared" si="537"/>
        <v>239.34299999999894</v>
      </c>
      <c r="BQ130" s="144" t="str">
        <f t="shared" si="538"/>
        <v>Positive Margin</v>
      </c>
      <c r="BR130" s="146" t="s">
        <v>209</v>
      </c>
      <c r="BS130" s="128">
        <f t="shared" si="539"/>
        <v>239.34299999999894</v>
      </c>
      <c r="BT130" s="147" t="str">
        <f t="shared" si="540"/>
        <v>Positive Margin at Inception</v>
      </c>
      <c r="BU130" s="148">
        <f t="shared" si="541"/>
        <v>3.0684999999999865E-2</v>
      </c>
      <c r="BV130" s="147" t="str">
        <f t="shared" si="542"/>
        <v>More than 2%</v>
      </c>
      <c r="BW130" s="128">
        <f t="shared" si="543"/>
        <v>0</v>
      </c>
      <c r="BX130" s="129">
        <f t="shared" si="544"/>
        <v>0</v>
      </c>
      <c r="BY130" s="128">
        <f t="shared" si="545"/>
        <v>0</v>
      </c>
      <c r="BZ130" s="149">
        <f t="shared" si="546"/>
        <v>0</v>
      </c>
      <c r="CA130" s="149">
        <f t="shared" si="547"/>
        <v>0</v>
      </c>
      <c r="CB130" s="130">
        <f t="shared" si="548"/>
        <v>0</v>
      </c>
      <c r="CC130" s="149" t="s">
        <v>282</v>
      </c>
      <c r="CD130" s="130">
        <v>0</v>
      </c>
      <c r="CE130" s="130">
        <f t="shared" si="549"/>
        <v>7560.6570000000011</v>
      </c>
      <c r="CF130" s="130">
        <f t="shared" si="550"/>
        <v>7800</v>
      </c>
      <c r="CG130" s="130">
        <f t="shared" si="551"/>
        <v>11</v>
      </c>
      <c r="CH130" s="150">
        <v>0</v>
      </c>
      <c r="CI130" s="130">
        <v>0</v>
      </c>
      <c r="CJ130" s="130" t="e">
        <f>_xlfn.XLOOKUP(AP130,POC!B:B,POC!D:D)</f>
        <v>#N/A</v>
      </c>
      <c r="CK130" s="130">
        <f t="shared" si="552"/>
        <v>239.34299999999894</v>
      </c>
      <c r="CL130" s="130">
        <f t="shared" si="553"/>
        <v>239.34299999999894</v>
      </c>
      <c r="CM130" s="130">
        <f t="shared" si="554"/>
        <v>239.34299999999894</v>
      </c>
      <c r="CN130" s="130">
        <f t="shared" si="555"/>
        <v>9204</v>
      </c>
      <c r="CO130" s="130">
        <f t="shared" si="556"/>
        <v>-8921.5752600000014</v>
      </c>
      <c r="CP130" s="130">
        <f t="shared" si="557"/>
        <v>0</v>
      </c>
      <c r="CQ130" s="130">
        <f t="shared" si="558"/>
        <v>0</v>
      </c>
      <c r="CR130" s="130">
        <f t="shared" si="559"/>
        <v>282.42473999999856</v>
      </c>
      <c r="CS130" s="130" t="s">
        <v>236</v>
      </c>
      <c r="CT130" s="130" t="s">
        <v>236</v>
      </c>
      <c r="CU130" s="145" t="str">
        <f t="shared" si="560"/>
        <v>AABCA7366H</v>
      </c>
      <c r="CV130" s="145" t="str">
        <f t="shared" si="561"/>
        <v>DAKPA5526G</v>
      </c>
    </row>
    <row r="131" spans="2:100" s="152" customFormat="1" ht="11.85" customHeight="1" x14ac:dyDescent="0.25">
      <c r="B131" s="123" t="str">
        <f t="shared" si="526"/>
        <v>Q1</v>
      </c>
      <c r="C131" s="124" t="str">
        <f t="shared" si="527"/>
        <v>Jun-26</v>
      </c>
      <c r="D131" s="125">
        <v>46189</v>
      </c>
      <c r="E131" s="126" t="s">
        <v>629</v>
      </c>
      <c r="F131" s="126" t="s">
        <v>600</v>
      </c>
      <c r="G131" s="126" t="s">
        <v>601</v>
      </c>
      <c r="H131" s="127" t="s">
        <v>630</v>
      </c>
      <c r="I131" s="349">
        <v>46189</v>
      </c>
      <c r="J131" s="350" t="s">
        <v>631</v>
      </c>
      <c r="K131" s="349">
        <v>46190</v>
      </c>
      <c r="L131" s="126" t="s">
        <v>237</v>
      </c>
      <c r="M131" s="126" t="s">
        <v>632</v>
      </c>
      <c r="N131" s="127" t="s">
        <v>212</v>
      </c>
      <c r="O131" s="126">
        <v>492</v>
      </c>
      <c r="P131" s="283">
        <v>1296.1120000000001</v>
      </c>
      <c r="Q131" s="128">
        <f t="shared" si="528"/>
        <v>637687.10400000005</v>
      </c>
      <c r="R131" s="129">
        <v>0</v>
      </c>
      <c r="S131" s="128">
        <f t="shared" si="529"/>
        <v>492</v>
      </c>
      <c r="T131" s="129">
        <v>0</v>
      </c>
      <c r="U131" s="130">
        <v>0</v>
      </c>
      <c r="V131" s="131">
        <v>0</v>
      </c>
      <c r="W131" s="130">
        <v>0</v>
      </c>
      <c r="X131" s="132">
        <v>0</v>
      </c>
      <c r="Y131" s="130">
        <v>0</v>
      </c>
      <c r="Z131" s="130">
        <v>0</v>
      </c>
      <c r="AA131" s="129">
        <v>0</v>
      </c>
      <c r="AB131" s="133">
        <f t="shared" si="530"/>
        <v>0</v>
      </c>
      <c r="AC131" s="132">
        <v>0</v>
      </c>
      <c r="AD131" s="128">
        <v>0</v>
      </c>
      <c r="AE131" s="147">
        <v>0</v>
      </c>
      <c r="AF131" s="130">
        <v>0</v>
      </c>
      <c r="AG131" s="134">
        <v>0</v>
      </c>
      <c r="AH131" s="130">
        <v>0</v>
      </c>
      <c r="AI131" s="131">
        <v>0</v>
      </c>
      <c r="AJ131" s="130">
        <v>0</v>
      </c>
      <c r="AK131" s="130">
        <v>0</v>
      </c>
      <c r="AL131" s="130">
        <v>0</v>
      </c>
      <c r="AM131" s="135">
        <f t="shared" si="531"/>
        <v>637687.10400000005</v>
      </c>
      <c r="AN131" s="136">
        <v>46190</v>
      </c>
      <c r="AO131" s="137" t="s">
        <v>665</v>
      </c>
      <c r="AP131" s="138" t="s">
        <v>356</v>
      </c>
      <c r="AQ131" s="139" t="s">
        <v>357</v>
      </c>
      <c r="AR131" s="139" t="s">
        <v>358</v>
      </c>
      <c r="AS131" s="126" t="s">
        <v>606</v>
      </c>
      <c r="AT131" s="140" t="s">
        <v>360</v>
      </c>
      <c r="AU131" s="140" t="s">
        <v>361</v>
      </c>
      <c r="AV131" s="141" t="s">
        <v>666</v>
      </c>
      <c r="AW131" s="139">
        <v>492</v>
      </c>
      <c r="AX131" s="141">
        <v>1450</v>
      </c>
      <c r="AY131" s="139">
        <f t="shared" si="532"/>
        <v>713400</v>
      </c>
      <c r="AZ131" s="142" t="b">
        <f t="shared" si="533"/>
        <v>1</v>
      </c>
      <c r="BA131" s="128">
        <v>0</v>
      </c>
      <c r="BB131" s="143">
        <f t="shared" si="534"/>
        <v>492</v>
      </c>
      <c r="BC131" s="144">
        <v>0</v>
      </c>
      <c r="BD131" s="143" t="s">
        <v>109</v>
      </c>
      <c r="BE131" s="144">
        <v>0</v>
      </c>
      <c r="BF131" s="143">
        <v>0</v>
      </c>
      <c r="BG131" s="144">
        <v>0</v>
      </c>
      <c r="BH131" s="130">
        <v>0</v>
      </c>
      <c r="BI131" s="133">
        <v>0</v>
      </c>
      <c r="BJ131" s="131">
        <v>0</v>
      </c>
      <c r="BK131" s="128">
        <v>0</v>
      </c>
      <c r="BL131" s="139">
        <v>0</v>
      </c>
      <c r="BM131" s="130">
        <v>0</v>
      </c>
      <c r="BN131" s="145">
        <f t="shared" si="535"/>
        <v>0</v>
      </c>
      <c r="BO131" s="129">
        <f t="shared" si="536"/>
        <v>713400</v>
      </c>
      <c r="BP131" s="135">
        <f t="shared" si="537"/>
        <v>75712.89599999995</v>
      </c>
      <c r="BQ131" s="144" t="str">
        <f t="shared" si="538"/>
        <v>Positive Margin</v>
      </c>
      <c r="BR131" s="146" t="s">
        <v>209</v>
      </c>
      <c r="BS131" s="128">
        <f t="shared" si="539"/>
        <v>75712.89599999995</v>
      </c>
      <c r="BT131" s="147" t="str">
        <f t="shared" si="540"/>
        <v>Positive Margin at Inception</v>
      </c>
      <c r="BU131" s="148">
        <f t="shared" si="541"/>
        <v>0.10612965517241373</v>
      </c>
      <c r="BV131" s="147" t="str">
        <f t="shared" si="542"/>
        <v>More than 2%</v>
      </c>
      <c r="BW131" s="128">
        <f t="shared" si="543"/>
        <v>0</v>
      </c>
      <c r="BX131" s="129">
        <f t="shared" si="544"/>
        <v>0</v>
      </c>
      <c r="BY131" s="128">
        <f t="shared" si="545"/>
        <v>0</v>
      </c>
      <c r="BZ131" s="149">
        <f t="shared" si="546"/>
        <v>0</v>
      </c>
      <c r="CA131" s="149">
        <f t="shared" si="547"/>
        <v>0</v>
      </c>
      <c r="CB131" s="130">
        <f t="shared" si="548"/>
        <v>0</v>
      </c>
      <c r="CC131" s="149" t="s">
        <v>282</v>
      </c>
      <c r="CD131" s="130">
        <v>0</v>
      </c>
      <c r="CE131" s="130">
        <f t="shared" si="549"/>
        <v>637687.10400000005</v>
      </c>
      <c r="CF131" s="130">
        <f t="shared" si="550"/>
        <v>713400</v>
      </c>
      <c r="CG131" s="130">
        <f t="shared" si="551"/>
        <v>11</v>
      </c>
      <c r="CH131" s="150">
        <v>0</v>
      </c>
      <c r="CI131" s="130">
        <v>0</v>
      </c>
      <c r="CJ131" s="130" t="e">
        <f>_xlfn.XLOOKUP(AP131,POC!B:B,POC!D:D)</f>
        <v>#N/A</v>
      </c>
      <c r="CK131" s="130">
        <f t="shared" si="552"/>
        <v>75712.89599999995</v>
      </c>
      <c r="CL131" s="130">
        <f t="shared" si="553"/>
        <v>75712.89599999995</v>
      </c>
      <c r="CM131" s="130">
        <f t="shared" si="554"/>
        <v>75712.89599999995</v>
      </c>
      <c r="CN131" s="130">
        <f t="shared" si="555"/>
        <v>841812</v>
      </c>
      <c r="CO131" s="130">
        <f t="shared" si="556"/>
        <v>-752470.78272000002</v>
      </c>
      <c r="CP131" s="130">
        <f t="shared" si="557"/>
        <v>0</v>
      </c>
      <c r="CQ131" s="130">
        <f t="shared" si="558"/>
        <v>0</v>
      </c>
      <c r="CR131" s="130">
        <f t="shared" si="559"/>
        <v>89341.217279999983</v>
      </c>
      <c r="CS131" s="130" t="s">
        <v>236</v>
      </c>
      <c r="CT131" s="130" t="s">
        <v>236</v>
      </c>
      <c r="CU131" s="145" t="str">
        <f t="shared" si="560"/>
        <v>AABCA7366H</v>
      </c>
      <c r="CV131" s="145" t="str">
        <f t="shared" si="561"/>
        <v>DAKPA5526G</v>
      </c>
    </row>
    <row r="132" spans="2:100" s="152" customFormat="1" ht="11.85" customHeight="1" x14ac:dyDescent="0.25">
      <c r="B132" s="123" t="str">
        <f t="shared" si="526"/>
        <v>Q1</v>
      </c>
      <c r="C132" s="124" t="str">
        <f t="shared" si="527"/>
        <v>Jun-26</v>
      </c>
      <c r="D132" s="125">
        <v>46189</v>
      </c>
      <c r="E132" s="126" t="s">
        <v>629</v>
      </c>
      <c r="F132" s="126" t="s">
        <v>600</v>
      </c>
      <c r="G132" s="126" t="s">
        <v>601</v>
      </c>
      <c r="H132" s="127" t="s">
        <v>630</v>
      </c>
      <c r="I132" s="349">
        <v>46189</v>
      </c>
      <c r="J132" s="350" t="s">
        <v>631</v>
      </c>
      <c r="K132" s="349">
        <v>46190</v>
      </c>
      <c r="L132" s="126" t="s">
        <v>237</v>
      </c>
      <c r="M132" s="126" t="s">
        <v>632</v>
      </c>
      <c r="N132" s="127" t="s">
        <v>212</v>
      </c>
      <c r="O132" s="126">
        <v>29</v>
      </c>
      <c r="P132" s="283">
        <v>2035.56</v>
      </c>
      <c r="Q132" s="128">
        <f t="shared" si="528"/>
        <v>59031.24</v>
      </c>
      <c r="R132" s="129">
        <v>0</v>
      </c>
      <c r="S132" s="128">
        <f t="shared" si="529"/>
        <v>29</v>
      </c>
      <c r="T132" s="129">
        <v>0</v>
      </c>
      <c r="U132" s="130">
        <v>0</v>
      </c>
      <c r="V132" s="131">
        <v>0</v>
      </c>
      <c r="W132" s="130">
        <v>0</v>
      </c>
      <c r="X132" s="132">
        <v>0</v>
      </c>
      <c r="Y132" s="130">
        <v>0</v>
      </c>
      <c r="Z132" s="130">
        <v>0</v>
      </c>
      <c r="AA132" s="129">
        <v>0</v>
      </c>
      <c r="AB132" s="133">
        <f t="shared" si="530"/>
        <v>0</v>
      </c>
      <c r="AC132" s="132">
        <v>0</v>
      </c>
      <c r="AD132" s="128">
        <v>0</v>
      </c>
      <c r="AE132" s="147">
        <v>0</v>
      </c>
      <c r="AF132" s="130">
        <v>0</v>
      </c>
      <c r="AG132" s="134">
        <v>0</v>
      </c>
      <c r="AH132" s="130">
        <v>0</v>
      </c>
      <c r="AI132" s="131">
        <v>0</v>
      </c>
      <c r="AJ132" s="130">
        <v>0</v>
      </c>
      <c r="AK132" s="130">
        <v>0</v>
      </c>
      <c r="AL132" s="130">
        <v>0</v>
      </c>
      <c r="AM132" s="135">
        <f t="shared" si="531"/>
        <v>59031.24</v>
      </c>
      <c r="AN132" s="136">
        <v>46190</v>
      </c>
      <c r="AO132" s="137" t="s">
        <v>665</v>
      </c>
      <c r="AP132" s="138" t="s">
        <v>356</v>
      </c>
      <c r="AQ132" s="139" t="s">
        <v>357</v>
      </c>
      <c r="AR132" s="139" t="s">
        <v>358</v>
      </c>
      <c r="AS132" s="126" t="s">
        <v>606</v>
      </c>
      <c r="AT132" s="140" t="s">
        <v>360</v>
      </c>
      <c r="AU132" s="140" t="s">
        <v>361</v>
      </c>
      <c r="AV132" s="141" t="s">
        <v>666</v>
      </c>
      <c r="AW132" s="139">
        <v>29</v>
      </c>
      <c r="AX132" s="141">
        <v>2100</v>
      </c>
      <c r="AY132" s="139">
        <f t="shared" si="532"/>
        <v>60900</v>
      </c>
      <c r="AZ132" s="142" t="b">
        <f t="shared" si="533"/>
        <v>1</v>
      </c>
      <c r="BA132" s="128">
        <v>0</v>
      </c>
      <c r="BB132" s="143">
        <f t="shared" si="534"/>
        <v>29</v>
      </c>
      <c r="BC132" s="144">
        <v>0</v>
      </c>
      <c r="BD132" s="143" t="s">
        <v>109</v>
      </c>
      <c r="BE132" s="144">
        <v>0</v>
      </c>
      <c r="BF132" s="143">
        <v>0</v>
      </c>
      <c r="BG132" s="144">
        <v>0</v>
      </c>
      <c r="BH132" s="130">
        <v>0</v>
      </c>
      <c r="BI132" s="133">
        <v>0</v>
      </c>
      <c r="BJ132" s="131">
        <v>0</v>
      </c>
      <c r="BK132" s="128">
        <v>0</v>
      </c>
      <c r="BL132" s="139">
        <v>0</v>
      </c>
      <c r="BM132" s="130">
        <v>0</v>
      </c>
      <c r="BN132" s="145">
        <f t="shared" si="535"/>
        <v>0</v>
      </c>
      <c r="BO132" s="129">
        <f t="shared" si="536"/>
        <v>60900</v>
      </c>
      <c r="BP132" s="135">
        <f t="shared" si="537"/>
        <v>1868.760000000002</v>
      </c>
      <c r="BQ132" s="144" t="str">
        <f t="shared" si="538"/>
        <v>Positive Margin</v>
      </c>
      <c r="BR132" s="146" t="s">
        <v>209</v>
      </c>
      <c r="BS132" s="128">
        <f t="shared" si="539"/>
        <v>1868.760000000002</v>
      </c>
      <c r="BT132" s="147" t="str">
        <f t="shared" si="540"/>
        <v>Positive Margin at Inception</v>
      </c>
      <c r="BU132" s="148">
        <f t="shared" si="541"/>
        <v>3.068571428571432E-2</v>
      </c>
      <c r="BV132" s="147" t="str">
        <f t="shared" si="542"/>
        <v>More than 2%</v>
      </c>
      <c r="BW132" s="128">
        <f t="shared" si="543"/>
        <v>0</v>
      </c>
      <c r="BX132" s="129">
        <f t="shared" si="544"/>
        <v>0</v>
      </c>
      <c r="BY132" s="128">
        <f t="shared" si="545"/>
        <v>0</v>
      </c>
      <c r="BZ132" s="149">
        <f t="shared" si="546"/>
        <v>0</v>
      </c>
      <c r="CA132" s="149">
        <f t="shared" si="547"/>
        <v>0</v>
      </c>
      <c r="CB132" s="130">
        <f t="shared" si="548"/>
        <v>0</v>
      </c>
      <c r="CC132" s="149" t="s">
        <v>282</v>
      </c>
      <c r="CD132" s="130">
        <v>0</v>
      </c>
      <c r="CE132" s="130">
        <f t="shared" si="549"/>
        <v>59031.24</v>
      </c>
      <c r="CF132" s="130">
        <f t="shared" si="550"/>
        <v>60900</v>
      </c>
      <c r="CG132" s="130">
        <f t="shared" si="551"/>
        <v>11</v>
      </c>
      <c r="CH132" s="150">
        <v>0</v>
      </c>
      <c r="CI132" s="130">
        <v>0</v>
      </c>
      <c r="CJ132" s="130" t="e">
        <f>_xlfn.XLOOKUP(AP132,POC!B:B,POC!D:D)</f>
        <v>#N/A</v>
      </c>
      <c r="CK132" s="130">
        <f t="shared" si="552"/>
        <v>1868.760000000002</v>
      </c>
      <c r="CL132" s="130">
        <f t="shared" si="553"/>
        <v>1868.760000000002</v>
      </c>
      <c r="CM132" s="130">
        <f t="shared" si="554"/>
        <v>1868.760000000002</v>
      </c>
      <c r="CN132" s="130">
        <f t="shared" si="555"/>
        <v>71862</v>
      </c>
      <c r="CO132" s="130">
        <f t="shared" si="556"/>
        <v>-69656.863199999993</v>
      </c>
      <c r="CP132" s="130">
        <f t="shared" si="557"/>
        <v>0</v>
      </c>
      <c r="CQ132" s="130">
        <f t="shared" si="558"/>
        <v>0</v>
      </c>
      <c r="CR132" s="130">
        <f t="shared" si="559"/>
        <v>2205.1368000000075</v>
      </c>
      <c r="CS132" s="130" t="s">
        <v>236</v>
      </c>
      <c r="CT132" s="130" t="s">
        <v>236</v>
      </c>
      <c r="CU132" s="145" t="str">
        <f t="shared" si="560"/>
        <v>AABCA7366H</v>
      </c>
      <c r="CV132" s="145" t="str">
        <f t="shared" si="561"/>
        <v>DAKPA5526G</v>
      </c>
    </row>
    <row r="133" spans="2:100" s="152" customFormat="1" ht="11.85" customHeight="1" x14ac:dyDescent="0.25">
      <c r="B133" s="123" t="str">
        <f t="shared" si="526"/>
        <v>Q1</v>
      </c>
      <c r="C133" s="124" t="str">
        <f t="shared" si="527"/>
        <v>Jun-26</v>
      </c>
      <c r="D133" s="125">
        <v>46190</v>
      </c>
      <c r="E133" s="126" t="s">
        <v>633</v>
      </c>
      <c r="F133" s="126" t="s">
        <v>600</v>
      </c>
      <c r="G133" s="126" t="s">
        <v>601</v>
      </c>
      <c r="H133" s="127" t="s">
        <v>634</v>
      </c>
      <c r="I133" s="349">
        <v>46190</v>
      </c>
      <c r="J133" s="350" t="s">
        <v>635</v>
      </c>
      <c r="K133" s="349">
        <v>46191</v>
      </c>
      <c r="L133" s="126" t="s">
        <v>237</v>
      </c>
      <c r="M133" s="126" t="s">
        <v>632</v>
      </c>
      <c r="N133" s="127" t="s">
        <v>604</v>
      </c>
      <c r="O133" s="126">
        <v>108</v>
      </c>
      <c r="P133" s="283">
        <v>10</v>
      </c>
      <c r="Q133" s="128">
        <f t="shared" si="528"/>
        <v>1080</v>
      </c>
      <c r="R133" s="129">
        <v>0</v>
      </c>
      <c r="S133" s="128">
        <f t="shared" si="529"/>
        <v>108</v>
      </c>
      <c r="T133" s="129">
        <v>0</v>
      </c>
      <c r="U133" s="130">
        <v>0</v>
      </c>
      <c r="V133" s="131">
        <v>0</v>
      </c>
      <c r="W133" s="130">
        <v>0</v>
      </c>
      <c r="X133" s="132">
        <v>0</v>
      </c>
      <c r="Y133" s="130">
        <v>0</v>
      </c>
      <c r="Z133" s="130">
        <v>0</v>
      </c>
      <c r="AA133" s="129">
        <v>0</v>
      </c>
      <c r="AB133" s="133">
        <f t="shared" si="530"/>
        <v>0</v>
      </c>
      <c r="AC133" s="132">
        <v>0</v>
      </c>
      <c r="AD133" s="128">
        <v>0</v>
      </c>
      <c r="AE133" s="147">
        <v>0</v>
      </c>
      <c r="AF133" s="130">
        <v>0</v>
      </c>
      <c r="AG133" s="134">
        <v>0</v>
      </c>
      <c r="AH133" s="130">
        <v>0</v>
      </c>
      <c r="AI133" s="131">
        <v>0</v>
      </c>
      <c r="AJ133" s="130">
        <v>0</v>
      </c>
      <c r="AK133" s="130">
        <v>0</v>
      </c>
      <c r="AL133" s="130">
        <v>0</v>
      </c>
      <c r="AM133" s="135">
        <f t="shared" si="531"/>
        <v>1080</v>
      </c>
      <c r="AN133" s="136">
        <v>46191</v>
      </c>
      <c r="AO133" s="137" t="s">
        <v>667</v>
      </c>
      <c r="AP133" s="138" t="s">
        <v>356</v>
      </c>
      <c r="AQ133" s="139" t="s">
        <v>357</v>
      </c>
      <c r="AR133" s="139" t="s">
        <v>358</v>
      </c>
      <c r="AS133" s="126" t="s">
        <v>668</v>
      </c>
      <c r="AT133" s="140" t="s">
        <v>360</v>
      </c>
      <c r="AU133" s="140" t="s">
        <v>361</v>
      </c>
      <c r="AV133" s="141" t="s">
        <v>669</v>
      </c>
      <c r="AW133" s="139">
        <v>108</v>
      </c>
      <c r="AX133" s="141">
        <v>12</v>
      </c>
      <c r="AY133" s="139">
        <f t="shared" si="532"/>
        <v>1296</v>
      </c>
      <c r="AZ133" s="142" t="b">
        <f t="shared" si="533"/>
        <v>1</v>
      </c>
      <c r="BA133" s="128">
        <v>0</v>
      </c>
      <c r="BB133" s="143">
        <f t="shared" si="534"/>
        <v>108</v>
      </c>
      <c r="BC133" s="144">
        <v>0</v>
      </c>
      <c r="BD133" s="143" t="s">
        <v>109</v>
      </c>
      <c r="BE133" s="144">
        <v>0</v>
      </c>
      <c r="BF133" s="143">
        <v>0</v>
      </c>
      <c r="BG133" s="144">
        <v>0</v>
      </c>
      <c r="BH133" s="130">
        <v>0</v>
      </c>
      <c r="BI133" s="133">
        <v>0</v>
      </c>
      <c r="BJ133" s="131">
        <v>0</v>
      </c>
      <c r="BK133" s="128">
        <v>0</v>
      </c>
      <c r="BL133" s="139">
        <v>0</v>
      </c>
      <c r="BM133" s="130">
        <v>0</v>
      </c>
      <c r="BN133" s="145">
        <f t="shared" si="535"/>
        <v>0</v>
      </c>
      <c r="BO133" s="129">
        <f t="shared" si="536"/>
        <v>1296</v>
      </c>
      <c r="BP133" s="135">
        <f t="shared" si="537"/>
        <v>216</v>
      </c>
      <c r="BQ133" s="144" t="str">
        <f t="shared" si="538"/>
        <v>Positive Margin</v>
      </c>
      <c r="BR133" s="146" t="s">
        <v>209</v>
      </c>
      <c r="BS133" s="128">
        <f t="shared" si="539"/>
        <v>216</v>
      </c>
      <c r="BT133" s="147" t="str">
        <f t="shared" si="540"/>
        <v>Positive Margin at Inception</v>
      </c>
      <c r="BU133" s="148">
        <f t="shared" si="541"/>
        <v>0.16666666666666666</v>
      </c>
      <c r="BV133" s="147" t="str">
        <f t="shared" si="542"/>
        <v>More than 2%</v>
      </c>
      <c r="BW133" s="128">
        <f t="shared" si="543"/>
        <v>0</v>
      </c>
      <c r="BX133" s="129">
        <f t="shared" si="544"/>
        <v>0</v>
      </c>
      <c r="BY133" s="128">
        <f t="shared" si="545"/>
        <v>0</v>
      </c>
      <c r="BZ133" s="149">
        <f t="shared" si="546"/>
        <v>0</v>
      </c>
      <c r="CA133" s="149">
        <f t="shared" si="547"/>
        <v>0</v>
      </c>
      <c r="CB133" s="130">
        <f t="shared" si="548"/>
        <v>0</v>
      </c>
      <c r="CC133" s="149" t="s">
        <v>282</v>
      </c>
      <c r="CD133" s="130">
        <v>0</v>
      </c>
      <c r="CE133" s="130">
        <f t="shared" si="549"/>
        <v>1080</v>
      </c>
      <c r="CF133" s="130">
        <f t="shared" si="550"/>
        <v>1296</v>
      </c>
      <c r="CG133" s="130">
        <f t="shared" si="551"/>
        <v>12</v>
      </c>
      <c r="CH133" s="150">
        <v>0</v>
      </c>
      <c r="CI133" s="130">
        <v>0</v>
      </c>
      <c r="CJ133" s="130" t="e">
        <f>_xlfn.XLOOKUP(AP133,POC!B:B,POC!D:D)</f>
        <v>#N/A</v>
      </c>
      <c r="CK133" s="130">
        <f t="shared" si="552"/>
        <v>216</v>
      </c>
      <c r="CL133" s="130">
        <f t="shared" si="553"/>
        <v>216</v>
      </c>
      <c r="CM133" s="130">
        <f t="shared" si="554"/>
        <v>216</v>
      </c>
      <c r="CN133" s="130">
        <f t="shared" si="555"/>
        <v>1529.28</v>
      </c>
      <c r="CO133" s="130">
        <f t="shared" si="556"/>
        <v>-1274.3999999999999</v>
      </c>
      <c r="CP133" s="130">
        <f t="shared" si="557"/>
        <v>0</v>
      </c>
      <c r="CQ133" s="130">
        <f t="shared" si="558"/>
        <v>0</v>
      </c>
      <c r="CR133" s="130">
        <f t="shared" si="559"/>
        <v>254.88000000000011</v>
      </c>
      <c r="CS133" s="130" t="s">
        <v>236</v>
      </c>
      <c r="CT133" s="130" t="s">
        <v>236</v>
      </c>
      <c r="CU133" s="145" t="str">
        <f t="shared" si="560"/>
        <v>AABCA7366H</v>
      </c>
      <c r="CV133" s="145" t="str">
        <f t="shared" si="561"/>
        <v>DAKPA5526G</v>
      </c>
    </row>
    <row r="134" spans="2:100" s="152" customFormat="1" ht="11.85" customHeight="1" x14ac:dyDescent="0.25">
      <c r="B134" s="123" t="str">
        <f t="shared" si="526"/>
        <v>Q1</v>
      </c>
      <c r="C134" s="124" t="str">
        <f t="shared" si="527"/>
        <v>Jun-26</v>
      </c>
      <c r="D134" s="125">
        <v>46190</v>
      </c>
      <c r="E134" s="126" t="s">
        <v>633</v>
      </c>
      <c r="F134" s="126" t="s">
        <v>600</v>
      </c>
      <c r="G134" s="126" t="s">
        <v>601</v>
      </c>
      <c r="H134" s="127" t="s">
        <v>634</v>
      </c>
      <c r="I134" s="349">
        <v>46190</v>
      </c>
      <c r="J134" s="350" t="s">
        <v>635</v>
      </c>
      <c r="K134" s="349">
        <v>46191</v>
      </c>
      <c r="L134" s="126" t="s">
        <v>237</v>
      </c>
      <c r="M134" s="126" t="s">
        <v>632</v>
      </c>
      <c r="N134" s="127" t="s">
        <v>604</v>
      </c>
      <c r="O134" s="126">
        <v>155</v>
      </c>
      <c r="P134" s="283">
        <v>14.15</v>
      </c>
      <c r="Q134" s="128">
        <f t="shared" si="528"/>
        <v>2193.25</v>
      </c>
      <c r="R134" s="129">
        <v>0</v>
      </c>
      <c r="S134" s="128">
        <f t="shared" si="529"/>
        <v>155</v>
      </c>
      <c r="T134" s="129">
        <v>0</v>
      </c>
      <c r="U134" s="130">
        <v>0</v>
      </c>
      <c r="V134" s="131">
        <v>0</v>
      </c>
      <c r="W134" s="130">
        <v>0</v>
      </c>
      <c r="X134" s="132">
        <v>0</v>
      </c>
      <c r="Y134" s="130">
        <v>0</v>
      </c>
      <c r="Z134" s="130">
        <v>0</v>
      </c>
      <c r="AA134" s="129">
        <v>0</v>
      </c>
      <c r="AB134" s="133">
        <f t="shared" si="530"/>
        <v>0</v>
      </c>
      <c r="AC134" s="132">
        <v>0</v>
      </c>
      <c r="AD134" s="128">
        <v>0</v>
      </c>
      <c r="AE134" s="147">
        <v>0</v>
      </c>
      <c r="AF134" s="130">
        <v>0</v>
      </c>
      <c r="AG134" s="134">
        <v>0</v>
      </c>
      <c r="AH134" s="130">
        <v>0</v>
      </c>
      <c r="AI134" s="131">
        <v>0</v>
      </c>
      <c r="AJ134" s="130">
        <v>0</v>
      </c>
      <c r="AK134" s="130">
        <v>0</v>
      </c>
      <c r="AL134" s="130">
        <v>0</v>
      </c>
      <c r="AM134" s="135">
        <f t="shared" si="531"/>
        <v>2193.25</v>
      </c>
      <c r="AN134" s="136">
        <v>46191</v>
      </c>
      <c r="AO134" s="137" t="s">
        <v>667</v>
      </c>
      <c r="AP134" s="138" t="s">
        <v>356</v>
      </c>
      <c r="AQ134" s="139" t="s">
        <v>357</v>
      </c>
      <c r="AR134" s="139" t="s">
        <v>358</v>
      </c>
      <c r="AS134" s="126" t="s">
        <v>668</v>
      </c>
      <c r="AT134" s="140" t="s">
        <v>360</v>
      </c>
      <c r="AU134" s="140" t="s">
        <v>361</v>
      </c>
      <c r="AV134" s="141" t="s">
        <v>669</v>
      </c>
      <c r="AW134" s="139">
        <v>155</v>
      </c>
      <c r="AX134" s="141">
        <v>16</v>
      </c>
      <c r="AY134" s="139">
        <f t="shared" si="532"/>
        <v>2480</v>
      </c>
      <c r="AZ134" s="142" t="b">
        <f t="shared" si="533"/>
        <v>1</v>
      </c>
      <c r="BA134" s="128">
        <v>0</v>
      </c>
      <c r="BB134" s="143">
        <f t="shared" si="534"/>
        <v>155</v>
      </c>
      <c r="BC134" s="144">
        <v>0</v>
      </c>
      <c r="BD134" s="143" t="s">
        <v>109</v>
      </c>
      <c r="BE134" s="144">
        <v>0</v>
      </c>
      <c r="BF134" s="143">
        <v>0</v>
      </c>
      <c r="BG134" s="144">
        <v>0</v>
      </c>
      <c r="BH134" s="130">
        <v>0</v>
      </c>
      <c r="BI134" s="133">
        <v>0</v>
      </c>
      <c r="BJ134" s="131">
        <v>0</v>
      </c>
      <c r="BK134" s="128">
        <v>0</v>
      </c>
      <c r="BL134" s="139">
        <v>0</v>
      </c>
      <c r="BM134" s="130">
        <v>0</v>
      </c>
      <c r="BN134" s="145">
        <f t="shared" si="535"/>
        <v>0</v>
      </c>
      <c r="BO134" s="129">
        <f t="shared" si="536"/>
        <v>2480</v>
      </c>
      <c r="BP134" s="135">
        <f t="shared" si="537"/>
        <v>286.75</v>
      </c>
      <c r="BQ134" s="144" t="str">
        <f t="shared" si="538"/>
        <v>Positive Margin</v>
      </c>
      <c r="BR134" s="146" t="s">
        <v>209</v>
      </c>
      <c r="BS134" s="128">
        <f t="shared" si="539"/>
        <v>286.75</v>
      </c>
      <c r="BT134" s="147" t="str">
        <f t="shared" si="540"/>
        <v>Positive Margin at Inception</v>
      </c>
      <c r="BU134" s="148">
        <f t="shared" si="541"/>
        <v>0.11562500000000001</v>
      </c>
      <c r="BV134" s="147" t="str">
        <f t="shared" si="542"/>
        <v>More than 2%</v>
      </c>
      <c r="BW134" s="128">
        <f t="shared" si="543"/>
        <v>0</v>
      </c>
      <c r="BX134" s="129">
        <f t="shared" si="544"/>
        <v>0</v>
      </c>
      <c r="BY134" s="128">
        <f t="shared" si="545"/>
        <v>0</v>
      </c>
      <c r="BZ134" s="149">
        <f t="shared" si="546"/>
        <v>0</v>
      </c>
      <c r="CA134" s="149">
        <f t="shared" si="547"/>
        <v>0</v>
      </c>
      <c r="CB134" s="130">
        <f t="shared" si="548"/>
        <v>0</v>
      </c>
      <c r="CC134" s="149" t="s">
        <v>282</v>
      </c>
      <c r="CD134" s="130">
        <v>0</v>
      </c>
      <c r="CE134" s="130">
        <f t="shared" si="549"/>
        <v>2193.25</v>
      </c>
      <c r="CF134" s="130">
        <f t="shared" si="550"/>
        <v>2480</v>
      </c>
      <c r="CG134" s="130">
        <f t="shared" si="551"/>
        <v>12</v>
      </c>
      <c r="CH134" s="150">
        <v>0</v>
      </c>
      <c r="CI134" s="130">
        <v>0</v>
      </c>
      <c r="CJ134" s="130" t="e">
        <f>_xlfn.XLOOKUP(AP134,POC!B:B,POC!D:D)</f>
        <v>#N/A</v>
      </c>
      <c r="CK134" s="130">
        <f t="shared" si="552"/>
        <v>286.75</v>
      </c>
      <c r="CL134" s="130">
        <f t="shared" si="553"/>
        <v>286.75</v>
      </c>
      <c r="CM134" s="130">
        <f t="shared" si="554"/>
        <v>286.75</v>
      </c>
      <c r="CN134" s="130">
        <f t="shared" si="555"/>
        <v>2926.3999999999996</v>
      </c>
      <c r="CO134" s="130">
        <f t="shared" si="556"/>
        <v>-2588.0349999999999</v>
      </c>
      <c r="CP134" s="130">
        <f t="shared" si="557"/>
        <v>0</v>
      </c>
      <c r="CQ134" s="130">
        <f t="shared" si="558"/>
        <v>0</v>
      </c>
      <c r="CR134" s="130">
        <f t="shared" si="559"/>
        <v>338.36499999999978</v>
      </c>
      <c r="CS134" s="130" t="s">
        <v>236</v>
      </c>
      <c r="CT134" s="130" t="s">
        <v>236</v>
      </c>
      <c r="CU134" s="145" t="str">
        <f t="shared" si="560"/>
        <v>AABCA7366H</v>
      </c>
      <c r="CV134" s="145" t="str">
        <f t="shared" si="561"/>
        <v>DAKPA5526G</v>
      </c>
    </row>
    <row r="135" spans="2:100" s="152" customFormat="1" ht="11.85" customHeight="1" x14ac:dyDescent="0.25">
      <c r="B135" s="123" t="str">
        <f t="shared" si="526"/>
        <v>Q1</v>
      </c>
      <c r="C135" s="124" t="str">
        <f t="shared" si="527"/>
        <v>Jun-26</v>
      </c>
      <c r="D135" s="125">
        <v>46190</v>
      </c>
      <c r="E135" s="126" t="s">
        <v>633</v>
      </c>
      <c r="F135" s="126" t="s">
        <v>600</v>
      </c>
      <c r="G135" s="126" t="s">
        <v>601</v>
      </c>
      <c r="H135" s="127" t="s">
        <v>634</v>
      </c>
      <c r="I135" s="349">
        <v>46190</v>
      </c>
      <c r="J135" s="350" t="s">
        <v>635</v>
      </c>
      <c r="K135" s="349">
        <v>46191</v>
      </c>
      <c r="L135" s="126" t="s">
        <v>237</v>
      </c>
      <c r="M135" s="126" t="s">
        <v>632</v>
      </c>
      <c r="N135" s="127" t="s">
        <v>604</v>
      </c>
      <c r="O135" s="126">
        <v>4</v>
      </c>
      <c r="P135" s="283">
        <v>83.1</v>
      </c>
      <c r="Q135" s="128">
        <f t="shared" si="528"/>
        <v>332.4</v>
      </c>
      <c r="R135" s="129">
        <v>0</v>
      </c>
      <c r="S135" s="128">
        <f t="shared" si="529"/>
        <v>4</v>
      </c>
      <c r="T135" s="129">
        <v>0</v>
      </c>
      <c r="U135" s="130">
        <v>0</v>
      </c>
      <c r="V135" s="131">
        <v>0</v>
      </c>
      <c r="W135" s="130">
        <v>0</v>
      </c>
      <c r="X135" s="132">
        <v>0</v>
      </c>
      <c r="Y135" s="130">
        <v>0</v>
      </c>
      <c r="Z135" s="130">
        <v>0</v>
      </c>
      <c r="AA135" s="129">
        <v>0</v>
      </c>
      <c r="AB135" s="133">
        <f t="shared" si="530"/>
        <v>0</v>
      </c>
      <c r="AC135" s="132">
        <v>0</v>
      </c>
      <c r="AD135" s="128">
        <v>0</v>
      </c>
      <c r="AE135" s="147">
        <v>0</v>
      </c>
      <c r="AF135" s="130">
        <v>0</v>
      </c>
      <c r="AG135" s="134">
        <v>0</v>
      </c>
      <c r="AH135" s="130">
        <v>0</v>
      </c>
      <c r="AI135" s="131">
        <v>0</v>
      </c>
      <c r="AJ135" s="130">
        <v>0</v>
      </c>
      <c r="AK135" s="130">
        <v>0</v>
      </c>
      <c r="AL135" s="130">
        <v>0</v>
      </c>
      <c r="AM135" s="135">
        <f t="shared" si="531"/>
        <v>332.4</v>
      </c>
      <c r="AN135" s="136">
        <v>46191</v>
      </c>
      <c r="AO135" s="137" t="s">
        <v>667</v>
      </c>
      <c r="AP135" s="138" t="s">
        <v>356</v>
      </c>
      <c r="AQ135" s="139" t="s">
        <v>357</v>
      </c>
      <c r="AR135" s="139" t="s">
        <v>358</v>
      </c>
      <c r="AS135" s="126" t="s">
        <v>668</v>
      </c>
      <c r="AT135" s="140" t="s">
        <v>360</v>
      </c>
      <c r="AU135" s="140" t="s">
        <v>361</v>
      </c>
      <c r="AV135" s="141" t="s">
        <v>669</v>
      </c>
      <c r="AW135" s="139">
        <v>4</v>
      </c>
      <c r="AX135" s="141">
        <v>100</v>
      </c>
      <c r="AY135" s="139">
        <f t="shared" si="532"/>
        <v>400</v>
      </c>
      <c r="AZ135" s="142" t="b">
        <f t="shared" si="533"/>
        <v>1</v>
      </c>
      <c r="BA135" s="128">
        <v>0</v>
      </c>
      <c r="BB135" s="143">
        <f t="shared" si="534"/>
        <v>4</v>
      </c>
      <c r="BC135" s="144">
        <v>0</v>
      </c>
      <c r="BD135" s="143" t="s">
        <v>109</v>
      </c>
      <c r="BE135" s="144">
        <v>0</v>
      </c>
      <c r="BF135" s="143">
        <v>0</v>
      </c>
      <c r="BG135" s="144">
        <v>0</v>
      </c>
      <c r="BH135" s="130">
        <v>0</v>
      </c>
      <c r="BI135" s="133">
        <v>0</v>
      </c>
      <c r="BJ135" s="131">
        <v>0</v>
      </c>
      <c r="BK135" s="128">
        <v>0</v>
      </c>
      <c r="BL135" s="139">
        <v>0</v>
      </c>
      <c r="BM135" s="130">
        <v>0</v>
      </c>
      <c r="BN135" s="145">
        <f t="shared" si="535"/>
        <v>0</v>
      </c>
      <c r="BO135" s="129">
        <f t="shared" si="536"/>
        <v>400</v>
      </c>
      <c r="BP135" s="135">
        <f t="shared" si="537"/>
        <v>67.600000000000023</v>
      </c>
      <c r="BQ135" s="144" t="str">
        <f t="shared" si="538"/>
        <v>Positive Margin</v>
      </c>
      <c r="BR135" s="146" t="s">
        <v>209</v>
      </c>
      <c r="BS135" s="128">
        <f t="shared" si="539"/>
        <v>67.600000000000023</v>
      </c>
      <c r="BT135" s="147" t="str">
        <f t="shared" si="540"/>
        <v>Positive Margin at Inception</v>
      </c>
      <c r="BU135" s="148">
        <f t="shared" si="541"/>
        <v>0.16900000000000007</v>
      </c>
      <c r="BV135" s="147" t="str">
        <f t="shared" si="542"/>
        <v>More than 2%</v>
      </c>
      <c r="BW135" s="128">
        <f t="shared" si="543"/>
        <v>0</v>
      </c>
      <c r="BX135" s="129">
        <f t="shared" si="544"/>
        <v>0</v>
      </c>
      <c r="BY135" s="128">
        <f t="shared" si="545"/>
        <v>0</v>
      </c>
      <c r="BZ135" s="149">
        <f t="shared" si="546"/>
        <v>0</v>
      </c>
      <c r="CA135" s="149">
        <f t="shared" si="547"/>
        <v>0</v>
      </c>
      <c r="CB135" s="130">
        <f t="shared" si="548"/>
        <v>0</v>
      </c>
      <c r="CC135" s="149" t="s">
        <v>282</v>
      </c>
      <c r="CD135" s="130">
        <v>0</v>
      </c>
      <c r="CE135" s="130">
        <f t="shared" si="549"/>
        <v>332.4</v>
      </c>
      <c r="CF135" s="130">
        <f t="shared" si="550"/>
        <v>400</v>
      </c>
      <c r="CG135" s="130">
        <f t="shared" si="551"/>
        <v>12</v>
      </c>
      <c r="CH135" s="150">
        <v>0</v>
      </c>
      <c r="CI135" s="130">
        <v>0</v>
      </c>
      <c r="CJ135" s="130" t="e">
        <f>_xlfn.XLOOKUP(AP135,POC!B:B,POC!D:D)</f>
        <v>#N/A</v>
      </c>
      <c r="CK135" s="130">
        <f t="shared" si="552"/>
        <v>67.600000000000023</v>
      </c>
      <c r="CL135" s="130">
        <f t="shared" si="553"/>
        <v>67.600000000000023</v>
      </c>
      <c r="CM135" s="130">
        <f t="shared" si="554"/>
        <v>67.600000000000023</v>
      </c>
      <c r="CN135" s="130">
        <f t="shared" si="555"/>
        <v>472</v>
      </c>
      <c r="CO135" s="130">
        <f t="shared" si="556"/>
        <v>-392.23199999999997</v>
      </c>
      <c r="CP135" s="130">
        <f t="shared" si="557"/>
        <v>0</v>
      </c>
      <c r="CQ135" s="130">
        <f t="shared" si="558"/>
        <v>0</v>
      </c>
      <c r="CR135" s="130">
        <f t="shared" si="559"/>
        <v>79.768000000000029</v>
      </c>
      <c r="CS135" s="130" t="s">
        <v>236</v>
      </c>
      <c r="CT135" s="130" t="s">
        <v>236</v>
      </c>
      <c r="CU135" s="145" t="str">
        <f t="shared" si="560"/>
        <v>AABCA7366H</v>
      </c>
      <c r="CV135" s="145" t="str">
        <f t="shared" si="561"/>
        <v>DAKPA5526G</v>
      </c>
    </row>
    <row r="136" spans="2:100" s="152" customFormat="1" ht="11.85" customHeight="1" x14ac:dyDescent="0.25">
      <c r="B136" s="123" t="str">
        <f t="shared" si="526"/>
        <v>Q1</v>
      </c>
      <c r="C136" s="124" t="str">
        <f t="shared" si="527"/>
        <v>Jun-26</v>
      </c>
      <c r="D136" s="125">
        <v>46190</v>
      </c>
      <c r="E136" s="126" t="s">
        <v>633</v>
      </c>
      <c r="F136" s="126" t="s">
        <v>600</v>
      </c>
      <c r="G136" s="126" t="s">
        <v>601</v>
      </c>
      <c r="H136" s="127" t="s">
        <v>634</v>
      </c>
      <c r="I136" s="349">
        <v>46190</v>
      </c>
      <c r="J136" s="350" t="s">
        <v>635</v>
      </c>
      <c r="K136" s="349">
        <v>46191</v>
      </c>
      <c r="L136" s="126" t="s">
        <v>237</v>
      </c>
      <c r="M136" s="126" t="s">
        <v>632</v>
      </c>
      <c r="N136" s="127" t="s">
        <v>604</v>
      </c>
      <c r="O136" s="126">
        <v>43</v>
      </c>
      <c r="P136" s="283">
        <v>332.5</v>
      </c>
      <c r="Q136" s="128">
        <f t="shared" si="528"/>
        <v>14297.5</v>
      </c>
      <c r="R136" s="129">
        <v>0</v>
      </c>
      <c r="S136" s="128">
        <f t="shared" si="529"/>
        <v>43</v>
      </c>
      <c r="T136" s="129">
        <v>0</v>
      </c>
      <c r="U136" s="130">
        <v>0</v>
      </c>
      <c r="V136" s="131">
        <v>0</v>
      </c>
      <c r="W136" s="130">
        <v>0</v>
      </c>
      <c r="X136" s="132">
        <v>0</v>
      </c>
      <c r="Y136" s="130">
        <v>0</v>
      </c>
      <c r="Z136" s="130">
        <v>0</v>
      </c>
      <c r="AA136" s="129">
        <v>0</v>
      </c>
      <c r="AB136" s="133">
        <f t="shared" si="530"/>
        <v>0</v>
      </c>
      <c r="AC136" s="132">
        <v>0</v>
      </c>
      <c r="AD136" s="128">
        <v>0</v>
      </c>
      <c r="AE136" s="147">
        <v>0</v>
      </c>
      <c r="AF136" s="130">
        <v>0</v>
      </c>
      <c r="AG136" s="134">
        <v>0</v>
      </c>
      <c r="AH136" s="130">
        <v>0</v>
      </c>
      <c r="AI136" s="131">
        <v>0</v>
      </c>
      <c r="AJ136" s="130">
        <v>0</v>
      </c>
      <c r="AK136" s="130">
        <v>0</v>
      </c>
      <c r="AL136" s="130">
        <v>0</v>
      </c>
      <c r="AM136" s="135">
        <f t="shared" si="531"/>
        <v>14297.5</v>
      </c>
      <c r="AN136" s="136">
        <v>46191</v>
      </c>
      <c r="AO136" s="137" t="s">
        <v>667</v>
      </c>
      <c r="AP136" s="138" t="s">
        <v>356</v>
      </c>
      <c r="AQ136" s="139" t="s">
        <v>357</v>
      </c>
      <c r="AR136" s="139" t="s">
        <v>358</v>
      </c>
      <c r="AS136" s="126" t="s">
        <v>668</v>
      </c>
      <c r="AT136" s="140" t="s">
        <v>360</v>
      </c>
      <c r="AU136" s="140" t="s">
        <v>361</v>
      </c>
      <c r="AV136" s="141" t="s">
        <v>669</v>
      </c>
      <c r="AW136" s="139">
        <v>43</v>
      </c>
      <c r="AX136" s="141">
        <v>360</v>
      </c>
      <c r="AY136" s="139">
        <f t="shared" si="532"/>
        <v>15480</v>
      </c>
      <c r="AZ136" s="142" t="b">
        <f t="shared" si="533"/>
        <v>1</v>
      </c>
      <c r="BA136" s="128">
        <v>0</v>
      </c>
      <c r="BB136" s="143">
        <f t="shared" si="534"/>
        <v>43</v>
      </c>
      <c r="BC136" s="144">
        <v>0</v>
      </c>
      <c r="BD136" s="143" t="s">
        <v>109</v>
      </c>
      <c r="BE136" s="144">
        <v>0</v>
      </c>
      <c r="BF136" s="143">
        <v>0</v>
      </c>
      <c r="BG136" s="144">
        <v>0</v>
      </c>
      <c r="BH136" s="130">
        <v>0</v>
      </c>
      <c r="BI136" s="133">
        <v>0</v>
      </c>
      <c r="BJ136" s="131">
        <v>0</v>
      </c>
      <c r="BK136" s="128">
        <v>0</v>
      </c>
      <c r="BL136" s="139">
        <v>0</v>
      </c>
      <c r="BM136" s="130">
        <v>0</v>
      </c>
      <c r="BN136" s="145">
        <f t="shared" si="535"/>
        <v>0</v>
      </c>
      <c r="BO136" s="129">
        <f t="shared" si="536"/>
        <v>15480</v>
      </c>
      <c r="BP136" s="135">
        <f t="shared" si="537"/>
        <v>1182.5</v>
      </c>
      <c r="BQ136" s="144" t="str">
        <f t="shared" si="538"/>
        <v>Positive Margin</v>
      </c>
      <c r="BR136" s="146" t="s">
        <v>209</v>
      </c>
      <c r="BS136" s="128">
        <f t="shared" si="539"/>
        <v>1182.5</v>
      </c>
      <c r="BT136" s="147" t="str">
        <f t="shared" si="540"/>
        <v>Positive Margin at Inception</v>
      </c>
      <c r="BU136" s="148">
        <f t="shared" si="541"/>
        <v>7.6388888888888895E-2</v>
      </c>
      <c r="BV136" s="147" t="str">
        <f t="shared" si="542"/>
        <v>More than 2%</v>
      </c>
      <c r="BW136" s="128">
        <f t="shared" si="543"/>
        <v>0</v>
      </c>
      <c r="BX136" s="129">
        <f t="shared" si="544"/>
        <v>0</v>
      </c>
      <c r="BY136" s="128">
        <f t="shared" si="545"/>
        <v>0</v>
      </c>
      <c r="BZ136" s="149">
        <f t="shared" si="546"/>
        <v>0</v>
      </c>
      <c r="CA136" s="149">
        <f t="shared" si="547"/>
        <v>0</v>
      </c>
      <c r="CB136" s="130">
        <f t="shared" si="548"/>
        <v>0</v>
      </c>
      <c r="CC136" s="149" t="s">
        <v>282</v>
      </c>
      <c r="CD136" s="130">
        <v>0</v>
      </c>
      <c r="CE136" s="130">
        <f t="shared" si="549"/>
        <v>14297.5</v>
      </c>
      <c r="CF136" s="130">
        <f t="shared" si="550"/>
        <v>15480</v>
      </c>
      <c r="CG136" s="130">
        <f t="shared" si="551"/>
        <v>12</v>
      </c>
      <c r="CH136" s="150">
        <v>0</v>
      </c>
      <c r="CI136" s="130">
        <v>0</v>
      </c>
      <c r="CJ136" s="130" t="e">
        <f>_xlfn.XLOOKUP(AP136,POC!B:B,POC!D:D)</f>
        <v>#N/A</v>
      </c>
      <c r="CK136" s="130">
        <f t="shared" si="552"/>
        <v>1182.5</v>
      </c>
      <c r="CL136" s="130">
        <f t="shared" si="553"/>
        <v>1182.5</v>
      </c>
      <c r="CM136" s="130">
        <f t="shared" si="554"/>
        <v>1182.5</v>
      </c>
      <c r="CN136" s="130">
        <f t="shared" si="555"/>
        <v>18266.399999999998</v>
      </c>
      <c r="CO136" s="130">
        <f t="shared" si="556"/>
        <v>-16871.05</v>
      </c>
      <c r="CP136" s="130">
        <f t="shared" si="557"/>
        <v>0</v>
      </c>
      <c r="CQ136" s="130">
        <f t="shared" si="558"/>
        <v>0</v>
      </c>
      <c r="CR136" s="130">
        <f t="shared" si="559"/>
        <v>1395.3499999999985</v>
      </c>
      <c r="CS136" s="130" t="s">
        <v>236</v>
      </c>
      <c r="CT136" s="130" t="s">
        <v>236</v>
      </c>
      <c r="CU136" s="145" t="str">
        <f t="shared" si="560"/>
        <v>AABCA7366H</v>
      </c>
      <c r="CV136" s="145" t="str">
        <f t="shared" si="561"/>
        <v>DAKPA5526G</v>
      </c>
    </row>
    <row r="137" spans="2:100" s="152" customFormat="1" ht="11.85" customHeight="1" x14ac:dyDescent="0.25">
      <c r="B137" s="123" t="str">
        <f t="shared" si="526"/>
        <v>Q1</v>
      </c>
      <c r="C137" s="124" t="str">
        <f t="shared" si="527"/>
        <v>Jun-26</v>
      </c>
      <c r="D137" s="125">
        <v>46190</v>
      </c>
      <c r="E137" s="126" t="s">
        <v>633</v>
      </c>
      <c r="F137" s="126" t="s">
        <v>600</v>
      </c>
      <c r="G137" s="126" t="s">
        <v>601</v>
      </c>
      <c r="H137" s="127" t="s">
        <v>634</v>
      </c>
      <c r="I137" s="349">
        <v>46190</v>
      </c>
      <c r="J137" s="350" t="s">
        <v>635</v>
      </c>
      <c r="K137" s="349">
        <v>46191</v>
      </c>
      <c r="L137" s="126" t="s">
        <v>237</v>
      </c>
      <c r="M137" s="126" t="s">
        <v>632</v>
      </c>
      <c r="N137" s="127" t="s">
        <v>604</v>
      </c>
      <c r="O137" s="126">
        <v>22</v>
      </c>
      <c r="P137" s="283">
        <v>361.5</v>
      </c>
      <c r="Q137" s="128">
        <f t="shared" si="528"/>
        <v>7953</v>
      </c>
      <c r="R137" s="129">
        <v>0</v>
      </c>
      <c r="S137" s="128">
        <f t="shared" si="529"/>
        <v>22</v>
      </c>
      <c r="T137" s="129">
        <v>0</v>
      </c>
      <c r="U137" s="130">
        <v>0</v>
      </c>
      <c r="V137" s="131">
        <v>0</v>
      </c>
      <c r="W137" s="130">
        <v>0</v>
      </c>
      <c r="X137" s="132">
        <v>0</v>
      </c>
      <c r="Y137" s="130">
        <v>0</v>
      </c>
      <c r="Z137" s="130">
        <v>0</v>
      </c>
      <c r="AA137" s="129">
        <v>0</v>
      </c>
      <c r="AB137" s="133">
        <f t="shared" si="530"/>
        <v>0</v>
      </c>
      <c r="AC137" s="132">
        <v>0</v>
      </c>
      <c r="AD137" s="128">
        <v>0</v>
      </c>
      <c r="AE137" s="147">
        <v>0</v>
      </c>
      <c r="AF137" s="130">
        <v>0</v>
      </c>
      <c r="AG137" s="134">
        <v>0</v>
      </c>
      <c r="AH137" s="130">
        <v>0</v>
      </c>
      <c r="AI137" s="131">
        <v>0</v>
      </c>
      <c r="AJ137" s="130">
        <v>0</v>
      </c>
      <c r="AK137" s="130">
        <v>0</v>
      </c>
      <c r="AL137" s="130">
        <v>0</v>
      </c>
      <c r="AM137" s="135">
        <f t="shared" si="531"/>
        <v>7953</v>
      </c>
      <c r="AN137" s="136">
        <v>46191</v>
      </c>
      <c r="AO137" s="137" t="s">
        <v>667</v>
      </c>
      <c r="AP137" s="138" t="s">
        <v>356</v>
      </c>
      <c r="AQ137" s="139" t="s">
        <v>357</v>
      </c>
      <c r="AR137" s="139" t="s">
        <v>358</v>
      </c>
      <c r="AS137" s="126" t="s">
        <v>668</v>
      </c>
      <c r="AT137" s="140" t="s">
        <v>360</v>
      </c>
      <c r="AU137" s="140" t="s">
        <v>361</v>
      </c>
      <c r="AV137" s="141" t="s">
        <v>669</v>
      </c>
      <c r="AW137" s="139">
        <v>22</v>
      </c>
      <c r="AX137" s="141">
        <v>400</v>
      </c>
      <c r="AY137" s="139">
        <f t="shared" si="532"/>
        <v>8800</v>
      </c>
      <c r="AZ137" s="142" t="b">
        <f t="shared" si="533"/>
        <v>1</v>
      </c>
      <c r="BA137" s="128">
        <v>0</v>
      </c>
      <c r="BB137" s="143">
        <f t="shared" si="534"/>
        <v>22</v>
      </c>
      <c r="BC137" s="144">
        <v>0</v>
      </c>
      <c r="BD137" s="143" t="s">
        <v>109</v>
      </c>
      <c r="BE137" s="144">
        <v>0</v>
      </c>
      <c r="BF137" s="143">
        <v>0</v>
      </c>
      <c r="BG137" s="144">
        <v>0</v>
      </c>
      <c r="BH137" s="130">
        <v>0</v>
      </c>
      <c r="BI137" s="133">
        <v>0</v>
      </c>
      <c r="BJ137" s="131">
        <v>0</v>
      </c>
      <c r="BK137" s="128">
        <v>0</v>
      </c>
      <c r="BL137" s="139">
        <v>0</v>
      </c>
      <c r="BM137" s="130">
        <v>0</v>
      </c>
      <c r="BN137" s="145">
        <f t="shared" si="535"/>
        <v>0</v>
      </c>
      <c r="BO137" s="129">
        <f t="shared" si="536"/>
        <v>8800</v>
      </c>
      <c r="BP137" s="135">
        <f t="shared" si="537"/>
        <v>847</v>
      </c>
      <c r="BQ137" s="144" t="str">
        <f t="shared" si="538"/>
        <v>Positive Margin</v>
      </c>
      <c r="BR137" s="146" t="s">
        <v>209</v>
      </c>
      <c r="BS137" s="128">
        <f t="shared" si="539"/>
        <v>847</v>
      </c>
      <c r="BT137" s="147" t="str">
        <f t="shared" si="540"/>
        <v>Positive Margin at Inception</v>
      </c>
      <c r="BU137" s="148">
        <f t="shared" si="541"/>
        <v>9.6250000000000002E-2</v>
      </c>
      <c r="BV137" s="147" t="str">
        <f t="shared" si="542"/>
        <v>More than 2%</v>
      </c>
      <c r="BW137" s="128">
        <f t="shared" si="543"/>
        <v>0</v>
      </c>
      <c r="BX137" s="129">
        <f t="shared" si="544"/>
        <v>0</v>
      </c>
      <c r="BY137" s="128">
        <f t="shared" si="545"/>
        <v>0</v>
      </c>
      <c r="BZ137" s="149">
        <f t="shared" si="546"/>
        <v>0</v>
      </c>
      <c r="CA137" s="149">
        <f t="shared" si="547"/>
        <v>0</v>
      </c>
      <c r="CB137" s="130">
        <f t="shared" si="548"/>
        <v>0</v>
      </c>
      <c r="CC137" s="149" t="s">
        <v>282</v>
      </c>
      <c r="CD137" s="130">
        <v>0</v>
      </c>
      <c r="CE137" s="130">
        <f t="shared" si="549"/>
        <v>7953</v>
      </c>
      <c r="CF137" s="130">
        <f t="shared" si="550"/>
        <v>8800</v>
      </c>
      <c r="CG137" s="130">
        <f t="shared" si="551"/>
        <v>12</v>
      </c>
      <c r="CH137" s="150">
        <v>0</v>
      </c>
      <c r="CI137" s="130">
        <v>0</v>
      </c>
      <c r="CJ137" s="130" t="e">
        <f>_xlfn.XLOOKUP(AP137,POC!B:B,POC!D:D)</f>
        <v>#N/A</v>
      </c>
      <c r="CK137" s="130">
        <f t="shared" si="552"/>
        <v>847</v>
      </c>
      <c r="CL137" s="130">
        <f t="shared" si="553"/>
        <v>847</v>
      </c>
      <c r="CM137" s="130">
        <f t="shared" si="554"/>
        <v>847</v>
      </c>
      <c r="CN137" s="130">
        <f t="shared" si="555"/>
        <v>10384</v>
      </c>
      <c r="CO137" s="130">
        <f t="shared" si="556"/>
        <v>-9384.5399999999991</v>
      </c>
      <c r="CP137" s="130">
        <f t="shared" si="557"/>
        <v>0</v>
      </c>
      <c r="CQ137" s="130">
        <f t="shared" si="558"/>
        <v>0</v>
      </c>
      <c r="CR137" s="130">
        <f t="shared" si="559"/>
        <v>999.46000000000095</v>
      </c>
      <c r="CS137" s="130" t="s">
        <v>236</v>
      </c>
      <c r="CT137" s="130" t="s">
        <v>236</v>
      </c>
      <c r="CU137" s="145" t="str">
        <f t="shared" si="560"/>
        <v>AABCA7366H</v>
      </c>
      <c r="CV137" s="145" t="str">
        <f t="shared" si="561"/>
        <v>DAKPA5526G</v>
      </c>
    </row>
    <row r="138" spans="2:100" s="152" customFormat="1" ht="11.85" customHeight="1" x14ac:dyDescent="0.25">
      <c r="B138" s="123" t="str">
        <f t="shared" si="526"/>
        <v>Q1</v>
      </c>
      <c r="C138" s="124" t="str">
        <f t="shared" si="527"/>
        <v>Jun-26</v>
      </c>
      <c r="D138" s="125">
        <v>46190</v>
      </c>
      <c r="E138" s="126" t="s">
        <v>633</v>
      </c>
      <c r="F138" s="126" t="s">
        <v>600</v>
      </c>
      <c r="G138" s="126" t="s">
        <v>601</v>
      </c>
      <c r="H138" s="127" t="s">
        <v>634</v>
      </c>
      <c r="I138" s="349">
        <v>46190</v>
      </c>
      <c r="J138" s="350" t="s">
        <v>635</v>
      </c>
      <c r="K138" s="349">
        <v>46191</v>
      </c>
      <c r="L138" s="126" t="s">
        <v>237</v>
      </c>
      <c r="M138" s="126" t="s">
        <v>632</v>
      </c>
      <c r="N138" s="127" t="s">
        <v>604</v>
      </c>
      <c r="O138" s="126">
        <v>5</v>
      </c>
      <c r="P138" s="283">
        <v>1246.5</v>
      </c>
      <c r="Q138" s="128">
        <f t="shared" si="528"/>
        <v>6232.5</v>
      </c>
      <c r="R138" s="129">
        <v>0</v>
      </c>
      <c r="S138" s="128">
        <f t="shared" si="529"/>
        <v>5</v>
      </c>
      <c r="T138" s="129">
        <v>0</v>
      </c>
      <c r="U138" s="130">
        <v>0</v>
      </c>
      <c r="V138" s="131">
        <v>0</v>
      </c>
      <c r="W138" s="130">
        <v>0</v>
      </c>
      <c r="X138" s="132">
        <v>0</v>
      </c>
      <c r="Y138" s="130">
        <v>0</v>
      </c>
      <c r="Z138" s="130">
        <v>0</v>
      </c>
      <c r="AA138" s="129">
        <v>0</v>
      </c>
      <c r="AB138" s="133">
        <f t="shared" si="530"/>
        <v>0</v>
      </c>
      <c r="AC138" s="132">
        <v>0</v>
      </c>
      <c r="AD138" s="128">
        <v>0</v>
      </c>
      <c r="AE138" s="147">
        <v>0</v>
      </c>
      <c r="AF138" s="130">
        <v>0</v>
      </c>
      <c r="AG138" s="134">
        <v>0</v>
      </c>
      <c r="AH138" s="130">
        <v>0</v>
      </c>
      <c r="AI138" s="131">
        <v>0</v>
      </c>
      <c r="AJ138" s="130">
        <v>0</v>
      </c>
      <c r="AK138" s="130">
        <v>0</v>
      </c>
      <c r="AL138" s="130">
        <v>0</v>
      </c>
      <c r="AM138" s="135">
        <f t="shared" si="531"/>
        <v>6232.5</v>
      </c>
      <c r="AN138" s="136">
        <v>46191</v>
      </c>
      <c r="AO138" s="137" t="s">
        <v>667</v>
      </c>
      <c r="AP138" s="138" t="s">
        <v>356</v>
      </c>
      <c r="AQ138" s="139" t="s">
        <v>357</v>
      </c>
      <c r="AR138" s="139" t="s">
        <v>358</v>
      </c>
      <c r="AS138" s="126" t="s">
        <v>668</v>
      </c>
      <c r="AT138" s="140" t="s">
        <v>360</v>
      </c>
      <c r="AU138" s="140" t="s">
        <v>361</v>
      </c>
      <c r="AV138" s="141" t="s">
        <v>669</v>
      </c>
      <c r="AW138" s="139">
        <v>5</v>
      </c>
      <c r="AX138" s="141">
        <v>1345</v>
      </c>
      <c r="AY138" s="139">
        <f t="shared" si="532"/>
        <v>6725</v>
      </c>
      <c r="AZ138" s="142" t="b">
        <f t="shared" si="533"/>
        <v>1</v>
      </c>
      <c r="BA138" s="128">
        <v>0</v>
      </c>
      <c r="BB138" s="143">
        <f t="shared" si="534"/>
        <v>5</v>
      </c>
      <c r="BC138" s="144">
        <v>0</v>
      </c>
      <c r="BD138" s="143" t="s">
        <v>109</v>
      </c>
      <c r="BE138" s="144">
        <v>0</v>
      </c>
      <c r="BF138" s="143">
        <v>0</v>
      </c>
      <c r="BG138" s="144">
        <v>0</v>
      </c>
      <c r="BH138" s="130">
        <v>0</v>
      </c>
      <c r="BI138" s="133">
        <v>0</v>
      </c>
      <c r="BJ138" s="131">
        <v>0</v>
      </c>
      <c r="BK138" s="128">
        <v>0</v>
      </c>
      <c r="BL138" s="139">
        <v>0</v>
      </c>
      <c r="BM138" s="130">
        <v>0</v>
      </c>
      <c r="BN138" s="145">
        <f t="shared" si="535"/>
        <v>0</v>
      </c>
      <c r="BO138" s="129">
        <f t="shared" si="536"/>
        <v>6725</v>
      </c>
      <c r="BP138" s="135">
        <f t="shared" si="537"/>
        <v>492.5</v>
      </c>
      <c r="BQ138" s="144" t="str">
        <f t="shared" si="538"/>
        <v>Positive Margin</v>
      </c>
      <c r="BR138" s="146" t="s">
        <v>209</v>
      </c>
      <c r="BS138" s="128">
        <f t="shared" si="539"/>
        <v>492.5</v>
      </c>
      <c r="BT138" s="147" t="str">
        <f t="shared" si="540"/>
        <v>Positive Margin at Inception</v>
      </c>
      <c r="BU138" s="148">
        <f t="shared" si="541"/>
        <v>7.3234200743494418E-2</v>
      </c>
      <c r="BV138" s="147" t="str">
        <f t="shared" si="542"/>
        <v>More than 2%</v>
      </c>
      <c r="BW138" s="128">
        <f t="shared" si="543"/>
        <v>0</v>
      </c>
      <c r="BX138" s="129">
        <f t="shared" si="544"/>
        <v>0</v>
      </c>
      <c r="BY138" s="128">
        <f t="shared" si="545"/>
        <v>0</v>
      </c>
      <c r="BZ138" s="149">
        <f t="shared" si="546"/>
        <v>0</v>
      </c>
      <c r="CA138" s="149">
        <f t="shared" si="547"/>
        <v>0</v>
      </c>
      <c r="CB138" s="130">
        <f t="shared" si="548"/>
        <v>0</v>
      </c>
      <c r="CC138" s="149" t="s">
        <v>282</v>
      </c>
      <c r="CD138" s="130">
        <v>0</v>
      </c>
      <c r="CE138" s="130">
        <f t="shared" si="549"/>
        <v>6232.5</v>
      </c>
      <c r="CF138" s="130">
        <f t="shared" si="550"/>
        <v>6725</v>
      </c>
      <c r="CG138" s="130">
        <f t="shared" si="551"/>
        <v>12</v>
      </c>
      <c r="CH138" s="150">
        <v>0</v>
      </c>
      <c r="CI138" s="130">
        <v>0</v>
      </c>
      <c r="CJ138" s="130" t="e">
        <f>_xlfn.XLOOKUP(AP138,POC!B:B,POC!D:D)</f>
        <v>#N/A</v>
      </c>
      <c r="CK138" s="130">
        <f t="shared" si="552"/>
        <v>492.5</v>
      </c>
      <c r="CL138" s="130">
        <f t="shared" si="553"/>
        <v>492.5</v>
      </c>
      <c r="CM138" s="130">
        <f t="shared" si="554"/>
        <v>492.5</v>
      </c>
      <c r="CN138" s="130">
        <f t="shared" si="555"/>
        <v>7935.5</v>
      </c>
      <c r="CO138" s="130">
        <f t="shared" si="556"/>
        <v>-7354.3499999999995</v>
      </c>
      <c r="CP138" s="130">
        <f t="shared" si="557"/>
        <v>0</v>
      </c>
      <c r="CQ138" s="130">
        <f t="shared" si="558"/>
        <v>0</v>
      </c>
      <c r="CR138" s="130">
        <f t="shared" si="559"/>
        <v>581.15000000000055</v>
      </c>
      <c r="CS138" s="130" t="s">
        <v>236</v>
      </c>
      <c r="CT138" s="130" t="s">
        <v>236</v>
      </c>
      <c r="CU138" s="145" t="str">
        <f t="shared" si="560"/>
        <v>AABCA7366H</v>
      </c>
      <c r="CV138" s="145" t="str">
        <f t="shared" si="561"/>
        <v>DAKPA5526G</v>
      </c>
    </row>
    <row r="139" spans="2:100" s="152" customFormat="1" ht="11.85" customHeight="1" x14ac:dyDescent="0.25">
      <c r="B139" s="123" t="str">
        <f t="shared" si="526"/>
        <v>Q1</v>
      </c>
      <c r="C139" s="124" t="str">
        <f t="shared" si="527"/>
        <v>Jun-26</v>
      </c>
      <c r="D139" s="125">
        <v>46190</v>
      </c>
      <c r="E139" s="126" t="s">
        <v>633</v>
      </c>
      <c r="F139" s="126" t="s">
        <v>600</v>
      </c>
      <c r="G139" s="126" t="s">
        <v>601</v>
      </c>
      <c r="H139" s="127" t="s">
        <v>634</v>
      </c>
      <c r="I139" s="349">
        <v>46190</v>
      </c>
      <c r="J139" s="350" t="s">
        <v>635</v>
      </c>
      <c r="K139" s="349">
        <v>46191</v>
      </c>
      <c r="L139" s="126" t="s">
        <v>237</v>
      </c>
      <c r="M139" s="126" t="s">
        <v>632</v>
      </c>
      <c r="N139" s="127" t="s">
        <v>604</v>
      </c>
      <c r="O139" s="126">
        <v>54</v>
      </c>
      <c r="P139" s="283">
        <v>1329.5</v>
      </c>
      <c r="Q139" s="128">
        <f t="shared" si="528"/>
        <v>71793</v>
      </c>
      <c r="R139" s="129">
        <v>0</v>
      </c>
      <c r="S139" s="128">
        <f t="shared" si="529"/>
        <v>54</v>
      </c>
      <c r="T139" s="129">
        <v>0</v>
      </c>
      <c r="U139" s="130">
        <v>0</v>
      </c>
      <c r="V139" s="131">
        <v>0</v>
      </c>
      <c r="W139" s="130">
        <v>0</v>
      </c>
      <c r="X139" s="132">
        <v>0</v>
      </c>
      <c r="Y139" s="130">
        <v>0</v>
      </c>
      <c r="Z139" s="130">
        <v>0</v>
      </c>
      <c r="AA139" s="129">
        <v>0</v>
      </c>
      <c r="AB139" s="133">
        <f t="shared" si="530"/>
        <v>0</v>
      </c>
      <c r="AC139" s="132">
        <v>0</v>
      </c>
      <c r="AD139" s="128">
        <v>0</v>
      </c>
      <c r="AE139" s="147">
        <v>0</v>
      </c>
      <c r="AF139" s="130">
        <v>0</v>
      </c>
      <c r="AG139" s="134">
        <v>0</v>
      </c>
      <c r="AH139" s="130">
        <v>0</v>
      </c>
      <c r="AI139" s="131">
        <v>0</v>
      </c>
      <c r="AJ139" s="130">
        <v>0</v>
      </c>
      <c r="AK139" s="130">
        <v>0</v>
      </c>
      <c r="AL139" s="130">
        <v>0</v>
      </c>
      <c r="AM139" s="135">
        <f t="shared" si="531"/>
        <v>71793</v>
      </c>
      <c r="AN139" s="136">
        <v>46191</v>
      </c>
      <c r="AO139" s="137" t="s">
        <v>667</v>
      </c>
      <c r="AP139" s="138" t="s">
        <v>356</v>
      </c>
      <c r="AQ139" s="139" t="s">
        <v>357</v>
      </c>
      <c r="AR139" s="139" t="s">
        <v>358</v>
      </c>
      <c r="AS139" s="126" t="s">
        <v>668</v>
      </c>
      <c r="AT139" s="140" t="s">
        <v>360</v>
      </c>
      <c r="AU139" s="140" t="s">
        <v>361</v>
      </c>
      <c r="AV139" s="141" t="s">
        <v>669</v>
      </c>
      <c r="AW139" s="139">
        <v>54</v>
      </c>
      <c r="AX139" s="141">
        <v>1463</v>
      </c>
      <c r="AY139" s="139">
        <f t="shared" si="532"/>
        <v>79002</v>
      </c>
      <c r="AZ139" s="142" t="b">
        <f t="shared" si="533"/>
        <v>1</v>
      </c>
      <c r="BA139" s="128">
        <v>0</v>
      </c>
      <c r="BB139" s="143">
        <f t="shared" si="534"/>
        <v>54</v>
      </c>
      <c r="BC139" s="144">
        <v>0</v>
      </c>
      <c r="BD139" s="143" t="s">
        <v>109</v>
      </c>
      <c r="BE139" s="144">
        <v>0</v>
      </c>
      <c r="BF139" s="143">
        <v>0</v>
      </c>
      <c r="BG139" s="144">
        <v>0</v>
      </c>
      <c r="BH139" s="130">
        <v>0</v>
      </c>
      <c r="BI139" s="133">
        <v>0</v>
      </c>
      <c r="BJ139" s="131">
        <v>0</v>
      </c>
      <c r="BK139" s="128">
        <v>0</v>
      </c>
      <c r="BL139" s="139">
        <v>0</v>
      </c>
      <c r="BM139" s="130">
        <v>0</v>
      </c>
      <c r="BN139" s="145">
        <f t="shared" si="535"/>
        <v>0</v>
      </c>
      <c r="BO139" s="129">
        <f t="shared" si="536"/>
        <v>79002</v>
      </c>
      <c r="BP139" s="135">
        <f t="shared" si="537"/>
        <v>7209</v>
      </c>
      <c r="BQ139" s="144" t="str">
        <f t="shared" si="538"/>
        <v>Positive Margin</v>
      </c>
      <c r="BR139" s="146" t="s">
        <v>209</v>
      </c>
      <c r="BS139" s="128">
        <f t="shared" si="539"/>
        <v>7209</v>
      </c>
      <c r="BT139" s="147" t="str">
        <f t="shared" si="540"/>
        <v>Positive Margin at Inception</v>
      </c>
      <c r="BU139" s="148">
        <f t="shared" si="541"/>
        <v>9.1250854408749152E-2</v>
      </c>
      <c r="BV139" s="147" t="str">
        <f t="shared" si="542"/>
        <v>More than 2%</v>
      </c>
      <c r="BW139" s="128">
        <f t="shared" si="543"/>
        <v>0</v>
      </c>
      <c r="BX139" s="129">
        <f t="shared" si="544"/>
        <v>0</v>
      </c>
      <c r="BY139" s="128">
        <f t="shared" si="545"/>
        <v>0</v>
      </c>
      <c r="BZ139" s="149">
        <f t="shared" si="546"/>
        <v>0</v>
      </c>
      <c r="CA139" s="149">
        <f t="shared" si="547"/>
        <v>0</v>
      </c>
      <c r="CB139" s="130">
        <f t="shared" si="548"/>
        <v>0</v>
      </c>
      <c r="CC139" s="149" t="s">
        <v>282</v>
      </c>
      <c r="CD139" s="130">
        <v>0</v>
      </c>
      <c r="CE139" s="130">
        <f t="shared" si="549"/>
        <v>71793</v>
      </c>
      <c r="CF139" s="130">
        <f t="shared" si="550"/>
        <v>79002</v>
      </c>
      <c r="CG139" s="130">
        <f t="shared" si="551"/>
        <v>12</v>
      </c>
      <c r="CH139" s="150">
        <v>0</v>
      </c>
      <c r="CI139" s="130">
        <v>0</v>
      </c>
      <c r="CJ139" s="130" t="e">
        <f>_xlfn.XLOOKUP(AP139,POC!B:B,POC!D:D)</f>
        <v>#N/A</v>
      </c>
      <c r="CK139" s="130">
        <f t="shared" si="552"/>
        <v>7209</v>
      </c>
      <c r="CL139" s="130">
        <f t="shared" si="553"/>
        <v>7209</v>
      </c>
      <c r="CM139" s="130">
        <f t="shared" si="554"/>
        <v>7209</v>
      </c>
      <c r="CN139" s="130">
        <f t="shared" si="555"/>
        <v>93222.36</v>
      </c>
      <c r="CO139" s="130">
        <f t="shared" si="556"/>
        <v>-84715.739999999991</v>
      </c>
      <c r="CP139" s="130">
        <f t="shared" si="557"/>
        <v>0</v>
      </c>
      <c r="CQ139" s="130">
        <f t="shared" si="558"/>
        <v>0</v>
      </c>
      <c r="CR139" s="130">
        <f t="shared" si="559"/>
        <v>8506.6200000000099</v>
      </c>
      <c r="CS139" s="130" t="s">
        <v>236</v>
      </c>
      <c r="CT139" s="130" t="s">
        <v>236</v>
      </c>
      <c r="CU139" s="145" t="str">
        <f t="shared" si="560"/>
        <v>AABCA7366H</v>
      </c>
      <c r="CV139" s="145" t="str">
        <f t="shared" si="561"/>
        <v>DAKPA5526G</v>
      </c>
    </row>
    <row r="140" spans="2:100" s="152" customFormat="1" ht="11.85" customHeight="1" x14ac:dyDescent="0.25">
      <c r="B140" s="123" t="str">
        <f t="shared" si="526"/>
        <v>Q1</v>
      </c>
      <c r="C140" s="124" t="str">
        <f t="shared" si="527"/>
        <v>Jun-26</v>
      </c>
      <c r="D140" s="125">
        <v>46190</v>
      </c>
      <c r="E140" s="126" t="s">
        <v>636</v>
      </c>
      <c r="F140" s="126" t="s">
        <v>637</v>
      </c>
      <c r="G140" s="126" t="s">
        <v>638</v>
      </c>
      <c r="H140" s="127" t="s">
        <v>639</v>
      </c>
      <c r="I140" s="349">
        <v>46190</v>
      </c>
      <c r="J140" s="350" t="s">
        <v>640</v>
      </c>
      <c r="K140" s="349">
        <v>46190</v>
      </c>
      <c r="L140" s="126" t="s">
        <v>249</v>
      </c>
      <c r="M140" s="126" t="s">
        <v>641</v>
      </c>
      <c r="N140" s="127" t="s">
        <v>642</v>
      </c>
      <c r="O140" s="126">
        <v>90</v>
      </c>
      <c r="P140" s="283">
        <v>800</v>
      </c>
      <c r="Q140" s="128">
        <f t="shared" si="528"/>
        <v>72000</v>
      </c>
      <c r="R140" s="129">
        <v>0</v>
      </c>
      <c r="S140" s="128">
        <f t="shared" si="529"/>
        <v>90</v>
      </c>
      <c r="T140" s="129">
        <v>0</v>
      </c>
      <c r="U140" s="130">
        <v>0</v>
      </c>
      <c r="V140" s="131">
        <v>0</v>
      </c>
      <c r="W140" s="130">
        <v>0</v>
      </c>
      <c r="X140" s="132">
        <v>0</v>
      </c>
      <c r="Y140" s="130">
        <v>0</v>
      </c>
      <c r="Z140" s="130">
        <v>0</v>
      </c>
      <c r="AA140" s="129">
        <v>0</v>
      </c>
      <c r="AB140" s="133">
        <f t="shared" si="530"/>
        <v>0</v>
      </c>
      <c r="AC140" s="132">
        <v>0</v>
      </c>
      <c r="AD140" s="128">
        <v>0</v>
      </c>
      <c r="AE140" s="147">
        <v>0</v>
      </c>
      <c r="AF140" s="130">
        <v>0</v>
      </c>
      <c r="AG140" s="134">
        <v>0</v>
      </c>
      <c r="AH140" s="130">
        <v>0</v>
      </c>
      <c r="AI140" s="131">
        <v>0</v>
      </c>
      <c r="AJ140" s="130">
        <v>0</v>
      </c>
      <c r="AK140" s="130">
        <v>0</v>
      </c>
      <c r="AL140" s="130">
        <v>0</v>
      </c>
      <c r="AM140" s="135">
        <f t="shared" si="531"/>
        <v>72000</v>
      </c>
      <c r="AN140" s="136">
        <v>46190</v>
      </c>
      <c r="AO140" s="137" t="s">
        <v>676</v>
      </c>
      <c r="AP140" s="138" t="s">
        <v>250</v>
      </c>
      <c r="AQ140" s="139" t="s">
        <v>251</v>
      </c>
      <c r="AR140" s="139" t="s">
        <v>252</v>
      </c>
      <c r="AS140" s="126" t="s">
        <v>677</v>
      </c>
      <c r="AT140" s="140" t="s">
        <v>274</v>
      </c>
      <c r="AU140" s="140" t="s">
        <v>147</v>
      </c>
      <c r="AV140" s="141" t="s">
        <v>678</v>
      </c>
      <c r="AW140" s="139">
        <v>90</v>
      </c>
      <c r="AX140" s="141">
        <v>840</v>
      </c>
      <c r="AY140" s="139">
        <f t="shared" si="532"/>
        <v>75600</v>
      </c>
      <c r="AZ140" s="142" t="b">
        <f t="shared" si="533"/>
        <v>1</v>
      </c>
      <c r="BA140" s="128">
        <v>0</v>
      </c>
      <c r="BB140" s="143">
        <f t="shared" si="534"/>
        <v>90</v>
      </c>
      <c r="BC140" s="144">
        <v>0</v>
      </c>
      <c r="BD140" s="143" t="s">
        <v>109</v>
      </c>
      <c r="BE140" s="144">
        <v>0</v>
      </c>
      <c r="BF140" s="143">
        <v>0</v>
      </c>
      <c r="BG140" s="144">
        <v>0</v>
      </c>
      <c r="BH140" s="130">
        <v>0</v>
      </c>
      <c r="BI140" s="133">
        <v>0</v>
      </c>
      <c r="BJ140" s="131">
        <v>0</v>
      </c>
      <c r="BK140" s="128">
        <v>0</v>
      </c>
      <c r="BL140" s="139">
        <v>0</v>
      </c>
      <c r="BM140" s="130">
        <v>0</v>
      </c>
      <c r="BN140" s="145">
        <f t="shared" si="535"/>
        <v>0</v>
      </c>
      <c r="BO140" s="129">
        <f t="shared" si="536"/>
        <v>75600</v>
      </c>
      <c r="BP140" s="135">
        <f t="shared" si="537"/>
        <v>3600</v>
      </c>
      <c r="BQ140" s="144" t="str">
        <f t="shared" si="538"/>
        <v>Positive Margin</v>
      </c>
      <c r="BR140" s="146" t="s">
        <v>209</v>
      </c>
      <c r="BS140" s="128">
        <f t="shared" si="539"/>
        <v>3600</v>
      </c>
      <c r="BT140" s="147" t="str">
        <f t="shared" si="540"/>
        <v>Positive Margin at Inception</v>
      </c>
      <c r="BU140" s="148">
        <f t="shared" si="541"/>
        <v>4.7619047619047616E-2</v>
      </c>
      <c r="BV140" s="147" t="str">
        <f t="shared" si="542"/>
        <v>More than 2%</v>
      </c>
      <c r="BW140" s="128">
        <f t="shared" si="543"/>
        <v>0</v>
      </c>
      <c r="BX140" s="129">
        <f t="shared" si="544"/>
        <v>0</v>
      </c>
      <c r="BY140" s="128">
        <f t="shared" si="545"/>
        <v>0</v>
      </c>
      <c r="BZ140" s="149">
        <f t="shared" si="546"/>
        <v>0</v>
      </c>
      <c r="CA140" s="149">
        <f t="shared" si="547"/>
        <v>0</v>
      </c>
      <c r="CB140" s="130">
        <f t="shared" si="548"/>
        <v>0</v>
      </c>
      <c r="CC140" s="149" t="s">
        <v>282</v>
      </c>
      <c r="CD140" s="130">
        <v>0</v>
      </c>
      <c r="CE140" s="130">
        <f t="shared" si="549"/>
        <v>72000</v>
      </c>
      <c r="CF140" s="130">
        <f t="shared" si="550"/>
        <v>75600</v>
      </c>
      <c r="CG140" s="130">
        <f t="shared" si="551"/>
        <v>12</v>
      </c>
      <c r="CH140" s="150">
        <v>0</v>
      </c>
      <c r="CI140" s="130">
        <v>0</v>
      </c>
      <c r="CJ140" s="130" t="e">
        <f>_xlfn.XLOOKUP(AP140,POC!B:B,POC!D:D)</f>
        <v>#N/A</v>
      </c>
      <c r="CK140" s="130">
        <f t="shared" si="552"/>
        <v>3600</v>
      </c>
      <c r="CL140" s="130">
        <f t="shared" si="553"/>
        <v>3600</v>
      </c>
      <c r="CM140" s="130">
        <f t="shared" si="554"/>
        <v>3600</v>
      </c>
      <c r="CN140" s="130">
        <f t="shared" si="555"/>
        <v>89208</v>
      </c>
      <c r="CO140" s="130">
        <f t="shared" si="556"/>
        <v>-84960</v>
      </c>
      <c r="CP140" s="130">
        <f t="shared" si="557"/>
        <v>0</v>
      </c>
      <c r="CQ140" s="130">
        <f t="shared" si="558"/>
        <v>0</v>
      </c>
      <c r="CR140" s="130">
        <f t="shared" si="559"/>
        <v>4248</v>
      </c>
      <c r="CS140" s="130" t="s">
        <v>236</v>
      </c>
      <c r="CT140" s="130" t="s">
        <v>236</v>
      </c>
      <c r="CU140" s="145" t="str">
        <f t="shared" si="560"/>
        <v>AACCD6343A</v>
      </c>
      <c r="CV140" s="145" t="str">
        <f t="shared" si="561"/>
        <v>AAHCR2638B</v>
      </c>
    </row>
    <row r="141" spans="2:100" s="152" customFormat="1" ht="11.85" customHeight="1" x14ac:dyDescent="0.25">
      <c r="B141" s="123" t="str">
        <f t="shared" si="526"/>
        <v>Q1</v>
      </c>
      <c r="C141" s="124" t="str">
        <f t="shared" si="527"/>
        <v>Jun-26</v>
      </c>
      <c r="D141" s="125">
        <v>46190</v>
      </c>
      <c r="E141" s="126" t="s">
        <v>636</v>
      </c>
      <c r="F141" s="126" t="s">
        <v>637</v>
      </c>
      <c r="G141" s="126" t="s">
        <v>638</v>
      </c>
      <c r="H141" s="127" t="s">
        <v>639</v>
      </c>
      <c r="I141" s="349">
        <v>46190</v>
      </c>
      <c r="J141" s="350" t="s">
        <v>640</v>
      </c>
      <c r="K141" s="349">
        <v>46190</v>
      </c>
      <c r="L141" s="126" t="s">
        <v>249</v>
      </c>
      <c r="M141" s="126" t="s">
        <v>641</v>
      </c>
      <c r="N141" s="127" t="s">
        <v>642</v>
      </c>
      <c r="O141" s="126">
        <v>65</v>
      </c>
      <c r="P141" s="283">
        <v>300</v>
      </c>
      <c r="Q141" s="128">
        <f t="shared" si="528"/>
        <v>19500</v>
      </c>
      <c r="R141" s="129">
        <v>0</v>
      </c>
      <c r="S141" s="128">
        <f t="shared" si="529"/>
        <v>65</v>
      </c>
      <c r="T141" s="129">
        <v>0</v>
      </c>
      <c r="U141" s="130">
        <v>0</v>
      </c>
      <c r="V141" s="131">
        <v>0</v>
      </c>
      <c r="W141" s="130">
        <v>0</v>
      </c>
      <c r="X141" s="132">
        <v>0</v>
      </c>
      <c r="Y141" s="130">
        <v>0</v>
      </c>
      <c r="Z141" s="130">
        <v>0</v>
      </c>
      <c r="AA141" s="129">
        <v>0</v>
      </c>
      <c r="AB141" s="133">
        <f t="shared" si="530"/>
        <v>0</v>
      </c>
      <c r="AC141" s="132">
        <v>0</v>
      </c>
      <c r="AD141" s="128">
        <v>0</v>
      </c>
      <c r="AE141" s="147">
        <v>0</v>
      </c>
      <c r="AF141" s="130">
        <v>0</v>
      </c>
      <c r="AG141" s="134">
        <v>0</v>
      </c>
      <c r="AH141" s="130">
        <v>0</v>
      </c>
      <c r="AI141" s="131">
        <v>0</v>
      </c>
      <c r="AJ141" s="130">
        <v>0</v>
      </c>
      <c r="AK141" s="130">
        <v>0</v>
      </c>
      <c r="AL141" s="130">
        <v>0</v>
      </c>
      <c r="AM141" s="135">
        <f t="shared" si="531"/>
        <v>19500</v>
      </c>
      <c r="AN141" s="136">
        <v>46190</v>
      </c>
      <c r="AO141" s="137" t="s">
        <v>676</v>
      </c>
      <c r="AP141" s="138" t="s">
        <v>250</v>
      </c>
      <c r="AQ141" s="139" t="s">
        <v>251</v>
      </c>
      <c r="AR141" s="139" t="s">
        <v>252</v>
      </c>
      <c r="AS141" s="126" t="s">
        <v>677</v>
      </c>
      <c r="AT141" s="140" t="s">
        <v>274</v>
      </c>
      <c r="AU141" s="140" t="s">
        <v>147</v>
      </c>
      <c r="AV141" s="141" t="s">
        <v>678</v>
      </c>
      <c r="AW141" s="139">
        <v>65</v>
      </c>
      <c r="AX141" s="141">
        <v>345</v>
      </c>
      <c r="AY141" s="139">
        <f t="shared" si="532"/>
        <v>22425</v>
      </c>
      <c r="AZ141" s="142" t="b">
        <f t="shared" si="533"/>
        <v>1</v>
      </c>
      <c r="BA141" s="128">
        <v>0</v>
      </c>
      <c r="BB141" s="143">
        <f t="shared" si="534"/>
        <v>65</v>
      </c>
      <c r="BC141" s="144">
        <v>0</v>
      </c>
      <c r="BD141" s="143" t="s">
        <v>109</v>
      </c>
      <c r="BE141" s="144">
        <v>0</v>
      </c>
      <c r="BF141" s="143">
        <v>0</v>
      </c>
      <c r="BG141" s="144">
        <v>0</v>
      </c>
      <c r="BH141" s="130">
        <v>0</v>
      </c>
      <c r="BI141" s="133">
        <v>0</v>
      </c>
      <c r="BJ141" s="131">
        <v>0</v>
      </c>
      <c r="BK141" s="128">
        <v>0</v>
      </c>
      <c r="BL141" s="139">
        <v>0</v>
      </c>
      <c r="BM141" s="130">
        <v>0</v>
      </c>
      <c r="BN141" s="145">
        <f t="shared" si="535"/>
        <v>0</v>
      </c>
      <c r="BO141" s="129">
        <f t="shared" si="536"/>
        <v>22425</v>
      </c>
      <c r="BP141" s="135">
        <f t="shared" si="537"/>
        <v>2925</v>
      </c>
      <c r="BQ141" s="144" t="str">
        <f t="shared" si="538"/>
        <v>Positive Margin</v>
      </c>
      <c r="BR141" s="146" t="s">
        <v>209</v>
      </c>
      <c r="BS141" s="128">
        <f t="shared" si="539"/>
        <v>2925</v>
      </c>
      <c r="BT141" s="147" t="str">
        <f t="shared" si="540"/>
        <v>Positive Margin at Inception</v>
      </c>
      <c r="BU141" s="148">
        <f t="shared" si="541"/>
        <v>0.13043478260869565</v>
      </c>
      <c r="BV141" s="147" t="str">
        <f t="shared" si="542"/>
        <v>More than 2%</v>
      </c>
      <c r="BW141" s="128">
        <f t="shared" si="543"/>
        <v>0</v>
      </c>
      <c r="BX141" s="129">
        <f t="shared" si="544"/>
        <v>0</v>
      </c>
      <c r="BY141" s="128">
        <f t="shared" si="545"/>
        <v>0</v>
      </c>
      <c r="BZ141" s="149">
        <f t="shared" si="546"/>
        <v>0</v>
      </c>
      <c r="CA141" s="149">
        <f t="shared" si="547"/>
        <v>0</v>
      </c>
      <c r="CB141" s="130">
        <f t="shared" si="548"/>
        <v>0</v>
      </c>
      <c r="CC141" s="149" t="s">
        <v>282</v>
      </c>
      <c r="CD141" s="130">
        <v>0</v>
      </c>
      <c r="CE141" s="130">
        <f t="shared" si="549"/>
        <v>19500</v>
      </c>
      <c r="CF141" s="130">
        <f t="shared" si="550"/>
        <v>22425</v>
      </c>
      <c r="CG141" s="130">
        <f t="shared" si="551"/>
        <v>12</v>
      </c>
      <c r="CH141" s="150">
        <v>0</v>
      </c>
      <c r="CI141" s="130">
        <v>0</v>
      </c>
      <c r="CJ141" s="130" t="e">
        <f>_xlfn.XLOOKUP(AP141,POC!B:B,POC!D:D)</f>
        <v>#N/A</v>
      </c>
      <c r="CK141" s="130">
        <f t="shared" si="552"/>
        <v>2925</v>
      </c>
      <c r="CL141" s="130">
        <f t="shared" si="553"/>
        <v>2925</v>
      </c>
      <c r="CM141" s="130">
        <f t="shared" si="554"/>
        <v>2925</v>
      </c>
      <c r="CN141" s="130">
        <f t="shared" si="555"/>
        <v>26461.5</v>
      </c>
      <c r="CO141" s="130">
        <f t="shared" si="556"/>
        <v>-23010</v>
      </c>
      <c r="CP141" s="130">
        <f t="shared" si="557"/>
        <v>0</v>
      </c>
      <c r="CQ141" s="130">
        <f t="shared" si="558"/>
        <v>0</v>
      </c>
      <c r="CR141" s="130">
        <f t="shared" si="559"/>
        <v>3451.5</v>
      </c>
      <c r="CS141" s="130" t="s">
        <v>236</v>
      </c>
      <c r="CT141" s="130" t="s">
        <v>236</v>
      </c>
      <c r="CU141" s="145" t="str">
        <f t="shared" si="560"/>
        <v>AACCD6343A</v>
      </c>
      <c r="CV141" s="145" t="str">
        <f t="shared" si="561"/>
        <v>AAHCR2638B</v>
      </c>
    </row>
    <row r="142" spans="2:100" s="152" customFormat="1" ht="11.85" customHeight="1" x14ac:dyDescent="0.25">
      <c r="B142" s="123" t="str">
        <f t="shared" si="526"/>
        <v>Q1</v>
      </c>
      <c r="C142" s="124" t="str">
        <f t="shared" si="527"/>
        <v>Jun-26</v>
      </c>
      <c r="D142" s="125">
        <v>46191</v>
      </c>
      <c r="E142" s="126" t="s">
        <v>643</v>
      </c>
      <c r="F142" s="126" t="s">
        <v>644</v>
      </c>
      <c r="G142" s="126" t="s">
        <v>645</v>
      </c>
      <c r="H142" s="127" t="s">
        <v>646</v>
      </c>
      <c r="I142" s="349">
        <v>46191</v>
      </c>
      <c r="J142" s="350" t="s">
        <v>647</v>
      </c>
      <c r="K142" s="349">
        <v>46192</v>
      </c>
      <c r="L142" s="126" t="s">
        <v>492</v>
      </c>
      <c r="M142" s="126" t="s">
        <v>648</v>
      </c>
      <c r="N142" s="127" t="s">
        <v>212</v>
      </c>
      <c r="O142" s="126">
        <v>600</v>
      </c>
      <c r="P142" s="283">
        <v>1053.672</v>
      </c>
      <c r="Q142" s="128">
        <f t="shared" si="528"/>
        <v>632203.20000000007</v>
      </c>
      <c r="R142" s="129">
        <v>0</v>
      </c>
      <c r="S142" s="128">
        <f t="shared" si="529"/>
        <v>600</v>
      </c>
      <c r="T142" s="129">
        <v>0</v>
      </c>
      <c r="U142" s="130">
        <v>0</v>
      </c>
      <c r="V142" s="131">
        <v>0</v>
      </c>
      <c r="W142" s="130">
        <v>0</v>
      </c>
      <c r="X142" s="132">
        <v>0</v>
      </c>
      <c r="Y142" s="130">
        <v>0</v>
      </c>
      <c r="Z142" s="130">
        <v>0</v>
      </c>
      <c r="AA142" s="129">
        <v>0</v>
      </c>
      <c r="AB142" s="133">
        <f t="shared" si="530"/>
        <v>0</v>
      </c>
      <c r="AC142" s="132">
        <v>0</v>
      </c>
      <c r="AD142" s="128">
        <v>0</v>
      </c>
      <c r="AE142" s="147">
        <v>0</v>
      </c>
      <c r="AF142" s="130">
        <v>0</v>
      </c>
      <c r="AG142" s="134">
        <v>0</v>
      </c>
      <c r="AH142" s="130">
        <v>0</v>
      </c>
      <c r="AI142" s="131">
        <v>0</v>
      </c>
      <c r="AJ142" s="130">
        <v>0</v>
      </c>
      <c r="AK142" s="130">
        <v>0</v>
      </c>
      <c r="AL142" s="130">
        <v>0</v>
      </c>
      <c r="AM142" s="135">
        <f t="shared" si="531"/>
        <v>632203.20000000007</v>
      </c>
      <c r="AN142" s="136">
        <v>46192</v>
      </c>
      <c r="AO142" s="137" t="s">
        <v>670</v>
      </c>
      <c r="AP142" s="138" t="s">
        <v>671</v>
      </c>
      <c r="AQ142" s="139" t="s">
        <v>672</v>
      </c>
      <c r="AR142" s="139" t="s">
        <v>673</v>
      </c>
      <c r="AS142" s="126" t="s">
        <v>674</v>
      </c>
      <c r="AT142" s="140" t="s">
        <v>247</v>
      </c>
      <c r="AU142" s="140" t="s">
        <v>228</v>
      </c>
      <c r="AV142" s="141" t="s">
        <v>675</v>
      </c>
      <c r="AW142" s="139">
        <v>600</v>
      </c>
      <c r="AX142" s="141">
        <v>1107.787</v>
      </c>
      <c r="AY142" s="139">
        <f t="shared" si="532"/>
        <v>664672.20000000007</v>
      </c>
      <c r="AZ142" s="142" t="b">
        <f t="shared" si="533"/>
        <v>1</v>
      </c>
      <c r="BA142" s="128">
        <v>0</v>
      </c>
      <c r="BB142" s="143">
        <f t="shared" si="534"/>
        <v>600</v>
      </c>
      <c r="BC142" s="144">
        <v>0</v>
      </c>
      <c r="BD142" s="143" t="s">
        <v>109</v>
      </c>
      <c r="BE142" s="144">
        <v>0</v>
      </c>
      <c r="BF142" s="143">
        <v>0</v>
      </c>
      <c r="BG142" s="144">
        <v>0</v>
      </c>
      <c r="BH142" s="130">
        <v>0</v>
      </c>
      <c r="BI142" s="133">
        <v>0</v>
      </c>
      <c r="BJ142" s="131">
        <v>0</v>
      </c>
      <c r="BK142" s="128">
        <v>0</v>
      </c>
      <c r="BL142" s="139">
        <v>0</v>
      </c>
      <c r="BM142" s="130">
        <v>0</v>
      </c>
      <c r="BN142" s="145">
        <f t="shared" si="535"/>
        <v>0</v>
      </c>
      <c r="BO142" s="129">
        <f t="shared" si="536"/>
        <v>664672.20000000007</v>
      </c>
      <c r="BP142" s="135">
        <f t="shared" si="537"/>
        <v>32469</v>
      </c>
      <c r="BQ142" s="144" t="str">
        <f t="shared" si="538"/>
        <v>Positive Margin</v>
      </c>
      <c r="BR142" s="146" t="s">
        <v>209</v>
      </c>
      <c r="BS142" s="128">
        <f t="shared" si="539"/>
        <v>32469</v>
      </c>
      <c r="BT142" s="147" t="str">
        <f t="shared" si="540"/>
        <v>Positive Margin at Inception</v>
      </c>
      <c r="BU142" s="148">
        <f t="shared" si="541"/>
        <v>4.8849643478394308E-2</v>
      </c>
      <c r="BV142" s="147" t="str">
        <f t="shared" si="542"/>
        <v>More than 2%</v>
      </c>
      <c r="BW142" s="128">
        <f t="shared" si="543"/>
        <v>0</v>
      </c>
      <c r="BX142" s="129">
        <f t="shared" si="544"/>
        <v>0</v>
      </c>
      <c r="BY142" s="128">
        <f t="shared" si="545"/>
        <v>0</v>
      </c>
      <c r="BZ142" s="149">
        <f t="shared" si="546"/>
        <v>0</v>
      </c>
      <c r="CA142" s="149">
        <f t="shared" si="547"/>
        <v>0</v>
      </c>
      <c r="CB142" s="130">
        <f t="shared" si="548"/>
        <v>0</v>
      </c>
      <c r="CC142" s="149" t="s">
        <v>282</v>
      </c>
      <c r="CD142" s="130">
        <v>0</v>
      </c>
      <c r="CE142" s="130">
        <f t="shared" si="549"/>
        <v>632203.20000000007</v>
      </c>
      <c r="CF142" s="130">
        <f t="shared" si="550"/>
        <v>664672.20000000007</v>
      </c>
      <c r="CG142" s="130">
        <f t="shared" si="551"/>
        <v>12</v>
      </c>
      <c r="CH142" s="150">
        <v>0</v>
      </c>
      <c r="CI142" s="130">
        <v>0</v>
      </c>
      <c r="CJ142" s="130" t="e">
        <f>_xlfn.XLOOKUP(AP142,POC!B:B,POC!D:D)</f>
        <v>#N/A</v>
      </c>
      <c r="CK142" s="130">
        <f t="shared" si="552"/>
        <v>32469</v>
      </c>
      <c r="CL142" s="130">
        <f t="shared" si="553"/>
        <v>32469</v>
      </c>
      <c r="CM142" s="130">
        <f t="shared" si="554"/>
        <v>32469</v>
      </c>
      <c r="CN142" s="130">
        <f t="shared" si="555"/>
        <v>784313.196</v>
      </c>
      <c r="CO142" s="130">
        <f t="shared" si="556"/>
        <v>-745999.77600000007</v>
      </c>
      <c r="CP142" s="130">
        <f t="shared" si="557"/>
        <v>0</v>
      </c>
      <c r="CQ142" s="130">
        <f t="shared" si="558"/>
        <v>0</v>
      </c>
      <c r="CR142" s="130">
        <f t="shared" si="559"/>
        <v>38313.419999999925</v>
      </c>
      <c r="CS142" s="130" t="s">
        <v>236</v>
      </c>
      <c r="CT142" s="130" t="s">
        <v>236</v>
      </c>
      <c r="CU142" s="145" t="str">
        <f t="shared" si="560"/>
        <v>AAGCT8085R</v>
      </c>
      <c r="CV142" s="145" t="str">
        <f t="shared" si="561"/>
        <v>BCQPY1455G</v>
      </c>
    </row>
    <row r="143" spans="2:100" s="152" customFormat="1" ht="11.85" customHeight="1" x14ac:dyDescent="0.25">
      <c r="B143" s="123" t="str">
        <f t="shared" si="526"/>
        <v>Q1</v>
      </c>
      <c r="C143" s="124" t="str">
        <f t="shared" si="527"/>
        <v>Jun-26</v>
      </c>
      <c r="D143" s="125">
        <v>46193</v>
      </c>
      <c r="E143" s="126" t="s">
        <v>649</v>
      </c>
      <c r="F143" s="126" t="s">
        <v>650</v>
      </c>
      <c r="G143" s="126" t="s">
        <v>651</v>
      </c>
      <c r="H143" s="127" t="s">
        <v>652</v>
      </c>
      <c r="I143" s="349">
        <v>46193</v>
      </c>
      <c r="J143" s="350" t="s">
        <v>653</v>
      </c>
      <c r="K143" s="349">
        <v>46193</v>
      </c>
      <c r="L143" s="126" t="s">
        <v>654</v>
      </c>
      <c r="M143" s="126" t="s">
        <v>655</v>
      </c>
      <c r="N143" s="127" t="s">
        <v>642</v>
      </c>
      <c r="O143" s="126">
        <v>70</v>
      </c>
      <c r="P143" s="283">
        <v>1694.92</v>
      </c>
      <c r="Q143" s="128">
        <f t="shared" si="528"/>
        <v>118644.40000000001</v>
      </c>
      <c r="R143" s="129">
        <v>0</v>
      </c>
      <c r="S143" s="128">
        <f t="shared" si="529"/>
        <v>70</v>
      </c>
      <c r="T143" s="129">
        <v>0</v>
      </c>
      <c r="U143" s="130">
        <v>0</v>
      </c>
      <c r="V143" s="131">
        <v>0</v>
      </c>
      <c r="W143" s="130">
        <v>0</v>
      </c>
      <c r="X143" s="132">
        <v>0</v>
      </c>
      <c r="Y143" s="130">
        <v>0</v>
      </c>
      <c r="Z143" s="130">
        <v>0</v>
      </c>
      <c r="AA143" s="129">
        <v>0</v>
      </c>
      <c r="AB143" s="133">
        <f t="shared" si="530"/>
        <v>0</v>
      </c>
      <c r="AC143" s="132">
        <v>0</v>
      </c>
      <c r="AD143" s="128">
        <v>0</v>
      </c>
      <c r="AE143" s="147">
        <v>0</v>
      </c>
      <c r="AF143" s="130">
        <v>0</v>
      </c>
      <c r="AG143" s="134">
        <v>0</v>
      </c>
      <c r="AH143" s="130">
        <v>0</v>
      </c>
      <c r="AI143" s="131">
        <v>0</v>
      </c>
      <c r="AJ143" s="130">
        <v>0</v>
      </c>
      <c r="AK143" s="130">
        <v>0</v>
      </c>
      <c r="AL143" s="130">
        <v>0</v>
      </c>
      <c r="AM143" s="135">
        <f t="shared" si="531"/>
        <v>118644.40000000001</v>
      </c>
      <c r="AN143" s="136">
        <v>46193</v>
      </c>
      <c r="AO143" s="137" t="s">
        <v>679</v>
      </c>
      <c r="AP143" s="138" t="s">
        <v>680</v>
      </c>
      <c r="AQ143" s="139" t="s">
        <v>681</v>
      </c>
      <c r="AR143" s="139" t="s">
        <v>682</v>
      </c>
      <c r="AS143" s="126" t="s">
        <v>683</v>
      </c>
      <c r="AT143" s="140" t="s">
        <v>684</v>
      </c>
      <c r="AU143" s="140" t="s">
        <v>685</v>
      </c>
      <c r="AV143" s="141" t="s">
        <v>686</v>
      </c>
      <c r="AW143" s="139">
        <v>70</v>
      </c>
      <c r="AX143" s="141">
        <v>1815.98</v>
      </c>
      <c r="AY143" s="139">
        <f t="shared" si="532"/>
        <v>127118.6</v>
      </c>
      <c r="AZ143" s="142" t="b">
        <f t="shared" si="533"/>
        <v>1</v>
      </c>
      <c r="BA143" s="128">
        <v>0</v>
      </c>
      <c r="BB143" s="143">
        <f t="shared" si="534"/>
        <v>70</v>
      </c>
      <c r="BC143" s="144">
        <v>0</v>
      </c>
      <c r="BD143" s="143" t="s">
        <v>109</v>
      </c>
      <c r="BE143" s="144">
        <v>0</v>
      </c>
      <c r="BF143" s="143">
        <v>0</v>
      </c>
      <c r="BG143" s="144">
        <v>0</v>
      </c>
      <c r="BH143" s="130">
        <v>0</v>
      </c>
      <c r="BI143" s="133">
        <v>0</v>
      </c>
      <c r="BJ143" s="131">
        <v>0</v>
      </c>
      <c r="BK143" s="128">
        <v>0</v>
      </c>
      <c r="BL143" s="139">
        <v>0</v>
      </c>
      <c r="BM143" s="130">
        <v>0</v>
      </c>
      <c r="BN143" s="145">
        <f t="shared" si="535"/>
        <v>0</v>
      </c>
      <c r="BO143" s="129">
        <f t="shared" si="536"/>
        <v>127118.6</v>
      </c>
      <c r="BP143" s="135">
        <f t="shared" si="537"/>
        <v>8474.1999999999971</v>
      </c>
      <c r="BQ143" s="144" t="str">
        <f t="shared" si="538"/>
        <v>Positive Margin</v>
      </c>
      <c r="BR143" s="146" t="s">
        <v>209</v>
      </c>
      <c r="BS143" s="128">
        <f t="shared" si="539"/>
        <v>8474.1999999999971</v>
      </c>
      <c r="BT143" s="147" t="str">
        <f t="shared" si="540"/>
        <v>Positive Margin at Inception</v>
      </c>
      <c r="BU143" s="148">
        <f t="shared" si="541"/>
        <v>6.6663729776759634E-2</v>
      </c>
      <c r="BV143" s="147" t="str">
        <f t="shared" si="542"/>
        <v>More than 2%</v>
      </c>
      <c r="BW143" s="128">
        <f t="shared" si="543"/>
        <v>0</v>
      </c>
      <c r="BX143" s="129">
        <f t="shared" si="544"/>
        <v>0</v>
      </c>
      <c r="BY143" s="128">
        <f t="shared" si="545"/>
        <v>0</v>
      </c>
      <c r="BZ143" s="149">
        <f t="shared" si="546"/>
        <v>0</v>
      </c>
      <c r="CA143" s="149">
        <f t="shared" si="547"/>
        <v>0</v>
      </c>
      <c r="CB143" s="130">
        <f t="shared" si="548"/>
        <v>0</v>
      </c>
      <c r="CC143" s="149" t="s">
        <v>282</v>
      </c>
      <c r="CD143" s="130">
        <v>0</v>
      </c>
      <c r="CE143" s="130">
        <f t="shared" si="549"/>
        <v>118644.40000000001</v>
      </c>
      <c r="CF143" s="130">
        <f t="shared" si="550"/>
        <v>127118.6</v>
      </c>
      <c r="CG143" s="130">
        <f t="shared" si="551"/>
        <v>12</v>
      </c>
      <c r="CH143" s="150">
        <v>0</v>
      </c>
      <c r="CI143" s="130">
        <v>0</v>
      </c>
      <c r="CJ143" s="130" t="e">
        <f>_xlfn.XLOOKUP(AP143,POC!B:B,POC!D:D)</f>
        <v>#N/A</v>
      </c>
      <c r="CK143" s="130">
        <f t="shared" si="552"/>
        <v>8474.1999999999971</v>
      </c>
      <c r="CL143" s="130">
        <f t="shared" si="553"/>
        <v>8474.1999999999971</v>
      </c>
      <c r="CM143" s="130">
        <f t="shared" si="554"/>
        <v>8474.1999999999971</v>
      </c>
      <c r="CN143" s="130">
        <f t="shared" si="555"/>
        <v>149999.948</v>
      </c>
      <c r="CO143" s="130">
        <f t="shared" si="556"/>
        <v>-140000.39199999999</v>
      </c>
      <c r="CP143" s="130">
        <f t="shared" si="557"/>
        <v>0</v>
      </c>
      <c r="CQ143" s="130">
        <f t="shared" si="558"/>
        <v>0</v>
      </c>
      <c r="CR143" s="130">
        <f t="shared" si="559"/>
        <v>9999.5560000000114</v>
      </c>
      <c r="CS143" s="130" t="s">
        <v>236</v>
      </c>
      <c r="CT143" s="130" t="s">
        <v>236</v>
      </c>
      <c r="CU143" s="145" t="str">
        <f t="shared" si="560"/>
        <v>AADCC9166D</v>
      </c>
      <c r="CV143" s="145" t="str">
        <f t="shared" si="561"/>
        <v>ABKPH7872E</v>
      </c>
    </row>
    <row r="144" spans="2:100" s="152" customFormat="1" ht="11.85" customHeight="1" x14ac:dyDescent="0.25">
      <c r="B144" s="123" t="str">
        <f t="shared" ref="B144:B147" si="562">"Q" &amp; IF(ROUNDUP(MONTH(D144)/3,0)-1=0,4,ROUNDUP(MONTH(D144)/3,0)-1)</f>
        <v>Q1</v>
      </c>
      <c r="C144" s="124" t="str">
        <f t="shared" ref="C144:C147" si="563">TEXT(AN144,"mmm-yy")</f>
        <v>Jun-26</v>
      </c>
      <c r="D144" s="125">
        <v>46196</v>
      </c>
      <c r="E144" s="126" t="s">
        <v>700</v>
      </c>
      <c r="F144" s="126" t="s">
        <v>701</v>
      </c>
      <c r="G144" s="126" t="s">
        <v>702</v>
      </c>
      <c r="H144" s="127" t="s">
        <v>703</v>
      </c>
      <c r="I144" s="349">
        <v>46196</v>
      </c>
      <c r="J144" s="350" t="s">
        <v>704</v>
      </c>
      <c r="K144" s="349">
        <v>46196</v>
      </c>
      <c r="L144" s="126" t="s">
        <v>237</v>
      </c>
      <c r="M144" s="126" t="s">
        <v>705</v>
      </c>
      <c r="N144" s="127" t="s">
        <v>706</v>
      </c>
      <c r="O144" s="126">
        <v>221</v>
      </c>
      <c r="P144" s="283">
        <v>82.07</v>
      </c>
      <c r="Q144" s="128">
        <f t="shared" ref="Q144:Q147" si="564">O144*P144</f>
        <v>18137.469999999998</v>
      </c>
      <c r="R144" s="129">
        <v>0</v>
      </c>
      <c r="S144" s="128">
        <f t="shared" ref="S144:S156" si="565">O144-R144</f>
        <v>221</v>
      </c>
      <c r="T144" s="129">
        <v>0</v>
      </c>
      <c r="U144" s="130">
        <v>0</v>
      </c>
      <c r="V144" s="131">
        <v>0</v>
      </c>
      <c r="W144" s="130">
        <v>0</v>
      </c>
      <c r="X144" s="132">
        <v>0</v>
      </c>
      <c r="Y144" s="130">
        <v>0</v>
      </c>
      <c r="Z144" s="130">
        <v>0</v>
      </c>
      <c r="AA144" s="129">
        <v>0</v>
      </c>
      <c r="AB144" s="133">
        <f t="shared" ref="AB144:AB147" si="566">Y144+AA144+Z144</f>
        <v>0</v>
      </c>
      <c r="AC144" s="132">
        <v>0</v>
      </c>
      <c r="AD144" s="128">
        <v>0</v>
      </c>
      <c r="AE144" s="147">
        <v>0</v>
      </c>
      <c r="AF144" s="130">
        <v>0</v>
      </c>
      <c r="AG144" s="134">
        <v>0</v>
      </c>
      <c r="AH144" s="130">
        <v>0</v>
      </c>
      <c r="AI144" s="131">
        <v>0</v>
      </c>
      <c r="AJ144" s="130">
        <v>0</v>
      </c>
      <c r="AK144" s="130">
        <v>0</v>
      </c>
      <c r="AL144" s="130">
        <v>0</v>
      </c>
      <c r="AM144" s="135">
        <f t="shared" ref="AM144:AM147" si="567">Q144+AB144+AL144+AK144+AJ144+T144+AE144</f>
        <v>18137.469999999998</v>
      </c>
      <c r="AN144" s="136">
        <v>46196</v>
      </c>
      <c r="AO144" s="137" t="s">
        <v>712</v>
      </c>
      <c r="AP144" s="138" t="s">
        <v>713</v>
      </c>
      <c r="AQ144" s="139" t="s">
        <v>714</v>
      </c>
      <c r="AR144" s="139" t="s">
        <v>715</v>
      </c>
      <c r="AS144" s="126" t="s">
        <v>716</v>
      </c>
      <c r="AT144" s="140" t="s">
        <v>717</v>
      </c>
      <c r="AU144" s="140" t="s">
        <v>597</v>
      </c>
      <c r="AV144" s="141" t="s">
        <v>718</v>
      </c>
      <c r="AW144" s="139">
        <v>221</v>
      </c>
      <c r="AX144" s="141">
        <v>95</v>
      </c>
      <c r="AY144" s="139">
        <f t="shared" ref="AY144:AY147" si="568">AW144*AX144</f>
        <v>20995</v>
      </c>
      <c r="AZ144" s="142" t="b">
        <f t="shared" ref="AZ144:AZ147" si="569">AW144=O144</f>
        <v>1</v>
      </c>
      <c r="BA144" s="128">
        <v>0</v>
      </c>
      <c r="BB144" s="143">
        <f t="shared" ref="BB144:BB147" si="570">AW144-BA144</f>
        <v>221</v>
      </c>
      <c r="BC144" s="144">
        <v>0</v>
      </c>
      <c r="BD144" s="143" t="s">
        <v>109</v>
      </c>
      <c r="BE144" s="144">
        <v>0</v>
      </c>
      <c r="BF144" s="143">
        <v>0</v>
      </c>
      <c r="BG144" s="144">
        <v>0</v>
      </c>
      <c r="BH144" s="130">
        <v>0</v>
      </c>
      <c r="BI144" s="133">
        <v>0</v>
      </c>
      <c r="BJ144" s="131">
        <v>0</v>
      </c>
      <c r="BK144" s="128">
        <v>0</v>
      </c>
      <c r="BL144" s="139">
        <v>0</v>
      </c>
      <c r="BM144" s="130">
        <v>0</v>
      </c>
      <c r="BN144" s="145">
        <f t="shared" ref="BN144:BN147" si="571">AY144*$BM$3</f>
        <v>0</v>
      </c>
      <c r="BO144" s="129">
        <f t="shared" ref="BO144:BO147" si="572">AY144+BL144+BM144+BN144+BC144+BG144</f>
        <v>20995</v>
      </c>
      <c r="BP144" s="135">
        <f t="shared" ref="BP144:BP147" si="573">BO144-AM144</f>
        <v>2857.5300000000025</v>
      </c>
      <c r="BQ144" s="144" t="str">
        <f t="shared" ref="BQ144:BQ147" si="574">IF(BP144&gt;=0,"Positive Margin","Negative Margin")</f>
        <v>Positive Margin</v>
      </c>
      <c r="BR144" s="146" t="s">
        <v>209</v>
      </c>
      <c r="BS144" s="128">
        <f t="shared" ref="BS144:BS147" si="575">AY144-Y144-Q144-AA144-T144+BC144</f>
        <v>2857.5300000000025</v>
      </c>
      <c r="BT144" s="147" t="str">
        <f t="shared" ref="BT144:BT147" si="576">IF(BS144&lt;0, "Negative Margin at Inception", "Positive Margin at Inception")</f>
        <v>Positive Margin at Inception</v>
      </c>
      <c r="BU144" s="148">
        <f t="shared" ref="BU144:BU147" si="577">IFERROR(BP144/BO144,"0")</f>
        <v>0.13610526315789487</v>
      </c>
      <c r="BV144" s="147" t="str">
        <f t="shared" ref="BV144:BV147" si="578">IF(BU144&lt;1%,"Less Than 1%",IF(BU144&gt;2%,"More than 2%",IF(BU144&gt;=1%,"1% - 2%")))</f>
        <v>More than 2%</v>
      </c>
      <c r="BW144" s="128">
        <f t="shared" ref="BW144:BW147" si="579">BM144+BN144</f>
        <v>0</v>
      </c>
      <c r="BX144" s="129">
        <f t="shared" ref="BX144:BX147" si="580">AL144+AK144</f>
        <v>0</v>
      </c>
      <c r="BY144" s="128">
        <f t="shared" ref="BY144:BY147" si="581">BW144-BX144</f>
        <v>0</v>
      </c>
      <c r="BZ144" s="149">
        <f t="shared" ref="BZ144:BZ147" si="582">BM144</f>
        <v>0</v>
      </c>
      <c r="CA144" s="149">
        <f t="shared" ref="CA144:CA147" si="583">AK144</f>
        <v>0</v>
      </c>
      <c r="CB144" s="130">
        <f t="shared" ref="CB144:CB147" si="584">BZ144-CA144</f>
        <v>0</v>
      </c>
      <c r="CC144" s="149" t="s">
        <v>282</v>
      </c>
      <c r="CD144" s="130">
        <v>0</v>
      </c>
      <c r="CE144" s="130">
        <f t="shared" ref="CE144:CE147" si="585">AM144-AL144-AA144</f>
        <v>18137.469999999998</v>
      </c>
      <c r="CF144" s="130">
        <f t="shared" ref="CF144:CF147" si="586">BO144-BN144</f>
        <v>20995</v>
      </c>
      <c r="CG144" s="130">
        <f t="shared" ref="CG144:CG147" si="587">INT((D144- IF(MONTH(D144) &gt;= 4, DATE(YEAR(D144), 4, 1), DATE(YEAR(D144)-1, 4, 1))) / 7) + 1</f>
        <v>12</v>
      </c>
      <c r="CH144" s="150">
        <v>0</v>
      </c>
      <c r="CI144" s="130">
        <v>0</v>
      </c>
      <c r="CJ144" s="130" t="e">
        <f>_xlfn.XLOOKUP(AP144,POC!B:B,POC!D:D)</f>
        <v>#N/A</v>
      </c>
      <c r="CK144" s="130">
        <f t="shared" ref="CK144:CK147" si="588">AY144-Q144</f>
        <v>2857.5300000000025</v>
      </c>
      <c r="CL144" s="130">
        <f t="shared" ref="CL144:CL147" si="589">CK144-Y144+Z144</f>
        <v>2857.5300000000025</v>
      </c>
      <c r="CM144" s="130">
        <f t="shared" ref="CM144:CM147" si="590">BO144-AM144</f>
        <v>2857.5300000000025</v>
      </c>
      <c r="CN144" s="130">
        <f t="shared" ref="CN144:CN147" si="591">AY144*118%</f>
        <v>24774.1</v>
      </c>
      <c r="CO144" s="130">
        <f t="shared" ref="CO144:CO147" si="592">-Q144*118%</f>
        <v>-21402.214599999996</v>
      </c>
      <c r="CP144" s="130">
        <f t="shared" ref="CP144:CP147" si="593">-BZ144*118%</f>
        <v>0</v>
      </c>
      <c r="CQ144" s="130">
        <f t="shared" ref="CQ144:CQ147" si="594">-CA144*118%</f>
        <v>0</v>
      </c>
      <c r="CR144" s="130">
        <f t="shared" ref="CR144:CR147" si="595">SUM(CN144:CQ144)</f>
        <v>3371.8854000000028</v>
      </c>
      <c r="CS144" s="130" t="s">
        <v>236</v>
      </c>
      <c r="CT144" s="130" t="s">
        <v>236</v>
      </c>
      <c r="CU144" s="145" t="str">
        <f t="shared" ref="CU144:CU147" si="596">MID(G144,3,10)</f>
        <v>AALCS0322F</v>
      </c>
      <c r="CV144" s="145" t="str">
        <f t="shared" ref="CV144:CV147" si="597">MID(AR144,3,10)</f>
        <v>AAZPI8306C</v>
      </c>
    </row>
    <row r="145" spans="2:100" s="152" customFormat="1" ht="11.85" customHeight="1" x14ac:dyDescent="0.25">
      <c r="B145" s="123" t="str">
        <f t="shared" si="562"/>
        <v>Q1</v>
      </c>
      <c r="C145" s="124" t="str">
        <f t="shared" si="563"/>
        <v>Jun-26</v>
      </c>
      <c r="D145" s="125">
        <v>46196</v>
      </c>
      <c r="E145" s="126" t="s">
        <v>700</v>
      </c>
      <c r="F145" s="126" t="s">
        <v>701</v>
      </c>
      <c r="G145" s="126" t="s">
        <v>702</v>
      </c>
      <c r="H145" s="127" t="s">
        <v>703</v>
      </c>
      <c r="I145" s="349">
        <v>46196</v>
      </c>
      <c r="J145" s="350" t="s">
        <v>704</v>
      </c>
      <c r="K145" s="349">
        <v>46196</v>
      </c>
      <c r="L145" s="126" t="s">
        <v>237</v>
      </c>
      <c r="M145" s="126" t="s">
        <v>705</v>
      </c>
      <c r="N145" s="127" t="s">
        <v>707</v>
      </c>
      <c r="O145" s="126">
        <v>91</v>
      </c>
      <c r="P145" s="283">
        <v>25</v>
      </c>
      <c r="Q145" s="128">
        <f t="shared" si="564"/>
        <v>2275</v>
      </c>
      <c r="R145" s="129">
        <v>0</v>
      </c>
      <c r="S145" s="128">
        <f t="shared" si="565"/>
        <v>91</v>
      </c>
      <c r="T145" s="129">
        <v>0</v>
      </c>
      <c r="U145" s="130">
        <v>0</v>
      </c>
      <c r="V145" s="131">
        <v>0</v>
      </c>
      <c r="W145" s="130">
        <v>0</v>
      </c>
      <c r="X145" s="132">
        <v>0</v>
      </c>
      <c r="Y145" s="130">
        <v>0</v>
      </c>
      <c r="Z145" s="130">
        <v>0</v>
      </c>
      <c r="AA145" s="129">
        <v>0</v>
      </c>
      <c r="AB145" s="133">
        <f t="shared" si="566"/>
        <v>0</v>
      </c>
      <c r="AC145" s="132">
        <v>0</v>
      </c>
      <c r="AD145" s="128">
        <v>0</v>
      </c>
      <c r="AE145" s="147">
        <v>0</v>
      </c>
      <c r="AF145" s="130">
        <v>0</v>
      </c>
      <c r="AG145" s="134">
        <v>0</v>
      </c>
      <c r="AH145" s="130">
        <v>0</v>
      </c>
      <c r="AI145" s="131">
        <v>0</v>
      </c>
      <c r="AJ145" s="130">
        <v>0</v>
      </c>
      <c r="AK145" s="130">
        <v>0</v>
      </c>
      <c r="AL145" s="130">
        <v>0</v>
      </c>
      <c r="AM145" s="135">
        <f t="shared" si="567"/>
        <v>2275</v>
      </c>
      <c r="AN145" s="136">
        <v>46196</v>
      </c>
      <c r="AO145" s="137" t="s">
        <v>712</v>
      </c>
      <c r="AP145" s="138" t="s">
        <v>713</v>
      </c>
      <c r="AQ145" s="139" t="s">
        <v>714</v>
      </c>
      <c r="AR145" s="139" t="s">
        <v>715</v>
      </c>
      <c r="AS145" s="126" t="s">
        <v>716</v>
      </c>
      <c r="AT145" s="140" t="s">
        <v>717</v>
      </c>
      <c r="AU145" s="140" t="s">
        <v>597</v>
      </c>
      <c r="AV145" s="141" t="s">
        <v>718</v>
      </c>
      <c r="AW145" s="139">
        <v>91</v>
      </c>
      <c r="AX145" s="141">
        <v>36.798000000000002</v>
      </c>
      <c r="AY145" s="139">
        <f t="shared" si="568"/>
        <v>3348.6180000000004</v>
      </c>
      <c r="AZ145" s="142" t="b">
        <f t="shared" si="569"/>
        <v>1</v>
      </c>
      <c r="BA145" s="128">
        <v>0</v>
      </c>
      <c r="BB145" s="143">
        <f t="shared" si="570"/>
        <v>91</v>
      </c>
      <c r="BC145" s="144">
        <v>0</v>
      </c>
      <c r="BD145" s="143" t="s">
        <v>109</v>
      </c>
      <c r="BE145" s="144">
        <v>0</v>
      </c>
      <c r="BF145" s="143">
        <v>0</v>
      </c>
      <c r="BG145" s="144">
        <v>0</v>
      </c>
      <c r="BH145" s="130">
        <v>0</v>
      </c>
      <c r="BI145" s="133">
        <v>0</v>
      </c>
      <c r="BJ145" s="131">
        <v>0</v>
      </c>
      <c r="BK145" s="128">
        <v>0</v>
      </c>
      <c r="BL145" s="139">
        <v>0</v>
      </c>
      <c r="BM145" s="130">
        <v>0</v>
      </c>
      <c r="BN145" s="145">
        <f t="shared" si="571"/>
        <v>0</v>
      </c>
      <c r="BO145" s="129">
        <f t="shared" si="572"/>
        <v>3348.6180000000004</v>
      </c>
      <c r="BP145" s="135">
        <f t="shared" si="573"/>
        <v>1073.6180000000004</v>
      </c>
      <c r="BQ145" s="144" t="str">
        <f t="shared" si="574"/>
        <v>Positive Margin</v>
      </c>
      <c r="BR145" s="146" t="s">
        <v>209</v>
      </c>
      <c r="BS145" s="128">
        <f t="shared" si="575"/>
        <v>1073.6180000000004</v>
      </c>
      <c r="BT145" s="147" t="str">
        <f t="shared" si="576"/>
        <v>Positive Margin at Inception</v>
      </c>
      <c r="BU145" s="148">
        <f t="shared" si="577"/>
        <v>0.32061525082884945</v>
      </c>
      <c r="BV145" s="147" t="str">
        <f t="shared" si="578"/>
        <v>More than 2%</v>
      </c>
      <c r="BW145" s="128">
        <f t="shared" si="579"/>
        <v>0</v>
      </c>
      <c r="BX145" s="129">
        <f t="shared" si="580"/>
        <v>0</v>
      </c>
      <c r="BY145" s="128">
        <f t="shared" si="581"/>
        <v>0</v>
      </c>
      <c r="BZ145" s="149">
        <f t="shared" si="582"/>
        <v>0</v>
      </c>
      <c r="CA145" s="149">
        <f t="shared" si="583"/>
        <v>0</v>
      </c>
      <c r="CB145" s="130">
        <f t="shared" si="584"/>
        <v>0</v>
      </c>
      <c r="CC145" s="149" t="s">
        <v>282</v>
      </c>
      <c r="CD145" s="130">
        <v>0</v>
      </c>
      <c r="CE145" s="130">
        <f t="shared" si="585"/>
        <v>2275</v>
      </c>
      <c r="CF145" s="130">
        <f t="shared" si="586"/>
        <v>3348.6180000000004</v>
      </c>
      <c r="CG145" s="130">
        <f t="shared" si="587"/>
        <v>12</v>
      </c>
      <c r="CH145" s="150">
        <v>0</v>
      </c>
      <c r="CI145" s="130">
        <v>0</v>
      </c>
      <c r="CJ145" s="130" t="e">
        <f>_xlfn.XLOOKUP(AP145,POC!B:B,POC!D:D)</f>
        <v>#N/A</v>
      </c>
      <c r="CK145" s="130">
        <f t="shared" si="588"/>
        <v>1073.6180000000004</v>
      </c>
      <c r="CL145" s="130">
        <f t="shared" si="589"/>
        <v>1073.6180000000004</v>
      </c>
      <c r="CM145" s="130">
        <f t="shared" si="590"/>
        <v>1073.6180000000004</v>
      </c>
      <c r="CN145" s="130">
        <f t="shared" si="591"/>
        <v>3951.3692400000004</v>
      </c>
      <c r="CO145" s="130">
        <f t="shared" si="592"/>
        <v>-2684.5</v>
      </c>
      <c r="CP145" s="130">
        <f t="shared" si="593"/>
        <v>0</v>
      </c>
      <c r="CQ145" s="130">
        <f t="shared" si="594"/>
        <v>0</v>
      </c>
      <c r="CR145" s="130">
        <f t="shared" si="595"/>
        <v>1266.8692400000004</v>
      </c>
      <c r="CS145" s="130" t="s">
        <v>236</v>
      </c>
      <c r="CT145" s="130" t="s">
        <v>236</v>
      </c>
      <c r="CU145" s="145" t="str">
        <f t="shared" si="596"/>
        <v>AALCS0322F</v>
      </c>
      <c r="CV145" s="145" t="str">
        <f t="shared" si="597"/>
        <v>AAZPI8306C</v>
      </c>
    </row>
    <row r="146" spans="2:100" s="152" customFormat="1" ht="11.85" customHeight="1" x14ac:dyDescent="0.25">
      <c r="B146" s="123" t="str">
        <f t="shared" si="562"/>
        <v>Q1</v>
      </c>
      <c r="C146" s="124" t="str">
        <f t="shared" si="563"/>
        <v>Jun-26</v>
      </c>
      <c r="D146" s="125">
        <v>46196</v>
      </c>
      <c r="E146" s="126" t="s">
        <v>708</v>
      </c>
      <c r="F146" s="126" t="s">
        <v>459</v>
      </c>
      <c r="G146" s="126" t="s">
        <v>460</v>
      </c>
      <c r="H146" s="127" t="s">
        <v>709</v>
      </c>
      <c r="I146" s="349">
        <v>46196</v>
      </c>
      <c r="J146" s="350" t="s">
        <v>710</v>
      </c>
      <c r="K146" s="349">
        <v>46196</v>
      </c>
      <c r="L146" s="126" t="s">
        <v>237</v>
      </c>
      <c r="M146" s="126" t="s">
        <v>711</v>
      </c>
      <c r="N146" s="127" t="s">
        <v>464</v>
      </c>
      <c r="O146" s="126">
        <v>283.95</v>
      </c>
      <c r="P146" s="283">
        <v>85</v>
      </c>
      <c r="Q146" s="128">
        <f t="shared" si="564"/>
        <v>24135.75</v>
      </c>
      <c r="R146" s="129">
        <v>0</v>
      </c>
      <c r="S146" s="128">
        <f t="shared" si="565"/>
        <v>283.95</v>
      </c>
      <c r="T146" s="129">
        <v>0</v>
      </c>
      <c r="U146" s="130">
        <v>0</v>
      </c>
      <c r="V146" s="131">
        <v>0</v>
      </c>
      <c r="W146" s="130">
        <v>0</v>
      </c>
      <c r="X146" s="132">
        <v>0</v>
      </c>
      <c r="Y146" s="130">
        <v>0</v>
      </c>
      <c r="Z146" s="130">
        <v>0</v>
      </c>
      <c r="AA146" s="129">
        <v>0</v>
      </c>
      <c r="AB146" s="133">
        <f t="shared" si="566"/>
        <v>0</v>
      </c>
      <c r="AC146" s="132">
        <v>0</v>
      </c>
      <c r="AD146" s="128">
        <v>0</v>
      </c>
      <c r="AE146" s="147">
        <v>0</v>
      </c>
      <c r="AF146" s="130">
        <v>0</v>
      </c>
      <c r="AG146" s="134">
        <v>0</v>
      </c>
      <c r="AH146" s="130">
        <v>0</v>
      </c>
      <c r="AI146" s="131">
        <v>0</v>
      </c>
      <c r="AJ146" s="130">
        <v>0</v>
      </c>
      <c r="AK146" s="130">
        <v>0</v>
      </c>
      <c r="AL146" s="130">
        <v>0</v>
      </c>
      <c r="AM146" s="135">
        <f t="shared" si="567"/>
        <v>24135.75</v>
      </c>
      <c r="AN146" s="136">
        <v>46196</v>
      </c>
      <c r="AO146" s="137" t="s">
        <v>719</v>
      </c>
      <c r="AP146" s="138" t="s">
        <v>250</v>
      </c>
      <c r="AQ146" s="139" t="s">
        <v>251</v>
      </c>
      <c r="AR146" s="139" t="s">
        <v>252</v>
      </c>
      <c r="AS146" s="126" t="s">
        <v>720</v>
      </c>
      <c r="AT146" s="140" t="s">
        <v>274</v>
      </c>
      <c r="AU146" s="140" t="s">
        <v>147</v>
      </c>
      <c r="AV146" s="141" t="s">
        <v>721</v>
      </c>
      <c r="AW146" s="139">
        <v>283.95</v>
      </c>
      <c r="AX146" s="141">
        <v>124.5</v>
      </c>
      <c r="AY146" s="139">
        <f t="shared" si="568"/>
        <v>35351.775000000001</v>
      </c>
      <c r="AZ146" s="142" t="b">
        <f t="shared" si="569"/>
        <v>1</v>
      </c>
      <c r="BA146" s="128">
        <v>0</v>
      </c>
      <c r="BB146" s="143">
        <f t="shared" si="570"/>
        <v>283.95</v>
      </c>
      <c r="BC146" s="144">
        <v>0</v>
      </c>
      <c r="BD146" s="143" t="s">
        <v>109</v>
      </c>
      <c r="BE146" s="144">
        <v>0</v>
      </c>
      <c r="BF146" s="143">
        <v>0</v>
      </c>
      <c r="BG146" s="144">
        <v>0</v>
      </c>
      <c r="BH146" s="130">
        <v>0</v>
      </c>
      <c r="BI146" s="133">
        <v>0</v>
      </c>
      <c r="BJ146" s="131">
        <v>0</v>
      </c>
      <c r="BK146" s="128">
        <v>0</v>
      </c>
      <c r="BL146" s="139">
        <v>0</v>
      </c>
      <c r="BM146" s="130">
        <v>0</v>
      </c>
      <c r="BN146" s="145">
        <f t="shared" si="571"/>
        <v>0</v>
      </c>
      <c r="BO146" s="129">
        <f t="shared" si="572"/>
        <v>35351.775000000001</v>
      </c>
      <c r="BP146" s="135">
        <f t="shared" si="573"/>
        <v>11216.025000000001</v>
      </c>
      <c r="BQ146" s="144" t="str">
        <f t="shared" si="574"/>
        <v>Positive Margin</v>
      </c>
      <c r="BR146" s="146" t="s">
        <v>209</v>
      </c>
      <c r="BS146" s="128">
        <f t="shared" si="575"/>
        <v>11216.025000000001</v>
      </c>
      <c r="BT146" s="147" t="str">
        <f t="shared" si="576"/>
        <v>Positive Margin at Inception</v>
      </c>
      <c r="BU146" s="148">
        <f t="shared" si="577"/>
        <v>0.31726907630522089</v>
      </c>
      <c r="BV146" s="147" t="str">
        <f t="shared" si="578"/>
        <v>More than 2%</v>
      </c>
      <c r="BW146" s="128">
        <f t="shared" si="579"/>
        <v>0</v>
      </c>
      <c r="BX146" s="129">
        <f t="shared" si="580"/>
        <v>0</v>
      </c>
      <c r="BY146" s="128">
        <f t="shared" si="581"/>
        <v>0</v>
      </c>
      <c r="BZ146" s="149">
        <f t="shared" si="582"/>
        <v>0</v>
      </c>
      <c r="CA146" s="149">
        <f t="shared" si="583"/>
        <v>0</v>
      </c>
      <c r="CB146" s="130">
        <f t="shared" si="584"/>
        <v>0</v>
      </c>
      <c r="CC146" s="149" t="s">
        <v>282</v>
      </c>
      <c r="CD146" s="130">
        <v>0</v>
      </c>
      <c r="CE146" s="130">
        <f t="shared" si="585"/>
        <v>24135.75</v>
      </c>
      <c r="CF146" s="130">
        <f t="shared" si="586"/>
        <v>35351.775000000001</v>
      </c>
      <c r="CG146" s="130">
        <f t="shared" si="587"/>
        <v>12</v>
      </c>
      <c r="CH146" s="150">
        <v>0</v>
      </c>
      <c r="CI146" s="130">
        <v>0</v>
      </c>
      <c r="CJ146" s="130" t="e">
        <f>_xlfn.XLOOKUP(AP146,POC!B:B,POC!D:D)</f>
        <v>#N/A</v>
      </c>
      <c r="CK146" s="130">
        <f t="shared" si="588"/>
        <v>11216.025000000001</v>
      </c>
      <c r="CL146" s="130">
        <f t="shared" si="589"/>
        <v>11216.025000000001</v>
      </c>
      <c r="CM146" s="130">
        <f t="shared" si="590"/>
        <v>11216.025000000001</v>
      </c>
      <c r="CN146" s="130">
        <f t="shared" si="591"/>
        <v>41715.094499999999</v>
      </c>
      <c r="CO146" s="130">
        <f t="shared" si="592"/>
        <v>-28480.184999999998</v>
      </c>
      <c r="CP146" s="130">
        <f t="shared" si="593"/>
        <v>0</v>
      </c>
      <c r="CQ146" s="130">
        <f t="shared" si="594"/>
        <v>0</v>
      </c>
      <c r="CR146" s="130">
        <f t="shared" si="595"/>
        <v>13234.909500000002</v>
      </c>
      <c r="CS146" s="130" t="s">
        <v>236</v>
      </c>
      <c r="CT146" s="130" t="s">
        <v>236</v>
      </c>
      <c r="CU146" s="145" t="str">
        <f t="shared" si="596"/>
        <v>AAGCR5745L</v>
      </c>
      <c r="CV146" s="145" t="str">
        <f t="shared" si="597"/>
        <v>AAHCR2638B</v>
      </c>
    </row>
    <row r="147" spans="2:100" s="152" customFormat="1" ht="11.85" customHeight="1" x14ac:dyDescent="0.25">
      <c r="B147" s="123" t="str">
        <f t="shared" si="562"/>
        <v>Q1</v>
      </c>
      <c r="C147" s="124" t="str">
        <f t="shared" si="563"/>
        <v>Jun-26</v>
      </c>
      <c r="D147" s="125">
        <v>46196</v>
      </c>
      <c r="E147" s="126" t="s">
        <v>708</v>
      </c>
      <c r="F147" s="126" t="s">
        <v>459</v>
      </c>
      <c r="G147" s="126" t="s">
        <v>460</v>
      </c>
      <c r="H147" s="127" t="s">
        <v>709</v>
      </c>
      <c r="I147" s="349">
        <v>46196</v>
      </c>
      <c r="J147" s="350" t="s">
        <v>710</v>
      </c>
      <c r="K147" s="349">
        <v>46196</v>
      </c>
      <c r="L147" s="126" t="s">
        <v>237</v>
      </c>
      <c r="M147" s="126" t="s">
        <v>711</v>
      </c>
      <c r="N147" s="127" t="s">
        <v>371</v>
      </c>
      <c r="O147" s="126">
        <v>70.31</v>
      </c>
      <c r="P147" s="283">
        <v>40</v>
      </c>
      <c r="Q147" s="128">
        <f t="shared" si="564"/>
        <v>2812.4</v>
      </c>
      <c r="R147" s="129">
        <v>0</v>
      </c>
      <c r="S147" s="128">
        <f t="shared" si="565"/>
        <v>70.31</v>
      </c>
      <c r="T147" s="129">
        <v>0</v>
      </c>
      <c r="U147" s="130">
        <v>0</v>
      </c>
      <c r="V147" s="131">
        <v>0</v>
      </c>
      <c r="W147" s="130">
        <v>0</v>
      </c>
      <c r="X147" s="132">
        <v>0</v>
      </c>
      <c r="Y147" s="130">
        <v>0</v>
      </c>
      <c r="Z147" s="130">
        <v>0</v>
      </c>
      <c r="AA147" s="129">
        <v>0</v>
      </c>
      <c r="AB147" s="133">
        <f t="shared" si="566"/>
        <v>0</v>
      </c>
      <c r="AC147" s="132">
        <v>0</v>
      </c>
      <c r="AD147" s="128">
        <v>0</v>
      </c>
      <c r="AE147" s="147">
        <v>0</v>
      </c>
      <c r="AF147" s="130">
        <v>0</v>
      </c>
      <c r="AG147" s="134">
        <v>0</v>
      </c>
      <c r="AH147" s="130">
        <v>0</v>
      </c>
      <c r="AI147" s="131">
        <v>0</v>
      </c>
      <c r="AJ147" s="130">
        <v>0</v>
      </c>
      <c r="AK147" s="130">
        <v>0</v>
      </c>
      <c r="AL147" s="130">
        <v>0</v>
      </c>
      <c r="AM147" s="135">
        <f t="shared" si="567"/>
        <v>2812.4</v>
      </c>
      <c r="AN147" s="136">
        <v>46196</v>
      </c>
      <c r="AO147" s="137" t="s">
        <v>719</v>
      </c>
      <c r="AP147" s="138" t="s">
        <v>250</v>
      </c>
      <c r="AQ147" s="139" t="s">
        <v>251</v>
      </c>
      <c r="AR147" s="139" t="s">
        <v>252</v>
      </c>
      <c r="AS147" s="126" t="s">
        <v>720</v>
      </c>
      <c r="AT147" s="140" t="s">
        <v>274</v>
      </c>
      <c r="AU147" s="140" t="s">
        <v>147</v>
      </c>
      <c r="AV147" s="141" t="s">
        <v>721</v>
      </c>
      <c r="AW147" s="139">
        <v>70.31</v>
      </c>
      <c r="AX147" s="141">
        <v>60</v>
      </c>
      <c r="AY147" s="139">
        <f t="shared" si="568"/>
        <v>4218.6000000000004</v>
      </c>
      <c r="AZ147" s="142" t="b">
        <f t="shared" si="569"/>
        <v>1</v>
      </c>
      <c r="BA147" s="128">
        <v>0</v>
      </c>
      <c r="BB147" s="143">
        <f t="shared" si="570"/>
        <v>70.31</v>
      </c>
      <c r="BC147" s="144">
        <v>0</v>
      </c>
      <c r="BD147" s="143" t="s">
        <v>109</v>
      </c>
      <c r="BE147" s="144">
        <v>0</v>
      </c>
      <c r="BF147" s="143">
        <v>0</v>
      </c>
      <c r="BG147" s="144">
        <v>0</v>
      </c>
      <c r="BH147" s="130">
        <v>0</v>
      </c>
      <c r="BI147" s="133">
        <v>0</v>
      </c>
      <c r="BJ147" s="131">
        <v>0</v>
      </c>
      <c r="BK147" s="128">
        <v>0</v>
      </c>
      <c r="BL147" s="139">
        <v>0</v>
      </c>
      <c r="BM147" s="130">
        <v>0</v>
      </c>
      <c r="BN147" s="145">
        <f t="shared" si="571"/>
        <v>0</v>
      </c>
      <c r="BO147" s="129">
        <f t="shared" si="572"/>
        <v>4218.6000000000004</v>
      </c>
      <c r="BP147" s="135">
        <f t="shared" si="573"/>
        <v>1406.2000000000003</v>
      </c>
      <c r="BQ147" s="144" t="str">
        <f t="shared" si="574"/>
        <v>Positive Margin</v>
      </c>
      <c r="BR147" s="146" t="s">
        <v>209</v>
      </c>
      <c r="BS147" s="128">
        <f t="shared" si="575"/>
        <v>1406.2000000000003</v>
      </c>
      <c r="BT147" s="147" t="str">
        <f t="shared" si="576"/>
        <v>Positive Margin at Inception</v>
      </c>
      <c r="BU147" s="148">
        <f t="shared" si="577"/>
        <v>0.33333333333333337</v>
      </c>
      <c r="BV147" s="147" t="str">
        <f t="shared" si="578"/>
        <v>More than 2%</v>
      </c>
      <c r="BW147" s="128">
        <f t="shared" si="579"/>
        <v>0</v>
      </c>
      <c r="BX147" s="129">
        <f t="shared" si="580"/>
        <v>0</v>
      </c>
      <c r="BY147" s="128">
        <f t="shared" si="581"/>
        <v>0</v>
      </c>
      <c r="BZ147" s="149">
        <f t="shared" si="582"/>
        <v>0</v>
      </c>
      <c r="CA147" s="149">
        <f t="shared" si="583"/>
        <v>0</v>
      </c>
      <c r="CB147" s="130">
        <f t="shared" si="584"/>
        <v>0</v>
      </c>
      <c r="CC147" s="149" t="s">
        <v>282</v>
      </c>
      <c r="CD147" s="130">
        <v>0</v>
      </c>
      <c r="CE147" s="130">
        <f t="shared" si="585"/>
        <v>2812.4</v>
      </c>
      <c r="CF147" s="130">
        <f t="shared" si="586"/>
        <v>4218.6000000000004</v>
      </c>
      <c r="CG147" s="130">
        <f t="shared" si="587"/>
        <v>12</v>
      </c>
      <c r="CH147" s="150">
        <v>0</v>
      </c>
      <c r="CI147" s="130">
        <v>0</v>
      </c>
      <c r="CJ147" s="130" t="e">
        <f>_xlfn.XLOOKUP(AP147,POC!B:B,POC!D:D)</f>
        <v>#N/A</v>
      </c>
      <c r="CK147" s="130">
        <f t="shared" si="588"/>
        <v>1406.2000000000003</v>
      </c>
      <c r="CL147" s="130">
        <f t="shared" si="589"/>
        <v>1406.2000000000003</v>
      </c>
      <c r="CM147" s="130">
        <f t="shared" si="590"/>
        <v>1406.2000000000003</v>
      </c>
      <c r="CN147" s="130">
        <f t="shared" si="591"/>
        <v>4977.9480000000003</v>
      </c>
      <c r="CO147" s="130">
        <f t="shared" si="592"/>
        <v>-3318.6320000000001</v>
      </c>
      <c r="CP147" s="130">
        <f t="shared" si="593"/>
        <v>0</v>
      </c>
      <c r="CQ147" s="130">
        <f t="shared" si="594"/>
        <v>0</v>
      </c>
      <c r="CR147" s="130">
        <f t="shared" si="595"/>
        <v>1659.3160000000003</v>
      </c>
      <c r="CS147" s="130" t="s">
        <v>236</v>
      </c>
      <c r="CT147" s="130" t="s">
        <v>236</v>
      </c>
      <c r="CU147" s="145" t="str">
        <f t="shared" si="596"/>
        <v>AAGCR5745L</v>
      </c>
      <c r="CV147" s="145" t="str">
        <f t="shared" si="597"/>
        <v>AAHCR2638B</v>
      </c>
    </row>
    <row r="148" spans="2:100" s="152" customFormat="1" ht="11.85" customHeight="1" x14ac:dyDescent="0.25">
      <c r="B148" s="123" t="str">
        <f t="shared" ref="B148:B156" si="598">"Q" &amp; IF(ROUNDUP(MONTH(D148)/3,0)-1=0,4,ROUNDUP(MONTH(D148)/3,0)-1)</f>
        <v>Q1</v>
      </c>
      <c r="C148" s="124" t="str">
        <f t="shared" ref="C148:C156" si="599">TEXT(AN148,"mmm-yy")</f>
        <v>Jun-26</v>
      </c>
      <c r="D148" s="125">
        <v>46197</v>
      </c>
      <c r="E148" s="126" t="s">
        <v>724</v>
      </c>
      <c r="F148" s="126" t="s">
        <v>725</v>
      </c>
      <c r="G148" s="126" t="s">
        <v>726</v>
      </c>
      <c r="H148" s="127" t="s">
        <v>727</v>
      </c>
      <c r="I148" s="349">
        <v>46197</v>
      </c>
      <c r="J148" s="350" t="s">
        <v>728</v>
      </c>
      <c r="K148" s="349">
        <v>46199</v>
      </c>
      <c r="L148" s="126" t="s">
        <v>729</v>
      </c>
      <c r="M148" s="126" t="s">
        <v>730</v>
      </c>
      <c r="N148" s="127" t="s">
        <v>731</v>
      </c>
      <c r="O148" s="126">
        <v>29</v>
      </c>
      <c r="P148" s="283">
        <v>1440.6780000000001</v>
      </c>
      <c r="Q148" s="128">
        <f t="shared" ref="Q148:Q156" si="600">O148*P148</f>
        <v>41779.662000000004</v>
      </c>
      <c r="R148" s="129">
        <v>0</v>
      </c>
      <c r="S148" s="128">
        <f t="shared" si="565"/>
        <v>29</v>
      </c>
      <c r="T148" s="129">
        <v>0</v>
      </c>
      <c r="U148" s="130">
        <v>0</v>
      </c>
      <c r="V148" s="131">
        <v>0</v>
      </c>
      <c r="W148" s="130">
        <v>0</v>
      </c>
      <c r="X148" s="132">
        <v>0</v>
      </c>
      <c r="Y148" s="130">
        <v>0</v>
      </c>
      <c r="Z148" s="130">
        <v>0</v>
      </c>
      <c r="AA148" s="129">
        <v>0</v>
      </c>
      <c r="AB148" s="133">
        <f t="shared" ref="AB148:AB159" si="601">Y148+AA148+Z148</f>
        <v>0</v>
      </c>
      <c r="AC148" s="132">
        <v>0</v>
      </c>
      <c r="AD148" s="128">
        <v>0</v>
      </c>
      <c r="AE148" s="147">
        <v>0</v>
      </c>
      <c r="AF148" s="130">
        <v>0</v>
      </c>
      <c r="AG148" s="134">
        <v>0</v>
      </c>
      <c r="AH148" s="130">
        <v>0</v>
      </c>
      <c r="AI148" s="131">
        <v>0</v>
      </c>
      <c r="AJ148" s="130">
        <v>0</v>
      </c>
      <c r="AK148" s="130">
        <v>0</v>
      </c>
      <c r="AL148" s="130">
        <v>0</v>
      </c>
      <c r="AM148" s="135">
        <f t="shared" ref="AM148:AM159" si="602">Q148+AB148+AL148+AK148+AJ148+T148+AE148</f>
        <v>41779.662000000004</v>
      </c>
      <c r="AN148" s="136">
        <v>46199</v>
      </c>
      <c r="AO148" s="137" t="s">
        <v>745</v>
      </c>
      <c r="AP148" s="138" t="s">
        <v>239</v>
      </c>
      <c r="AQ148" s="139" t="s">
        <v>240</v>
      </c>
      <c r="AR148" s="139" t="s">
        <v>260</v>
      </c>
      <c r="AS148" s="126" t="s">
        <v>746</v>
      </c>
      <c r="AT148" s="140" t="s">
        <v>247</v>
      </c>
      <c r="AU148" s="140" t="s">
        <v>228</v>
      </c>
      <c r="AV148" s="141" t="s">
        <v>747</v>
      </c>
      <c r="AW148" s="139">
        <v>29</v>
      </c>
      <c r="AX148" s="141">
        <v>1733.9</v>
      </c>
      <c r="AY148" s="139">
        <f t="shared" ref="AY148:AY159" si="603">AW148*AX148</f>
        <v>50283.100000000006</v>
      </c>
      <c r="AZ148" s="142" t="b">
        <f t="shared" ref="AZ148:AZ159" si="604">AW148=O148</f>
        <v>1</v>
      </c>
      <c r="BA148" s="128">
        <v>0</v>
      </c>
      <c r="BB148" s="143">
        <f t="shared" ref="BB148:BB159" si="605">AW148-BA148</f>
        <v>29</v>
      </c>
      <c r="BC148" s="144">
        <v>0</v>
      </c>
      <c r="BD148" s="143" t="s">
        <v>109</v>
      </c>
      <c r="BE148" s="144">
        <v>0</v>
      </c>
      <c r="BF148" s="143">
        <v>0</v>
      </c>
      <c r="BG148" s="144">
        <v>0</v>
      </c>
      <c r="BH148" s="130">
        <v>0</v>
      </c>
      <c r="BI148" s="133">
        <v>0</v>
      </c>
      <c r="BJ148" s="131">
        <v>0</v>
      </c>
      <c r="BK148" s="128">
        <v>0</v>
      </c>
      <c r="BL148" s="139">
        <v>0</v>
      </c>
      <c r="BM148" s="130">
        <v>0</v>
      </c>
      <c r="BN148" s="145">
        <f t="shared" ref="BN148:BN159" si="606">AY148*$BM$3</f>
        <v>0</v>
      </c>
      <c r="BO148" s="129">
        <f t="shared" ref="BO148:BO159" si="607">AY148+BL148+BM148+BN148+BC148+BG148</f>
        <v>50283.100000000006</v>
      </c>
      <c r="BP148" s="135">
        <f t="shared" ref="BP148:BP159" si="608">BO148-AM148</f>
        <v>8503.4380000000019</v>
      </c>
      <c r="BQ148" s="144" t="str">
        <f t="shared" ref="BQ148:BQ159" si="609">IF(BP148&gt;=0,"Positive Margin","Negative Margin")</f>
        <v>Positive Margin</v>
      </c>
      <c r="BR148" s="146" t="s">
        <v>209</v>
      </c>
      <c r="BS148" s="128">
        <f t="shared" ref="BS148:BS159" si="610">AY148-Y148-Q148-AA148-T148+BC148</f>
        <v>8503.4380000000019</v>
      </c>
      <c r="BT148" s="147" t="str">
        <f t="shared" ref="BT148:BT159" si="611">IF(BS148&lt;0, "Negative Margin at Inception", "Positive Margin at Inception")</f>
        <v>Positive Margin at Inception</v>
      </c>
      <c r="BU148" s="148">
        <f t="shared" ref="BU148:BU159" si="612">IFERROR(BP148/BO148,"0")</f>
        <v>0.16911125209066269</v>
      </c>
      <c r="BV148" s="147" t="str">
        <f t="shared" ref="BV148:BV159" si="613">IF(BU148&lt;1%,"Less Than 1%",IF(BU148&gt;2%,"More than 2%",IF(BU148&gt;=1%,"1% - 2%")))</f>
        <v>More than 2%</v>
      </c>
      <c r="BW148" s="128">
        <f t="shared" ref="BW148:BW159" si="614">BM148+BN148</f>
        <v>0</v>
      </c>
      <c r="BX148" s="129">
        <f t="shared" ref="BX148:BX159" si="615">AL148+AK148</f>
        <v>0</v>
      </c>
      <c r="BY148" s="128">
        <f t="shared" ref="BY148:BY159" si="616">BW148-BX148</f>
        <v>0</v>
      </c>
      <c r="BZ148" s="149">
        <f t="shared" ref="BZ148:BZ159" si="617">BM148</f>
        <v>0</v>
      </c>
      <c r="CA148" s="149">
        <f t="shared" ref="CA148:CA159" si="618">AK148</f>
        <v>0</v>
      </c>
      <c r="CB148" s="130">
        <f t="shared" ref="CB148:CB159" si="619">BZ148-CA148</f>
        <v>0</v>
      </c>
      <c r="CC148" s="149" t="s">
        <v>282</v>
      </c>
      <c r="CD148" s="130">
        <v>0</v>
      </c>
      <c r="CE148" s="130">
        <f t="shared" ref="CE148:CE159" si="620">AM148-AL148-AA148</f>
        <v>41779.662000000004</v>
      </c>
      <c r="CF148" s="130">
        <f t="shared" ref="CF148:CF159" si="621">BO148-BN148</f>
        <v>50283.100000000006</v>
      </c>
      <c r="CG148" s="130">
        <f t="shared" ref="CG148:CG159" si="622">INT((D148- IF(MONTH(D148) &gt;= 4, DATE(YEAR(D148), 4, 1), DATE(YEAR(D148)-1, 4, 1))) / 7) + 1</f>
        <v>13</v>
      </c>
      <c r="CH148" s="150">
        <v>0</v>
      </c>
      <c r="CI148" s="130">
        <v>0</v>
      </c>
      <c r="CJ148" s="130" t="e">
        <f>_xlfn.XLOOKUP(AP148,POC!B:B,POC!D:D)</f>
        <v>#N/A</v>
      </c>
      <c r="CK148" s="130">
        <f t="shared" ref="CK148:CK159" si="623">AY148-Q148</f>
        <v>8503.4380000000019</v>
      </c>
      <c r="CL148" s="130">
        <f t="shared" ref="CL148:CL159" si="624">CK148-Y148+Z148</f>
        <v>8503.4380000000019</v>
      </c>
      <c r="CM148" s="130">
        <f t="shared" ref="CM148:CM159" si="625">BO148-AM148</f>
        <v>8503.4380000000019</v>
      </c>
      <c r="CN148" s="130">
        <f t="shared" ref="CN148:CN159" si="626">AY148*118%</f>
        <v>59334.058000000005</v>
      </c>
      <c r="CO148" s="130">
        <f t="shared" ref="CO148:CO159" si="627">-Q148*118%</f>
        <v>-49300.00116</v>
      </c>
      <c r="CP148" s="130">
        <f t="shared" ref="CP148:CP159" si="628">-BZ148*118%</f>
        <v>0</v>
      </c>
      <c r="CQ148" s="130">
        <f t="shared" ref="CQ148:CQ159" si="629">-CA148*118%</f>
        <v>0</v>
      </c>
      <c r="CR148" s="130">
        <f t="shared" ref="CR148:CR159" si="630">SUM(CN148:CQ148)</f>
        <v>10034.056840000005</v>
      </c>
      <c r="CS148" s="130" t="s">
        <v>236</v>
      </c>
      <c r="CT148" s="130" t="s">
        <v>236</v>
      </c>
      <c r="CU148" s="145" t="str">
        <f t="shared" ref="CU148:CU159" si="631">MID(G148,3,10)</f>
        <v>AARCS0730K</v>
      </c>
      <c r="CV148" s="145" t="str">
        <f t="shared" ref="CV148:CV159" si="632">MID(AR148,3,10)</f>
        <v>AARFT3586D</v>
      </c>
    </row>
    <row r="149" spans="2:100" s="152" customFormat="1" ht="11.85" customHeight="1" x14ac:dyDescent="0.25">
      <c r="B149" s="123" t="str">
        <f t="shared" si="598"/>
        <v>Q1</v>
      </c>
      <c r="C149" s="124" t="str">
        <f t="shared" si="599"/>
        <v>Jun-26</v>
      </c>
      <c r="D149" s="125">
        <v>46197</v>
      </c>
      <c r="E149" s="126" t="s">
        <v>724</v>
      </c>
      <c r="F149" s="126" t="s">
        <v>725</v>
      </c>
      <c r="G149" s="126" t="s">
        <v>726</v>
      </c>
      <c r="H149" s="127" t="s">
        <v>727</v>
      </c>
      <c r="I149" s="349">
        <v>46197</v>
      </c>
      <c r="J149" s="350" t="s">
        <v>728</v>
      </c>
      <c r="K149" s="349">
        <v>46199</v>
      </c>
      <c r="L149" s="126" t="s">
        <v>729</v>
      </c>
      <c r="M149" s="126" t="s">
        <v>730</v>
      </c>
      <c r="N149" s="127" t="s">
        <v>732</v>
      </c>
      <c r="O149" s="126">
        <v>3</v>
      </c>
      <c r="P149" s="283">
        <v>677.96699999999998</v>
      </c>
      <c r="Q149" s="128">
        <f t="shared" si="600"/>
        <v>2033.9009999999998</v>
      </c>
      <c r="R149" s="129">
        <v>0</v>
      </c>
      <c r="S149" s="128">
        <f t="shared" si="565"/>
        <v>3</v>
      </c>
      <c r="T149" s="129">
        <v>0</v>
      </c>
      <c r="U149" s="130">
        <v>0</v>
      </c>
      <c r="V149" s="131">
        <v>0</v>
      </c>
      <c r="W149" s="130">
        <v>0</v>
      </c>
      <c r="X149" s="132">
        <v>0</v>
      </c>
      <c r="Y149" s="130">
        <v>0</v>
      </c>
      <c r="Z149" s="130">
        <v>0</v>
      </c>
      <c r="AA149" s="129">
        <v>0</v>
      </c>
      <c r="AB149" s="133">
        <f t="shared" si="601"/>
        <v>0</v>
      </c>
      <c r="AC149" s="132">
        <v>0</v>
      </c>
      <c r="AD149" s="128">
        <v>0</v>
      </c>
      <c r="AE149" s="147">
        <v>0</v>
      </c>
      <c r="AF149" s="130">
        <v>0</v>
      </c>
      <c r="AG149" s="134">
        <v>0</v>
      </c>
      <c r="AH149" s="130">
        <v>0</v>
      </c>
      <c r="AI149" s="131">
        <v>0</v>
      </c>
      <c r="AJ149" s="130">
        <v>0</v>
      </c>
      <c r="AK149" s="130">
        <v>0</v>
      </c>
      <c r="AL149" s="130">
        <v>0</v>
      </c>
      <c r="AM149" s="135">
        <f t="shared" si="602"/>
        <v>2033.9009999999998</v>
      </c>
      <c r="AN149" s="136">
        <v>46199</v>
      </c>
      <c r="AO149" s="137" t="s">
        <v>745</v>
      </c>
      <c r="AP149" s="138" t="s">
        <v>239</v>
      </c>
      <c r="AQ149" s="139" t="s">
        <v>240</v>
      </c>
      <c r="AR149" s="139" t="s">
        <v>260</v>
      </c>
      <c r="AS149" s="126" t="s">
        <v>746</v>
      </c>
      <c r="AT149" s="140" t="s">
        <v>247</v>
      </c>
      <c r="AU149" s="140" t="s">
        <v>228</v>
      </c>
      <c r="AV149" s="141" t="s">
        <v>747</v>
      </c>
      <c r="AW149" s="139">
        <v>3</v>
      </c>
      <c r="AX149" s="141">
        <v>932.2</v>
      </c>
      <c r="AY149" s="139">
        <f t="shared" si="603"/>
        <v>2796.6000000000004</v>
      </c>
      <c r="AZ149" s="142" t="b">
        <f t="shared" si="604"/>
        <v>1</v>
      </c>
      <c r="BA149" s="128">
        <v>0</v>
      </c>
      <c r="BB149" s="143">
        <f t="shared" si="605"/>
        <v>3</v>
      </c>
      <c r="BC149" s="144">
        <v>0</v>
      </c>
      <c r="BD149" s="143" t="s">
        <v>109</v>
      </c>
      <c r="BE149" s="144">
        <v>0</v>
      </c>
      <c r="BF149" s="143">
        <v>0</v>
      </c>
      <c r="BG149" s="144">
        <v>0</v>
      </c>
      <c r="BH149" s="130">
        <v>0</v>
      </c>
      <c r="BI149" s="133">
        <v>0</v>
      </c>
      <c r="BJ149" s="131">
        <v>0</v>
      </c>
      <c r="BK149" s="128">
        <v>0</v>
      </c>
      <c r="BL149" s="139">
        <v>0</v>
      </c>
      <c r="BM149" s="130">
        <v>0</v>
      </c>
      <c r="BN149" s="145">
        <f t="shared" si="606"/>
        <v>0</v>
      </c>
      <c r="BO149" s="129">
        <f t="shared" si="607"/>
        <v>2796.6000000000004</v>
      </c>
      <c r="BP149" s="135">
        <f t="shared" si="608"/>
        <v>762.69900000000052</v>
      </c>
      <c r="BQ149" s="144" t="str">
        <f t="shared" si="609"/>
        <v>Positive Margin</v>
      </c>
      <c r="BR149" s="146" t="s">
        <v>209</v>
      </c>
      <c r="BS149" s="128">
        <f t="shared" si="610"/>
        <v>762.69900000000052</v>
      </c>
      <c r="BT149" s="147" t="str">
        <f t="shared" si="611"/>
        <v>Positive Margin at Inception</v>
      </c>
      <c r="BU149" s="148">
        <f t="shared" si="612"/>
        <v>0.27272366444968904</v>
      </c>
      <c r="BV149" s="147" t="str">
        <f t="shared" si="613"/>
        <v>More than 2%</v>
      </c>
      <c r="BW149" s="128">
        <f t="shared" si="614"/>
        <v>0</v>
      </c>
      <c r="BX149" s="129">
        <f t="shared" si="615"/>
        <v>0</v>
      </c>
      <c r="BY149" s="128">
        <f t="shared" si="616"/>
        <v>0</v>
      </c>
      <c r="BZ149" s="149">
        <f t="shared" si="617"/>
        <v>0</v>
      </c>
      <c r="CA149" s="149">
        <f t="shared" si="618"/>
        <v>0</v>
      </c>
      <c r="CB149" s="130">
        <f t="shared" si="619"/>
        <v>0</v>
      </c>
      <c r="CC149" s="149" t="s">
        <v>282</v>
      </c>
      <c r="CD149" s="130">
        <v>0</v>
      </c>
      <c r="CE149" s="130">
        <f t="shared" si="620"/>
        <v>2033.9009999999998</v>
      </c>
      <c r="CF149" s="130">
        <f t="shared" si="621"/>
        <v>2796.6000000000004</v>
      </c>
      <c r="CG149" s="130">
        <f t="shared" si="622"/>
        <v>13</v>
      </c>
      <c r="CH149" s="150">
        <v>0</v>
      </c>
      <c r="CI149" s="130">
        <v>0</v>
      </c>
      <c r="CJ149" s="130" t="e">
        <f>_xlfn.XLOOKUP(AP149,POC!B:B,POC!D:D)</f>
        <v>#N/A</v>
      </c>
      <c r="CK149" s="130">
        <f t="shared" si="623"/>
        <v>762.69900000000052</v>
      </c>
      <c r="CL149" s="130">
        <f t="shared" si="624"/>
        <v>762.69900000000052</v>
      </c>
      <c r="CM149" s="130">
        <f t="shared" si="625"/>
        <v>762.69900000000052</v>
      </c>
      <c r="CN149" s="130">
        <f t="shared" si="626"/>
        <v>3299.9880000000003</v>
      </c>
      <c r="CO149" s="130">
        <f t="shared" si="627"/>
        <v>-2400.0031799999997</v>
      </c>
      <c r="CP149" s="130">
        <f t="shared" si="628"/>
        <v>0</v>
      </c>
      <c r="CQ149" s="130">
        <f t="shared" si="629"/>
        <v>0</v>
      </c>
      <c r="CR149" s="130">
        <f t="shared" si="630"/>
        <v>899.98482000000058</v>
      </c>
      <c r="CS149" s="130" t="s">
        <v>236</v>
      </c>
      <c r="CT149" s="130" t="s">
        <v>236</v>
      </c>
      <c r="CU149" s="145" t="str">
        <f t="shared" si="631"/>
        <v>AARCS0730K</v>
      </c>
      <c r="CV149" s="145" t="str">
        <f t="shared" si="632"/>
        <v>AARFT3586D</v>
      </c>
    </row>
    <row r="150" spans="2:100" s="152" customFormat="1" ht="11.85" customHeight="1" x14ac:dyDescent="0.25">
      <c r="B150" s="123" t="str">
        <f t="shared" si="598"/>
        <v>Q1</v>
      </c>
      <c r="C150" s="124" t="str">
        <f t="shared" si="599"/>
        <v>Jun-26</v>
      </c>
      <c r="D150" s="125">
        <v>46197</v>
      </c>
      <c r="E150" s="126" t="s">
        <v>724</v>
      </c>
      <c r="F150" s="126" t="s">
        <v>725</v>
      </c>
      <c r="G150" s="126" t="s">
        <v>726</v>
      </c>
      <c r="H150" s="127" t="s">
        <v>727</v>
      </c>
      <c r="I150" s="349">
        <v>46197</v>
      </c>
      <c r="J150" s="350" t="s">
        <v>728</v>
      </c>
      <c r="K150" s="349">
        <v>46199</v>
      </c>
      <c r="L150" s="126" t="s">
        <v>729</v>
      </c>
      <c r="M150" s="126" t="s">
        <v>730</v>
      </c>
      <c r="N150" s="127" t="s">
        <v>733</v>
      </c>
      <c r="O150" s="126">
        <v>10</v>
      </c>
      <c r="P150" s="283">
        <v>84.75</v>
      </c>
      <c r="Q150" s="128">
        <f t="shared" si="600"/>
        <v>847.5</v>
      </c>
      <c r="R150" s="129">
        <v>0</v>
      </c>
      <c r="S150" s="128">
        <f t="shared" si="565"/>
        <v>10</v>
      </c>
      <c r="T150" s="129">
        <v>0</v>
      </c>
      <c r="U150" s="130">
        <v>0</v>
      </c>
      <c r="V150" s="131">
        <v>0</v>
      </c>
      <c r="W150" s="130">
        <v>0</v>
      </c>
      <c r="X150" s="132">
        <v>0</v>
      </c>
      <c r="Y150" s="130">
        <v>0</v>
      </c>
      <c r="Z150" s="130">
        <v>0</v>
      </c>
      <c r="AA150" s="129">
        <v>0</v>
      </c>
      <c r="AB150" s="133">
        <f t="shared" si="601"/>
        <v>0</v>
      </c>
      <c r="AC150" s="132">
        <v>0</v>
      </c>
      <c r="AD150" s="128">
        <v>0</v>
      </c>
      <c r="AE150" s="147">
        <v>0</v>
      </c>
      <c r="AF150" s="130">
        <v>0</v>
      </c>
      <c r="AG150" s="134">
        <v>0</v>
      </c>
      <c r="AH150" s="130">
        <v>0</v>
      </c>
      <c r="AI150" s="131">
        <v>0</v>
      </c>
      <c r="AJ150" s="130">
        <v>0</v>
      </c>
      <c r="AK150" s="130">
        <v>0</v>
      </c>
      <c r="AL150" s="130">
        <v>0</v>
      </c>
      <c r="AM150" s="135">
        <f t="shared" si="602"/>
        <v>847.5</v>
      </c>
      <c r="AN150" s="136">
        <v>46199</v>
      </c>
      <c r="AO150" s="137" t="s">
        <v>745</v>
      </c>
      <c r="AP150" s="138" t="s">
        <v>239</v>
      </c>
      <c r="AQ150" s="139" t="s">
        <v>240</v>
      </c>
      <c r="AR150" s="139" t="s">
        <v>260</v>
      </c>
      <c r="AS150" s="126" t="s">
        <v>746</v>
      </c>
      <c r="AT150" s="140" t="s">
        <v>247</v>
      </c>
      <c r="AU150" s="140" t="s">
        <v>228</v>
      </c>
      <c r="AV150" s="141" t="s">
        <v>747</v>
      </c>
      <c r="AW150" s="139">
        <v>10</v>
      </c>
      <c r="AX150" s="141">
        <v>93.22</v>
      </c>
      <c r="AY150" s="139">
        <f t="shared" si="603"/>
        <v>932.2</v>
      </c>
      <c r="AZ150" s="142" t="b">
        <f t="shared" si="604"/>
        <v>1</v>
      </c>
      <c r="BA150" s="128">
        <v>0</v>
      </c>
      <c r="BB150" s="143">
        <f t="shared" si="605"/>
        <v>10</v>
      </c>
      <c r="BC150" s="144">
        <v>0</v>
      </c>
      <c r="BD150" s="143" t="s">
        <v>109</v>
      </c>
      <c r="BE150" s="144">
        <v>0</v>
      </c>
      <c r="BF150" s="143">
        <v>0</v>
      </c>
      <c r="BG150" s="144">
        <v>0</v>
      </c>
      <c r="BH150" s="130">
        <v>0</v>
      </c>
      <c r="BI150" s="133">
        <v>0</v>
      </c>
      <c r="BJ150" s="131">
        <v>0</v>
      </c>
      <c r="BK150" s="128">
        <v>0</v>
      </c>
      <c r="BL150" s="139">
        <v>0</v>
      </c>
      <c r="BM150" s="130">
        <v>0</v>
      </c>
      <c r="BN150" s="145">
        <f t="shared" si="606"/>
        <v>0</v>
      </c>
      <c r="BO150" s="129">
        <f t="shared" si="607"/>
        <v>932.2</v>
      </c>
      <c r="BP150" s="135">
        <f t="shared" si="608"/>
        <v>84.700000000000045</v>
      </c>
      <c r="BQ150" s="144" t="str">
        <f t="shared" si="609"/>
        <v>Positive Margin</v>
      </c>
      <c r="BR150" s="146" t="s">
        <v>209</v>
      </c>
      <c r="BS150" s="128">
        <f t="shared" si="610"/>
        <v>84.700000000000045</v>
      </c>
      <c r="BT150" s="147" t="str">
        <f t="shared" si="611"/>
        <v>Positive Margin at Inception</v>
      </c>
      <c r="BU150" s="148">
        <f t="shared" si="612"/>
        <v>9.0860330401201506E-2</v>
      </c>
      <c r="BV150" s="147" t="str">
        <f t="shared" si="613"/>
        <v>More than 2%</v>
      </c>
      <c r="BW150" s="128">
        <f t="shared" si="614"/>
        <v>0</v>
      </c>
      <c r="BX150" s="129">
        <f t="shared" si="615"/>
        <v>0</v>
      </c>
      <c r="BY150" s="128">
        <f t="shared" si="616"/>
        <v>0</v>
      </c>
      <c r="BZ150" s="149">
        <f t="shared" si="617"/>
        <v>0</v>
      </c>
      <c r="CA150" s="149">
        <f t="shared" si="618"/>
        <v>0</v>
      </c>
      <c r="CB150" s="130">
        <f t="shared" si="619"/>
        <v>0</v>
      </c>
      <c r="CC150" s="149" t="s">
        <v>282</v>
      </c>
      <c r="CD150" s="130">
        <v>0</v>
      </c>
      <c r="CE150" s="130">
        <f t="shared" si="620"/>
        <v>847.5</v>
      </c>
      <c r="CF150" s="130">
        <f t="shared" si="621"/>
        <v>932.2</v>
      </c>
      <c r="CG150" s="130">
        <f t="shared" si="622"/>
        <v>13</v>
      </c>
      <c r="CH150" s="150">
        <v>0</v>
      </c>
      <c r="CI150" s="130">
        <v>0</v>
      </c>
      <c r="CJ150" s="130" t="e">
        <f>_xlfn.XLOOKUP(AP150,POC!B:B,POC!D:D)</f>
        <v>#N/A</v>
      </c>
      <c r="CK150" s="130">
        <f t="shared" si="623"/>
        <v>84.700000000000045</v>
      </c>
      <c r="CL150" s="130">
        <f t="shared" si="624"/>
        <v>84.700000000000045</v>
      </c>
      <c r="CM150" s="130">
        <f t="shared" si="625"/>
        <v>84.700000000000045</v>
      </c>
      <c r="CN150" s="130">
        <f t="shared" si="626"/>
        <v>1099.9960000000001</v>
      </c>
      <c r="CO150" s="130">
        <f t="shared" si="627"/>
        <v>-1000.05</v>
      </c>
      <c r="CP150" s="130">
        <f t="shared" si="628"/>
        <v>0</v>
      </c>
      <c r="CQ150" s="130">
        <f t="shared" si="629"/>
        <v>0</v>
      </c>
      <c r="CR150" s="130">
        <f t="shared" si="630"/>
        <v>99.94600000000014</v>
      </c>
      <c r="CS150" s="130" t="s">
        <v>236</v>
      </c>
      <c r="CT150" s="130" t="s">
        <v>236</v>
      </c>
      <c r="CU150" s="145" t="str">
        <f t="shared" si="631"/>
        <v>AARCS0730K</v>
      </c>
      <c r="CV150" s="145" t="str">
        <f t="shared" si="632"/>
        <v>AARFT3586D</v>
      </c>
    </row>
    <row r="151" spans="2:100" s="152" customFormat="1" ht="11.85" customHeight="1" x14ac:dyDescent="0.25">
      <c r="B151" s="123" t="str">
        <f t="shared" si="598"/>
        <v>Q1</v>
      </c>
      <c r="C151" s="124" t="str">
        <f t="shared" si="599"/>
        <v>Jun-26</v>
      </c>
      <c r="D151" s="125">
        <v>46197</v>
      </c>
      <c r="E151" s="126" t="s">
        <v>724</v>
      </c>
      <c r="F151" s="126" t="s">
        <v>725</v>
      </c>
      <c r="G151" s="126" t="s">
        <v>726</v>
      </c>
      <c r="H151" s="127" t="s">
        <v>727</v>
      </c>
      <c r="I151" s="349">
        <v>46197</v>
      </c>
      <c r="J151" s="350" t="s">
        <v>728</v>
      </c>
      <c r="K151" s="349">
        <v>46199</v>
      </c>
      <c r="L151" s="126" t="s">
        <v>729</v>
      </c>
      <c r="M151" s="126" t="s">
        <v>730</v>
      </c>
      <c r="N151" s="127" t="s">
        <v>734</v>
      </c>
      <c r="O151" s="126">
        <v>2</v>
      </c>
      <c r="P151" s="283">
        <v>84.75</v>
      </c>
      <c r="Q151" s="128">
        <f t="shared" si="600"/>
        <v>169.5</v>
      </c>
      <c r="R151" s="129">
        <v>0</v>
      </c>
      <c r="S151" s="128">
        <f t="shared" si="565"/>
        <v>2</v>
      </c>
      <c r="T151" s="129">
        <v>0</v>
      </c>
      <c r="U151" s="130">
        <v>0</v>
      </c>
      <c r="V151" s="131">
        <v>0</v>
      </c>
      <c r="W151" s="130">
        <v>0</v>
      </c>
      <c r="X151" s="132">
        <v>0</v>
      </c>
      <c r="Y151" s="130">
        <v>0</v>
      </c>
      <c r="Z151" s="130">
        <v>0</v>
      </c>
      <c r="AA151" s="129">
        <v>0</v>
      </c>
      <c r="AB151" s="133">
        <f t="shared" si="601"/>
        <v>0</v>
      </c>
      <c r="AC151" s="132">
        <v>0</v>
      </c>
      <c r="AD151" s="128">
        <v>0</v>
      </c>
      <c r="AE151" s="147">
        <v>0</v>
      </c>
      <c r="AF151" s="130">
        <v>0</v>
      </c>
      <c r="AG151" s="134">
        <v>0</v>
      </c>
      <c r="AH151" s="130">
        <v>0</v>
      </c>
      <c r="AI151" s="131">
        <v>0</v>
      </c>
      <c r="AJ151" s="130">
        <v>0</v>
      </c>
      <c r="AK151" s="130">
        <v>0</v>
      </c>
      <c r="AL151" s="130">
        <v>0</v>
      </c>
      <c r="AM151" s="135">
        <f t="shared" si="602"/>
        <v>169.5</v>
      </c>
      <c r="AN151" s="136">
        <v>46199</v>
      </c>
      <c r="AO151" s="137" t="s">
        <v>745</v>
      </c>
      <c r="AP151" s="138" t="s">
        <v>239</v>
      </c>
      <c r="AQ151" s="139" t="s">
        <v>240</v>
      </c>
      <c r="AR151" s="139" t="s">
        <v>260</v>
      </c>
      <c r="AS151" s="126" t="s">
        <v>746</v>
      </c>
      <c r="AT151" s="140" t="s">
        <v>247</v>
      </c>
      <c r="AU151" s="140" t="s">
        <v>228</v>
      </c>
      <c r="AV151" s="141" t="s">
        <v>747</v>
      </c>
      <c r="AW151" s="139">
        <v>2</v>
      </c>
      <c r="AX151" s="141">
        <v>127.12</v>
      </c>
      <c r="AY151" s="139">
        <f t="shared" si="603"/>
        <v>254.24</v>
      </c>
      <c r="AZ151" s="142" t="b">
        <f t="shared" si="604"/>
        <v>1</v>
      </c>
      <c r="BA151" s="128">
        <v>0</v>
      </c>
      <c r="BB151" s="143">
        <f t="shared" si="605"/>
        <v>2</v>
      </c>
      <c r="BC151" s="144">
        <v>0</v>
      </c>
      <c r="BD151" s="143" t="s">
        <v>109</v>
      </c>
      <c r="BE151" s="144">
        <v>0</v>
      </c>
      <c r="BF151" s="143">
        <v>0</v>
      </c>
      <c r="BG151" s="144">
        <v>0</v>
      </c>
      <c r="BH151" s="130">
        <v>0</v>
      </c>
      <c r="BI151" s="133">
        <v>0</v>
      </c>
      <c r="BJ151" s="131">
        <v>0</v>
      </c>
      <c r="BK151" s="128">
        <v>0</v>
      </c>
      <c r="BL151" s="139">
        <v>0</v>
      </c>
      <c r="BM151" s="130">
        <v>0</v>
      </c>
      <c r="BN151" s="145">
        <f t="shared" si="606"/>
        <v>0</v>
      </c>
      <c r="BO151" s="129">
        <f t="shared" si="607"/>
        <v>254.24</v>
      </c>
      <c r="BP151" s="135">
        <f t="shared" si="608"/>
        <v>84.740000000000009</v>
      </c>
      <c r="BQ151" s="144" t="str">
        <f t="shared" si="609"/>
        <v>Positive Margin</v>
      </c>
      <c r="BR151" s="146" t="s">
        <v>209</v>
      </c>
      <c r="BS151" s="128">
        <f t="shared" si="610"/>
        <v>84.740000000000009</v>
      </c>
      <c r="BT151" s="147" t="str">
        <f t="shared" si="611"/>
        <v>Positive Margin at Inception</v>
      </c>
      <c r="BU151" s="148">
        <f t="shared" si="612"/>
        <v>0.33330711139081187</v>
      </c>
      <c r="BV151" s="147" t="str">
        <f t="shared" si="613"/>
        <v>More than 2%</v>
      </c>
      <c r="BW151" s="128">
        <f t="shared" si="614"/>
        <v>0</v>
      </c>
      <c r="BX151" s="129">
        <f t="shared" si="615"/>
        <v>0</v>
      </c>
      <c r="BY151" s="128">
        <f t="shared" si="616"/>
        <v>0</v>
      </c>
      <c r="BZ151" s="149">
        <f t="shared" si="617"/>
        <v>0</v>
      </c>
      <c r="CA151" s="149">
        <f t="shared" si="618"/>
        <v>0</v>
      </c>
      <c r="CB151" s="130">
        <f t="shared" si="619"/>
        <v>0</v>
      </c>
      <c r="CC151" s="149" t="s">
        <v>282</v>
      </c>
      <c r="CD151" s="130">
        <v>0</v>
      </c>
      <c r="CE151" s="130">
        <f t="shared" si="620"/>
        <v>169.5</v>
      </c>
      <c r="CF151" s="130">
        <f t="shared" si="621"/>
        <v>254.24</v>
      </c>
      <c r="CG151" s="130">
        <f t="shared" si="622"/>
        <v>13</v>
      </c>
      <c r="CH151" s="150">
        <v>0</v>
      </c>
      <c r="CI151" s="130">
        <v>0</v>
      </c>
      <c r="CJ151" s="130" t="e">
        <f>_xlfn.XLOOKUP(AP151,POC!B:B,POC!D:D)</f>
        <v>#N/A</v>
      </c>
      <c r="CK151" s="130">
        <f t="shared" si="623"/>
        <v>84.740000000000009</v>
      </c>
      <c r="CL151" s="130">
        <f t="shared" si="624"/>
        <v>84.740000000000009</v>
      </c>
      <c r="CM151" s="130">
        <f t="shared" si="625"/>
        <v>84.740000000000009</v>
      </c>
      <c r="CN151" s="130">
        <f t="shared" si="626"/>
        <v>300.00319999999999</v>
      </c>
      <c r="CO151" s="130">
        <f t="shared" si="627"/>
        <v>-200.01</v>
      </c>
      <c r="CP151" s="130">
        <f t="shared" si="628"/>
        <v>0</v>
      </c>
      <c r="CQ151" s="130">
        <f t="shared" si="629"/>
        <v>0</v>
      </c>
      <c r="CR151" s="130">
        <f t="shared" si="630"/>
        <v>99.993200000000002</v>
      </c>
      <c r="CS151" s="130" t="s">
        <v>236</v>
      </c>
      <c r="CT151" s="130" t="s">
        <v>236</v>
      </c>
      <c r="CU151" s="145" t="str">
        <f t="shared" si="631"/>
        <v>AARCS0730K</v>
      </c>
      <c r="CV151" s="145" t="str">
        <f t="shared" si="632"/>
        <v>AARFT3586D</v>
      </c>
    </row>
    <row r="152" spans="2:100" s="152" customFormat="1" ht="11.85" customHeight="1" x14ac:dyDescent="0.25">
      <c r="B152" s="123" t="str">
        <f t="shared" si="598"/>
        <v>Q1</v>
      </c>
      <c r="C152" s="124" t="str">
        <f t="shared" si="599"/>
        <v>Jun-26</v>
      </c>
      <c r="D152" s="125">
        <v>46197</v>
      </c>
      <c r="E152" s="126" t="s">
        <v>735</v>
      </c>
      <c r="F152" s="126" t="s">
        <v>725</v>
      </c>
      <c r="G152" s="126" t="s">
        <v>736</v>
      </c>
      <c r="H152" s="127" t="s">
        <v>737</v>
      </c>
      <c r="I152" s="349">
        <v>46197</v>
      </c>
      <c r="J152" s="350" t="s">
        <v>738</v>
      </c>
      <c r="K152" s="349">
        <v>46199</v>
      </c>
      <c r="L152" s="126" t="s">
        <v>739</v>
      </c>
      <c r="M152" s="126" t="s">
        <v>730</v>
      </c>
      <c r="N152" s="127" t="s">
        <v>731</v>
      </c>
      <c r="O152" s="126">
        <v>127</v>
      </c>
      <c r="P152" s="283">
        <v>1440.6780000000001</v>
      </c>
      <c r="Q152" s="128">
        <f t="shared" si="600"/>
        <v>182966.106</v>
      </c>
      <c r="R152" s="129">
        <v>0</v>
      </c>
      <c r="S152" s="128">
        <f t="shared" si="565"/>
        <v>127</v>
      </c>
      <c r="T152" s="129">
        <v>0</v>
      </c>
      <c r="U152" s="130">
        <v>0</v>
      </c>
      <c r="V152" s="131">
        <v>0</v>
      </c>
      <c r="W152" s="130">
        <v>0</v>
      </c>
      <c r="X152" s="132">
        <v>0</v>
      </c>
      <c r="Y152" s="130">
        <v>0</v>
      </c>
      <c r="Z152" s="130">
        <v>0</v>
      </c>
      <c r="AA152" s="129">
        <v>0</v>
      </c>
      <c r="AB152" s="133">
        <f t="shared" si="601"/>
        <v>0</v>
      </c>
      <c r="AC152" s="132">
        <v>0</v>
      </c>
      <c r="AD152" s="128">
        <v>0</v>
      </c>
      <c r="AE152" s="147">
        <v>0</v>
      </c>
      <c r="AF152" s="130">
        <v>0</v>
      </c>
      <c r="AG152" s="134">
        <v>0</v>
      </c>
      <c r="AH152" s="130">
        <v>0</v>
      </c>
      <c r="AI152" s="131">
        <v>0</v>
      </c>
      <c r="AJ152" s="130">
        <v>0</v>
      </c>
      <c r="AK152" s="130">
        <v>0</v>
      </c>
      <c r="AL152" s="130">
        <v>0</v>
      </c>
      <c r="AM152" s="135">
        <f t="shared" si="602"/>
        <v>182966.106</v>
      </c>
      <c r="AN152" s="136">
        <v>46199</v>
      </c>
      <c r="AO152" s="137" t="s">
        <v>748</v>
      </c>
      <c r="AP152" s="138" t="s">
        <v>239</v>
      </c>
      <c r="AQ152" s="139" t="s">
        <v>240</v>
      </c>
      <c r="AR152" s="139" t="s">
        <v>260</v>
      </c>
      <c r="AS152" s="126" t="s">
        <v>749</v>
      </c>
      <c r="AT152" s="140" t="s">
        <v>247</v>
      </c>
      <c r="AU152" s="140" t="s">
        <v>228</v>
      </c>
      <c r="AV152" s="141" t="s">
        <v>750</v>
      </c>
      <c r="AW152" s="139">
        <v>127</v>
      </c>
      <c r="AX152" s="141">
        <v>1733.9</v>
      </c>
      <c r="AY152" s="139">
        <f t="shared" si="603"/>
        <v>220205.30000000002</v>
      </c>
      <c r="AZ152" s="142" t="b">
        <f t="shared" si="604"/>
        <v>1</v>
      </c>
      <c r="BA152" s="128">
        <v>0</v>
      </c>
      <c r="BB152" s="143">
        <f t="shared" si="605"/>
        <v>127</v>
      </c>
      <c r="BC152" s="144">
        <v>0</v>
      </c>
      <c r="BD152" s="143" t="s">
        <v>109</v>
      </c>
      <c r="BE152" s="144">
        <v>0</v>
      </c>
      <c r="BF152" s="143">
        <v>0</v>
      </c>
      <c r="BG152" s="144">
        <v>0</v>
      </c>
      <c r="BH152" s="130">
        <v>0</v>
      </c>
      <c r="BI152" s="133">
        <v>0</v>
      </c>
      <c r="BJ152" s="131">
        <v>0</v>
      </c>
      <c r="BK152" s="128">
        <v>0</v>
      </c>
      <c r="BL152" s="139">
        <v>0</v>
      </c>
      <c r="BM152" s="130">
        <v>0</v>
      </c>
      <c r="BN152" s="145">
        <f t="shared" si="606"/>
        <v>0</v>
      </c>
      <c r="BO152" s="129">
        <f t="shared" si="607"/>
        <v>220205.30000000002</v>
      </c>
      <c r="BP152" s="135">
        <f t="shared" si="608"/>
        <v>37239.194000000018</v>
      </c>
      <c r="BQ152" s="144" t="str">
        <f t="shared" si="609"/>
        <v>Positive Margin</v>
      </c>
      <c r="BR152" s="146" t="s">
        <v>209</v>
      </c>
      <c r="BS152" s="128">
        <f t="shared" si="610"/>
        <v>37239.194000000018</v>
      </c>
      <c r="BT152" s="147" t="str">
        <f t="shared" si="611"/>
        <v>Positive Margin at Inception</v>
      </c>
      <c r="BU152" s="148">
        <f t="shared" si="612"/>
        <v>0.16911125209066274</v>
      </c>
      <c r="BV152" s="147" t="str">
        <f t="shared" si="613"/>
        <v>More than 2%</v>
      </c>
      <c r="BW152" s="128">
        <f t="shared" si="614"/>
        <v>0</v>
      </c>
      <c r="BX152" s="129">
        <f t="shared" si="615"/>
        <v>0</v>
      </c>
      <c r="BY152" s="128">
        <f t="shared" si="616"/>
        <v>0</v>
      </c>
      <c r="BZ152" s="149">
        <f t="shared" si="617"/>
        <v>0</v>
      </c>
      <c r="CA152" s="149">
        <f t="shared" si="618"/>
        <v>0</v>
      </c>
      <c r="CB152" s="130">
        <f t="shared" si="619"/>
        <v>0</v>
      </c>
      <c r="CC152" s="149" t="s">
        <v>282</v>
      </c>
      <c r="CD152" s="130">
        <v>0</v>
      </c>
      <c r="CE152" s="130">
        <f t="shared" si="620"/>
        <v>182966.106</v>
      </c>
      <c r="CF152" s="130">
        <f t="shared" si="621"/>
        <v>220205.30000000002</v>
      </c>
      <c r="CG152" s="130">
        <f t="shared" si="622"/>
        <v>13</v>
      </c>
      <c r="CH152" s="150">
        <v>0</v>
      </c>
      <c r="CI152" s="130">
        <v>0</v>
      </c>
      <c r="CJ152" s="130" t="e">
        <f>_xlfn.XLOOKUP(AP152,POC!B:B,POC!D:D)</f>
        <v>#N/A</v>
      </c>
      <c r="CK152" s="130">
        <f t="shared" si="623"/>
        <v>37239.194000000018</v>
      </c>
      <c r="CL152" s="130">
        <f t="shared" si="624"/>
        <v>37239.194000000018</v>
      </c>
      <c r="CM152" s="130">
        <f t="shared" si="625"/>
        <v>37239.194000000018</v>
      </c>
      <c r="CN152" s="130">
        <f t="shared" si="626"/>
        <v>259842.25400000002</v>
      </c>
      <c r="CO152" s="130">
        <f t="shared" si="627"/>
        <v>-215900.00508</v>
      </c>
      <c r="CP152" s="130">
        <f t="shared" si="628"/>
        <v>0</v>
      </c>
      <c r="CQ152" s="130">
        <f t="shared" si="629"/>
        <v>0</v>
      </c>
      <c r="CR152" s="130">
        <f t="shared" si="630"/>
        <v>43942.248920000013</v>
      </c>
      <c r="CS152" s="130" t="s">
        <v>236</v>
      </c>
      <c r="CT152" s="130" t="s">
        <v>236</v>
      </c>
      <c r="CU152" s="145" t="str">
        <f t="shared" si="631"/>
        <v>AARCS0730K</v>
      </c>
      <c r="CV152" s="145" t="str">
        <f t="shared" si="632"/>
        <v>AARFT3586D</v>
      </c>
    </row>
    <row r="153" spans="2:100" s="152" customFormat="1" ht="11.85" customHeight="1" x14ac:dyDescent="0.25">
      <c r="B153" s="123" t="str">
        <f t="shared" si="598"/>
        <v>Q1</v>
      </c>
      <c r="C153" s="124" t="str">
        <f t="shared" si="599"/>
        <v>Jun-26</v>
      </c>
      <c r="D153" s="125">
        <v>46197</v>
      </c>
      <c r="E153" s="126" t="s">
        <v>735</v>
      </c>
      <c r="F153" s="126" t="s">
        <v>725</v>
      </c>
      <c r="G153" s="126" t="s">
        <v>736</v>
      </c>
      <c r="H153" s="127" t="s">
        <v>737</v>
      </c>
      <c r="I153" s="349">
        <v>46197</v>
      </c>
      <c r="J153" s="350" t="s">
        <v>738</v>
      </c>
      <c r="K153" s="349">
        <v>46199</v>
      </c>
      <c r="L153" s="126" t="s">
        <v>739</v>
      </c>
      <c r="M153" s="126" t="s">
        <v>730</v>
      </c>
      <c r="N153" s="127" t="s">
        <v>732</v>
      </c>
      <c r="O153" s="126">
        <v>25</v>
      </c>
      <c r="P153" s="283">
        <v>677.96699999999998</v>
      </c>
      <c r="Q153" s="128">
        <f t="shared" si="600"/>
        <v>16949.174999999999</v>
      </c>
      <c r="R153" s="129">
        <v>0</v>
      </c>
      <c r="S153" s="128">
        <f t="shared" si="565"/>
        <v>25</v>
      </c>
      <c r="T153" s="129">
        <v>0</v>
      </c>
      <c r="U153" s="130">
        <v>0</v>
      </c>
      <c r="V153" s="131">
        <v>0</v>
      </c>
      <c r="W153" s="130">
        <v>0</v>
      </c>
      <c r="X153" s="132">
        <v>0</v>
      </c>
      <c r="Y153" s="130">
        <v>0</v>
      </c>
      <c r="Z153" s="130">
        <v>0</v>
      </c>
      <c r="AA153" s="129">
        <v>0</v>
      </c>
      <c r="AB153" s="133">
        <f t="shared" si="601"/>
        <v>0</v>
      </c>
      <c r="AC153" s="132">
        <v>0</v>
      </c>
      <c r="AD153" s="128">
        <v>0</v>
      </c>
      <c r="AE153" s="147">
        <v>0</v>
      </c>
      <c r="AF153" s="130">
        <v>0</v>
      </c>
      <c r="AG153" s="134">
        <v>0</v>
      </c>
      <c r="AH153" s="130">
        <v>0</v>
      </c>
      <c r="AI153" s="131">
        <v>0</v>
      </c>
      <c r="AJ153" s="130">
        <v>0</v>
      </c>
      <c r="AK153" s="130">
        <v>0</v>
      </c>
      <c r="AL153" s="130">
        <v>0</v>
      </c>
      <c r="AM153" s="135">
        <f t="shared" si="602"/>
        <v>16949.174999999999</v>
      </c>
      <c r="AN153" s="136">
        <v>46199</v>
      </c>
      <c r="AO153" s="137" t="s">
        <v>748</v>
      </c>
      <c r="AP153" s="138" t="s">
        <v>239</v>
      </c>
      <c r="AQ153" s="139" t="s">
        <v>240</v>
      </c>
      <c r="AR153" s="139" t="s">
        <v>260</v>
      </c>
      <c r="AS153" s="126" t="s">
        <v>749</v>
      </c>
      <c r="AT153" s="140" t="s">
        <v>247</v>
      </c>
      <c r="AU153" s="140" t="s">
        <v>228</v>
      </c>
      <c r="AV153" s="141" t="s">
        <v>750</v>
      </c>
      <c r="AW153" s="139">
        <v>25</v>
      </c>
      <c r="AX153" s="141">
        <v>932.2</v>
      </c>
      <c r="AY153" s="139">
        <f t="shared" si="603"/>
        <v>23305</v>
      </c>
      <c r="AZ153" s="142" t="b">
        <f t="shared" si="604"/>
        <v>1</v>
      </c>
      <c r="BA153" s="128">
        <v>0</v>
      </c>
      <c r="BB153" s="143">
        <f t="shared" si="605"/>
        <v>25</v>
      </c>
      <c r="BC153" s="144">
        <v>0</v>
      </c>
      <c r="BD153" s="143" t="s">
        <v>109</v>
      </c>
      <c r="BE153" s="144">
        <v>0</v>
      </c>
      <c r="BF153" s="143">
        <v>0</v>
      </c>
      <c r="BG153" s="144">
        <v>0</v>
      </c>
      <c r="BH153" s="130">
        <v>0</v>
      </c>
      <c r="BI153" s="133">
        <v>0</v>
      </c>
      <c r="BJ153" s="131">
        <v>0</v>
      </c>
      <c r="BK153" s="128">
        <v>0</v>
      </c>
      <c r="BL153" s="139">
        <v>0</v>
      </c>
      <c r="BM153" s="130">
        <v>0</v>
      </c>
      <c r="BN153" s="145">
        <f t="shared" si="606"/>
        <v>0</v>
      </c>
      <c r="BO153" s="129">
        <f t="shared" si="607"/>
        <v>23305</v>
      </c>
      <c r="BP153" s="135">
        <f t="shared" si="608"/>
        <v>6355.8250000000007</v>
      </c>
      <c r="BQ153" s="144" t="str">
        <f t="shared" si="609"/>
        <v>Positive Margin</v>
      </c>
      <c r="BR153" s="146" t="s">
        <v>209</v>
      </c>
      <c r="BS153" s="128">
        <f t="shared" si="610"/>
        <v>6355.8250000000007</v>
      </c>
      <c r="BT153" s="147" t="str">
        <f t="shared" si="611"/>
        <v>Positive Margin at Inception</v>
      </c>
      <c r="BU153" s="148">
        <f t="shared" si="612"/>
        <v>0.27272366444968893</v>
      </c>
      <c r="BV153" s="147" t="str">
        <f t="shared" si="613"/>
        <v>More than 2%</v>
      </c>
      <c r="BW153" s="128">
        <f t="shared" si="614"/>
        <v>0</v>
      </c>
      <c r="BX153" s="129">
        <f t="shared" si="615"/>
        <v>0</v>
      </c>
      <c r="BY153" s="128">
        <f t="shared" si="616"/>
        <v>0</v>
      </c>
      <c r="BZ153" s="149">
        <f t="shared" si="617"/>
        <v>0</v>
      </c>
      <c r="CA153" s="149">
        <f t="shared" si="618"/>
        <v>0</v>
      </c>
      <c r="CB153" s="130">
        <f t="shared" si="619"/>
        <v>0</v>
      </c>
      <c r="CC153" s="149" t="s">
        <v>282</v>
      </c>
      <c r="CD153" s="130">
        <v>0</v>
      </c>
      <c r="CE153" s="130">
        <f t="shared" si="620"/>
        <v>16949.174999999999</v>
      </c>
      <c r="CF153" s="130">
        <f t="shared" si="621"/>
        <v>23305</v>
      </c>
      <c r="CG153" s="130">
        <f t="shared" si="622"/>
        <v>13</v>
      </c>
      <c r="CH153" s="150">
        <v>0</v>
      </c>
      <c r="CI153" s="130">
        <v>0</v>
      </c>
      <c r="CJ153" s="130" t="e">
        <f>_xlfn.XLOOKUP(AP153,POC!B:B,POC!D:D)</f>
        <v>#N/A</v>
      </c>
      <c r="CK153" s="130">
        <f t="shared" si="623"/>
        <v>6355.8250000000007</v>
      </c>
      <c r="CL153" s="130">
        <f t="shared" si="624"/>
        <v>6355.8250000000007</v>
      </c>
      <c r="CM153" s="130">
        <f t="shared" si="625"/>
        <v>6355.8250000000007</v>
      </c>
      <c r="CN153" s="130">
        <f t="shared" si="626"/>
        <v>27499.899999999998</v>
      </c>
      <c r="CO153" s="130">
        <f t="shared" si="627"/>
        <v>-20000.026499999996</v>
      </c>
      <c r="CP153" s="130">
        <f t="shared" si="628"/>
        <v>0</v>
      </c>
      <c r="CQ153" s="130">
        <f t="shared" si="629"/>
        <v>0</v>
      </c>
      <c r="CR153" s="130">
        <f t="shared" si="630"/>
        <v>7499.8735000000015</v>
      </c>
      <c r="CS153" s="130" t="s">
        <v>236</v>
      </c>
      <c r="CT153" s="130" t="s">
        <v>236</v>
      </c>
      <c r="CU153" s="145" t="str">
        <f t="shared" si="631"/>
        <v>AARCS0730K</v>
      </c>
      <c r="CV153" s="145" t="str">
        <f t="shared" si="632"/>
        <v>AARFT3586D</v>
      </c>
    </row>
    <row r="154" spans="2:100" s="152" customFormat="1" ht="11.85" customHeight="1" x14ac:dyDescent="0.25">
      <c r="B154" s="123" t="str">
        <f t="shared" si="598"/>
        <v>Q1</v>
      </c>
      <c r="C154" s="124" t="str">
        <f t="shared" si="599"/>
        <v>Jun-26</v>
      </c>
      <c r="D154" s="125">
        <v>46197</v>
      </c>
      <c r="E154" s="126" t="s">
        <v>735</v>
      </c>
      <c r="F154" s="126" t="s">
        <v>725</v>
      </c>
      <c r="G154" s="126" t="s">
        <v>736</v>
      </c>
      <c r="H154" s="127" t="s">
        <v>737</v>
      </c>
      <c r="I154" s="349">
        <v>46197</v>
      </c>
      <c r="J154" s="350" t="s">
        <v>738</v>
      </c>
      <c r="K154" s="349">
        <v>46199</v>
      </c>
      <c r="L154" s="126" t="s">
        <v>739</v>
      </c>
      <c r="M154" s="126" t="s">
        <v>730</v>
      </c>
      <c r="N154" s="127" t="s">
        <v>733</v>
      </c>
      <c r="O154" s="126">
        <v>22</v>
      </c>
      <c r="P154" s="283">
        <v>84.75</v>
      </c>
      <c r="Q154" s="128">
        <f t="shared" si="600"/>
        <v>1864.5</v>
      </c>
      <c r="R154" s="129">
        <v>0</v>
      </c>
      <c r="S154" s="128">
        <f t="shared" si="565"/>
        <v>22</v>
      </c>
      <c r="T154" s="129">
        <v>0</v>
      </c>
      <c r="U154" s="130">
        <v>0</v>
      </c>
      <c r="V154" s="131">
        <v>0</v>
      </c>
      <c r="W154" s="130">
        <v>0</v>
      </c>
      <c r="X154" s="132">
        <v>0</v>
      </c>
      <c r="Y154" s="130">
        <v>0</v>
      </c>
      <c r="Z154" s="130">
        <v>0</v>
      </c>
      <c r="AA154" s="129">
        <v>0</v>
      </c>
      <c r="AB154" s="133">
        <f t="shared" si="601"/>
        <v>0</v>
      </c>
      <c r="AC154" s="132">
        <v>0</v>
      </c>
      <c r="AD154" s="128">
        <v>0</v>
      </c>
      <c r="AE154" s="147">
        <v>0</v>
      </c>
      <c r="AF154" s="130">
        <v>0</v>
      </c>
      <c r="AG154" s="134">
        <v>0</v>
      </c>
      <c r="AH154" s="130">
        <v>0</v>
      </c>
      <c r="AI154" s="131">
        <v>0</v>
      </c>
      <c r="AJ154" s="130">
        <v>0</v>
      </c>
      <c r="AK154" s="130">
        <v>0</v>
      </c>
      <c r="AL154" s="130">
        <v>0</v>
      </c>
      <c r="AM154" s="135">
        <f t="shared" si="602"/>
        <v>1864.5</v>
      </c>
      <c r="AN154" s="136">
        <v>46199</v>
      </c>
      <c r="AO154" s="137" t="s">
        <v>748</v>
      </c>
      <c r="AP154" s="138" t="s">
        <v>239</v>
      </c>
      <c r="AQ154" s="139" t="s">
        <v>240</v>
      </c>
      <c r="AR154" s="139" t="s">
        <v>260</v>
      </c>
      <c r="AS154" s="126" t="s">
        <v>749</v>
      </c>
      <c r="AT154" s="140" t="s">
        <v>247</v>
      </c>
      <c r="AU154" s="140" t="s">
        <v>228</v>
      </c>
      <c r="AV154" s="141" t="s">
        <v>750</v>
      </c>
      <c r="AW154" s="139">
        <v>22</v>
      </c>
      <c r="AX154" s="141">
        <v>93.22</v>
      </c>
      <c r="AY154" s="139">
        <f t="shared" si="603"/>
        <v>2050.84</v>
      </c>
      <c r="AZ154" s="142" t="b">
        <f t="shared" si="604"/>
        <v>1</v>
      </c>
      <c r="BA154" s="128">
        <v>0</v>
      </c>
      <c r="BB154" s="143">
        <f t="shared" si="605"/>
        <v>22</v>
      </c>
      <c r="BC154" s="144">
        <v>0</v>
      </c>
      <c r="BD154" s="143" t="s">
        <v>109</v>
      </c>
      <c r="BE154" s="144">
        <v>0</v>
      </c>
      <c r="BF154" s="143">
        <v>0</v>
      </c>
      <c r="BG154" s="144">
        <v>0</v>
      </c>
      <c r="BH154" s="130">
        <v>0</v>
      </c>
      <c r="BI154" s="133">
        <v>0</v>
      </c>
      <c r="BJ154" s="131">
        <v>0</v>
      </c>
      <c r="BK154" s="128">
        <v>0</v>
      </c>
      <c r="BL154" s="139">
        <v>0</v>
      </c>
      <c r="BM154" s="130">
        <v>0</v>
      </c>
      <c r="BN154" s="145">
        <f t="shared" si="606"/>
        <v>0</v>
      </c>
      <c r="BO154" s="129">
        <f t="shared" si="607"/>
        <v>2050.84</v>
      </c>
      <c r="BP154" s="135">
        <f t="shared" si="608"/>
        <v>186.34000000000015</v>
      </c>
      <c r="BQ154" s="144" t="str">
        <f t="shared" si="609"/>
        <v>Positive Margin</v>
      </c>
      <c r="BR154" s="146" t="s">
        <v>209</v>
      </c>
      <c r="BS154" s="128">
        <f t="shared" si="610"/>
        <v>186.34000000000015</v>
      </c>
      <c r="BT154" s="147" t="str">
        <f t="shared" si="611"/>
        <v>Positive Margin at Inception</v>
      </c>
      <c r="BU154" s="148">
        <f t="shared" si="612"/>
        <v>9.0860330401201519E-2</v>
      </c>
      <c r="BV154" s="147" t="str">
        <f t="shared" si="613"/>
        <v>More than 2%</v>
      </c>
      <c r="BW154" s="128">
        <f t="shared" si="614"/>
        <v>0</v>
      </c>
      <c r="BX154" s="129">
        <f t="shared" si="615"/>
        <v>0</v>
      </c>
      <c r="BY154" s="128">
        <f t="shared" si="616"/>
        <v>0</v>
      </c>
      <c r="BZ154" s="149">
        <f t="shared" si="617"/>
        <v>0</v>
      </c>
      <c r="CA154" s="149">
        <f t="shared" si="618"/>
        <v>0</v>
      </c>
      <c r="CB154" s="130">
        <f t="shared" si="619"/>
        <v>0</v>
      </c>
      <c r="CC154" s="149" t="s">
        <v>282</v>
      </c>
      <c r="CD154" s="130">
        <v>0</v>
      </c>
      <c r="CE154" s="130">
        <f t="shared" si="620"/>
        <v>1864.5</v>
      </c>
      <c r="CF154" s="130">
        <f t="shared" si="621"/>
        <v>2050.84</v>
      </c>
      <c r="CG154" s="130">
        <f t="shared" si="622"/>
        <v>13</v>
      </c>
      <c r="CH154" s="150">
        <v>0</v>
      </c>
      <c r="CI154" s="130">
        <v>0</v>
      </c>
      <c r="CJ154" s="130" t="e">
        <f>_xlfn.XLOOKUP(AP154,POC!B:B,POC!D:D)</f>
        <v>#N/A</v>
      </c>
      <c r="CK154" s="130">
        <f t="shared" si="623"/>
        <v>186.34000000000015</v>
      </c>
      <c r="CL154" s="130">
        <f t="shared" si="624"/>
        <v>186.34000000000015</v>
      </c>
      <c r="CM154" s="130">
        <f t="shared" si="625"/>
        <v>186.34000000000015</v>
      </c>
      <c r="CN154" s="130">
        <f t="shared" si="626"/>
        <v>2419.9911999999999</v>
      </c>
      <c r="CO154" s="130">
        <f t="shared" si="627"/>
        <v>-2200.1099999999997</v>
      </c>
      <c r="CP154" s="130">
        <f t="shared" si="628"/>
        <v>0</v>
      </c>
      <c r="CQ154" s="130">
        <f t="shared" si="629"/>
        <v>0</v>
      </c>
      <c r="CR154" s="130">
        <f t="shared" si="630"/>
        <v>219.88120000000026</v>
      </c>
      <c r="CS154" s="130" t="s">
        <v>236</v>
      </c>
      <c r="CT154" s="130" t="s">
        <v>236</v>
      </c>
      <c r="CU154" s="145" t="str">
        <f t="shared" si="631"/>
        <v>AARCS0730K</v>
      </c>
      <c r="CV154" s="145" t="str">
        <f t="shared" si="632"/>
        <v>AARFT3586D</v>
      </c>
    </row>
    <row r="155" spans="2:100" s="152" customFormat="1" ht="11.85" customHeight="1" x14ac:dyDescent="0.25">
      <c r="B155" s="123" t="str">
        <f t="shared" si="598"/>
        <v>Q1</v>
      </c>
      <c r="C155" s="124" t="str">
        <f t="shared" si="599"/>
        <v>Jun-26</v>
      </c>
      <c r="D155" s="125">
        <v>46197</v>
      </c>
      <c r="E155" s="126" t="s">
        <v>735</v>
      </c>
      <c r="F155" s="126" t="s">
        <v>725</v>
      </c>
      <c r="G155" s="126" t="s">
        <v>736</v>
      </c>
      <c r="H155" s="127" t="s">
        <v>737</v>
      </c>
      <c r="I155" s="349">
        <v>46197</v>
      </c>
      <c r="J155" s="350" t="s">
        <v>738</v>
      </c>
      <c r="K155" s="349">
        <v>46199</v>
      </c>
      <c r="L155" s="126" t="s">
        <v>739</v>
      </c>
      <c r="M155" s="126" t="s">
        <v>730</v>
      </c>
      <c r="N155" s="127" t="s">
        <v>740</v>
      </c>
      <c r="O155" s="126">
        <v>1</v>
      </c>
      <c r="P155" s="283">
        <v>84.75</v>
      </c>
      <c r="Q155" s="128">
        <f t="shared" si="600"/>
        <v>84.75</v>
      </c>
      <c r="R155" s="129">
        <v>0</v>
      </c>
      <c r="S155" s="128">
        <f t="shared" si="565"/>
        <v>1</v>
      </c>
      <c r="T155" s="129">
        <v>0</v>
      </c>
      <c r="U155" s="130">
        <v>0</v>
      </c>
      <c r="V155" s="131">
        <v>0</v>
      </c>
      <c r="W155" s="130">
        <v>0</v>
      </c>
      <c r="X155" s="132">
        <v>0</v>
      </c>
      <c r="Y155" s="130">
        <v>0</v>
      </c>
      <c r="Z155" s="130">
        <v>0</v>
      </c>
      <c r="AA155" s="129">
        <v>0</v>
      </c>
      <c r="AB155" s="133">
        <f t="shared" si="601"/>
        <v>0</v>
      </c>
      <c r="AC155" s="132">
        <v>0</v>
      </c>
      <c r="AD155" s="128">
        <v>0</v>
      </c>
      <c r="AE155" s="147">
        <v>0</v>
      </c>
      <c r="AF155" s="130">
        <v>0</v>
      </c>
      <c r="AG155" s="134">
        <v>0</v>
      </c>
      <c r="AH155" s="130">
        <v>0</v>
      </c>
      <c r="AI155" s="131">
        <v>0</v>
      </c>
      <c r="AJ155" s="130">
        <v>0</v>
      </c>
      <c r="AK155" s="130">
        <v>0</v>
      </c>
      <c r="AL155" s="130">
        <v>0</v>
      </c>
      <c r="AM155" s="135">
        <f t="shared" si="602"/>
        <v>84.75</v>
      </c>
      <c r="AN155" s="136">
        <v>46199</v>
      </c>
      <c r="AO155" s="137" t="s">
        <v>748</v>
      </c>
      <c r="AP155" s="138" t="s">
        <v>239</v>
      </c>
      <c r="AQ155" s="139" t="s">
        <v>240</v>
      </c>
      <c r="AR155" s="139" t="s">
        <v>260</v>
      </c>
      <c r="AS155" s="126" t="s">
        <v>749</v>
      </c>
      <c r="AT155" s="140" t="s">
        <v>247</v>
      </c>
      <c r="AU155" s="140" t="s">
        <v>228</v>
      </c>
      <c r="AV155" s="141" t="s">
        <v>750</v>
      </c>
      <c r="AW155" s="139">
        <v>1</v>
      </c>
      <c r="AX155" s="141">
        <v>93.22</v>
      </c>
      <c r="AY155" s="139">
        <f t="shared" si="603"/>
        <v>93.22</v>
      </c>
      <c r="AZ155" s="142" t="b">
        <f t="shared" si="604"/>
        <v>1</v>
      </c>
      <c r="BA155" s="128">
        <v>0</v>
      </c>
      <c r="BB155" s="143">
        <f t="shared" si="605"/>
        <v>1</v>
      </c>
      <c r="BC155" s="144">
        <v>0</v>
      </c>
      <c r="BD155" s="143" t="s">
        <v>109</v>
      </c>
      <c r="BE155" s="144">
        <v>0</v>
      </c>
      <c r="BF155" s="143">
        <v>0</v>
      </c>
      <c r="BG155" s="144">
        <v>0</v>
      </c>
      <c r="BH155" s="130">
        <v>0</v>
      </c>
      <c r="BI155" s="133">
        <v>0</v>
      </c>
      <c r="BJ155" s="131">
        <v>0</v>
      </c>
      <c r="BK155" s="128">
        <v>0</v>
      </c>
      <c r="BL155" s="139">
        <v>0</v>
      </c>
      <c r="BM155" s="130">
        <v>0</v>
      </c>
      <c r="BN155" s="145">
        <f t="shared" si="606"/>
        <v>0</v>
      </c>
      <c r="BO155" s="129">
        <f t="shared" si="607"/>
        <v>93.22</v>
      </c>
      <c r="BP155" s="135">
        <f t="shared" si="608"/>
        <v>8.4699999999999989</v>
      </c>
      <c r="BQ155" s="144" t="str">
        <f t="shared" si="609"/>
        <v>Positive Margin</v>
      </c>
      <c r="BR155" s="146" t="s">
        <v>209</v>
      </c>
      <c r="BS155" s="128">
        <f t="shared" si="610"/>
        <v>8.4699999999999989</v>
      </c>
      <c r="BT155" s="147" t="str">
        <f t="shared" si="611"/>
        <v>Positive Margin at Inception</v>
      </c>
      <c r="BU155" s="148">
        <f t="shared" si="612"/>
        <v>9.086033040120145E-2</v>
      </c>
      <c r="BV155" s="147" t="str">
        <f t="shared" si="613"/>
        <v>More than 2%</v>
      </c>
      <c r="BW155" s="128">
        <f t="shared" si="614"/>
        <v>0</v>
      </c>
      <c r="BX155" s="129">
        <f t="shared" si="615"/>
        <v>0</v>
      </c>
      <c r="BY155" s="128">
        <f t="shared" si="616"/>
        <v>0</v>
      </c>
      <c r="BZ155" s="149">
        <f t="shared" si="617"/>
        <v>0</v>
      </c>
      <c r="CA155" s="149">
        <f t="shared" si="618"/>
        <v>0</v>
      </c>
      <c r="CB155" s="130">
        <f t="shared" si="619"/>
        <v>0</v>
      </c>
      <c r="CC155" s="149" t="s">
        <v>282</v>
      </c>
      <c r="CD155" s="130">
        <v>0</v>
      </c>
      <c r="CE155" s="130">
        <f t="shared" si="620"/>
        <v>84.75</v>
      </c>
      <c r="CF155" s="130">
        <f t="shared" si="621"/>
        <v>93.22</v>
      </c>
      <c r="CG155" s="130">
        <f t="shared" si="622"/>
        <v>13</v>
      </c>
      <c r="CH155" s="150">
        <v>0</v>
      </c>
      <c r="CI155" s="130">
        <v>0</v>
      </c>
      <c r="CJ155" s="130" t="e">
        <f>_xlfn.XLOOKUP(AP155,POC!B:B,POC!D:D)</f>
        <v>#N/A</v>
      </c>
      <c r="CK155" s="130">
        <f t="shared" si="623"/>
        <v>8.4699999999999989</v>
      </c>
      <c r="CL155" s="130">
        <f t="shared" si="624"/>
        <v>8.4699999999999989</v>
      </c>
      <c r="CM155" s="130">
        <f t="shared" si="625"/>
        <v>8.4699999999999989</v>
      </c>
      <c r="CN155" s="130">
        <f t="shared" si="626"/>
        <v>109.99959999999999</v>
      </c>
      <c r="CO155" s="130">
        <f t="shared" si="627"/>
        <v>-100.005</v>
      </c>
      <c r="CP155" s="130">
        <f t="shared" si="628"/>
        <v>0</v>
      </c>
      <c r="CQ155" s="130">
        <f t="shared" si="629"/>
        <v>0</v>
      </c>
      <c r="CR155" s="130">
        <f t="shared" si="630"/>
        <v>9.9945999999999913</v>
      </c>
      <c r="CS155" s="130" t="s">
        <v>236</v>
      </c>
      <c r="CT155" s="130" t="s">
        <v>236</v>
      </c>
      <c r="CU155" s="145" t="str">
        <f t="shared" si="631"/>
        <v>AARCS0730K</v>
      </c>
      <c r="CV155" s="145" t="str">
        <f t="shared" si="632"/>
        <v>AARFT3586D</v>
      </c>
    </row>
    <row r="156" spans="2:100" s="152" customFormat="1" ht="11.85" customHeight="1" x14ac:dyDescent="0.25">
      <c r="B156" s="123" t="str">
        <f t="shared" si="598"/>
        <v>Q1</v>
      </c>
      <c r="C156" s="124" t="str">
        <f t="shared" si="599"/>
        <v>Jun-26</v>
      </c>
      <c r="D156" s="125">
        <v>46197</v>
      </c>
      <c r="E156" s="126" t="s">
        <v>735</v>
      </c>
      <c r="F156" s="126" t="s">
        <v>725</v>
      </c>
      <c r="G156" s="126" t="s">
        <v>736</v>
      </c>
      <c r="H156" s="127" t="s">
        <v>737</v>
      </c>
      <c r="I156" s="349">
        <v>46197</v>
      </c>
      <c r="J156" s="350" t="s">
        <v>738</v>
      </c>
      <c r="K156" s="349">
        <v>46199</v>
      </c>
      <c r="L156" s="126" t="s">
        <v>739</v>
      </c>
      <c r="M156" s="126" t="s">
        <v>730</v>
      </c>
      <c r="N156" s="127" t="s">
        <v>734</v>
      </c>
      <c r="O156" s="126">
        <v>15</v>
      </c>
      <c r="P156" s="283">
        <v>84.75</v>
      </c>
      <c r="Q156" s="128">
        <f t="shared" si="600"/>
        <v>1271.25</v>
      </c>
      <c r="R156" s="129">
        <v>0</v>
      </c>
      <c r="S156" s="128">
        <f t="shared" si="565"/>
        <v>15</v>
      </c>
      <c r="T156" s="129">
        <v>0</v>
      </c>
      <c r="U156" s="130">
        <v>0</v>
      </c>
      <c r="V156" s="131">
        <v>0</v>
      </c>
      <c r="W156" s="130">
        <v>0</v>
      </c>
      <c r="X156" s="132">
        <v>0</v>
      </c>
      <c r="Y156" s="130">
        <v>0</v>
      </c>
      <c r="Z156" s="130">
        <v>0</v>
      </c>
      <c r="AA156" s="129">
        <v>0</v>
      </c>
      <c r="AB156" s="133">
        <f t="shared" si="601"/>
        <v>0</v>
      </c>
      <c r="AC156" s="132">
        <v>0</v>
      </c>
      <c r="AD156" s="128">
        <v>0</v>
      </c>
      <c r="AE156" s="147">
        <v>0</v>
      </c>
      <c r="AF156" s="130">
        <v>0</v>
      </c>
      <c r="AG156" s="134">
        <v>0</v>
      </c>
      <c r="AH156" s="130">
        <v>0</v>
      </c>
      <c r="AI156" s="131">
        <v>0</v>
      </c>
      <c r="AJ156" s="130">
        <v>0</v>
      </c>
      <c r="AK156" s="130">
        <v>0</v>
      </c>
      <c r="AL156" s="130">
        <v>0</v>
      </c>
      <c r="AM156" s="135">
        <f t="shared" si="602"/>
        <v>1271.25</v>
      </c>
      <c r="AN156" s="136">
        <v>46199</v>
      </c>
      <c r="AO156" s="137" t="s">
        <v>748</v>
      </c>
      <c r="AP156" s="138" t="s">
        <v>239</v>
      </c>
      <c r="AQ156" s="139" t="s">
        <v>240</v>
      </c>
      <c r="AR156" s="139" t="s">
        <v>260</v>
      </c>
      <c r="AS156" s="126" t="s">
        <v>749</v>
      </c>
      <c r="AT156" s="140" t="s">
        <v>247</v>
      </c>
      <c r="AU156" s="140" t="s">
        <v>228</v>
      </c>
      <c r="AV156" s="141" t="s">
        <v>750</v>
      </c>
      <c r="AW156" s="139">
        <v>15</v>
      </c>
      <c r="AX156" s="141">
        <v>127.12</v>
      </c>
      <c r="AY156" s="139">
        <f t="shared" si="603"/>
        <v>1906.8000000000002</v>
      </c>
      <c r="AZ156" s="142" t="b">
        <f t="shared" si="604"/>
        <v>1</v>
      </c>
      <c r="BA156" s="128">
        <v>0</v>
      </c>
      <c r="BB156" s="143">
        <f t="shared" si="605"/>
        <v>15</v>
      </c>
      <c r="BC156" s="144">
        <v>0</v>
      </c>
      <c r="BD156" s="143" t="s">
        <v>109</v>
      </c>
      <c r="BE156" s="144">
        <v>0</v>
      </c>
      <c r="BF156" s="143">
        <v>0</v>
      </c>
      <c r="BG156" s="144">
        <v>0</v>
      </c>
      <c r="BH156" s="130">
        <v>0</v>
      </c>
      <c r="BI156" s="133">
        <v>0</v>
      </c>
      <c r="BJ156" s="131">
        <v>0</v>
      </c>
      <c r="BK156" s="128">
        <v>0</v>
      </c>
      <c r="BL156" s="139">
        <v>0</v>
      </c>
      <c r="BM156" s="130">
        <v>0</v>
      </c>
      <c r="BN156" s="145">
        <f t="shared" si="606"/>
        <v>0</v>
      </c>
      <c r="BO156" s="129">
        <f t="shared" si="607"/>
        <v>1906.8000000000002</v>
      </c>
      <c r="BP156" s="135">
        <f t="shared" si="608"/>
        <v>635.55000000000018</v>
      </c>
      <c r="BQ156" s="144" t="str">
        <f t="shared" si="609"/>
        <v>Positive Margin</v>
      </c>
      <c r="BR156" s="146" t="s">
        <v>209</v>
      </c>
      <c r="BS156" s="128">
        <f t="shared" si="610"/>
        <v>635.55000000000018</v>
      </c>
      <c r="BT156" s="147" t="str">
        <f t="shared" si="611"/>
        <v>Positive Margin at Inception</v>
      </c>
      <c r="BU156" s="148">
        <f t="shared" si="612"/>
        <v>0.33330711139081187</v>
      </c>
      <c r="BV156" s="147" t="str">
        <f t="shared" si="613"/>
        <v>More than 2%</v>
      </c>
      <c r="BW156" s="128">
        <f t="shared" si="614"/>
        <v>0</v>
      </c>
      <c r="BX156" s="129">
        <f t="shared" si="615"/>
        <v>0</v>
      </c>
      <c r="BY156" s="128">
        <f t="shared" si="616"/>
        <v>0</v>
      </c>
      <c r="BZ156" s="149">
        <f t="shared" si="617"/>
        <v>0</v>
      </c>
      <c r="CA156" s="149">
        <f t="shared" si="618"/>
        <v>0</v>
      </c>
      <c r="CB156" s="130">
        <f t="shared" si="619"/>
        <v>0</v>
      </c>
      <c r="CC156" s="149" t="s">
        <v>282</v>
      </c>
      <c r="CD156" s="130">
        <v>0</v>
      </c>
      <c r="CE156" s="130">
        <f t="shared" si="620"/>
        <v>1271.25</v>
      </c>
      <c r="CF156" s="130">
        <f t="shared" si="621"/>
        <v>1906.8000000000002</v>
      </c>
      <c r="CG156" s="130">
        <f t="shared" si="622"/>
        <v>13</v>
      </c>
      <c r="CH156" s="150">
        <v>0</v>
      </c>
      <c r="CI156" s="130">
        <v>0</v>
      </c>
      <c r="CJ156" s="130" t="e">
        <f>_xlfn.XLOOKUP(AP156,POC!B:B,POC!D:D)</f>
        <v>#N/A</v>
      </c>
      <c r="CK156" s="130">
        <f t="shared" si="623"/>
        <v>635.55000000000018</v>
      </c>
      <c r="CL156" s="130">
        <f t="shared" si="624"/>
        <v>635.55000000000018</v>
      </c>
      <c r="CM156" s="130">
        <f t="shared" si="625"/>
        <v>635.55000000000018</v>
      </c>
      <c r="CN156" s="130">
        <f t="shared" si="626"/>
        <v>2250.0239999999999</v>
      </c>
      <c r="CO156" s="130">
        <f t="shared" si="627"/>
        <v>-1500.0749999999998</v>
      </c>
      <c r="CP156" s="130">
        <f t="shared" si="628"/>
        <v>0</v>
      </c>
      <c r="CQ156" s="130">
        <f t="shared" si="629"/>
        <v>0</v>
      </c>
      <c r="CR156" s="130">
        <f t="shared" si="630"/>
        <v>749.94900000000007</v>
      </c>
      <c r="CS156" s="130" t="s">
        <v>236</v>
      </c>
      <c r="CT156" s="130" t="s">
        <v>236</v>
      </c>
      <c r="CU156" s="145" t="str">
        <f t="shared" si="631"/>
        <v>AARCS0730K</v>
      </c>
      <c r="CV156" s="145" t="str">
        <f t="shared" si="632"/>
        <v>AARFT3586D</v>
      </c>
    </row>
    <row r="157" spans="2:100" s="152" customFormat="1" ht="11.85" customHeight="1" x14ac:dyDescent="0.25">
      <c r="B157" s="123" t="str">
        <f t="shared" ref="B157:B159" si="633">"Q" &amp; IF(ROUNDUP(MONTH(D157)/3,0)-1=0,4,ROUNDUP(MONTH(D157)/3,0)-1)</f>
        <v>Q1</v>
      </c>
      <c r="C157" s="124" t="str">
        <f t="shared" ref="C157:C159" si="634">TEXT(AN157,"mmm-yy")</f>
        <v>Jun-26</v>
      </c>
      <c r="D157" s="125">
        <v>46192</v>
      </c>
      <c r="E157" s="126" t="s">
        <v>687</v>
      </c>
      <c r="F157" s="126" t="s">
        <v>600</v>
      </c>
      <c r="G157" s="126" t="s">
        <v>741</v>
      </c>
      <c r="H157" s="127" t="s">
        <v>742</v>
      </c>
      <c r="I157" s="349">
        <v>46192</v>
      </c>
      <c r="J157" s="350" t="s">
        <v>743</v>
      </c>
      <c r="K157" s="349">
        <v>46199</v>
      </c>
      <c r="L157" s="126" t="s">
        <v>237</v>
      </c>
      <c r="M157" s="126" t="s">
        <v>744</v>
      </c>
      <c r="N157" s="127" t="s">
        <v>604</v>
      </c>
      <c r="O157" s="126">
        <v>1</v>
      </c>
      <c r="P157" s="283">
        <v>240.94399999999999</v>
      </c>
      <c r="Q157" s="128">
        <f t="shared" ref="Q157:Q159" si="635">O157*P157</f>
        <v>240.94399999999999</v>
      </c>
      <c r="R157" s="129">
        <v>0</v>
      </c>
      <c r="S157" s="128">
        <f t="shared" ref="S157:S159" si="636">O157-R157</f>
        <v>1</v>
      </c>
      <c r="T157" s="129">
        <v>0</v>
      </c>
      <c r="U157" s="130">
        <v>0</v>
      </c>
      <c r="V157" s="131">
        <v>0</v>
      </c>
      <c r="W157" s="130">
        <v>0</v>
      </c>
      <c r="X157" s="132">
        <v>0</v>
      </c>
      <c r="Y157" s="130">
        <v>0</v>
      </c>
      <c r="Z157" s="130">
        <v>0</v>
      </c>
      <c r="AA157" s="129">
        <v>0</v>
      </c>
      <c r="AB157" s="133">
        <f t="shared" si="601"/>
        <v>0</v>
      </c>
      <c r="AC157" s="132">
        <v>0</v>
      </c>
      <c r="AD157" s="128">
        <v>0</v>
      </c>
      <c r="AE157" s="147">
        <v>0</v>
      </c>
      <c r="AF157" s="130">
        <v>0</v>
      </c>
      <c r="AG157" s="134">
        <v>0</v>
      </c>
      <c r="AH157" s="130">
        <v>0</v>
      </c>
      <c r="AI157" s="131">
        <v>0</v>
      </c>
      <c r="AJ157" s="130">
        <v>0</v>
      </c>
      <c r="AK157" s="130">
        <v>0</v>
      </c>
      <c r="AL157" s="130">
        <v>0</v>
      </c>
      <c r="AM157" s="135">
        <f t="shared" si="602"/>
        <v>240.94399999999999</v>
      </c>
      <c r="AN157" s="136">
        <v>46193</v>
      </c>
      <c r="AO157" s="137" t="s">
        <v>751</v>
      </c>
      <c r="AP157" s="138" t="s">
        <v>356</v>
      </c>
      <c r="AQ157" s="139" t="s">
        <v>357</v>
      </c>
      <c r="AR157" s="139" t="s">
        <v>358</v>
      </c>
      <c r="AS157" s="126" t="s">
        <v>752</v>
      </c>
      <c r="AT157" s="140" t="s">
        <v>360</v>
      </c>
      <c r="AU157" s="140" t="s">
        <v>361</v>
      </c>
      <c r="AV157" s="141" t="s">
        <v>753</v>
      </c>
      <c r="AW157" s="139">
        <v>1</v>
      </c>
      <c r="AX157" s="141">
        <v>384</v>
      </c>
      <c r="AY157" s="139">
        <f t="shared" si="603"/>
        <v>384</v>
      </c>
      <c r="AZ157" s="142" t="b">
        <f t="shared" si="604"/>
        <v>1</v>
      </c>
      <c r="BA157" s="128">
        <v>0</v>
      </c>
      <c r="BB157" s="143">
        <f t="shared" si="605"/>
        <v>1</v>
      </c>
      <c r="BC157" s="144">
        <v>0</v>
      </c>
      <c r="BD157" s="143" t="s">
        <v>109</v>
      </c>
      <c r="BE157" s="144">
        <v>0</v>
      </c>
      <c r="BF157" s="143">
        <v>0</v>
      </c>
      <c r="BG157" s="144">
        <v>0</v>
      </c>
      <c r="BH157" s="130">
        <v>0</v>
      </c>
      <c r="BI157" s="133">
        <v>0</v>
      </c>
      <c r="BJ157" s="131">
        <v>0</v>
      </c>
      <c r="BK157" s="128">
        <v>0</v>
      </c>
      <c r="BL157" s="139">
        <v>0</v>
      </c>
      <c r="BM157" s="130">
        <v>0</v>
      </c>
      <c r="BN157" s="145">
        <f t="shared" si="606"/>
        <v>0</v>
      </c>
      <c r="BO157" s="129">
        <f t="shared" si="607"/>
        <v>384</v>
      </c>
      <c r="BP157" s="135">
        <f t="shared" si="608"/>
        <v>143.05600000000001</v>
      </c>
      <c r="BQ157" s="144" t="str">
        <f t="shared" si="609"/>
        <v>Positive Margin</v>
      </c>
      <c r="BR157" s="146" t="s">
        <v>209</v>
      </c>
      <c r="BS157" s="128">
        <f t="shared" si="610"/>
        <v>143.05600000000001</v>
      </c>
      <c r="BT157" s="147" t="str">
        <f t="shared" si="611"/>
        <v>Positive Margin at Inception</v>
      </c>
      <c r="BU157" s="148">
        <f t="shared" si="612"/>
        <v>0.37254166666666672</v>
      </c>
      <c r="BV157" s="147" t="str">
        <f t="shared" si="613"/>
        <v>More than 2%</v>
      </c>
      <c r="BW157" s="128">
        <f t="shared" si="614"/>
        <v>0</v>
      </c>
      <c r="BX157" s="129">
        <f t="shared" si="615"/>
        <v>0</v>
      </c>
      <c r="BY157" s="128">
        <f t="shared" si="616"/>
        <v>0</v>
      </c>
      <c r="BZ157" s="149">
        <f t="shared" si="617"/>
        <v>0</v>
      </c>
      <c r="CA157" s="149">
        <f t="shared" si="618"/>
        <v>0</v>
      </c>
      <c r="CB157" s="130">
        <f t="shared" si="619"/>
        <v>0</v>
      </c>
      <c r="CC157" s="149" t="s">
        <v>282</v>
      </c>
      <c r="CD157" s="130">
        <v>0</v>
      </c>
      <c r="CE157" s="130">
        <f t="shared" si="620"/>
        <v>240.94399999999999</v>
      </c>
      <c r="CF157" s="130">
        <f t="shared" si="621"/>
        <v>384</v>
      </c>
      <c r="CG157" s="130">
        <f t="shared" si="622"/>
        <v>12</v>
      </c>
      <c r="CH157" s="150">
        <v>0</v>
      </c>
      <c r="CI157" s="130">
        <v>0</v>
      </c>
      <c r="CJ157" s="130" t="e">
        <f>_xlfn.XLOOKUP(AP157,POC!B:B,POC!D:D)</f>
        <v>#N/A</v>
      </c>
      <c r="CK157" s="130">
        <f t="shared" si="623"/>
        <v>143.05600000000001</v>
      </c>
      <c r="CL157" s="130">
        <f t="shared" si="624"/>
        <v>143.05600000000001</v>
      </c>
      <c r="CM157" s="130">
        <f t="shared" si="625"/>
        <v>143.05600000000001</v>
      </c>
      <c r="CN157" s="130">
        <f t="shared" si="626"/>
        <v>453.12</v>
      </c>
      <c r="CO157" s="130">
        <f t="shared" si="627"/>
        <v>-284.31392</v>
      </c>
      <c r="CP157" s="130">
        <f t="shared" si="628"/>
        <v>0</v>
      </c>
      <c r="CQ157" s="130">
        <f t="shared" si="629"/>
        <v>0</v>
      </c>
      <c r="CR157" s="130">
        <f t="shared" si="630"/>
        <v>168.80608000000001</v>
      </c>
      <c r="CS157" s="130" t="s">
        <v>236</v>
      </c>
      <c r="CT157" s="130" t="s">
        <v>236</v>
      </c>
      <c r="CU157" s="145" t="str">
        <f t="shared" si="631"/>
        <v>AABCA7366H</v>
      </c>
      <c r="CV157" s="145" t="str">
        <f t="shared" si="632"/>
        <v>DAKPA5526G</v>
      </c>
    </row>
    <row r="158" spans="2:100" s="152" customFormat="1" ht="11.85" customHeight="1" x14ac:dyDescent="0.25">
      <c r="B158" s="123" t="str">
        <f t="shared" si="633"/>
        <v>Q1</v>
      </c>
      <c r="C158" s="124" t="str">
        <f t="shared" si="634"/>
        <v>Jun-26</v>
      </c>
      <c r="D158" s="125">
        <v>46192</v>
      </c>
      <c r="E158" s="126" t="s">
        <v>687</v>
      </c>
      <c r="F158" s="126" t="s">
        <v>600</v>
      </c>
      <c r="G158" s="126" t="s">
        <v>741</v>
      </c>
      <c r="H158" s="127" t="s">
        <v>742</v>
      </c>
      <c r="I158" s="349">
        <v>46192</v>
      </c>
      <c r="J158" s="350" t="s">
        <v>743</v>
      </c>
      <c r="K158" s="349">
        <v>46199</v>
      </c>
      <c r="L158" s="126" t="s">
        <v>237</v>
      </c>
      <c r="M158" s="126" t="s">
        <v>744</v>
      </c>
      <c r="N158" s="127" t="s">
        <v>604</v>
      </c>
      <c r="O158" s="126">
        <v>33</v>
      </c>
      <c r="P158" s="283">
        <v>639.74699999999996</v>
      </c>
      <c r="Q158" s="128">
        <f t="shared" si="635"/>
        <v>21111.650999999998</v>
      </c>
      <c r="R158" s="129">
        <v>0</v>
      </c>
      <c r="S158" s="128">
        <f t="shared" si="636"/>
        <v>33</v>
      </c>
      <c r="T158" s="129">
        <v>0</v>
      </c>
      <c r="U158" s="130">
        <v>0</v>
      </c>
      <c r="V158" s="131">
        <v>0</v>
      </c>
      <c r="W158" s="130">
        <v>0</v>
      </c>
      <c r="X158" s="132">
        <v>0</v>
      </c>
      <c r="Y158" s="130">
        <v>0</v>
      </c>
      <c r="Z158" s="130">
        <v>0</v>
      </c>
      <c r="AA158" s="129">
        <v>0</v>
      </c>
      <c r="AB158" s="133">
        <f t="shared" si="601"/>
        <v>0</v>
      </c>
      <c r="AC158" s="132">
        <v>0</v>
      </c>
      <c r="AD158" s="128">
        <v>0</v>
      </c>
      <c r="AE158" s="147">
        <v>0</v>
      </c>
      <c r="AF158" s="130">
        <v>0</v>
      </c>
      <c r="AG158" s="134">
        <v>0</v>
      </c>
      <c r="AH158" s="130">
        <v>0</v>
      </c>
      <c r="AI158" s="131">
        <v>0</v>
      </c>
      <c r="AJ158" s="130">
        <v>0</v>
      </c>
      <c r="AK158" s="130">
        <v>0</v>
      </c>
      <c r="AL158" s="130">
        <v>0</v>
      </c>
      <c r="AM158" s="135">
        <f t="shared" si="602"/>
        <v>21111.650999999998</v>
      </c>
      <c r="AN158" s="136">
        <v>46193</v>
      </c>
      <c r="AO158" s="137" t="s">
        <v>751</v>
      </c>
      <c r="AP158" s="138" t="s">
        <v>356</v>
      </c>
      <c r="AQ158" s="139" t="s">
        <v>357</v>
      </c>
      <c r="AR158" s="139" t="s">
        <v>358</v>
      </c>
      <c r="AS158" s="126" t="s">
        <v>752</v>
      </c>
      <c r="AT158" s="140" t="s">
        <v>360</v>
      </c>
      <c r="AU158" s="140" t="s">
        <v>361</v>
      </c>
      <c r="AV158" s="141" t="s">
        <v>753</v>
      </c>
      <c r="AW158" s="139">
        <v>33</v>
      </c>
      <c r="AX158" s="141">
        <v>1000</v>
      </c>
      <c r="AY158" s="139">
        <f t="shared" si="603"/>
        <v>33000</v>
      </c>
      <c r="AZ158" s="142" t="b">
        <f t="shared" si="604"/>
        <v>1</v>
      </c>
      <c r="BA158" s="128">
        <v>0</v>
      </c>
      <c r="BB158" s="143">
        <f t="shared" si="605"/>
        <v>33</v>
      </c>
      <c r="BC158" s="144">
        <v>0</v>
      </c>
      <c r="BD158" s="143" t="s">
        <v>109</v>
      </c>
      <c r="BE158" s="144">
        <v>0</v>
      </c>
      <c r="BF158" s="143">
        <v>0</v>
      </c>
      <c r="BG158" s="144">
        <v>0</v>
      </c>
      <c r="BH158" s="130">
        <v>0</v>
      </c>
      <c r="BI158" s="133">
        <v>0</v>
      </c>
      <c r="BJ158" s="131">
        <v>0</v>
      </c>
      <c r="BK158" s="128">
        <v>0</v>
      </c>
      <c r="BL158" s="139">
        <v>0</v>
      </c>
      <c r="BM158" s="130">
        <v>0</v>
      </c>
      <c r="BN158" s="145">
        <f t="shared" si="606"/>
        <v>0</v>
      </c>
      <c r="BO158" s="129">
        <f t="shared" si="607"/>
        <v>33000</v>
      </c>
      <c r="BP158" s="135">
        <f t="shared" si="608"/>
        <v>11888.349000000002</v>
      </c>
      <c r="BQ158" s="144" t="str">
        <f t="shared" si="609"/>
        <v>Positive Margin</v>
      </c>
      <c r="BR158" s="146" t="s">
        <v>209</v>
      </c>
      <c r="BS158" s="128">
        <f t="shared" si="610"/>
        <v>11888.349000000002</v>
      </c>
      <c r="BT158" s="147" t="str">
        <f t="shared" si="611"/>
        <v>Positive Margin at Inception</v>
      </c>
      <c r="BU158" s="148">
        <f t="shared" si="612"/>
        <v>0.36025300000000005</v>
      </c>
      <c r="BV158" s="147" t="str">
        <f t="shared" si="613"/>
        <v>More than 2%</v>
      </c>
      <c r="BW158" s="128">
        <f t="shared" si="614"/>
        <v>0</v>
      </c>
      <c r="BX158" s="129">
        <f t="shared" si="615"/>
        <v>0</v>
      </c>
      <c r="BY158" s="128">
        <f t="shared" si="616"/>
        <v>0</v>
      </c>
      <c r="BZ158" s="149">
        <f t="shared" si="617"/>
        <v>0</v>
      </c>
      <c r="CA158" s="149">
        <f t="shared" si="618"/>
        <v>0</v>
      </c>
      <c r="CB158" s="130">
        <f t="shared" si="619"/>
        <v>0</v>
      </c>
      <c r="CC158" s="149" t="s">
        <v>282</v>
      </c>
      <c r="CD158" s="130">
        <v>0</v>
      </c>
      <c r="CE158" s="130">
        <f t="shared" si="620"/>
        <v>21111.650999999998</v>
      </c>
      <c r="CF158" s="130">
        <f t="shared" si="621"/>
        <v>33000</v>
      </c>
      <c r="CG158" s="130">
        <f t="shared" si="622"/>
        <v>12</v>
      </c>
      <c r="CH158" s="150">
        <v>0</v>
      </c>
      <c r="CI158" s="130">
        <v>0</v>
      </c>
      <c r="CJ158" s="130" t="e">
        <f>_xlfn.XLOOKUP(AP158,POC!B:B,POC!D:D)</f>
        <v>#N/A</v>
      </c>
      <c r="CK158" s="130">
        <f t="shared" si="623"/>
        <v>11888.349000000002</v>
      </c>
      <c r="CL158" s="130">
        <f t="shared" si="624"/>
        <v>11888.349000000002</v>
      </c>
      <c r="CM158" s="130">
        <f t="shared" si="625"/>
        <v>11888.349000000002</v>
      </c>
      <c r="CN158" s="130">
        <f t="shared" si="626"/>
        <v>38940</v>
      </c>
      <c r="CO158" s="130">
        <f t="shared" si="627"/>
        <v>-24911.748179999995</v>
      </c>
      <c r="CP158" s="130">
        <f t="shared" si="628"/>
        <v>0</v>
      </c>
      <c r="CQ158" s="130">
        <f t="shared" si="629"/>
        <v>0</v>
      </c>
      <c r="CR158" s="130">
        <f t="shared" si="630"/>
        <v>14028.251820000005</v>
      </c>
      <c r="CS158" s="130" t="s">
        <v>236</v>
      </c>
      <c r="CT158" s="130" t="s">
        <v>236</v>
      </c>
      <c r="CU158" s="145" t="str">
        <f t="shared" si="631"/>
        <v>AABCA7366H</v>
      </c>
      <c r="CV158" s="145" t="str">
        <f t="shared" si="632"/>
        <v>DAKPA5526G</v>
      </c>
    </row>
    <row r="159" spans="2:100" s="152" customFormat="1" ht="11.85" customHeight="1" x14ac:dyDescent="0.25">
      <c r="B159" s="123" t="str">
        <f t="shared" si="633"/>
        <v>Q1</v>
      </c>
      <c r="C159" s="124" t="str">
        <f t="shared" si="634"/>
        <v>Jun-26</v>
      </c>
      <c r="D159" s="125">
        <v>46192</v>
      </c>
      <c r="E159" s="126" t="s">
        <v>687</v>
      </c>
      <c r="F159" s="126" t="s">
        <v>600</v>
      </c>
      <c r="G159" s="126" t="s">
        <v>741</v>
      </c>
      <c r="H159" s="127" t="s">
        <v>742</v>
      </c>
      <c r="I159" s="349">
        <v>46192</v>
      </c>
      <c r="J159" s="350" t="s">
        <v>743</v>
      </c>
      <c r="K159" s="349">
        <v>46199</v>
      </c>
      <c r="L159" s="126" t="s">
        <v>237</v>
      </c>
      <c r="M159" s="126" t="s">
        <v>744</v>
      </c>
      <c r="N159" s="127" t="s">
        <v>604</v>
      </c>
      <c r="O159" s="126">
        <v>83</v>
      </c>
      <c r="P159" s="283">
        <v>1744.7660000000001</v>
      </c>
      <c r="Q159" s="128">
        <f t="shared" si="635"/>
        <v>144815.57800000001</v>
      </c>
      <c r="R159" s="129">
        <v>0</v>
      </c>
      <c r="S159" s="128">
        <f t="shared" si="636"/>
        <v>83</v>
      </c>
      <c r="T159" s="129">
        <v>0</v>
      </c>
      <c r="U159" s="130">
        <v>0</v>
      </c>
      <c r="V159" s="131">
        <v>0</v>
      </c>
      <c r="W159" s="130">
        <v>0</v>
      </c>
      <c r="X159" s="132">
        <v>0</v>
      </c>
      <c r="Y159" s="130">
        <v>0</v>
      </c>
      <c r="Z159" s="130">
        <v>0</v>
      </c>
      <c r="AA159" s="129">
        <v>0</v>
      </c>
      <c r="AB159" s="133">
        <f t="shared" si="601"/>
        <v>0</v>
      </c>
      <c r="AC159" s="132">
        <v>0</v>
      </c>
      <c r="AD159" s="128">
        <v>0</v>
      </c>
      <c r="AE159" s="147">
        <v>0</v>
      </c>
      <c r="AF159" s="130">
        <v>0</v>
      </c>
      <c r="AG159" s="134">
        <v>0</v>
      </c>
      <c r="AH159" s="130">
        <v>0</v>
      </c>
      <c r="AI159" s="131">
        <v>0</v>
      </c>
      <c r="AJ159" s="130">
        <v>0</v>
      </c>
      <c r="AK159" s="130">
        <v>0</v>
      </c>
      <c r="AL159" s="130">
        <v>0</v>
      </c>
      <c r="AM159" s="135">
        <f t="shared" si="602"/>
        <v>144815.57800000001</v>
      </c>
      <c r="AN159" s="136">
        <v>46193</v>
      </c>
      <c r="AO159" s="137" t="s">
        <v>751</v>
      </c>
      <c r="AP159" s="138" t="s">
        <v>356</v>
      </c>
      <c r="AQ159" s="139" t="s">
        <v>357</v>
      </c>
      <c r="AR159" s="139" t="s">
        <v>358</v>
      </c>
      <c r="AS159" s="126" t="s">
        <v>752</v>
      </c>
      <c r="AT159" s="140" t="s">
        <v>360</v>
      </c>
      <c r="AU159" s="140" t="s">
        <v>361</v>
      </c>
      <c r="AV159" s="141" t="s">
        <v>753</v>
      </c>
      <c r="AW159" s="139">
        <v>83</v>
      </c>
      <c r="AX159" s="141">
        <v>1800</v>
      </c>
      <c r="AY159" s="139">
        <f t="shared" si="603"/>
        <v>149400</v>
      </c>
      <c r="AZ159" s="142" t="b">
        <f t="shared" si="604"/>
        <v>1</v>
      </c>
      <c r="BA159" s="128">
        <v>0</v>
      </c>
      <c r="BB159" s="143">
        <f t="shared" si="605"/>
        <v>83</v>
      </c>
      <c r="BC159" s="144">
        <v>0</v>
      </c>
      <c r="BD159" s="143" t="s">
        <v>109</v>
      </c>
      <c r="BE159" s="144">
        <v>0</v>
      </c>
      <c r="BF159" s="143">
        <v>0</v>
      </c>
      <c r="BG159" s="144">
        <v>0</v>
      </c>
      <c r="BH159" s="130">
        <v>0</v>
      </c>
      <c r="BI159" s="133">
        <v>0</v>
      </c>
      <c r="BJ159" s="131">
        <v>0</v>
      </c>
      <c r="BK159" s="128">
        <v>0</v>
      </c>
      <c r="BL159" s="139">
        <v>0</v>
      </c>
      <c r="BM159" s="130">
        <v>0</v>
      </c>
      <c r="BN159" s="145">
        <f t="shared" si="606"/>
        <v>0</v>
      </c>
      <c r="BO159" s="129">
        <f t="shared" si="607"/>
        <v>149400</v>
      </c>
      <c r="BP159" s="135">
        <f t="shared" si="608"/>
        <v>4584.4219999999914</v>
      </c>
      <c r="BQ159" s="144" t="str">
        <f t="shared" si="609"/>
        <v>Positive Margin</v>
      </c>
      <c r="BR159" s="146" t="s">
        <v>209</v>
      </c>
      <c r="BS159" s="128">
        <f t="shared" si="610"/>
        <v>4584.4219999999914</v>
      </c>
      <c r="BT159" s="147" t="str">
        <f t="shared" si="611"/>
        <v>Positive Margin at Inception</v>
      </c>
      <c r="BU159" s="148">
        <f t="shared" si="612"/>
        <v>3.0685555555555497E-2</v>
      </c>
      <c r="BV159" s="147" t="str">
        <f t="shared" si="613"/>
        <v>More than 2%</v>
      </c>
      <c r="BW159" s="128">
        <f t="shared" si="614"/>
        <v>0</v>
      </c>
      <c r="BX159" s="129">
        <f t="shared" si="615"/>
        <v>0</v>
      </c>
      <c r="BY159" s="128">
        <f t="shared" si="616"/>
        <v>0</v>
      </c>
      <c r="BZ159" s="149">
        <f t="shared" si="617"/>
        <v>0</v>
      </c>
      <c r="CA159" s="149">
        <f t="shared" si="618"/>
        <v>0</v>
      </c>
      <c r="CB159" s="130">
        <f t="shared" si="619"/>
        <v>0</v>
      </c>
      <c r="CC159" s="149" t="s">
        <v>282</v>
      </c>
      <c r="CD159" s="130">
        <v>0</v>
      </c>
      <c r="CE159" s="130">
        <f t="shared" si="620"/>
        <v>144815.57800000001</v>
      </c>
      <c r="CF159" s="130">
        <f t="shared" si="621"/>
        <v>149400</v>
      </c>
      <c r="CG159" s="130">
        <f t="shared" si="622"/>
        <v>12</v>
      </c>
      <c r="CH159" s="150">
        <v>0</v>
      </c>
      <c r="CI159" s="130">
        <v>0</v>
      </c>
      <c r="CJ159" s="130" t="e">
        <f>_xlfn.XLOOKUP(AP159,POC!B:B,POC!D:D)</f>
        <v>#N/A</v>
      </c>
      <c r="CK159" s="130">
        <f t="shared" si="623"/>
        <v>4584.4219999999914</v>
      </c>
      <c r="CL159" s="130">
        <f t="shared" si="624"/>
        <v>4584.4219999999914</v>
      </c>
      <c r="CM159" s="130">
        <f t="shared" si="625"/>
        <v>4584.4219999999914</v>
      </c>
      <c r="CN159" s="130">
        <f t="shared" si="626"/>
        <v>176292</v>
      </c>
      <c r="CO159" s="130">
        <f t="shared" si="627"/>
        <v>-170882.38204</v>
      </c>
      <c r="CP159" s="130">
        <f t="shared" si="628"/>
        <v>0</v>
      </c>
      <c r="CQ159" s="130">
        <f t="shared" si="629"/>
        <v>0</v>
      </c>
      <c r="CR159" s="130">
        <f t="shared" si="630"/>
        <v>5409.6179600000032</v>
      </c>
      <c r="CS159" s="130" t="s">
        <v>236</v>
      </c>
      <c r="CT159" s="130" t="s">
        <v>236</v>
      </c>
      <c r="CU159" s="145" t="str">
        <f t="shared" si="631"/>
        <v>AABCA7366H</v>
      </c>
      <c r="CV159" s="145" t="str">
        <f t="shared" si="632"/>
        <v>DAKPA5526G</v>
      </c>
    </row>
    <row r="160" spans="2:100" s="152" customFormat="1" ht="11.85" customHeight="1" thickBot="1" x14ac:dyDescent="0.3">
      <c r="B160" s="123"/>
      <c r="C160" s="124"/>
      <c r="D160" s="125"/>
      <c r="E160" s="126"/>
      <c r="F160" s="126"/>
      <c r="G160" s="126"/>
      <c r="H160" s="127"/>
      <c r="I160" s="153"/>
      <c r="J160" s="154"/>
      <c r="K160" s="153"/>
      <c r="L160" s="154"/>
      <c r="M160" s="126"/>
      <c r="N160" s="127"/>
      <c r="O160" s="126"/>
      <c r="P160" s="127"/>
      <c r="Q160" s="128"/>
      <c r="R160" s="129"/>
      <c r="S160" s="128"/>
      <c r="T160" s="129"/>
      <c r="U160" s="130"/>
      <c r="V160" s="131"/>
      <c r="W160" s="130"/>
      <c r="X160" s="132"/>
      <c r="Y160" s="130"/>
      <c r="Z160" s="130"/>
      <c r="AA160" s="129"/>
      <c r="AB160" s="128"/>
      <c r="AC160" s="129"/>
      <c r="AD160" s="313"/>
      <c r="AE160" s="147"/>
      <c r="AF160" s="130"/>
      <c r="AG160" s="130"/>
      <c r="AH160" s="130"/>
      <c r="AI160" s="131"/>
      <c r="AJ160" s="130"/>
      <c r="AK160" s="130"/>
      <c r="AL160" s="130"/>
      <c r="AM160" s="135"/>
      <c r="AN160" s="136"/>
      <c r="AO160" s="137"/>
      <c r="AP160" s="138"/>
      <c r="AQ160" s="155"/>
      <c r="AR160" s="139"/>
      <c r="AS160" s="126"/>
      <c r="AT160" s="140"/>
      <c r="AU160" s="140"/>
      <c r="AV160" s="141"/>
      <c r="AW160" s="139"/>
      <c r="AX160" s="141"/>
      <c r="AY160" s="139"/>
      <c r="AZ160" s="142"/>
      <c r="BA160" s="128"/>
      <c r="BB160" s="143"/>
      <c r="BC160" s="144"/>
      <c r="BD160" s="143"/>
      <c r="BE160" s="144"/>
      <c r="BF160" s="143"/>
      <c r="BG160" s="144"/>
      <c r="BH160" s="130"/>
      <c r="BI160" s="133"/>
      <c r="BJ160" s="131"/>
      <c r="BK160" s="128"/>
      <c r="BL160" s="139"/>
      <c r="BM160" s="155"/>
      <c r="BN160" s="156"/>
      <c r="BO160" s="129"/>
      <c r="BP160" s="135"/>
      <c r="BQ160" s="144"/>
      <c r="BR160" s="146"/>
      <c r="BS160" s="128"/>
      <c r="BT160" s="147"/>
      <c r="BU160" s="148"/>
      <c r="BV160" s="147"/>
      <c r="BW160" s="128"/>
      <c r="BX160" s="129"/>
      <c r="BY160" s="128"/>
      <c r="BZ160" s="149"/>
      <c r="CA160" s="149"/>
      <c r="CB160" s="130"/>
      <c r="CC160" s="149"/>
      <c r="CD160" s="130"/>
      <c r="CE160" s="130"/>
      <c r="CF160" s="130"/>
      <c r="CG160" s="130"/>
      <c r="CH160" s="150"/>
      <c r="CI160" s="130"/>
      <c r="CJ160" s="130"/>
      <c r="CK160" s="130"/>
      <c r="CL160" s="130"/>
      <c r="CM160" s="130"/>
      <c r="CN160" s="130"/>
      <c r="CO160" s="130"/>
      <c r="CP160" s="130"/>
      <c r="CQ160" s="130"/>
      <c r="CR160" s="130"/>
      <c r="CS160" s="130"/>
      <c r="CT160" s="130"/>
      <c r="CU160" s="145"/>
      <c r="CV160" s="145"/>
    </row>
    <row r="161" spans="2:100" s="168" customFormat="1" ht="12.6" thickBot="1" x14ac:dyDescent="0.3">
      <c r="B161" s="157"/>
      <c r="C161" s="158"/>
      <c r="D161" s="158"/>
      <c r="E161" s="158"/>
      <c r="F161" s="159" t="s">
        <v>56</v>
      </c>
      <c r="G161" s="158"/>
      <c r="H161" s="158"/>
      <c r="I161" s="160"/>
      <c r="J161" s="158"/>
      <c r="K161" s="160"/>
      <c r="L161" s="159"/>
      <c r="M161" s="161"/>
      <c r="N161" s="162"/>
      <c r="O161" s="163">
        <f>SUBTOTAL(9,O5:O160)</f>
        <v>10827.81</v>
      </c>
      <c r="P161" s="164"/>
      <c r="Q161" s="163">
        <f>SUBTOTAL(9,Q5:Q160)</f>
        <v>5604766.0369999986</v>
      </c>
      <c r="R161" s="163"/>
      <c r="S161" s="163">
        <f>SUBTOTAL(9,S5:S160)</f>
        <v>10827.81</v>
      </c>
      <c r="T161" s="163">
        <f>SUBTOTAL(9,T5:T160)</f>
        <v>0</v>
      </c>
      <c r="U161" s="165"/>
      <c r="V161" s="165"/>
      <c r="W161" s="166"/>
      <c r="X161" s="166"/>
      <c r="Y161" s="163">
        <f>SUBTOTAL(9,Y5:Y160)</f>
        <v>0</v>
      </c>
      <c r="Z161" s="163">
        <f>SUBTOTAL(9,Z5:Z160)</f>
        <v>0</v>
      </c>
      <c r="AA161" s="163">
        <f>SUBTOTAL(9,AA5:AA160)</f>
        <v>0</v>
      </c>
      <c r="AB161" s="163">
        <f>SUBTOTAL(9,AB5:AB160)</f>
        <v>0</v>
      </c>
      <c r="AC161" s="163">
        <f>SUBTOTAL(9,AC5:AC160)</f>
        <v>0</v>
      </c>
      <c r="AD161" s="163">
        <f>SUBTOTAL(1,AD5:AD160)</f>
        <v>0</v>
      </c>
      <c r="AE161" s="163">
        <f>SUBTOTAL(9,AE5:AE160)</f>
        <v>0</v>
      </c>
      <c r="AF161" s="158"/>
      <c r="AG161" s="158"/>
      <c r="AH161" s="167"/>
      <c r="AI161" s="167"/>
      <c r="AJ161" s="163">
        <f>SUBTOTAL(9,AJ5:AJ160)</f>
        <v>0</v>
      </c>
      <c r="AK161" s="163">
        <f>SUBTOTAL(9,AK5:AK160)</f>
        <v>0</v>
      </c>
      <c r="AL161" s="163">
        <f>SUBTOTAL(9,AL5:AL160)</f>
        <v>0</v>
      </c>
      <c r="AM161" s="163">
        <f>SUBTOTAL(9,AM5:AM160)</f>
        <v>5604766.0369999986</v>
      </c>
      <c r="AN161" s="164"/>
      <c r="AO161" s="164"/>
      <c r="AP161" s="164"/>
      <c r="AQ161" s="163"/>
      <c r="AR161" s="163"/>
      <c r="AS161" s="161"/>
      <c r="AT161" s="163"/>
      <c r="AU161" s="163"/>
      <c r="AV161" s="164"/>
      <c r="AW161" s="163">
        <f>SUBTOTAL(9,AW5:AW160)</f>
        <v>11328.81</v>
      </c>
      <c r="AX161" s="163">
        <f>SUBTOTAL(101,AX5:AX160)</f>
        <v>9463.56398064516</v>
      </c>
      <c r="AY161" s="163">
        <f>SUBTOTAL(9,AY5:AY160)</f>
        <v>6660989.7383999992</v>
      </c>
      <c r="AZ161" s="163"/>
      <c r="BA161" s="163">
        <f>SUBTOTAL(9,BA5:BA160)</f>
        <v>0</v>
      </c>
      <c r="BB161" s="163">
        <f>SUBTOTAL(9,BB5:BB160)</f>
        <v>11328.81</v>
      </c>
      <c r="BC161" s="163">
        <f>SUBTOTAL(9,BC5:BC160)</f>
        <v>0</v>
      </c>
      <c r="BD161" s="163"/>
      <c r="BE161" s="163"/>
      <c r="BF161" s="163"/>
      <c r="BG161" s="163">
        <f>SUBTOTAL(9,BG5:BG160)</f>
        <v>0</v>
      </c>
      <c r="BH161" s="164"/>
      <c r="BI161" s="164"/>
      <c r="BJ161" s="164"/>
      <c r="BK161" s="164"/>
      <c r="BL161" s="163">
        <f>SUBTOTAL(9,BL5:BL160)</f>
        <v>0</v>
      </c>
      <c r="BM161" s="163">
        <f>SUBTOTAL(9,BM5:BM160)</f>
        <v>0</v>
      </c>
      <c r="BN161" s="163">
        <f>SUBTOTAL(9,BN5:BN160)</f>
        <v>0</v>
      </c>
      <c r="BO161" s="163">
        <f>SUBTOTAL(9,BO5:BO160)</f>
        <v>6660989.7383999992</v>
      </c>
      <c r="BP161" s="163">
        <f>SUBTOTAL(9,BP5:BP160)</f>
        <v>1056223.7013999987</v>
      </c>
      <c r="BQ161" s="163"/>
      <c r="BR161" s="163"/>
      <c r="BS161" s="163">
        <f>SUBTOTAL(9,BS5:BS160)</f>
        <v>1056223.7013999987</v>
      </c>
      <c r="BT161" s="163"/>
      <c r="BU161" s="163"/>
      <c r="BV161" s="158"/>
      <c r="BW161" s="163">
        <f t="shared" ref="BW161:CV161" si="637">SUBTOTAL(9,BW1:BW160)</f>
        <v>0</v>
      </c>
      <c r="BX161" s="163">
        <f t="shared" si="637"/>
        <v>0</v>
      </c>
      <c r="BY161" s="163">
        <f t="shared" si="637"/>
        <v>0</v>
      </c>
      <c r="BZ161" s="163">
        <f t="shared" si="637"/>
        <v>0</v>
      </c>
      <c r="CA161" s="163">
        <f t="shared" si="637"/>
        <v>0</v>
      </c>
      <c r="CB161" s="163">
        <f t="shared" si="637"/>
        <v>0</v>
      </c>
      <c r="CC161" s="163">
        <f t="shared" si="637"/>
        <v>0</v>
      </c>
      <c r="CD161" s="163">
        <f t="shared" si="637"/>
        <v>0</v>
      </c>
      <c r="CE161" s="163">
        <f t="shared" si="637"/>
        <v>5604766.0369999986</v>
      </c>
      <c r="CF161" s="163">
        <f t="shared" si="637"/>
        <v>6660989.7383999992</v>
      </c>
      <c r="CG161" s="163">
        <f t="shared" si="637"/>
        <v>991</v>
      </c>
      <c r="CH161" s="163">
        <f t="shared" si="637"/>
        <v>0</v>
      </c>
      <c r="CI161" s="163">
        <f t="shared" si="637"/>
        <v>0</v>
      </c>
      <c r="CJ161" s="163" t="e">
        <f t="shared" si="637"/>
        <v>#N/A</v>
      </c>
      <c r="CK161" s="163">
        <f t="shared" si="637"/>
        <v>1056223.7013999987</v>
      </c>
      <c r="CL161" s="163">
        <f t="shared" si="637"/>
        <v>1056223.7013999987</v>
      </c>
      <c r="CM161" s="163">
        <f t="shared" si="637"/>
        <v>1056223.7013999987</v>
      </c>
      <c r="CN161" s="163">
        <f t="shared" si="637"/>
        <v>7859967.8913120003</v>
      </c>
      <c r="CO161" s="163">
        <f t="shared" si="637"/>
        <v>-6613623.923659998</v>
      </c>
      <c r="CP161" s="163">
        <f t="shared" si="637"/>
        <v>0</v>
      </c>
      <c r="CQ161" s="163">
        <f t="shared" si="637"/>
        <v>0</v>
      </c>
      <c r="CR161" s="163">
        <f t="shared" si="637"/>
        <v>1246343.9676519996</v>
      </c>
      <c r="CS161" s="163">
        <f t="shared" si="637"/>
        <v>0</v>
      </c>
      <c r="CT161" s="163">
        <f t="shared" si="637"/>
        <v>0</v>
      </c>
      <c r="CU161" s="163">
        <f t="shared" si="637"/>
        <v>0</v>
      </c>
      <c r="CV161" s="337">
        <f t="shared" si="637"/>
        <v>0</v>
      </c>
    </row>
    <row r="162" spans="2:100" s="169" customFormat="1" ht="12.6" thickBot="1" x14ac:dyDescent="0.3">
      <c r="D162" s="152"/>
      <c r="E162" s="170"/>
      <c r="F162" s="171"/>
      <c r="G162" s="170"/>
      <c r="H162" s="170"/>
      <c r="I162" s="172"/>
      <c r="J162" s="152"/>
      <c r="K162" s="172"/>
      <c r="L162" s="173"/>
      <c r="M162" s="173"/>
      <c r="N162" s="174">
        <f>(O161-AW161)+'Recon Items'!Q26</f>
        <v>-100</v>
      </c>
      <c r="O162" s="175"/>
      <c r="P162" s="176">
        <f>Q161+AK161+AJ161+AL161+T161+AE161</f>
        <v>5604766.0369999986</v>
      </c>
      <c r="Q162" s="177"/>
      <c r="R162" s="177"/>
      <c r="S162" s="177"/>
      <c r="T162" s="177"/>
      <c r="U162" s="173"/>
      <c r="V162" s="151"/>
      <c r="W162" s="151"/>
      <c r="X162" s="171"/>
      <c r="Y162" s="177"/>
      <c r="Z162" s="177"/>
      <c r="AA162" s="177">
        <f>AB161/AY161</f>
        <v>0</v>
      </c>
      <c r="AB162" s="177"/>
      <c r="AC162" s="177"/>
      <c r="AD162" s="178"/>
      <c r="AE162" s="178"/>
      <c r="AF162" s="179"/>
      <c r="AG162" s="179"/>
      <c r="AH162" s="171"/>
      <c r="AI162" s="177"/>
      <c r="AJ162" s="177"/>
      <c r="AK162" s="177"/>
      <c r="AL162" s="152"/>
      <c r="AM162" s="178"/>
      <c r="AN162" s="152"/>
      <c r="AO162" s="152"/>
      <c r="AP162" s="152"/>
      <c r="AQ162" s="152"/>
      <c r="AR162" s="180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81">
        <f>BK163/AY161</f>
        <v>0</v>
      </c>
      <c r="BL162" s="181"/>
      <c r="BM162" s="152"/>
      <c r="BN162" s="182">
        <f>BP161/BO161</f>
        <v>0.15856858258029813</v>
      </c>
      <c r="BO162" s="177"/>
      <c r="BP162" s="152"/>
      <c r="BQ162" s="171"/>
      <c r="BR162" s="183">
        <f>BS161/AY161</f>
        <v>0.15856858258029813</v>
      </c>
      <c r="BS162" s="177"/>
      <c r="BV162" s="152"/>
      <c r="BW162" s="177"/>
      <c r="BX162" s="216" t="e">
        <f>BX161/BW161</f>
        <v>#DIV/0!</v>
      </c>
      <c r="BY162" s="152"/>
      <c r="BZ162" s="152"/>
      <c r="CA162" s="217">
        <f>IFERROR(CA161/BZ161,0)</f>
        <v>0</v>
      </c>
      <c r="CB162" s="170"/>
      <c r="CC162" s="185"/>
      <c r="CD162" s="185" t="s">
        <v>171</v>
      </c>
      <c r="CE162" s="218">
        <f>CF161*118%</f>
        <v>7859967.8913119985</v>
      </c>
      <c r="CG162" s="171"/>
      <c r="CV162" s="152"/>
    </row>
    <row r="163" spans="2:100" s="169" customFormat="1" ht="12" x14ac:dyDescent="0.25">
      <c r="D163" s="170"/>
      <c r="E163" s="170"/>
      <c r="F163" s="171"/>
      <c r="G163" s="170"/>
      <c r="H163" s="170"/>
      <c r="I163" s="172"/>
      <c r="J163" s="152"/>
      <c r="K163" s="172"/>
      <c r="L163" s="173"/>
      <c r="M163" s="171"/>
      <c r="N163" s="175"/>
      <c r="O163" s="175"/>
      <c r="P163" s="176"/>
      <c r="Q163" s="177"/>
      <c r="R163" s="177"/>
      <c r="S163" s="177"/>
      <c r="T163" s="177"/>
      <c r="U163" s="173"/>
      <c r="V163" s="151"/>
      <c r="W163" s="151"/>
      <c r="X163" s="171"/>
      <c r="Y163" s="177"/>
      <c r="Z163" s="177"/>
      <c r="AA163" s="152"/>
      <c r="AB163" s="152"/>
      <c r="AC163" s="186">
        <f>+AL161+AK161</f>
        <v>0</v>
      </c>
      <c r="AD163" s="178"/>
      <c r="AE163" s="178"/>
      <c r="AF163" s="179"/>
      <c r="AG163" s="179"/>
      <c r="AH163" s="171"/>
      <c r="AI163" s="177"/>
      <c r="AJ163" s="187"/>
      <c r="AK163" s="187"/>
      <c r="AL163" s="152"/>
      <c r="AM163" s="178"/>
      <c r="AN163" s="152"/>
      <c r="AO163" s="152"/>
      <c r="AP163" s="152"/>
      <c r="AQ163" s="152"/>
      <c r="AR163" s="188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85" t="s">
        <v>202</v>
      </c>
      <c r="BK163" s="185">
        <f>BL161+BM161+BC161</f>
        <v>0</v>
      </c>
      <c r="BL163" s="189"/>
      <c r="BM163" s="190"/>
      <c r="BN163" s="177"/>
      <c r="BO163" s="177"/>
      <c r="BP163" s="152"/>
      <c r="BQ163" s="171"/>
      <c r="BR163" s="191"/>
      <c r="BS163" s="177"/>
      <c r="BV163" s="152"/>
      <c r="BW163" s="177"/>
      <c r="BX163" s="171"/>
      <c r="BY163" s="152"/>
      <c r="BZ163" s="152"/>
      <c r="CA163" s="152"/>
      <c r="CB163" s="170"/>
      <c r="CC163" s="152"/>
      <c r="CD163" s="152"/>
      <c r="CG163" s="171"/>
    </row>
    <row r="164" spans="2:100" s="152" customFormat="1" ht="12.6" thickBot="1" x14ac:dyDescent="0.3">
      <c r="E164" s="170"/>
      <c r="F164" s="171"/>
      <c r="H164" s="171"/>
      <c r="I164" s="192"/>
      <c r="J164" s="178"/>
      <c r="K164" s="192"/>
      <c r="L164" s="173"/>
      <c r="M164" s="171"/>
      <c r="N164" s="179"/>
      <c r="O164" s="179"/>
      <c r="P164" s="178"/>
      <c r="Q164" s="177"/>
      <c r="R164" s="177"/>
      <c r="S164" s="177"/>
      <c r="T164" s="177"/>
      <c r="U164" s="173"/>
      <c r="V164" s="151"/>
      <c r="W164" s="151"/>
      <c r="X164" s="171"/>
      <c r="AD164" s="178"/>
      <c r="AE164" s="178"/>
      <c r="AF164" s="179"/>
      <c r="AG164" s="179"/>
      <c r="AH164" s="171"/>
      <c r="AJ164" s="152">
        <f>AK161+AJ161</f>
        <v>0</v>
      </c>
      <c r="AK164" s="185" t="s">
        <v>155</v>
      </c>
      <c r="AM164" s="178"/>
      <c r="AR164" s="188"/>
      <c r="BJ164" s="185" t="s">
        <v>203</v>
      </c>
      <c r="BK164" s="152">
        <f>-'Last year''s'!L56</f>
        <v>0</v>
      </c>
      <c r="BL164" s="179"/>
      <c r="BO164" s="181"/>
      <c r="BQ164" s="171"/>
      <c r="BR164" s="191"/>
      <c r="BX164" s="171"/>
      <c r="CB164" s="170"/>
      <c r="CG164" s="171"/>
    </row>
    <row r="165" spans="2:100" s="169" customFormat="1" ht="15" customHeight="1" thickBot="1" x14ac:dyDescent="0.3">
      <c r="N165" s="193" t="s">
        <v>81</v>
      </c>
      <c r="O165" s="194" t="s">
        <v>50</v>
      </c>
      <c r="P165" s="195"/>
      <c r="Q165" s="177"/>
      <c r="R165" s="177"/>
      <c r="S165" s="177"/>
      <c r="T165" s="177"/>
      <c r="U165" s="173"/>
      <c r="V165" s="151"/>
      <c r="W165" s="151"/>
      <c r="AA165" s="360" t="s">
        <v>81</v>
      </c>
      <c r="AB165" s="361"/>
      <c r="AC165" s="196" t="s">
        <v>50</v>
      </c>
      <c r="AD165" s="152"/>
      <c r="AE165" s="152"/>
      <c r="AF165" s="179"/>
      <c r="AG165" s="179"/>
      <c r="AH165" s="171"/>
      <c r="AI165" s="152"/>
      <c r="AJ165" s="178">
        <f>-'Last year''s'!F54</f>
        <v>0</v>
      </c>
      <c r="AK165" s="185" t="s">
        <v>164</v>
      </c>
      <c r="AL165" s="152"/>
      <c r="AM165" s="152"/>
      <c r="AN165" s="152"/>
      <c r="AO165" s="152"/>
      <c r="AP165" s="152"/>
      <c r="AQ165" s="152"/>
      <c r="AR165" s="303" t="s">
        <v>81</v>
      </c>
      <c r="AS165" s="197" t="s">
        <v>50</v>
      </c>
      <c r="AT165" s="198"/>
      <c r="BM165" s="152"/>
    </row>
    <row r="166" spans="2:100" s="169" customFormat="1" ht="12.6" customHeight="1" x14ac:dyDescent="0.25">
      <c r="N166" s="199" t="s">
        <v>58</v>
      </c>
      <c r="O166" s="200">
        <f>Q161+AJ161+AK161+T161</f>
        <v>5604766.0369999986</v>
      </c>
      <c r="P166" s="152"/>
      <c r="Q166" s="177"/>
      <c r="R166" s="177"/>
      <c r="S166" s="177"/>
      <c r="T166" s="177"/>
      <c r="U166" s="173"/>
      <c r="V166" s="151"/>
      <c r="W166" s="151"/>
      <c r="AA166" s="362" t="s">
        <v>80</v>
      </c>
      <c r="AB166" s="363"/>
      <c r="AC166" s="201">
        <f>Y161+Z161</f>
        <v>0</v>
      </c>
      <c r="AD166" s="195"/>
      <c r="AE166" s="195"/>
      <c r="AF166" s="179"/>
      <c r="AG166" s="179"/>
      <c r="AH166" s="171"/>
      <c r="AI166" s="152"/>
      <c r="AJ166" s="178"/>
      <c r="AK166" s="187"/>
      <c r="AL166" s="152">
        <f>AM161-AL161</f>
        <v>5604766.0369999986</v>
      </c>
      <c r="AM166" s="152"/>
      <c r="AN166" s="152"/>
      <c r="AO166" s="152"/>
      <c r="AP166" s="152"/>
      <c r="AQ166" s="152"/>
      <c r="AR166" s="219" t="s">
        <v>57</v>
      </c>
      <c r="AS166" s="202">
        <f>+AY161+BL161+BM161+BC161+BG161</f>
        <v>6660989.7383999992</v>
      </c>
      <c r="AT166" s="203"/>
      <c r="BM166" s="152"/>
    </row>
    <row r="167" spans="2:100" s="169" customFormat="1" ht="11.4" customHeight="1" x14ac:dyDescent="0.25">
      <c r="N167" s="199" t="s">
        <v>82</v>
      </c>
      <c r="O167" s="200">
        <v>5604766.0499999998</v>
      </c>
      <c r="P167" s="204">
        <v>46203</v>
      </c>
      <c r="Q167" s="177"/>
      <c r="S167" s="177"/>
      <c r="T167" s="177"/>
      <c r="U167" s="173"/>
      <c r="V167" s="151"/>
      <c r="W167" s="151"/>
      <c r="AA167" s="362" t="s">
        <v>59</v>
      </c>
      <c r="AB167" s="363"/>
      <c r="AC167" s="205">
        <v>0</v>
      </c>
      <c r="AD167" s="204">
        <f>P167</f>
        <v>46203</v>
      </c>
      <c r="AF167" s="179"/>
      <c r="AG167" s="179"/>
      <c r="AH167" s="171"/>
      <c r="AI167" s="152"/>
      <c r="AJ167" s="178"/>
      <c r="AK167" s="187"/>
      <c r="AL167" s="152"/>
      <c r="AM167" s="152"/>
      <c r="AN167" s="152"/>
      <c r="AO167" s="152"/>
      <c r="AP167" s="152"/>
      <c r="AQ167" s="152"/>
      <c r="AR167" s="219" t="s">
        <v>59</v>
      </c>
      <c r="AS167" s="206">
        <v>6660989.7400000002</v>
      </c>
      <c r="AT167" s="204">
        <f>P167</f>
        <v>46203</v>
      </c>
    </row>
    <row r="168" spans="2:100" s="169" customFormat="1" ht="11.4" customHeight="1" x14ac:dyDescent="0.25">
      <c r="N168" s="199" t="s">
        <v>60</v>
      </c>
      <c r="O168" s="207">
        <f>O167-O166</f>
        <v>1.3000001199543476E-2</v>
      </c>
      <c r="P168" s="152"/>
      <c r="Q168" s="177"/>
      <c r="S168" s="177"/>
      <c r="T168" s="177"/>
      <c r="U168" s="173"/>
      <c r="V168" s="151"/>
      <c r="W168" s="151"/>
      <c r="AA168" s="362" t="s">
        <v>60</v>
      </c>
      <c r="AB168" s="363"/>
      <c r="AC168" s="208">
        <f>AC167-AC166</f>
        <v>0</v>
      </c>
      <c r="AD168" s="195"/>
      <c r="AE168" s="195"/>
      <c r="AF168" s="179"/>
      <c r="AG168" s="179"/>
      <c r="AH168" s="171"/>
      <c r="AI168" s="152"/>
      <c r="AJ168" s="178"/>
      <c r="AK168" s="152"/>
      <c r="AL168" s="152"/>
      <c r="AM168" s="152"/>
      <c r="AN168" s="152"/>
      <c r="AO168" s="152"/>
      <c r="AP168" s="152"/>
      <c r="AQ168" s="152"/>
      <c r="AR168" s="219" t="s">
        <v>60</v>
      </c>
      <c r="AS168" s="207">
        <f>AS166-AS167</f>
        <v>-1.6000010073184967E-3</v>
      </c>
      <c r="AT168" s="189"/>
    </row>
    <row r="169" spans="2:100" s="169" customFormat="1" ht="12" x14ac:dyDescent="0.25">
      <c r="N169" s="199" t="s">
        <v>303</v>
      </c>
      <c r="O169" s="202">
        <v>0</v>
      </c>
      <c r="P169" s="184"/>
      <c r="Q169" s="177"/>
      <c r="S169" s="177"/>
      <c r="T169" s="177"/>
      <c r="U169" s="173"/>
      <c r="V169" s="151"/>
      <c r="W169" s="151"/>
      <c r="AA169" s="362" t="s">
        <v>190</v>
      </c>
      <c r="AB169" s="363"/>
      <c r="AC169" s="209">
        <v>0</v>
      </c>
      <c r="AD169" s="195"/>
      <c r="AE169" s="195"/>
      <c r="AF169" s="179"/>
      <c r="AG169" s="179"/>
      <c r="AH169" s="171"/>
      <c r="AI169" s="152"/>
      <c r="AJ169" s="178"/>
      <c r="AK169" s="152"/>
      <c r="AL169" s="152"/>
      <c r="AM169" s="152"/>
      <c r="AN169" s="152"/>
      <c r="AO169" s="152"/>
      <c r="AP169" s="152"/>
      <c r="AQ169" s="152"/>
      <c r="AR169" s="219" t="s">
        <v>306</v>
      </c>
      <c r="AS169" s="202">
        <v>0</v>
      </c>
      <c r="AT169" s="189"/>
    </row>
    <row r="170" spans="2:100" s="169" customFormat="1" ht="12" x14ac:dyDescent="0.25">
      <c r="N170" s="199" t="s">
        <v>177</v>
      </c>
      <c r="O170" s="202">
        <v>0</v>
      </c>
      <c r="P170" s="210"/>
      <c r="Q170" s="177"/>
      <c r="S170" s="177"/>
      <c r="T170" s="177"/>
      <c r="U170" s="173"/>
      <c r="V170" s="151"/>
      <c r="W170" s="151"/>
      <c r="AA170" s="362" t="s">
        <v>305</v>
      </c>
      <c r="AB170" s="363"/>
      <c r="AC170" s="209">
        <f>'Last year''s'!R38</f>
        <v>0</v>
      </c>
      <c r="AD170" s="195"/>
      <c r="AE170" s="195"/>
      <c r="AF170" s="179"/>
      <c r="AG170" s="179"/>
      <c r="AH170" s="152"/>
      <c r="AI170" s="152"/>
      <c r="AJ170" s="211"/>
      <c r="AK170" s="152"/>
      <c r="AL170" s="152"/>
      <c r="AM170" s="152"/>
      <c r="AN170" s="152"/>
      <c r="AO170" s="152"/>
      <c r="AP170" s="152"/>
      <c r="AQ170" s="152"/>
      <c r="AR170" s="219" t="s">
        <v>307</v>
      </c>
      <c r="AS170" s="202">
        <f>-'Last year''s'!L56</f>
        <v>0</v>
      </c>
      <c r="AT170" s="203"/>
    </row>
    <row r="171" spans="2:100" s="169" customFormat="1" ht="12.6" thickBot="1" x14ac:dyDescent="0.3">
      <c r="N171" s="199" t="s">
        <v>304</v>
      </c>
      <c r="O171" s="202">
        <f>'Last year''s'!F54</f>
        <v>0</v>
      </c>
      <c r="P171" s="185"/>
      <c r="Q171" s="177"/>
      <c r="S171" s="177"/>
      <c r="T171" s="177"/>
      <c r="U171" s="173"/>
      <c r="V171" s="151"/>
      <c r="W171" s="151"/>
      <c r="AA171" s="362"/>
      <c r="AB171" s="363"/>
      <c r="AC171" s="209"/>
      <c r="AD171" s="203"/>
      <c r="AE171" s="203"/>
      <c r="AF171" s="179"/>
      <c r="AG171" s="179"/>
      <c r="AH171" s="152"/>
      <c r="AI171" s="152"/>
      <c r="AJ171" s="211"/>
      <c r="AK171" s="152"/>
      <c r="AL171" s="152"/>
      <c r="AM171" s="152"/>
      <c r="AN171" s="152"/>
      <c r="AO171" s="152"/>
      <c r="AP171" s="152"/>
      <c r="AQ171" s="152"/>
      <c r="AR171" s="219" t="s">
        <v>77</v>
      </c>
      <c r="AS171" s="202">
        <f>-'Recon Items'!C29+'Recon Items'!F29+'Recon Items'!Q8</f>
        <v>0</v>
      </c>
      <c r="AT171" s="203"/>
    </row>
    <row r="172" spans="2:100" s="169" customFormat="1" ht="12.6" thickBot="1" x14ac:dyDescent="0.3">
      <c r="N172" s="199" t="s">
        <v>77</v>
      </c>
      <c r="O172" s="202">
        <f>'Recon Items'!F18-'Recon Items'!C18-'Recon Items'!M18</f>
        <v>0</v>
      </c>
      <c r="P172" s="190"/>
      <c r="Q172" s="177"/>
      <c r="S172" s="177"/>
      <c r="T172" s="177"/>
      <c r="U172" s="173"/>
      <c r="V172" s="151"/>
      <c r="W172" s="151"/>
      <c r="AA172" s="358" t="s">
        <v>156</v>
      </c>
      <c r="AB172" s="359"/>
      <c r="AC172" s="212"/>
      <c r="AD172" s="177"/>
      <c r="AE172" s="177"/>
      <c r="AF172" s="179"/>
      <c r="AG172" s="179"/>
      <c r="AH172" s="152"/>
      <c r="AI172" s="152"/>
      <c r="AJ172" s="211"/>
      <c r="AK172" s="152"/>
      <c r="AL172" s="152"/>
      <c r="AM172" s="152"/>
      <c r="AN172" s="152"/>
      <c r="AO172" s="152"/>
      <c r="AP172" s="152"/>
      <c r="AQ172" s="152"/>
      <c r="AR172" s="303" t="s">
        <v>71</v>
      </c>
      <c r="AS172" s="215">
        <f>AS168+AS170+AS171+AS169</f>
        <v>-1.6000010073184967E-3</v>
      </c>
      <c r="AT172" s="189"/>
    </row>
    <row r="173" spans="2:100" s="169" customFormat="1" ht="15" customHeight="1" thickBot="1" x14ac:dyDescent="0.3">
      <c r="N173" s="213" t="s">
        <v>60</v>
      </c>
      <c r="O173" s="214">
        <f>O168+O171-O172-O169-O170</f>
        <v>1.3000001199543476E-2</v>
      </c>
      <c r="Q173" s="177"/>
      <c r="S173" s="177"/>
      <c r="T173" s="177"/>
      <c r="U173" s="173"/>
      <c r="V173" s="151"/>
      <c r="W173" s="151"/>
      <c r="AA173" s="213" t="s">
        <v>60</v>
      </c>
      <c r="AB173" s="159"/>
      <c r="AC173" s="214">
        <f>-AC168+AC169+AC170</f>
        <v>0</v>
      </c>
      <c r="AD173" s="190"/>
      <c r="AE173" s="190"/>
      <c r="AF173" s="179"/>
      <c r="AG173" s="179"/>
      <c r="AH173" s="152"/>
      <c r="AI173" s="152"/>
      <c r="AJ173" s="176"/>
      <c r="AK173" s="152"/>
      <c r="AL173" s="152"/>
      <c r="AM173" s="152"/>
      <c r="AN173" s="152"/>
      <c r="AO173" s="152"/>
      <c r="AP173" s="152"/>
      <c r="AQ173" s="152"/>
      <c r="AR173" s="188"/>
      <c r="AS173" s="152"/>
      <c r="AT173" s="152"/>
      <c r="AU173" s="152"/>
      <c r="AV173" s="152"/>
    </row>
    <row r="174" spans="2:100" s="152" customFormat="1" ht="12" x14ac:dyDescent="0.25">
      <c r="E174" s="170"/>
      <c r="F174" s="171"/>
      <c r="H174" s="171"/>
      <c r="I174" s="192"/>
      <c r="J174" s="178"/>
      <c r="K174" s="192"/>
      <c r="L174" s="173"/>
      <c r="M174" s="171"/>
      <c r="N174" s="179"/>
      <c r="O174" s="179"/>
      <c r="P174" s="178"/>
      <c r="Q174" s="177"/>
      <c r="U174" s="173"/>
      <c r="V174" s="151"/>
      <c r="W174" s="151"/>
      <c r="X174" s="171"/>
      <c r="AD174" s="178"/>
      <c r="AE174" s="178"/>
      <c r="AF174" s="179"/>
      <c r="AG174" s="179"/>
      <c r="AH174" s="171"/>
      <c r="AM174" s="178"/>
      <c r="AR174" s="188"/>
      <c r="BL174" s="179"/>
      <c r="BQ174" s="171"/>
      <c r="BR174" s="191"/>
      <c r="BX174" s="171"/>
      <c r="CB174" s="170"/>
      <c r="CG174" s="171"/>
    </row>
    <row r="175" spans="2:100" s="152" customFormat="1" ht="12" x14ac:dyDescent="0.25">
      <c r="E175" s="170"/>
      <c r="F175" s="171"/>
      <c r="H175" s="171"/>
      <c r="I175" s="192"/>
      <c r="J175" s="178"/>
      <c r="K175" s="192"/>
      <c r="L175" s="173"/>
      <c r="M175" s="171"/>
      <c r="N175" s="179"/>
      <c r="O175" s="179"/>
      <c r="P175" s="178"/>
      <c r="Q175" s="177"/>
      <c r="U175" s="173"/>
      <c r="V175" s="151"/>
      <c r="W175" s="151"/>
      <c r="X175" s="171"/>
      <c r="AD175" s="178"/>
      <c r="AE175" s="178"/>
      <c r="AF175" s="179"/>
      <c r="AG175" s="179"/>
      <c r="AH175" s="171"/>
      <c r="AM175" s="178"/>
      <c r="AR175" s="188"/>
      <c r="BL175" s="179"/>
      <c r="BQ175" s="171"/>
      <c r="BR175" s="191"/>
      <c r="BX175" s="171"/>
      <c r="CB175" s="170"/>
      <c r="CG175" s="171"/>
    </row>
    <row r="176" spans="2:100" s="152" customFormat="1" ht="12" x14ac:dyDescent="0.25">
      <c r="E176" s="170"/>
      <c r="F176" s="171"/>
      <c r="H176" s="171"/>
      <c r="I176" s="192"/>
      <c r="J176" s="178"/>
      <c r="K176" s="192"/>
      <c r="L176" s="173"/>
      <c r="M176" s="171"/>
      <c r="N176" s="179"/>
      <c r="O176" s="179"/>
      <c r="P176" s="178"/>
      <c r="Q176" s="177"/>
      <c r="U176" s="173"/>
      <c r="V176" s="151"/>
      <c r="W176" s="151"/>
      <c r="X176" s="171"/>
      <c r="AD176" s="178"/>
      <c r="AE176" s="178"/>
      <c r="AF176" s="179"/>
      <c r="AG176" s="179"/>
      <c r="AH176" s="171"/>
      <c r="AM176" s="178"/>
      <c r="AR176" s="188"/>
      <c r="BL176" s="179"/>
      <c r="BQ176" s="171"/>
      <c r="BR176" s="191"/>
      <c r="BX176" s="171"/>
      <c r="CB176" s="170"/>
      <c r="CG176" s="171"/>
    </row>
    <row r="177" spans="5:85" s="152" customFormat="1" ht="12" x14ac:dyDescent="0.25">
      <c r="E177" s="170"/>
      <c r="F177" s="171"/>
      <c r="H177" s="171"/>
      <c r="I177" s="192"/>
      <c r="J177" s="178"/>
      <c r="K177" s="192"/>
      <c r="L177" s="173"/>
      <c r="M177" s="171"/>
      <c r="N177" s="179"/>
      <c r="O177" s="179"/>
      <c r="P177" s="178"/>
      <c r="Q177" s="177"/>
      <c r="U177" s="173"/>
      <c r="V177" s="151"/>
      <c r="W177" s="151"/>
      <c r="X177" s="171"/>
      <c r="AD177" s="178"/>
      <c r="AE177" s="178"/>
      <c r="AF177" s="179"/>
      <c r="AG177" s="179"/>
      <c r="AH177" s="171"/>
      <c r="AM177" s="178"/>
      <c r="AR177" s="188"/>
      <c r="BL177" s="179"/>
      <c r="BQ177" s="171"/>
      <c r="BR177" s="191"/>
      <c r="BX177" s="171"/>
      <c r="CB177" s="170"/>
      <c r="CG177" s="171"/>
    </row>
    <row r="178" spans="5:85" s="152" customFormat="1" ht="12" x14ac:dyDescent="0.25">
      <c r="E178" s="170"/>
      <c r="F178" s="171"/>
      <c r="H178" s="171"/>
      <c r="I178" s="192"/>
      <c r="J178" s="178"/>
      <c r="K178" s="192"/>
      <c r="L178" s="173"/>
      <c r="M178" s="171"/>
      <c r="N178" s="179"/>
      <c r="O178" s="179"/>
      <c r="P178" s="178"/>
      <c r="Q178" s="177"/>
      <c r="U178" s="173"/>
      <c r="V178" s="151"/>
      <c r="W178" s="151"/>
      <c r="X178" s="171"/>
      <c r="AD178" s="178"/>
      <c r="AE178" s="178"/>
      <c r="AF178" s="179"/>
      <c r="AG178" s="179"/>
      <c r="AH178" s="171"/>
      <c r="AM178" s="178"/>
      <c r="AR178" s="188"/>
      <c r="BL178" s="179"/>
      <c r="BQ178" s="171"/>
      <c r="BR178" s="191"/>
      <c r="BX178" s="171"/>
      <c r="CB178" s="170"/>
      <c r="CG178" s="171"/>
    </row>
    <row r="179" spans="5:85" s="152" customFormat="1" ht="12" x14ac:dyDescent="0.25">
      <c r="E179" s="170"/>
      <c r="F179" s="171"/>
      <c r="H179" s="171"/>
      <c r="I179" s="192"/>
      <c r="J179" s="178"/>
      <c r="K179" s="192"/>
      <c r="L179" s="173"/>
      <c r="M179" s="171"/>
      <c r="N179" s="179"/>
      <c r="O179" s="179"/>
      <c r="P179" s="178"/>
      <c r="Q179" s="177"/>
      <c r="U179" s="173"/>
      <c r="V179" s="151"/>
      <c r="W179" s="151"/>
      <c r="X179" s="171"/>
      <c r="AD179" s="178"/>
      <c r="AE179" s="178"/>
      <c r="AF179" s="179"/>
      <c r="AG179" s="179"/>
      <c r="AH179" s="171"/>
      <c r="AM179" s="178"/>
      <c r="AR179" s="188"/>
      <c r="BL179" s="179"/>
      <c r="BQ179" s="171"/>
      <c r="BR179" s="191"/>
      <c r="BX179" s="171"/>
      <c r="CB179" s="170"/>
      <c r="CG179" s="171"/>
    </row>
    <row r="180" spans="5:85" s="152" customFormat="1" ht="12" x14ac:dyDescent="0.25">
      <c r="E180" s="170"/>
      <c r="F180" s="171"/>
      <c r="H180" s="171"/>
      <c r="I180" s="192"/>
      <c r="J180" s="178"/>
      <c r="K180" s="192"/>
      <c r="L180" s="173"/>
      <c r="M180" s="171"/>
      <c r="N180" s="105"/>
      <c r="O180" s="105"/>
      <c r="P180" s="178"/>
      <c r="Q180" s="177"/>
      <c r="U180" s="173"/>
      <c r="V180" s="151"/>
      <c r="W180" s="151"/>
      <c r="X180" s="171"/>
      <c r="AD180" s="178"/>
      <c r="AE180" s="178"/>
      <c r="AF180" s="179"/>
      <c r="AG180" s="179"/>
      <c r="AH180" s="171"/>
      <c r="AM180" s="178"/>
      <c r="AR180" s="108"/>
      <c r="AS180" s="82"/>
      <c r="AT180" s="82"/>
      <c r="BL180" s="179"/>
      <c r="BQ180" s="171"/>
      <c r="BR180" s="191"/>
      <c r="BX180" s="171"/>
      <c r="CB180" s="170"/>
      <c r="CG180" s="171"/>
    </row>
    <row r="181" spans="5:85" x14ac:dyDescent="0.2">
      <c r="Q181" s="104"/>
    </row>
    <row r="182" spans="5:85" x14ac:dyDescent="0.2">
      <c r="Q182" s="104"/>
    </row>
    <row r="183" spans="5:85" x14ac:dyDescent="0.2">
      <c r="Q183" s="104"/>
    </row>
    <row r="184" spans="5:85" x14ac:dyDescent="0.2">
      <c r="Q184" s="104"/>
    </row>
    <row r="185" spans="5:85" x14ac:dyDescent="0.2">
      <c r="Q185" s="104"/>
    </row>
    <row r="186" spans="5:85" s="90" customFormat="1" ht="14.4" x14ac:dyDescent="0.3">
      <c r="Q186" s="104"/>
      <c r="R186" s="82"/>
      <c r="S186" s="82"/>
      <c r="T186" s="82"/>
      <c r="U186" s="102"/>
      <c r="V186" s="88"/>
      <c r="W186" s="111"/>
      <c r="X186" s="103"/>
      <c r="Y186" s="82"/>
      <c r="Z186" s="112"/>
      <c r="AD186" s="97"/>
      <c r="AE186" s="97"/>
      <c r="AF186" s="105"/>
      <c r="AG186" s="105"/>
      <c r="AH186" s="112"/>
      <c r="AI186" s="82"/>
      <c r="AJ186" s="107"/>
      <c r="AK186" s="82"/>
      <c r="AL186" s="82"/>
      <c r="AM186" s="113"/>
      <c r="AN186" s="112"/>
      <c r="AO186" s="112"/>
      <c r="AP186" s="82"/>
      <c r="AQ186" s="82"/>
      <c r="AR186" s="108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112"/>
      <c r="BH186" s="107"/>
      <c r="BI186" s="107"/>
      <c r="BJ186" s="106">
        <f>SUM(BJ180:BJ185)</f>
        <v>0</v>
      </c>
    </row>
    <row r="187" spans="5:85" s="90" customFormat="1" ht="14.4" x14ac:dyDescent="0.3">
      <c r="Q187" s="104"/>
      <c r="R187" s="82"/>
      <c r="S187" s="82"/>
      <c r="T187" s="82"/>
      <c r="U187" s="102"/>
      <c r="V187" s="88"/>
      <c r="W187" s="111"/>
      <c r="X187" s="103"/>
      <c r="Y187" s="82"/>
      <c r="Z187" s="104"/>
      <c r="AA187" s="104"/>
      <c r="AB187" s="104"/>
      <c r="AD187" s="97"/>
      <c r="AE187" s="97"/>
      <c r="AF187" s="105"/>
      <c r="AG187" s="105"/>
      <c r="AH187" s="112"/>
      <c r="AI187" s="82"/>
      <c r="AJ187" s="82"/>
      <c r="AK187" s="82"/>
      <c r="AL187" s="82"/>
      <c r="AM187" s="113"/>
      <c r="AN187" s="112"/>
      <c r="AO187" s="112"/>
      <c r="AP187" s="82"/>
      <c r="AQ187" s="82"/>
      <c r="AR187" s="108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112"/>
      <c r="BH187" s="109"/>
      <c r="BI187" s="109"/>
      <c r="BJ187" s="109">
        <f>BJ179-BJ186</f>
        <v>0</v>
      </c>
    </row>
    <row r="188" spans="5:85" s="90" customFormat="1" ht="14.4" x14ac:dyDescent="0.3">
      <c r="Q188" s="104"/>
      <c r="R188" s="82"/>
      <c r="S188" s="82"/>
      <c r="T188" s="82"/>
      <c r="U188" s="102"/>
      <c r="V188" s="88"/>
      <c r="W188" s="111"/>
      <c r="X188" s="103"/>
      <c r="Y188" s="82"/>
      <c r="Z188" s="82"/>
      <c r="AA188" s="104"/>
      <c r="AB188" s="104"/>
      <c r="AC188" s="104"/>
      <c r="AD188" s="97"/>
      <c r="AE188" s="97"/>
      <c r="AF188" s="105"/>
      <c r="AG188" s="105"/>
      <c r="AH188" s="112"/>
      <c r="AI188" s="82"/>
      <c r="AJ188" s="82"/>
      <c r="AK188" s="82"/>
      <c r="AL188" s="82"/>
      <c r="AM188" s="113"/>
      <c r="AN188" s="112"/>
      <c r="AO188" s="112"/>
      <c r="AP188" s="82"/>
      <c r="AQ188" s="82"/>
      <c r="AR188" s="108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112"/>
      <c r="BH188" s="82"/>
      <c r="BI188" s="82"/>
      <c r="BJ188" s="82"/>
    </row>
    <row r="189" spans="5:85" s="90" customFormat="1" ht="14.4" x14ac:dyDescent="0.3">
      <c r="Q189" s="104"/>
      <c r="R189" s="82"/>
      <c r="S189" s="82"/>
      <c r="T189" s="82"/>
      <c r="U189" s="102"/>
      <c r="V189" s="88"/>
      <c r="W189" s="111"/>
      <c r="X189" s="103"/>
      <c r="Y189" s="82"/>
      <c r="Z189" s="82"/>
      <c r="AA189" s="104"/>
      <c r="AB189" s="82"/>
      <c r="AC189" s="104"/>
      <c r="AD189" s="97"/>
      <c r="AE189" s="97"/>
      <c r="AF189" s="105"/>
      <c r="AG189" s="105"/>
      <c r="AH189" s="112"/>
      <c r="AI189" s="82"/>
      <c r="AJ189" s="82"/>
      <c r="AK189" s="82"/>
      <c r="AL189" s="82"/>
      <c r="AM189" s="97"/>
      <c r="AN189" s="112"/>
      <c r="AO189" s="112"/>
      <c r="AP189" s="82"/>
      <c r="AQ189" s="82"/>
      <c r="AR189" s="108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112"/>
      <c r="BH189" s="97"/>
      <c r="BI189" s="97"/>
      <c r="BJ189" s="82"/>
    </row>
    <row r="190" spans="5:85" s="90" customFormat="1" ht="14.4" x14ac:dyDescent="0.3">
      <c r="Q190" s="104"/>
      <c r="R190" s="82"/>
      <c r="S190" s="82"/>
      <c r="T190" s="82"/>
      <c r="U190" s="102"/>
      <c r="V190" s="88"/>
      <c r="W190" s="111"/>
      <c r="X190" s="103"/>
      <c r="Y190" s="82"/>
      <c r="Z190" s="82"/>
      <c r="AA190" s="104"/>
      <c r="AB190" s="82"/>
      <c r="AD190" s="97"/>
      <c r="AE190" s="97"/>
      <c r="AF190" s="105"/>
      <c r="AG190" s="105"/>
      <c r="AH190" s="112"/>
      <c r="AI190" s="82"/>
      <c r="AJ190" s="82"/>
      <c r="AK190" s="82"/>
      <c r="AL190" s="82"/>
      <c r="AM190" s="97"/>
      <c r="AN190" s="112"/>
      <c r="AO190" s="112"/>
      <c r="AP190" s="82"/>
      <c r="AQ190" s="82"/>
      <c r="AR190" s="108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112"/>
      <c r="BH190" s="97"/>
      <c r="BI190" s="97"/>
      <c r="BJ190" s="82"/>
    </row>
    <row r="191" spans="5:85" s="90" customFormat="1" ht="14.4" x14ac:dyDescent="0.3">
      <c r="Q191" s="104"/>
      <c r="R191" s="82"/>
      <c r="S191" s="82"/>
      <c r="T191" s="82"/>
      <c r="U191" s="102"/>
      <c r="V191" s="88"/>
      <c r="W191" s="111"/>
      <c r="X191" s="103"/>
      <c r="Y191" s="82"/>
      <c r="Z191" s="82"/>
      <c r="AA191" s="104"/>
      <c r="AB191" s="82"/>
      <c r="AD191" s="97"/>
      <c r="AE191" s="97"/>
      <c r="AF191" s="105"/>
      <c r="AG191" s="105"/>
      <c r="AH191" s="112"/>
      <c r="AI191" s="82"/>
      <c r="AJ191" s="82"/>
      <c r="AK191" s="82"/>
      <c r="AL191" s="82"/>
      <c r="AM191" s="97"/>
      <c r="AN191" s="112"/>
      <c r="AO191" s="112"/>
      <c r="AP191" s="82"/>
      <c r="AQ191" s="82"/>
      <c r="AR191" s="108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112"/>
      <c r="BH191" s="82"/>
      <c r="BI191" s="82"/>
      <c r="BJ191" s="82"/>
    </row>
    <row r="192" spans="5:85" s="90" customFormat="1" ht="14.4" x14ac:dyDescent="0.3">
      <c r="Q192" s="104"/>
      <c r="R192" s="82"/>
      <c r="S192" s="82"/>
      <c r="T192" s="82"/>
      <c r="U192" s="102"/>
      <c r="V192" s="88"/>
      <c r="W192" s="111"/>
      <c r="X192" s="103"/>
      <c r="Y192" s="82"/>
      <c r="Z192" s="82"/>
      <c r="AA192" s="104"/>
      <c r="AB192" s="82"/>
      <c r="AD192" s="97"/>
      <c r="AE192" s="97"/>
      <c r="AF192" s="105"/>
      <c r="AG192" s="105"/>
      <c r="AH192" s="112"/>
      <c r="AI192" s="82"/>
      <c r="AJ192" s="82"/>
      <c r="AK192" s="82"/>
      <c r="AL192" s="82"/>
      <c r="AM192" s="113"/>
      <c r="AN192" s="112"/>
      <c r="AO192" s="112"/>
      <c r="AP192" s="82"/>
      <c r="AQ192" s="82"/>
      <c r="AR192" s="108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112"/>
      <c r="BH192" s="82"/>
      <c r="BI192" s="82"/>
      <c r="BJ192" s="82"/>
    </row>
    <row r="193" spans="17:62" s="90" customFormat="1" ht="14.4" x14ac:dyDescent="0.3">
      <c r="Q193" s="104"/>
      <c r="R193" s="82"/>
      <c r="S193" s="82"/>
      <c r="T193" s="82"/>
      <c r="U193" s="102"/>
      <c r="V193" s="88"/>
      <c r="W193" s="111"/>
      <c r="X193" s="103"/>
      <c r="Y193" s="82"/>
      <c r="Z193" s="82"/>
      <c r="AA193" s="104"/>
      <c r="AB193" s="82"/>
      <c r="AD193" s="97"/>
      <c r="AE193" s="97"/>
      <c r="AF193" s="105"/>
      <c r="AG193" s="105"/>
      <c r="AH193" s="112"/>
      <c r="AI193" s="82"/>
      <c r="AJ193" s="82"/>
      <c r="AK193" s="82">
        <f>AK194-AK195</f>
        <v>0</v>
      </c>
      <c r="AL193" s="82"/>
      <c r="AM193" s="97"/>
      <c r="AN193" s="112"/>
      <c r="AO193" s="112"/>
      <c r="AP193" s="82"/>
      <c r="AQ193" s="82"/>
      <c r="AR193" s="108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112"/>
      <c r="BH193" s="82"/>
      <c r="BI193" s="82"/>
      <c r="BJ193" s="82"/>
    </row>
    <row r="194" spans="17:62" s="90" customFormat="1" ht="14.4" x14ac:dyDescent="0.3">
      <c r="Q194" s="104"/>
      <c r="R194" s="82"/>
      <c r="S194" s="82"/>
      <c r="T194" s="82"/>
      <c r="U194" s="102"/>
      <c r="V194" s="88"/>
      <c r="W194" s="111"/>
      <c r="X194" s="103"/>
      <c r="Y194" s="82"/>
      <c r="Z194" s="82"/>
      <c r="AA194" s="104"/>
      <c r="AB194" s="82"/>
      <c r="AD194" s="97"/>
      <c r="AE194" s="97"/>
      <c r="AF194" s="105"/>
      <c r="AG194" s="105"/>
      <c r="AH194" s="112"/>
      <c r="AJ194" s="82"/>
      <c r="AK194" s="82"/>
      <c r="AL194" s="82"/>
      <c r="AM194" s="97"/>
      <c r="AN194" s="112"/>
      <c r="AO194" s="112"/>
      <c r="AP194" s="82"/>
      <c r="AQ194" s="82"/>
      <c r="AR194" s="108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114"/>
      <c r="BH194" s="82"/>
      <c r="BI194" s="82"/>
      <c r="BJ194" s="82"/>
    </row>
    <row r="195" spans="17:62" s="90" customFormat="1" ht="14.4" x14ac:dyDescent="0.3">
      <c r="Q195" s="104"/>
      <c r="R195" s="82"/>
      <c r="S195" s="82"/>
      <c r="T195" s="82"/>
      <c r="U195" s="102"/>
      <c r="V195" s="88"/>
      <c r="W195" s="111"/>
      <c r="X195" s="103"/>
      <c r="Y195" s="107"/>
      <c r="Z195" s="82"/>
      <c r="AA195" s="82"/>
      <c r="AB195" s="82"/>
      <c r="AC195" s="82"/>
      <c r="AD195" s="97"/>
      <c r="AE195" s="97"/>
      <c r="AF195" s="105"/>
      <c r="AG195" s="105"/>
      <c r="AH195" s="112"/>
      <c r="AI195" s="82"/>
      <c r="AJ195" s="82"/>
      <c r="AK195" s="82"/>
      <c r="AL195" s="82"/>
      <c r="AM195" s="97"/>
      <c r="AN195" s="112"/>
      <c r="AO195" s="112"/>
      <c r="AP195" s="82"/>
      <c r="AQ195" s="82"/>
      <c r="AR195" s="108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112"/>
      <c r="BH195" s="82"/>
      <c r="BI195" s="82"/>
      <c r="BJ195" s="82"/>
    </row>
  </sheetData>
  <dataConsolidate link="1">
    <dataRefs count="1">
      <dataRef name="s"/>
    </dataRefs>
  </dataConsolidate>
  <mergeCells count="14">
    <mergeCell ref="B3:D3"/>
    <mergeCell ref="BV3:CA3"/>
    <mergeCell ref="BV2:CA2"/>
    <mergeCell ref="CM3:CQ3"/>
    <mergeCell ref="AA172:AB172"/>
    <mergeCell ref="AA165:AB165"/>
    <mergeCell ref="AA166:AB166"/>
    <mergeCell ref="AA167:AB167"/>
    <mergeCell ref="AA168:AB168"/>
    <mergeCell ref="AA169:AB169"/>
    <mergeCell ref="AA170:AB170"/>
    <mergeCell ref="AA171:AB171"/>
    <mergeCell ref="CJ3:CL3"/>
    <mergeCell ref="CE3:CF3"/>
  </mergeCells>
  <conditionalFormatting sqref="E3">
    <cfRule type="duplicateValues" dxfId="53" priority="15879"/>
  </conditionalFormatting>
  <conditionalFormatting sqref="E4">
    <cfRule type="duplicateValues" dxfId="52" priority="15613"/>
  </conditionalFormatting>
  <conditionalFormatting sqref="E4:E160">
    <cfRule type="duplicateValues" dxfId="51" priority="20134"/>
  </conditionalFormatting>
  <conditionalFormatting sqref="I162:I1048576 CG2 E4 I1 E2:AY2 CB2">
    <cfRule type="duplicateValues" dxfId="50" priority="19807"/>
    <cfRule type="duplicateValues" dxfId="49" priority="19808"/>
    <cfRule type="duplicateValues" dxfId="48" priority="19809"/>
    <cfRule type="duplicateValues" dxfId="47" priority="19810"/>
    <cfRule type="duplicateValues" dxfId="46" priority="19811"/>
  </conditionalFormatting>
  <conditionalFormatting sqref="I177:I1048576 CG2 E171:E176 I1 E4 I162:I170 E2:AY2 CB2">
    <cfRule type="duplicateValues" dxfId="45" priority="19837"/>
  </conditionalFormatting>
  <conditionalFormatting sqref="AM186">
    <cfRule type="duplicateValues" dxfId="44" priority="142"/>
  </conditionalFormatting>
  <conditionalFormatting sqref="AN194:AO194">
    <cfRule type="duplicateValues" dxfId="43" priority="153"/>
  </conditionalFormatting>
  <conditionalFormatting sqref="AO161:AP161 AM174:AM1048576 AJ173 AM162:AM164 AM1 AO4:AP4 AM3 AJ165:AJ169">
    <cfRule type="duplicateValues" dxfId="42" priority="127"/>
  </conditionalFormatting>
  <conditionalFormatting sqref="AZ5:AZ160 BB5:BK160">
    <cfRule type="containsText" dxfId="41" priority="12" operator="containsText" text="FALSE">
      <formula>NOT(ISERROR(SEARCH("FALSE",AZ5)))</formula>
    </cfRule>
  </conditionalFormatting>
  <conditionalFormatting sqref="AZ4:BK4">
    <cfRule type="containsText" dxfId="40" priority="47" operator="containsText" text="FALSE">
      <formula>NOT(ISERROR(SEARCH("FALSE",AZ4)))</formula>
    </cfRule>
  </conditionalFormatting>
  <conditionalFormatting sqref="BO186">
    <cfRule type="duplicateValues" dxfId="39" priority="137"/>
    <cfRule type="duplicateValues" dxfId="38" priority="138"/>
  </conditionalFormatting>
  <conditionalFormatting sqref="BO187">
    <cfRule type="duplicateValues" dxfId="37" priority="133"/>
    <cfRule type="duplicateValues" dxfId="36" priority="134"/>
  </conditionalFormatting>
  <conditionalFormatting sqref="BV179">
    <cfRule type="duplicateValues" dxfId="35" priority="148"/>
    <cfRule type="duplicateValues" dxfId="34" priority="149"/>
  </conditionalFormatting>
  <conditionalFormatting sqref="BV184">
    <cfRule type="duplicateValues" dxfId="33" priority="144"/>
    <cfRule type="duplicateValues" dxfId="32" priority="145"/>
  </conditionalFormatting>
  <conditionalFormatting sqref="BW181">
    <cfRule type="duplicateValues" dxfId="31" priority="150"/>
    <cfRule type="duplicateValues" dxfId="30" priority="15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A700"/>
  <sheetViews>
    <sheetView showGridLines="0" showRowColHeaders="0" workbookViewId="0">
      <selection activeCell="L20" sqref="L20"/>
    </sheetView>
  </sheetViews>
  <sheetFormatPr defaultRowHeight="14.4" x14ac:dyDescent="0.3"/>
  <cols>
    <col min="1" max="1" width="4.33203125" customWidth="1"/>
    <col min="2" max="2" width="22.88671875" bestFit="1" customWidth="1"/>
    <col min="3" max="3" width="16.109375" style="4" bestFit="1" customWidth="1"/>
    <col min="4" max="4" width="4.109375" customWidth="1"/>
    <col min="5" max="5" width="35.77734375" bestFit="1" customWidth="1"/>
    <col min="6" max="6" width="12.33203125" style="4" bestFit="1" customWidth="1"/>
    <col min="7" max="7" width="6.44140625" bestFit="1" customWidth="1"/>
    <col min="8" max="8" width="4.77734375" customWidth="1"/>
    <col min="9" max="9" width="35.88671875" bestFit="1" customWidth="1"/>
    <col min="10" max="10" width="11.21875" bestFit="1" customWidth="1"/>
    <col min="11" max="11" width="8" bestFit="1" customWidth="1"/>
    <col min="12" max="12" width="44.109375" bestFit="1" customWidth="1"/>
    <col min="13" max="13" width="9.109375" bestFit="1" customWidth="1"/>
    <col min="14" max="14" width="8.88671875" bestFit="1" customWidth="1"/>
    <col min="16" max="16" width="25.44140625" bestFit="1" customWidth="1"/>
    <col min="17" max="17" width="8.109375" bestFit="1" customWidth="1"/>
    <col min="20" max="21" width="8.77734375" bestFit="1" customWidth="1"/>
    <col min="22" max="22" width="11.21875" bestFit="1" customWidth="1"/>
    <col min="27" max="27" width="7.6640625" bestFit="1" customWidth="1"/>
  </cols>
  <sheetData>
    <row r="3" spans="2:22" ht="15" thickBot="1" x14ac:dyDescent="0.35">
      <c r="I3" s="53" t="s">
        <v>132</v>
      </c>
      <c r="L3" s="53" t="s">
        <v>186</v>
      </c>
      <c r="P3" s="53" t="s">
        <v>133</v>
      </c>
    </row>
    <row r="4" spans="2:22" ht="15" thickBot="1" x14ac:dyDescent="0.35">
      <c r="B4" s="32" t="s">
        <v>63</v>
      </c>
      <c r="C4" s="33" t="s">
        <v>50</v>
      </c>
      <c r="E4" s="32" t="s">
        <v>64</v>
      </c>
      <c r="F4" s="33" t="s">
        <v>50</v>
      </c>
      <c r="G4" s="43" t="s">
        <v>76</v>
      </c>
      <c r="I4" s="32" t="s">
        <v>51</v>
      </c>
      <c r="J4" s="36">
        <f>Details!AD167</f>
        <v>46203</v>
      </c>
      <c r="L4" s="32" t="s">
        <v>63</v>
      </c>
      <c r="M4" s="33" t="s">
        <v>50</v>
      </c>
      <c r="N4" s="33" t="s">
        <v>76</v>
      </c>
      <c r="P4" s="32" t="s">
        <v>140</v>
      </c>
      <c r="Q4" s="33" t="s">
        <v>50</v>
      </c>
    </row>
    <row r="5" spans="2:22" x14ac:dyDescent="0.3">
      <c r="B5" s="7"/>
      <c r="C5" s="14"/>
      <c r="E5" s="7"/>
      <c r="F5" s="14"/>
      <c r="G5" s="21"/>
      <c r="I5" s="7"/>
      <c r="J5" s="11"/>
      <c r="L5" s="7"/>
      <c r="M5" s="14"/>
      <c r="N5" s="17"/>
      <c r="P5" s="7"/>
      <c r="Q5" s="17"/>
    </row>
    <row r="6" spans="2:22" x14ac:dyDescent="0.3">
      <c r="B6" s="7"/>
      <c r="C6" s="14"/>
      <c r="E6" s="7"/>
      <c r="F6" s="14"/>
      <c r="G6" s="21"/>
      <c r="I6" s="7" t="s">
        <v>73</v>
      </c>
      <c r="J6" s="12">
        <f>-Details!AW161</f>
        <v>-11328.81</v>
      </c>
      <c r="L6" s="7"/>
      <c r="M6" s="14"/>
      <c r="N6" s="17"/>
      <c r="P6" s="7"/>
      <c r="Q6" s="17"/>
    </row>
    <row r="7" spans="2:22" ht="15" thickBot="1" x14ac:dyDescent="0.35">
      <c r="B7" s="7"/>
      <c r="C7" s="14"/>
      <c r="E7" s="7"/>
      <c r="F7" s="14"/>
      <c r="G7" s="21"/>
      <c r="I7" s="7" t="s">
        <v>608</v>
      </c>
      <c r="J7" s="12">
        <v>7278.55</v>
      </c>
      <c r="L7" s="7"/>
      <c r="M7" s="14"/>
      <c r="N7" s="17"/>
      <c r="P7" s="10"/>
      <c r="Q7" s="22"/>
      <c r="T7" s="299"/>
      <c r="U7" s="299"/>
      <c r="V7" s="299"/>
    </row>
    <row r="8" spans="2:22" ht="15" thickBot="1" x14ac:dyDescent="0.35">
      <c r="B8" s="7"/>
      <c r="C8" s="14"/>
      <c r="E8" s="7"/>
      <c r="F8" s="14"/>
      <c r="G8" s="21"/>
      <c r="H8" s="23"/>
      <c r="I8" s="7" t="s">
        <v>688</v>
      </c>
      <c r="J8" s="12">
        <v>3549.26</v>
      </c>
      <c r="L8" s="7"/>
      <c r="M8" s="14"/>
      <c r="N8" s="17"/>
      <c r="Q8" s="35">
        <f>SUM(Q5:Q7)</f>
        <v>0</v>
      </c>
    </row>
    <row r="9" spans="2:22" ht="15" thickBot="1" x14ac:dyDescent="0.35">
      <c r="B9" s="7"/>
      <c r="C9" s="14"/>
      <c r="E9" s="7"/>
      <c r="F9" s="14"/>
      <c r="G9" s="21"/>
      <c r="H9" s="23"/>
      <c r="I9" s="8" t="s">
        <v>60</v>
      </c>
      <c r="J9" s="13">
        <f>SUM(J6:J8)-G18</f>
        <v>-500.99999999999909</v>
      </c>
      <c r="L9" s="7"/>
      <c r="M9" s="14"/>
      <c r="N9" s="17"/>
      <c r="P9" s="53" t="s">
        <v>185</v>
      </c>
      <c r="Q9" s="23"/>
    </row>
    <row r="10" spans="2:22" ht="15" thickBot="1" x14ac:dyDescent="0.35">
      <c r="B10" s="7"/>
      <c r="C10" s="14"/>
      <c r="E10" s="7"/>
      <c r="F10" s="14"/>
      <c r="G10" s="21"/>
      <c r="H10" s="23"/>
      <c r="I10" s="2"/>
      <c r="J10" s="15"/>
      <c r="L10" s="7"/>
      <c r="M10" s="14"/>
      <c r="N10" s="17"/>
      <c r="P10" s="32" t="s">
        <v>254</v>
      </c>
      <c r="Q10" s="65" t="s">
        <v>76</v>
      </c>
    </row>
    <row r="11" spans="2:22" ht="15" thickBot="1" x14ac:dyDescent="0.35">
      <c r="B11" s="7"/>
      <c r="C11" s="14"/>
      <c r="E11" s="7"/>
      <c r="F11" s="14"/>
      <c r="G11" s="21"/>
      <c r="H11" s="23"/>
      <c r="I11" s="2"/>
      <c r="J11" s="15"/>
      <c r="L11" s="7"/>
      <c r="M11" s="14"/>
      <c r="N11" s="17"/>
      <c r="P11" s="7" t="s">
        <v>213</v>
      </c>
      <c r="Q11" s="11">
        <v>81</v>
      </c>
    </row>
    <row r="12" spans="2:22" ht="15" thickBot="1" x14ac:dyDescent="0.35">
      <c r="B12" s="7"/>
      <c r="C12" s="14"/>
      <c r="E12" s="7"/>
      <c r="F12" s="14"/>
      <c r="G12" s="21"/>
      <c r="H12" s="23"/>
      <c r="I12" s="32" t="s">
        <v>110</v>
      </c>
      <c r="J12" s="33" t="s">
        <v>50</v>
      </c>
      <c r="L12" s="7"/>
      <c r="M12" s="14"/>
      <c r="N12" s="17"/>
      <c r="P12" s="7" t="s">
        <v>214</v>
      </c>
      <c r="Q12" s="11">
        <v>2</v>
      </c>
    </row>
    <row r="13" spans="2:22" x14ac:dyDescent="0.3">
      <c r="B13" s="7"/>
      <c r="C13" s="14"/>
      <c r="E13" s="7"/>
      <c r="F13" s="14"/>
      <c r="G13" s="21"/>
      <c r="H13" s="23"/>
      <c r="I13" s="7"/>
      <c r="J13" s="14"/>
      <c r="L13" s="7"/>
      <c r="M13" s="14"/>
      <c r="N13" s="17"/>
      <c r="P13" s="7" t="s">
        <v>231</v>
      </c>
      <c r="Q13" s="11">
        <v>68</v>
      </c>
    </row>
    <row r="14" spans="2:22" x14ac:dyDescent="0.3">
      <c r="B14" s="7"/>
      <c r="C14" s="14"/>
      <c r="E14" s="7"/>
      <c r="F14" s="14"/>
      <c r="G14" s="21"/>
      <c r="H14" s="23"/>
      <c r="I14" s="7"/>
      <c r="J14" s="14"/>
      <c r="L14" s="7"/>
      <c r="M14" s="14"/>
      <c r="N14" s="17"/>
      <c r="P14" s="7" t="s">
        <v>229</v>
      </c>
      <c r="Q14" s="11">
        <v>4</v>
      </c>
    </row>
    <row r="15" spans="2:22" ht="15" thickBot="1" x14ac:dyDescent="0.35">
      <c r="B15" s="7"/>
      <c r="C15" s="14"/>
      <c r="E15" s="7"/>
      <c r="F15" s="14"/>
      <c r="G15" s="21"/>
      <c r="H15" s="23"/>
      <c r="I15" s="44"/>
      <c r="J15" s="45"/>
      <c r="L15" s="7"/>
      <c r="M15" s="14"/>
      <c r="N15" s="17"/>
      <c r="P15" s="7" t="s">
        <v>241</v>
      </c>
      <c r="Q15" s="11">
        <f>696-300</f>
        <v>396</v>
      </c>
    </row>
    <row r="16" spans="2:22" ht="15" thickBot="1" x14ac:dyDescent="0.35">
      <c r="B16" s="7"/>
      <c r="C16" s="14"/>
      <c r="E16" s="7"/>
      <c r="F16" s="14"/>
      <c r="G16" s="21"/>
      <c r="H16" s="23"/>
      <c r="I16" s="8"/>
      <c r="J16" s="46">
        <f>SUM(J13:J15)</f>
        <v>0</v>
      </c>
      <c r="L16" s="7"/>
      <c r="M16" s="14"/>
      <c r="N16" s="17"/>
      <c r="P16" s="7"/>
      <c r="Q16" s="11"/>
    </row>
    <row r="17" spans="2:17" ht="15" thickBot="1" x14ac:dyDescent="0.35">
      <c r="B17" s="10"/>
      <c r="C17" s="14"/>
      <c r="E17" s="7"/>
      <c r="F17" s="14"/>
      <c r="G17" s="21"/>
      <c r="H17" s="23"/>
      <c r="I17" s="2"/>
      <c r="J17" s="15"/>
      <c r="L17" s="7"/>
      <c r="M17" s="14"/>
      <c r="N17" s="17"/>
      <c r="P17" s="7" t="s">
        <v>253</v>
      </c>
      <c r="Q17" s="11">
        <v>-150</v>
      </c>
    </row>
    <row r="18" spans="2:17" ht="15" thickBot="1" x14ac:dyDescent="0.35">
      <c r="B18" s="8" t="s">
        <v>72</v>
      </c>
      <c r="C18" s="46">
        <f>SUM(C5:C17)</f>
        <v>0</v>
      </c>
      <c r="E18" s="49" t="s">
        <v>72</v>
      </c>
      <c r="F18" s="64">
        <f>SUBTOTAL(9,F5:F17)</f>
        <v>0</v>
      </c>
      <c r="G18" s="51">
        <f>SUBTOTAL(9,G5:G17)</f>
        <v>0</v>
      </c>
      <c r="H18" s="23"/>
      <c r="I18" s="2"/>
      <c r="J18" s="15"/>
      <c r="L18" s="49" t="s">
        <v>72</v>
      </c>
      <c r="M18" s="64">
        <f>SUM(M5:M17)</f>
        <v>0</v>
      </c>
      <c r="N18" s="51">
        <f>SUM(N5:N17)</f>
        <v>0</v>
      </c>
      <c r="P18" s="7"/>
      <c r="Q18" s="11"/>
    </row>
    <row r="19" spans="2:17" ht="15" thickBot="1" x14ac:dyDescent="0.35">
      <c r="B19" s="2"/>
      <c r="C19" s="40"/>
      <c r="E19" s="2"/>
      <c r="F19" s="5"/>
      <c r="I19" s="33" t="s">
        <v>75</v>
      </c>
      <c r="J19" s="15"/>
      <c r="L19" s="23"/>
      <c r="P19" s="7"/>
      <c r="Q19" s="11"/>
    </row>
    <row r="20" spans="2:17" ht="15" thickBot="1" x14ac:dyDescent="0.35">
      <c r="B20" s="2"/>
      <c r="C20" s="40"/>
      <c r="E20" s="2"/>
      <c r="F20" s="5"/>
      <c r="I20" s="11"/>
      <c r="J20" s="15"/>
      <c r="L20" s="23"/>
      <c r="P20" s="7"/>
      <c r="Q20" s="11"/>
    </row>
    <row r="21" spans="2:17" ht="15" thickBot="1" x14ac:dyDescent="0.35">
      <c r="B21" s="32" t="s">
        <v>65</v>
      </c>
      <c r="C21" s="37" t="s">
        <v>50</v>
      </c>
      <c r="E21" s="32" t="s">
        <v>66</v>
      </c>
      <c r="F21" s="33" t="s">
        <v>50</v>
      </c>
      <c r="G21" s="33" t="s">
        <v>76</v>
      </c>
      <c r="I21" s="11"/>
      <c r="J21" s="15"/>
      <c r="L21" s="23"/>
      <c r="P21" s="7"/>
      <c r="Q21" s="11"/>
    </row>
    <row r="22" spans="2:17" x14ac:dyDescent="0.3">
      <c r="B22" s="7"/>
      <c r="C22" s="38"/>
      <c r="E22" s="7"/>
      <c r="F22" s="27"/>
      <c r="G22" s="11"/>
      <c r="I22" s="11"/>
      <c r="J22" s="15"/>
      <c r="L22" s="23"/>
      <c r="P22" s="7"/>
      <c r="Q22" s="11"/>
    </row>
    <row r="23" spans="2:17" x14ac:dyDescent="0.3">
      <c r="B23" s="7"/>
      <c r="C23" s="17"/>
      <c r="E23" s="7"/>
      <c r="F23" s="27"/>
      <c r="G23" s="11"/>
      <c r="I23" s="11"/>
      <c r="J23" s="15"/>
      <c r="L23" s="23"/>
      <c r="P23" s="7"/>
      <c r="Q23" s="11"/>
    </row>
    <row r="24" spans="2:17" x14ac:dyDescent="0.3">
      <c r="B24" s="7"/>
      <c r="C24" s="17"/>
      <c r="D24" s="6"/>
      <c r="E24" s="7"/>
      <c r="F24" s="27"/>
      <c r="G24" s="11"/>
      <c r="I24" s="11"/>
      <c r="J24" s="15"/>
      <c r="L24" s="23"/>
      <c r="P24" s="7"/>
      <c r="Q24" s="11"/>
    </row>
    <row r="25" spans="2:17" ht="15" thickBot="1" x14ac:dyDescent="0.35">
      <c r="B25" s="7"/>
      <c r="C25" s="17"/>
      <c r="E25" s="7"/>
      <c r="F25" s="27"/>
      <c r="G25" s="11"/>
      <c r="I25" s="11"/>
      <c r="J25" s="15"/>
      <c r="L25" s="23"/>
      <c r="P25" s="7"/>
      <c r="Q25" s="11"/>
    </row>
    <row r="26" spans="2:17" ht="15" thickBot="1" x14ac:dyDescent="0.35">
      <c r="B26" s="7"/>
      <c r="C26" s="17"/>
      <c r="D26" s="6"/>
      <c r="E26" s="7"/>
      <c r="F26" s="27"/>
      <c r="G26" s="11"/>
      <c r="I26" s="11"/>
      <c r="J26" s="15"/>
      <c r="L26" s="23"/>
      <c r="P26" s="49" t="s">
        <v>72</v>
      </c>
      <c r="Q26" s="35">
        <f>SUM(Q11:Q25)</f>
        <v>401</v>
      </c>
    </row>
    <row r="27" spans="2:17" ht="15" thickBot="1" x14ac:dyDescent="0.35">
      <c r="B27" s="7"/>
      <c r="C27" s="17"/>
      <c r="E27" s="7"/>
      <c r="F27" s="27"/>
      <c r="G27" s="11"/>
      <c r="I27" s="42" t="s">
        <v>72</v>
      </c>
      <c r="J27" s="15"/>
      <c r="L27" s="23"/>
    </row>
    <row r="28" spans="2:17" ht="15" thickBot="1" x14ac:dyDescent="0.35">
      <c r="B28" s="7"/>
      <c r="C28" s="17"/>
      <c r="E28" s="7"/>
      <c r="F28" s="27"/>
      <c r="G28" s="11"/>
      <c r="L28" s="23"/>
    </row>
    <row r="29" spans="2:17" ht="15" thickBot="1" x14ac:dyDescent="0.35">
      <c r="B29" s="8" t="s">
        <v>72</v>
      </c>
      <c r="C29" s="35">
        <f>SUM(C22:C28)</f>
        <v>0</v>
      </c>
      <c r="E29" s="8" t="s">
        <v>72</v>
      </c>
      <c r="F29" s="41">
        <f>SUBTOTAL(9,F22:F28)</f>
        <v>0</v>
      </c>
      <c r="G29" s="41">
        <v>0</v>
      </c>
      <c r="L29" s="23"/>
    </row>
    <row r="695" spans="27:27" x14ac:dyDescent="0.3">
      <c r="AA695">
        <v>-568957</v>
      </c>
    </row>
    <row r="700" spans="27:27" x14ac:dyDescent="0.3">
      <c r="AA700">
        <f>-AA696+AA697-AA698</f>
        <v>0</v>
      </c>
    </row>
  </sheetData>
  <conditionalFormatting sqref="B5">
    <cfRule type="duplicateValues" dxfId="29" priority="51"/>
    <cfRule type="duplicateValues" dxfId="28" priority="53"/>
    <cfRule type="duplicateValues" dxfId="27" priority="54"/>
  </conditionalFormatting>
  <conditionalFormatting sqref="B5:B13 E5:E16">
    <cfRule type="duplicateValues" dxfId="26" priority="17779"/>
  </conditionalFormatting>
  <conditionalFormatting sqref="B5:B17 E5:E17">
    <cfRule type="duplicateValues" dxfId="25" priority="17782"/>
  </conditionalFormatting>
  <conditionalFormatting sqref="E5:E16">
    <cfRule type="duplicateValues" dxfId="24" priority="17781"/>
  </conditionalFormatting>
  <conditionalFormatting sqref="E17">
    <cfRule type="duplicateValues" dxfId="23" priority="12"/>
  </conditionalFormatting>
  <conditionalFormatting sqref="E22">
    <cfRule type="duplicateValues" dxfId="22" priority="1"/>
    <cfRule type="duplicateValues" dxfId="21" priority="2"/>
    <cfRule type="duplicateValues" dxfId="20" priority="3"/>
    <cfRule type="duplicateValues" dxfId="19" priority="4"/>
  </conditionalFormatting>
  <conditionalFormatting sqref="I13:I14">
    <cfRule type="duplicateValues" dxfId="18" priority="17786"/>
    <cfRule type="duplicateValues" dxfId="17" priority="17787"/>
    <cfRule type="duplicateValues" dxfId="16" priority="17788"/>
    <cfRule type="duplicateValues" dxfId="15" priority="17789"/>
    <cfRule type="duplicateValues" dxfId="14" priority="17790"/>
  </conditionalFormatting>
  <conditionalFormatting sqref="L5">
    <cfRule type="duplicateValues" dxfId="13" priority="25"/>
    <cfRule type="duplicateValues" dxfId="12" priority="26"/>
    <cfRule type="duplicateValues" dxfId="11" priority="27"/>
  </conditionalFormatting>
  <conditionalFormatting sqref="L5:L13">
    <cfRule type="duplicateValues" dxfId="10" priority="28"/>
  </conditionalFormatting>
  <conditionalFormatting sqref="L5:L17 B5:B17 E5:E17">
    <cfRule type="duplicateValues" dxfId="9" priority="17791"/>
  </conditionalFormatting>
  <conditionalFormatting sqref="L5:L17">
    <cfRule type="duplicateValues" dxfId="8" priority="17797"/>
  </conditionalFormatting>
  <conditionalFormatting sqref="L14">
    <cfRule type="duplicateValues" dxfId="7" priority="10"/>
    <cfRule type="duplicateValues" dxfId="6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F32"/>
  <sheetViews>
    <sheetView showGridLines="0" showRowColHeaders="0" topLeftCell="A10" zoomScaleNormal="80" workbookViewId="0">
      <selection activeCell="E33" sqref="E33"/>
    </sheetView>
  </sheetViews>
  <sheetFormatPr defaultColWidth="8.88671875" defaultRowHeight="14.4" x14ac:dyDescent="0.3"/>
  <cols>
    <col min="1" max="1" width="2.6640625" style="304" customWidth="1"/>
    <col min="2" max="2" width="57.109375" style="304" bestFit="1" customWidth="1"/>
    <col min="3" max="3" width="20.77734375" style="304" bestFit="1" customWidth="1"/>
    <col min="4" max="4" width="16.88671875" style="304" bestFit="1" customWidth="1"/>
    <col min="5" max="5" width="22.33203125" style="304" bestFit="1" customWidth="1"/>
    <col min="6" max="6" width="31.33203125" style="304" customWidth="1"/>
    <col min="7" max="16384" width="8.88671875" style="304"/>
  </cols>
  <sheetData>
    <row r="1" spans="1:6" x14ac:dyDescent="0.3">
      <c r="D1" s="304">
        <f>D2-Summary!P7-Summary!P10</f>
        <v>9.3132257461547852E-10</v>
      </c>
    </row>
    <row r="2" spans="1:6" ht="15" thickBot="1" x14ac:dyDescent="0.35">
      <c r="A2" s="305"/>
      <c r="B2" s="305"/>
      <c r="C2" s="305"/>
      <c r="D2" s="306">
        <f>SUBTOTAL(9,D4:D54)</f>
        <v>5604766.0370000014</v>
      </c>
      <c r="E2" s="68">
        <f>COUNTA(_xlfn.ANCHORARRAY(E4))</f>
        <v>22</v>
      </c>
    </row>
    <row r="3" spans="1:6" s="305" customFormat="1" ht="16.2" customHeight="1" thickBot="1" x14ac:dyDescent="0.35">
      <c r="A3" s="304"/>
      <c r="B3" s="307" t="s">
        <v>26</v>
      </c>
      <c r="C3" s="308" t="s">
        <v>17</v>
      </c>
      <c r="D3" s="308" t="s">
        <v>1</v>
      </c>
      <c r="E3" s="309" t="s">
        <v>180</v>
      </c>
    </row>
    <row r="4" spans="1:6" s="305" customFormat="1" x14ac:dyDescent="0.3">
      <c r="A4" s="304"/>
      <c r="B4" s="310" t="str">
        <f>_xlfn.XLOOKUP(C4,Details!$G$5:$G$160,Details!$F$5:$F$160)</f>
        <v>CHAITANYA INDIA FIN CREDIT PRIVATE LIMITED</v>
      </c>
      <c r="C4" s="311" t="str" cm="1">
        <f t="array" ref="C4:C32">_xlfn.UNIQUE(_xlfn._TRO_TRAILING(Details!G5:G160))</f>
        <v>33AADCC6184H1ZP</v>
      </c>
      <c r="D4" s="312">
        <f>SUMIFS(Details!$AM$5:$AM$160,Details!$G$5:$G$160,'Supplier Metrics'!C4)</f>
        <v>96417</v>
      </c>
      <c r="E4" s="310" t="str" cm="1">
        <f t="array" ref="E4:E25">_xlfn.UNIQUE(MID(_xlfn._TRO_TRAILING(Details!G5:G160),3,10))</f>
        <v>AADCC6184H</v>
      </c>
    </row>
    <row r="5" spans="1:6" x14ac:dyDescent="0.3">
      <c r="B5" s="310" t="str">
        <f>_xlfn.XLOOKUP(C5,Details!$G$5:$G$160,Details!$F$5:$F$160)</f>
        <v>CHAITANYA INDIA FIN CREDIT PRIVATE LIMITED</v>
      </c>
      <c r="C5" s="311" t="str">
        <v>08AADCC6184H1ZI</v>
      </c>
      <c r="D5" s="312">
        <f>SUMIFS(Details!$AM$5:$AM$160,Details!$G$5:$G$160,'Supplier Metrics'!C5)</f>
        <v>61549</v>
      </c>
      <c r="E5" s="304" t="str">
        <v>AAACI4487J</v>
      </c>
      <c r="F5" s="305"/>
    </row>
    <row r="6" spans="1:6" x14ac:dyDescent="0.3">
      <c r="B6" s="310" t="str">
        <f>_xlfn.XLOOKUP(C6,Details!$G$5:$G$160,Details!$F$5:$F$160)</f>
        <v>CYIENT LIMITED</v>
      </c>
      <c r="C6" s="311" t="str">
        <v>36AAACI4487J1Z9</v>
      </c>
      <c r="D6" s="312">
        <f>SUMIFS(Details!$AM$5:$AM$160,Details!$G$5:$G$160,'Supplier Metrics'!C6)</f>
        <v>226344.49</v>
      </c>
      <c r="E6" s="304" t="str">
        <v>BGNPG9019D</v>
      </c>
      <c r="F6" s="305"/>
    </row>
    <row r="7" spans="1:6" x14ac:dyDescent="0.3">
      <c r="B7" s="310" t="str">
        <f>_xlfn.XLOOKUP(C7,Details!$G$5:$G$160,Details!$F$5:$F$160)</f>
        <v>M/S YAKSHIT TRADING</v>
      </c>
      <c r="C7" s="304" t="str">
        <v>21BGNPG9019D1ZO</v>
      </c>
      <c r="D7" s="312">
        <f>SUMIFS(Details!$AM$5:$AM$160,Details!$G$5:$G$160,'Supplier Metrics'!C7)</f>
        <v>98980</v>
      </c>
      <c r="E7" s="304" t="str">
        <v>AAATH0878B</v>
      </c>
      <c r="F7" s="312"/>
    </row>
    <row r="8" spans="1:6" x14ac:dyDescent="0.3">
      <c r="B8" s="310" t="str">
        <f>_xlfn.XLOOKUP(C8,Details!$G$5:$G$160,Details!$F$5:$F$160)</f>
        <v>HYDERABAD EYE INSTITUTE</v>
      </c>
      <c r="C8" s="304" t="str">
        <v>21AAATH0878B1Z8</v>
      </c>
      <c r="D8" s="312">
        <f>SUMIFS(Details!$AM$5:$AM$160,Details!$G$5:$G$160,'Supplier Metrics'!C8)</f>
        <v>24747</v>
      </c>
      <c r="E8" s="304" t="str">
        <v>AAACI4550Q</v>
      </c>
      <c r="F8" s="312"/>
    </row>
    <row r="9" spans="1:6" x14ac:dyDescent="0.3">
      <c r="B9" s="310" t="str">
        <f>_xlfn.XLOOKUP(C9,Details!$G$5:$G$160,Details!$F$5:$F$160)</f>
        <v>CHAITANYA INDIA FIN CREDIT PRIVATE LIMITED</v>
      </c>
      <c r="C9" s="304" t="str">
        <v>29AADCC6184H1ZE</v>
      </c>
      <c r="D9" s="312">
        <f>SUMIFS(Details!$AM$5:$AM$160,Details!$G$5:$G$160,'Supplier Metrics'!C9)</f>
        <v>315812</v>
      </c>
      <c r="E9" s="304" t="str">
        <v>AACCN4479R</v>
      </c>
      <c r="F9" s="312"/>
    </row>
    <row r="10" spans="1:6" x14ac:dyDescent="0.3">
      <c r="B10" s="310" t="str">
        <f>_xlfn.XLOOKUP(C10,Details!$G$5:$G$160,Details!$F$5:$F$160)</f>
        <v>CHAITANYA INDIA FIN CREDIT PRIVATE LIMITED</v>
      </c>
      <c r="C10" s="304" t="str">
        <v>24AADCC6184H1ZO</v>
      </c>
      <c r="D10" s="312">
        <f>SUMIFS(Details!$AM$5:$AM$160,Details!$G$5:$G$160,'Supplier Metrics'!C10)</f>
        <v>5235.9960000000001</v>
      </c>
      <c r="E10" s="304" t="str">
        <v>AAGCR5745L</v>
      </c>
    </row>
    <row r="11" spans="1:6" x14ac:dyDescent="0.3">
      <c r="B11" s="310" t="str">
        <f>_xlfn.XLOOKUP(C11,Details!$G$5:$G$160,Details!$F$5:$F$160)</f>
        <v>ITW INDIA PRIVATE LIMITED</v>
      </c>
      <c r="C11" s="304" t="str">
        <v>27AAACI4550Q1Z6</v>
      </c>
      <c r="D11" s="312">
        <f>SUMIFS(Details!$AM$5:$AM$160,Details!$G$5:$G$160,'Supplier Metrics'!C11)</f>
        <v>161170</v>
      </c>
      <c r="E11" s="304" t="str">
        <v>AAHCR2638B</v>
      </c>
    </row>
    <row r="12" spans="1:6" x14ac:dyDescent="0.3">
      <c r="B12" s="310" t="str">
        <f>_xlfn.XLOOKUP(C12,Details!$G$5:$G$160,Details!$F$5:$F$160)</f>
        <v>CHAITANYA INDIA FIN CREDIT PRIVATE LIMITED</v>
      </c>
      <c r="C12" s="304" t="str">
        <v>09AADCC6184H1ZG</v>
      </c>
      <c r="D12" s="312">
        <f>SUMIFS(Details!$AM$5:$AM$160,Details!$G$5:$G$160,'Supplier Metrics'!C12)</f>
        <v>10444</v>
      </c>
      <c r="E12" s="304" t="str">
        <v>AALCS7470E</v>
      </c>
    </row>
    <row r="13" spans="1:6" x14ac:dyDescent="0.3">
      <c r="B13" s="310" t="str">
        <f>_xlfn.XLOOKUP(C13,Details!$G$5:$G$160,Details!$F$5:$F$160)</f>
        <v>NAVATAR CONSULTING PRIVATE LIMITED</v>
      </c>
      <c r="C13" s="304" t="str">
        <v>09AACCN4479R1ZJ</v>
      </c>
      <c r="D13" s="312">
        <f>SUMIFS(Details!$AM$5:$AM$160,Details!$G$5:$G$160,'Supplier Metrics'!C13)</f>
        <v>84745.799999999988</v>
      </c>
      <c r="E13" s="304" t="str">
        <v/>
      </c>
    </row>
    <row r="14" spans="1:6" x14ac:dyDescent="0.3">
      <c r="B14" s="310" t="str">
        <f>_xlfn.XLOOKUP(C14,Details!$G$5:$G$160,Details!$F$5:$F$160)</f>
        <v>PAYSWIFF TECHNOLOGIES PRIVATE LIMITED</v>
      </c>
      <c r="C14" s="304" t="str">
        <v>36AAGCR5745L1ZV</v>
      </c>
      <c r="D14" s="312">
        <f>SUMIFS(Details!$AM$5:$AM$160,Details!$G$5:$G$160,'Supplier Metrics'!C14)</f>
        <v>257429.90000000002</v>
      </c>
      <c r="E14" s="304" t="str">
        <v>AAACF5186B</v>
      </c>
    </row>
    <row r="15" spans="1:6" x14ac:dyDescent="0.3">
      <c r="B15" s="310" t="str">
        <f>_xlfn.XLOOKUP(C15,Details!$G$5:$G$160,Details!$F$5:$F$160)</f>
        <v>RETECK ENVIROTECH PRIVATE LIMITED</v>
      </c>
      <c r="C15" s="304" t="str">
        <v>27AAHCR2638B1ZK</v>
      </c>
      <c r="D15" s="312">
        <f>SUMIFS(Details!$AM$5:$AM$160,Details!$G$5:$G$160,'Supplier Metrics'!C15)</f>
        <v>296919.37</v>
      </c>
      <c r="E15" s="304" t="str">
        <v>AADCS0655F</v>
      </c>
    </row>
    <row r="16" spans="1:6" x14ac:dyDescent="0.3">
      <c r="B16" s="310" t="str">
        <f>_xlfn.XLOOKUP(C16,Details!$G$5:$G$160,Details!$F$5:$F$160)</f>
        <v>STELLAR INFORMATION TECHNOLOGY PRIVATE LIMITED</v>
      </c>
      <c r="C16" s="304" t="str">
        <v>06AALCS7470E1Z5</v>
      </c>
      <c r="D16" s="312">
        <f>SUMIFS(Details!$AM$5:$AM$160,Details!$G$5:$G$160,'Supplier Metrics'!C16)</f>
        <v>108000</v>
      </c>
      <c r="E16" s="304" t="str">
        <v>AACCV3080E</v>
      </c>
    </row>
    <row r="17" spans="2:5" x14ac:dyDescent="0.3">
      <c r="B17" s="310">
        <f>_xlfn.XLOOKUP(C17,Details!$G$5:$G$160,Details!$F$5:$F$160)</f>
        <v>0</v>
      </c>
      <c r="C17" s="304">
        <v>0</v>
      </c>
      <c r="D17" s="312">
        <f>SUMIFS(Details!$AM$5:$AM$160,Details!$G$5:$G$160,'Supplier Metrics'!C17)</f>
        <v>0</v>
      </c>
      <c r="E17" s="304" t="str">
        <v>AAACG2086M</v>
      </c>
    </row>
    <row r="18" spans="2:5" x14ac:dyDescent="0.3">
      <c r="B18" s="310" t="str">
        <f>_xlfn.XLOOKUP(C18,Details!$G$5:$G$160,Details!$F$5:$F$160)</f>
        <v>XTGLOBAL INFOTECH LIMITED</v>
      </c>
      <c r="C18" s="304" t="str">
        <v>37AAACF5186B4ZQ</v>
      </c>
      <c r="D18" s="312">
        <f>SUMIFS(Details!$AM$5:$AM$160,Details!$G$5:$G$160,'Supplier Metrics'!C18)</f>
        <v>42500.04</v>
      </c>
      <c r="E18" s="304" t="str">
        <v>AAQPC0353E</v>
      </c>
    </row>
    <row r="19" spans="2:5" x14ac:dyDescent="0.3">
      <c r="B19" s="310" t="str">
        <f>_xlfn.XLOOKUP(C19,Details!$G$5:$G$160,Details!$F$5:$F$160)</f>
        <v>SUGUNA FOODS PRIVATE LIMITED</v>
      </c>
      <c r="C19" s="304" t="str">
        <v>36AADCS0655F2ZI</v>
      </c>
      <c r="D19" s="312">
        <f>SUMIFS(Details!$AM$5:$AM$160,Details!$G$5:$G$160,'Supplier Metrics'!C19)</f>
        <v>13728.54</v>
      </c>
      <c r="E19" s="304" t="str">
        <v>AABCA7366H</v>
      </c>
    </row>
    <row r="20" spans="2:5" x14ac:dyDescent="0.3">
      <c r="B20" s="310" t="str">
        <f>_xlfn.XLOOKUP(C20,Details!$G$5:$G$160,Details!$F$5:$F$160)</f>
        <v>VWR LAB PRODUCTS PRIVATE LIMITED</v>
      </c>
      <c r="C20" s="304" t="str">
        <v>33AACCV3080E1ZO</v>
      </c>
      <c r="D20" s="312">
        <f>SUMIFS(Details!$AM$5:$AM$160,Details!$G$5:$G$160,'Supplier Metrics'!C20)</f>
        <v>72034</v>
      </c>
      <c r="E20" s="304" t="str">
        <v>AAATB2599R</v>
      </c>
    </row>
    <row r="21" spans="2:5" x14ac:dyDescent="0.3">
      <c r="B21" s="310" t="str">
        <f>_xlfn.XLOOKUP(C21,Details!$G$5:$G$160,Details!$F$5:$F$160)</f>
        <v>SMARTSTREAM TECHNOLOGIES INDIA PRIVATE LIMITED</v>
      </c>
      <c r="C21" s="304" t="str">
        <v>29AAACG2086M1Z9</v>
      </c>
      <c r="D21" s="312">
        <f>SUMIFS(Details!$AM$5:$AM$160,Details!$G$5:$G$160,'Supplier Metrics'!C21)</f>
        <v>589050</v>
      </c>
      <c r="E21" s="304" t="str">
        <v>AACCD6343A</v>
      </c>
    </row>
    <row r="22" spans="2:5" x14ac:dyDescent="0.3">
      <c r="B22" s="310" t="str">
        <f>_xlfn.XLOOKUP(C22,Details!$G$5:$G$160,Details!$F$5:$F$160)</f>
        <v>SMARTSTREAM TECHNOLOGIES INDIA PRIVATE LIMITED</v>
      </c>
      <c r="C22" s="304" t="str">
        <v>27AAACG2086M2ZC</v>
      </c>
      <c r="D22" s="312">
        <f>SUMIFS(Details!$AM$5:$AM$160,Details!$G$5:$G$160,'Supplier Metrics'!C22)</f>
        <v>322245</v>
      </c>
      <c r="E22" s="304" t="str">
        <v>AAGCT8085R</v>
      </c>
    </row>
    <row r="23" spans="2:5" x14ac:dyDescent="0.3">
      <c r="B23" s="310" t="str">
        <f>_xlfn.XLOOKUP(C23,Details!$G$5:$G$160,Details!$F$5:$F$160)</f>
        <v>ARS  HYDROJET  SERVICES</v>
      </c>
      <c r="C23" s="304" t="str">
        <v>27AAQPC0353E1Z1</v>
      </c>
      <c r="D23" s="312">
        <f>SUMIFS(Details!$AM$5:$AM$160,Details!$G$5:$G$160,'Supplier Metrics'!C23)</f>
        <v>32886.44</v>
      </c>
      <c r="E23" s="304" t="str">
        <v>AADCC9166D</v>
      </c>
    </row>
    <row r="24" spans="2:5" x14ac:dyDescent="0.3">
      <c r="B24" s="310" t="str">
        <f>_xlfn.XLOOKUP(C24,Details!$G$5:$G$160,Details!$F$5:$F$160)</f>
        <v>AUROBINDO PHARMA LIMITED</v>
      </c>
      <c r="C24" s="304" t="str">
        <v>36AABCA7366H1ZL</v>
      </c>
      <c r="D24" s="312">
        <f>SUMIFS(Details!$AM$5:$AM$160,Details!$G$5:$G$160,'Supplier Metrics'!C24)</f>
        <v>1142432.8739999998</v>
      </c>
      <c r="E24" s="304" t="str">
        <v>AALCS0322F</v>
      </c>
    </row>
    <row r="25" spans="2:5" x14ac:dyDescent="0.3">
      <c r="B25" s="310" t="str">
        <f>_xlfn.XLOOKUP(C25,Details!$G$5:$G$160,Details!$F$5:$F$160)</f>
        <v>Birla Institute of Technology and Science Pilani Hyderabad Campus</v>
      </c>
      <c r="C25" s="304" t="str">
        <v>36AAATB2599R1Z0</v>
      </c>
      <c r="D25" s="312">
        <f>SUMIFS(Details!$AM$5:$AM$160,Details!$G$5:$G$160,'Supplier Metrics'!C25)</f>
        <v>365200</v>
      </c>
      <c r="E25" s="304" t="str">
        <v>AARCS0730K</v>
      </c>
    </row>
    <row r="26" spans="2:5" x14ac:dyDescent="0.3">
      <c r="B26" s="310" t="str">
        <f>_xlfn.XLOOKUP(C26,Details!$G$5:$G$160,Details!$F$5:$F$160)</f>
        <v>DOTSQUARES TECHNOLOGIES INDIA PRIVATE LIMITED</v>
      </c>
      <c r="C26" s="304" t="str">
        <v>08AACCD6343A1Z3</v>
      </c>
      <c r="D26" s="312">
        <f>SUMIFS(Details!$AM$5:$AM$160,Details!$G$5:$G$160,'Supplier Metrics'!C26)</f>
        <v>91500</v>
      </c>
    </row>
    <row r="27" spans="2:5" x14ac:dyDescent="0.3">
      <c r="B27" s="310" t="str">
        <f>_xlfn.XLOOKUP(C27,Details!$G$5:$G$160,Details!$F$5:$F$160)</f>
        <v>TERAFINA SOFTWARE SOLUTIONS PRIVATE LIMITED</v>
      </c>
      <c r="C27" s="304" t="str">
        <v>06AAGCT8085R1ZD</v>
      </c>
      <c r="D27" s="312">
        <f>SUMIFS(Details!$AM$5:$AM$160,Details!$G$5:$G$160,'Supplier Metrics'!C27)</f>
        <v>632203.20000000007</v>
      </c>
    </row>
    <row r="28" spans="2:5" x14ac:dyDescent="0.3">
      <c r="B28" s="310" t="str">
        <f>_xlfn.XLOOKUP(C28,Details!$G$5:$G$160,Details!$F$5:$F$160)</f>
        <v>COMPUTER EXCHANGE PVT LTD</v>
      </c>
      <c r="C28" s="304" t="str">
        <v>19AADCC9166D1ZJ</v>
      </c>
      <c r="D28" s="312">
        <f>SUMIFS(Details!$AM$5:$AM$160,Details!$G$5:$G$160,'Supplier Metrics'!C28)</f>
        <v>118644.40000000001</v>
      </c>
    </row>
    <row r="29" spans="2:5" x14ac:dyDescent="0.3">
      <c r="B29" s="310" t="str">
        <f>_xlfn.XLOOKUP(C29,Details!$G$5:$G$160,Details!$F$5:$F$160)</f>
        <v>SHREE MALANI FOAMS PRIVATE LIMITED</v>
      </c>
      <c r="C29" s="304" t="str">
        <v>36AALCS0322F1ZN</v>
      </c>
      <c r="D29" s="312">
        <f>SUMIFS(Details!$AM$5:$AM$160,Details!$G$5:$G$160,'Supplier Metrics'!C29)</f>
        <v>20412.469999999998</v>
      </c>
    </row>
    <row r="30" spans="2:5" x14ac:dyDescent="0.3">
      <c r="B30" s="310" t="str">
        <f>_xlfn.XLOOKUP(C30,Details!$G$5:$G$160,Details!$F$5:$F$160)</f>
        <v>SVATANTRA MICROFIN LIMITED</v>
      </c>
      <c r="C30" s="304" t="str">
        <v>20AARCS0730K1ZF</v>
      </c>
      <c r="D30" s="312">
        <f>SUMIFS(Details!$AM$5:$AM$160,Details!$G$5:$G$160,'Supplier Metrics'!C30)</f>
        <v>44830.563000000002</v>
      </c>
    </row>
    <row r="31" spans="2:5" x14ac:dyDescent="0.3">
      <c r="B31" s="310" t="str">
        <f>_xlfn.XLOOKUP(C31,Details!$G$5:$G$160,Details!$F$5:$F$160)</f>
        <v>SVATANTRA MICROFIN LIMITED</v>
      </c>
      <c r="C31" s="304" t="str">
        <v>10AARCS0730K1ZG</v>
      </c>
      <c r="D31" s="312">
        <f>SUMIFS(Details!$AM$5:$AM$160,Details!$G$5:$G$160,'Supplier Metrics'!C31)</f>
        <v>203135.78099999999</v>
      </c>
    </row>
    <row r="32" spans="2:5" x14ac:dyDescent="0.3">
      <c r="B32" s="310" t="str">
        <f>_xlfn.XLOOKUP(C32,Details!$G$5:$G$160,Details!$F$5:$F$160)</f>
        <v>AUROBINDO PHARMA LIMITED</v>
      </c>
      <c r="C32" s="304" t="str">
        <v>36AABCA7366H2ZK</v>
      </c>
      <c r="D32" s="312">
        <f>SUMIFS(Details!$AM$5:$AM$160,Details!$G$5:$G$160,'Supplier Metrics'!C32)</f>
        <v>166168.17300000001</v>
      </c>
    </row>
  </sheetData>
  <conditionalFormatting sqref="B1:B1048576">
    <cfRule type="duplicateValues" dxfId="5" priority="19838"/>
  </conditionalFormatting>
  <conditionalFormatting sqref="C4:C6">
    <cfRule type="duplicateValues" dxfId="4" priority="2004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2:AF18"/>
  <sheetViews>
    <sheetView showGridLines="0" showRowColHeaders="0" zoomScale="104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defaultColWidth="8.88671875" defaultRowHeight="14.4" x14ac:dyDescent="0.3"/>
  <cols>
    <col min="1" max="1" width="8.88671875" style="3"/>
    <col min="2" max="2" width="66.109375" style="3" bestFit="1" customWidth="1"/>
    <col min="3" max="3" width="15" style="3" bestFit="1" customWidth="1"/>
    <col min="4" max="4" width="18.77734375" style="3" bestFit="1" customWidth="1"/>
    <col min="5" max="5" width="10.6640625" style="3" bestFit="1" customWidth="1"/>
    <col min="6" max="6" width="9.21875" style="3" bestFit="1" customWidth="1"/>
    <col min="7" max="7" width="9" style="67" bestFit="1" customWidth="1"/>
    <col min="8" max="8" width="12.6640625" style="3" bestFit="1" customWidth="1"/>
    <col min="9" max="9" width="11.6640625" style="3" bestFit="1" customWidth="1"/>
    <col min="10" max="10" width="9.77734375" style="74" bestFit="1" customWidth="1"/>
    <col min="11" max="11" width="11.6640625" style="3" bestFit="1" customWidth="1"/>
    <col min="12" max="12" width="13.21875" style="74" bestFit="1" customWidth="1"/>
    <col min="13" max="13" width="17.21875" style="3" bestFit="1" customWidth="1"/>
    <col min="14" max="14" width="14.21875" style="3" bestFit="1" customWidth="1"/>
    <col min="15" max="15" width="8.88671875" style="3"/>
    <col min="16" max="16" width="34.109375" style="3" bestFit="1" customWidth="1"/>
    <col min="17" max="17" width="11.6640625" style="3" bestFit="1" customWidth="1"/>
    <col min="18" max="18" width="10.109375" style="3" bestFit="1" customWidth="1"/>
    <col min="19" max="19" width="17.88671875" style="3" bestFit="1" customWidth="1"/>
    <col min="20" max="20" width="16.5546875" style="3" bestFit="1" customWidth="1"/>
    <col min="21" max="21" width="8.88671875" style="3"/>
    <col min="22" max="22" width="13.6640625" style="3" bestFit="1" customWidth="1"/>
    <col min="23" max="23" width="66.109375" style="3" bestFit="1" customWidth="1"/>
    <col min="24" max="24" width="11.6640625" style="3" bestFit="1" customWidth="1"/>
    <col min="25" max="25" width="10.109375" style="3" bestFit="1" customWidth="1"/>
    <col min="26" max="27" width="11.6640625" style="3" bestFit="1" customWidth="1"/>
    <col min="28" max="31" width="10.109375" style="3" bestFit="1" customWidth="1"/>
    <col min="32" max="32" width="9" style="3" bestFit="1" customWidth="1"/>
    <col min="33" max="33" width="4.33203125" style="3" bestFit="1" customWidth="1"/>
    <col min="34" max="16384" width="8.88671875" style="3"/>
  </cols>
  <sheetData>
    <row r="2" spans="2:32" s="300" customFormat="1" x14ac:dyDescent="0.3">
      <c r="G2" s="301">
        <f>G3-Summary!P5</f>
        <v>0</v>
      </c>
      <c r="H2" s="300">
        <f>H3-Summary!Q6</f>
        <v>0</v>
      </c>
      <c r="I2" s="300">
        <f>I3-Summary!P12</f>
        <v>0</v>
      </c>
      <c r="J2" s="300">
        <f>J3-Summary!P13</f>
        <v>0</v>
      </c>
      <c r="K2" s="300">
        <f>K3+Details!BZ161</f>
        <v>0</v>
      </c>
      <c r="L2" s="302"/>
      <c r="M2" s="300">
        <f>M3-Summary!P19</f>
        <v>-16</v>
      </c>
    </row>
    <row r="3" spans="2:32" s="68" customFormat="1" ht="15" thickBot="1" x14ac:dyDescent="0.35">
      <c r="C3" s="68">
        <f>COUNTA(_xlfn.ANCHORARRAY(C5))</f>
        <v>14</v>
      </c>
      <c r="D3" s="68">
        <f>COUNTA(_xlfn.ANCHORARRAY(D5))</f>
        <v>14</v>
      </c>
      <c r="G3" s="80">
        <f>SUM(G$5:G87)</f>
        <v>11328.810000000001</v>
      </c>
      <c r="H3" s="68">
        <f>SUM(H$5:H87)</f>
        <v>6660989.7384000001</v>
      </c>
      <c r="I3" s="68">
        <f>SUM(I$5:I87)</f>
        <v>1056223.7014000001</v>
      </c>
      <c r="J3" s="69">
        <f>I3/H3</f>
        <v>0.15856858258029832</v>
      </c>
      <c r="K3" s="68">
        <f>SUM(K$5:K87)</f>
        <v>0</v>
      </c>
      <c r="L3" s="69">
        <f>K3/H3</f>
        <v>0</v>
      </c>
      <c r="M3" s="68">
        <f>SUM(M$5:M87)</f>
        <v>24</v>
      </c>
      <c r="N3" s="68">
        <f>SUBTOTAL(1,N5:N87)</f>
        <v>414664.22092467535</v>
      </c>
      <c r="P3" s="75" t="s">
        <v>172</v>
      </c>
      <c r="R3" s="68">
        <f>SUM(R5:R7)</f>
        <v>183606.59900000005</v>
      </c>
      <c r="S3" s="69">
        <f>SUM(Q5:Q7)/$H$3</f>
        <v>0.20913850249146632</v>
      </c>
      <c r="T3" s="69">
        <f>SUM(R5:R7)/$I$3</f>
        <v>0.17383306089101555</v>
      </c>
      <c r="X3" s="68">
        <f t="shared" ref="X3:AF3" si="0">SUBTOTAL(9,X5:X27)</f>
        <v>639432.41</v>
      </c>
      <c r="Y3" s="68">
        <f t="shared" si="0"/>
        <v>0</v>
      </c>
      <c r="Z3" s="68">
        <f t="shared" si="0"/>
        <v>301827.3</v>
      </c>
      <c r="AA3" s="68">
        <f t="shared" si="0"/>
        <v>0</v>
      </c>
      <c r="AB3" s="68">
        <f t="shared" si="0"/>
        <v>0</v>
      </c>
      <c r="AC3" s="68">
        <f t="shared" si="0"/>
        <v>0</v>
      </c>
      <c r="AD3" s="68">
        <f t="shared" si="0"/>
        <v>0</v>
      </c>
      <c r="AE3" s="68">
        <f t="shared" si="0"/>
        <v>0</v>
      </c>
      <c r="AF3" s="68">
        <f t="shared" si="0"/>
        <v>0</v>
      </c>
    </row>
    <row r="4" spans="2:32" ht="15" thickBot="1" x14ac:dyDescent="0.35">
      <c r="B4" s="72" t="s">
        <v>69</v>
      </c>
      <c r="C4" s="72" t="s">
        <v>179</v>
      </c>
      <c r="D4" s="72" t="s">
        <v>187</v>
      </c>
      <c r="E4" s="72" t="s">
        <v>183</v>
      </c>
      <c r="F4" s="72" t="s">
        <v>184</v>
      </c>
      <c r="G4" s="78" t="s">
        <v>76</v>
      </c>
      <c r="H4" s="76" t="s">
        <v>151</v>
      </c>
      <c r="I4" s="76" t="s">
        <v>53</v>
      </c>
      <c r="J4" s="76" t="s">
        <v>152</v>
      </c>
      <c r="K4" s="76" t="s">
        <v>153</v>
      </c>
      <c r="L4" s="76" t="s">
        <v>154</v>
      </c>
      <c r="M4" s="73" t="s">
        <v>157</v>
      </c>
      <c r="N4" s="73" t="s">
        <v>158</v>
      </c>
      <c r="P4" s="72" t="s">
        <v>161</v>
      </c>
      <c r="Q4" s="72" t="s">
        <v>151</v>
      </c>
      <c r="R4" s="73" t="s">
        <v>53</v>
      </c>
      <c r="S4" s="72" t="s">
        <v>159</v>
      </c>
      <c r="T4" s="73" t="s">
        <v>162</v>
      </c>
      <c r="V4" s="327" t="s">
        <v>271</v>
      </c>
      <c r="W4" s="328" t="s">
        <v>69</v>
      </c>
      <c r="X4" s="328" t="str" cm="1">
        <f t="array" ref="X4:AA4">TRANSPOSE(_xlfn.UNIQUE(Details!C5:C160))</f>
        <v>Apr-26</v>
      </c>
      <c r="Y4" s="328" t="str">
        <v>May-26</v>
      </c>
      <c r="Z4" s="328" t="str">
        <v>Jun-26</v>
      </c>
      <c r="AA4" s="328">
        <v>0</v>
      </c>
      <c r="AB4" s="231"/>
      <c r="AC4" s="231"/>
      <c r="AD4" s="231"/>
      <c r="AE4" s="231"/>
      <c r="AF4" s="231"/>
    </row>
    <row r="5" spans="2:32" x14ac:dyDescent="0.3">
      <c r="B5" s="67" t="str">
        <f>(_xlfn.XLOOKUP(D5,Details!$AR$5:$AR$160,Details!$AQ$5:$AQ$160))</f>
        <v>TRADEWIND BUSINESS SOLUTIONS LLP</v>
      </c>
      <c r="C5" s="66" t="str" cm="1">
        <f t="array" ref="C5:C18">_xlfn.UNIQUE(MID(_xlfn._TRO_TRAILING(Details!AR5:AR160),3,10))</f>
        <v>AARFT3586D</v>
      </c>
      <c r="D5" s="66" t="str" cm="1">
        <f t="array" ref="D5:D18">_xlfn.UNIQUE(_xlfn._TRO_TRAILING(Details!AR5:AR160))</f>
        <v>07AARFT3586D1ZR</v>
      </c>
      <c r="E5" s="67" t="str">
        <f>_xlfn.XLOOKUP(D5,POC!B:B,POC!D:D)</f>
        <v>Praveen</v>
      </c>
      <c r="F5" s="67">
        <f>_xlfn.XLOOKUP(D5,POC!B:B,POC!E:E)</f>
        <v>0</v>
      </c>
      <c r="G5" s="67">
        <f>SUMIFS(Details!$BB$5:$BB160,Details!$AR$5:$AR160,'Buyer Metrics'!$D5)</f>
        <v>998</v>
      </c>
      <c r="H5" s="67">
        <f>SUMIFS(Details!$BO$5:$BO160,Details!$AR$5:$AR160,'Buyer Metrics'!$D5)</f>
        <v>941259.71</v>
      </c>
      <c r="I5" s="12">
        <f>SUMIFS(Details!$BP$5:$BP160,Details!$AR$5:$AR160,'Buyer Metrics'!$D5)</f>
        <v>119089.57000000007</v>
      </c>
      <c r="J5" s="70">
        <f>I5/H5</f>
        <v>0.12652147832822896</v>
      </c>
      <c r="K5" s="12">
        <f>-SUMIFS(Details!$BM$5:$BM160,Details!$AR$5:$AR160,'Buyer Metrics'!$D5)</f>
        <v>0</v>
      </c>
      <c r="L5" s="71">
        <f>K5/H5</f>
        <v>0</v>
      </c>
      <c r="M5" s="12" cm="1">
        <f t="array" ref="M5">COUNTA(_xlfn.UNIQUE(_xlfn._xlws.FILTER(Details!AO5:AO160,Details!AR5:AR160='Buyer Metrics'!$D5)))</f>
        <v>11</v>
      </c>
      <c r="N5" s="12">
        <f>H5/M5</f>
        <v>85569.064545454545</v>
      </c>
      <c r="P5" s="66" t="str">
        <f>_xlfn.XLOOKUP(Q5,$H$5:$H$6,$B$5:$B$6)</f>
        <v>TRADEWIND BUSINESS SOLUTIONS LLP</v>
      </c>
      <c r="Q5" s="12">
        <f>LARGE($H$5:$H$6,1)</f>
        <v>941259.71</v>
      </c>
      <c r="R5" s="12">
        <f>_xlfn.XLOOKUP(P5,B:B,I:I)</f>
        <v>119089.57000000007</v>
      </c>
      <c r="S5" s="77">
        <f>Q5/$H$3</f>
        <v>0.14130928690277411</v>
      </c>
      <c r="T5" s="77">
        <f t="shared" ref="T5:T6" si="1">R5/$I$3</f>
        <v>0.11275032916052688</v>
      </c>
      <c r="V5" s="3" t="str" cm="1">
        <f t="array" ref="V5">_xlfn.UNIQUE(Details!CV5:CV5)</f>
        <v>AARFT3586D</v>
      </c>
      <c r="W5" s="3" t="str">
        <f>_xlfn.XLOOKUP(V5,Details!CV:CV,Details!AQ:AQ)</f>
        <v>TRADEWIND BUSINESS SOLUTIONS LLP</v>
      </c>
      <c r="X5" s="3">
        <f>SUMIFS(Details!$BO:$BO,Details!$CV:$CV,'Buyer Metrics'!$V5,Details!$C:$C,'Buyer Metrics'!X$4)</f>
        <v>639432.41</v>
      </c>
      <c r="Y5" s="3">
        <f>SUMIFS(Details!$BO:$BO,Details!$CV:$CV,'Buyer Metrics'!$V5,Details!$C:$C,'Buyer Metrics'!Y$4)</f>
        <v>0</v>
      </c>
      <c r="Z5" s="3">
        <f>SUMIFS(Details!$BO:$BO,Details!$CV:$CV,'Buyer Metrics'!$V5,Details!$C:$C,'Buyer Metrics'!Z$4)</f>
        <v>301827.3</v>
      </c>
      <c r="AA5" s="3">
        <f>SUMIFS(Details!$BO:$BO,Details!$CV:$CV,'Buyer Metrics'!$V5,Details!$C:$C,'Buyer Metrics'!AA$4)</f>
        <v>0</v>
      </c>
      <c r="AB5" s="3">
        <f>SUMIFS(Details!$BO:$BO,Details!$CV:$CV,'Buyer Metrics'!$V5,Details!$C:$C,'Buyer Metrics'!AB$4)</f>
        <v>0</v>
      </c>
      <c r="AC5" s="3">
        <f>SUMIFS(Details!$BO:$BO,Details!$CV:$CV,'Buyer Metrics'!$V5,Details!$C:$C,'Buyer Metrics'!AC$4)</f>
        <v>0</v>
      </c>
      <c r="AD5" s="3">
        <f>SUMIFS(Details!$BO:$BO,Details!$CV:$CV,'Buyer Metrics'!$V5,Details!$C:$C,'Buyer Metrics'!AD$4)</f>
        <v>0</v>
      </c>
      <c r="AE5" s="3">
        <f>SUMIFS(Details!$BO:$BO,Details!$CV:$CV,'Buyer Metrics'!$V5,Details!$C:$C,'Buyer Metrics'!AE$4)</f>
        <v>0</v>
      </c>
      <c r="AF5" s="3">
        <f>SUMIFS(Details!$BO:$BO,Details!$CV:$CV,'Buyer Metrics'!$V5,Details!$C:$C,'Buyer Metrics'!AF$4)</f>
        <v>0</v>
      </c>
    </row>
    <row r="6" spans="2:32" x14ac:dyDescent="0.3">
      <c r="B6" s="67" t="str">
        <f>(_xlfn.XLOOKUP(D6,Details!$AR$5:$AR$160,Details!$AQ$5:$AQ$160))</f>
        <v>RETECK ENVIROTECH PRIVATE LIMITED</v>
      </c>
      <c r="C6" s="66" t="str">
        <v>AAHCR2638B</v>
      </c>
      <c r="D6" s="66" t="str">
        <v>27AAHCR2638B1ZK</v>
      </c>
      <c r="E6" s="67" t="str">
        <f>_xlfn.XLOOKUP(D6,POC!B:B,POC!D:D)</f>
        <v>Praveen</v>
      </c>
      <c r="F6" s="67">
        <f>_xlfn.XLOOKUP(D6,POC!B:B,POC!E:E)</f>
        <v>0</v>
      </c>
      <c r="G6" s="67">
        <f>SUMIFS(Details!$BB$5:$BB161,Details!$AR$5:$AR161,'Buyer Metrics'!$D6)</f>
        <v>1832.26</v>
      </c>
      <c r="H6" s="67">
        <f>SUMIFS(Details!$BO$5:$BO161,Details!$AR$5:$AR161,'Buyer Metrics'!$D6)</f>
        <v>451809.70900000003</v>
      </c>
      <c r="I6" s="12">
        <f>SUMIFS(Details!$BP$5:$BP161,Details!$AR$5:$AR161,'Buyer Metrics'!$D6)</f>
        <v>64517.028999999995</v>
      </c>
      <c r="J6" s="70">
        <f t="shared" ref="J6" si="2">I6/H6</f>
        <v>0.14279690700493555</v>
      </c>
      <c r="K6" s="12">
        <f>-SUMIFS(Details!$BM$5:$BM161,Details!$AR$5:$AR161,'Buyer Metrics'!$D6)</f>
        <v>0</v>
      </c>
      <c r="L6" s="71">
        <f t="shared" ref="L6" si="3">K6/H6</f>
        <v>0</v>
      </c>
      <c r="M6" s="12" cm="1">
        <f t="array" ref="M6">COUNTA(_xlfn.UNIQUE(_xlfn._xlws.FILTER(Details!AO160:AO161,Details!AR160:AR161='Buyer Metrics'!$D6)))</f>
        <v>1</v>
      </c>
      <c r="N6" s="12">
        <f t="shared" ref="N6" si="4">H6/M6</f>
        <v>451809.70900000003</v>
      </c>
      <c r="P6" s="66" t="str">
        <f>_xlfn.XLOOKUP(Q6,$H$5:$H$6,$B$5:$B$6)</f>
        <v>RETECK ENVIROTECH PRIVATE LIMITED</v>
      </c>
      <c r="Q6" s="12">
        <f>LARGE($H$5:$H$6,2)</f>
        <v>451809.70900000003</v>
      </c>
      <c r="R6" s="12">
        <f>_xlfn.XLOOKUP(P6,B:B,I:I)</f>
        <v>64517.028999999995</v>
      </c>
      <c r="S6" s="77">
        <f t="shared" ref="S6" si="5">Q6/$H$3</f>
        <v>6.782921558869219E-2</v>
      </c>
      <c r="T6" s="77">
        <f t="shared" si="1"/>
        <v>6.1082731730488685E-2</v>
      </c>
    </row>
    <row r="7" spans="2:32" x14ac:dyDescent="0.3">
      <c r="B7" s="67" t="str">
        <f>(_xlfn.XLOOKUP(D7,Details!$AR$5:$AR$160,Details!$AQ$5:$AQ$160))</f>
        <v>FALAH ENTERPRISES</v>
      </c>
      <c r="C7" s="3" t="str">
        <v>DAKPA5526G</v>
      </c>
      <c r="D7" s="3" t="str">
        <v>29DAKPA5526G1ZP</v>
      </c>
      <c r="E7" s="67" t="str">
        <f>_xlfn.XLOOKUP(D7,POC!B:B,POC!D:D)</f>
        <v>Praveen</v>
      </c>
      <c r="F7" s="67">
        <f>_xlfn.XLOOKUP(D7,POC!B:B,POC!E:E)</f>
        <v>0</v>
      </c>
      <c r="G7" s="67">
        <f>SUMIFS(Details!$BB$5:$BB162,Details!$AR$5:$AR162,'Buyer Metrics'!$D7)</f>
        <v>2854</v>
      </c>
      <c r="H7" s="67">
        <f>SUMIFS(Details!$BO$5:$BO162,Details!$AR$5:$AR162,'Buyer Metrics'!$D7)</f>
        <v>1354578.05</v>
      </c>
      <c r="I7" s="12">
        <f>SUMIFS(Details!$BP$5:$BP162,Details!$AR$5:$AR162,'Buyer Metrics'!$D7)</f>
        <v>171502.13699999996</v>
      </c>
      <c r="J7" s="70">
        <f t="shared" ref="J7" si="6">I7/H7</f>
        <v>0.1266092692111761</v>
      </c>
      <c r="K7" s="12">
        <f>-SUMIFS(Details!$BM$5:$BM162,Details!$AR$5:$AR162,'Buyer Metrics'!$D7)</f>
        <v>0</v>
      </c>
      <c r="L7" s="71">
        <f t="shared" ref="L7" si="7">K7/H7</f>
        <v>0</v>
      </c>
      <c r="M7" s="12" cm="1">
        <f t="array" ref="M7">COUNTA(_xlfn.UNIQUE(_xlfn._xlws.FILTER(Details!AO161:AO162,Details!AR161:AR162='Buyer Metrics'!$D7)))</f>
        <v>1</v>
      </c>
      <c r="N7" s="12">
        <f t="shared" ref="N7" si="8">H7/M7</f>
        <v>1354578.05</v>
      </c>
      <c r="P7" s="66"/>
    </row>
    <row r="8" spans="2:32" x14ac:dyDescent="0.3">
      <c r="B8" s="67" t="str">
        <f>(_xlfn.XLOOKUP(D8,Details!$AR$5:$AR$160,Details!$AQ$5:$AQ$160))</f>
        <v>GREENLIFE EWASTE RECYCLING PRIVATE LIMITED</v>
      </c>
      <c r="C8" s="3" t="str">
        <v>AAJCG6268L</v>
      </c>
      <c r="D8" s="3" t="str">
        <v>27AAJCG6268L1ZY</v>
      </c>
      <c r="E8" s="67">
        <f>_xlfn.XLOOKUP(D8,POC!B:B,POC!D:D)</f>
        <v>0</v>
      </c>
      <c r="F8" s="67">
        <f>_xlfn.XLOOKUP(D8,POC!B:B,POC!E:E)</f>
        <v>0</v>
      </c>
      <c r="G8" s="67">
        <f>SUMIFS(Details!$BB$5:$BB163,Details!$AR$5:$AR163,'Buyer Metrics'!$D8)</f>
        <v>34</v>
      </c>
      <c r="H8" s="67">
        <f>SUMIFS(Details!$BO$5:$BO163,Details!$AR$5:$AR163,'Buyer Metrics'!$D8)</f>
        <v>417524.07999999996</v>
      </c>
      <c r="I8" s="12">
        <f>SUMIFS(Details!$BP$5:$BP163,Details!$AR$5:$AR163,'Buyer Metrics'!$D8)</f>
        <v>109476.02999999997</v>
      </c>
      <c r="J8" s="70">
        <f t="shared" ref="J8:J11" si="9">I8/H8</f>
        <v>0.26220291294336839</v>
      </c>
      <c r="K8" s="12">
        <f>-SUMIFS(Details!$BM$5:$BM163,Details!$AR$5:$AR163,'Buyer Metrics'!$D8)</f>
        <v>0</v>
      </c>
      <c r="L8" s="71">
        <f t="shared" ref="L8:L11" si="10">K8/H8</f>
        <v>0</v>
      </c>
      <c r="M8" s="12" cm="1">
        <f t="array" ref="M8">COUNTA(_xlfn.UNIQUE(_xlfn._xlws.FILTER(Details!AO162:AO163,Details!AR162:AR163='Buyer Metrics'!$D8)))</f>
        <v>1</v>
      </c>
      <c r="N8" s="12">
        <f t="shared" ref="N8:N11" si="11">H8/M8</f>
        <v>417524.07999999996</v>
      </c>
    </row>
    <row r="9" spans="2:32" x14ac:dyDescent="0.3">
      <c r="B9" s="67" t="str">
        <f>(_xlfn.XLOOKUP(D9,Details!$AR$5:$AR$160,Details!$AQ$5:$AQ$160))</f>
        <v>Bhangarwala Waste Management Private Limited</v>
      </c>
      <c r="C9" s="3" t="str">
        <v>AAKCB5757A</v>
      </c>
      <c r="D9" s="3" t="str">
        <v>27AAKCB5757A2ZO</v>
      </c>
      <c r="E9" s="67">
        <f>_xlfn.XLOOKUP(D9,POC!B:B,POC!D:D)</f>
        <v>0</v>
      </c>
      <c r="F9" s="67">
        <f>_xlfn.XLOOKUP(D9,POC!B:B,POC!E:E)</f>
        <v>0</v>
      </c>
      <c r="G9" s="67">
        <f>SUMIFS(Details!$BB$5:$BB164,Details!$AR$5:$AR164,'Buyer Metrics'!$D9)</f>
        <v>2711.55</v>
      </c>
      <c r="H9" s="67">
        <f>SUMIFS(Details!$BO$5:$BO164,Details!$AR$5:$AR164,'Buyer Metrics'!$D9)</f>
        <v>450572.84040000004</v>
      </c>
      <c r="I9" s="12">
        <f>SUMIFS(Details!$BP$5:$BP164,Details!$AR$5:$AR164,'Buyer Metrics'!$D9)</f>
        <v>220091.09040000002</v>
      </c>
      <c r="J9" s="70">
        <f t="shared" si="9"/>
        <v>0.48846950074623269</v>
      </c>
      <c r="K9" s="12">
        <f>-SUMIFS(Details!$BM$5:$BM164,Details!$AR$5:$AR164,'Buyer Metrics'!$D9)</f>
        <v>0</v>
      </c>
      <c r="L9" s="71">
        <f t="shared" si="10"/>
        <v>0</v>
      </c>
      <c r="M9" s="12" cm="1">
        <f t="array" ref="M9">COUNTA(_xlfn.UNIQUE(_xlfn._xlws.FILTER(Details!AO163:AO164,Details!AR163:AR164='Buyer Metrics'!$D9)))</f>
        <v>1</v>
      </c>
      <c r="N9" s="12">
        <f t="shared" si="11"/>
        <v>450572.84040000004</v>
      </c>
    </row>
    <row r="10" spans="2:32" x14ac:dyDescent="0.3">
      <c r="B10" s="67">
        <f>(_xlfn.XLOOKUP(D10,Details!$AR$5:$AR$160,Details!$AQ$5:$AQ$160))</f>
        <v>0</v>
      </c>
      <c r="C10" s="3" t="str">
        <v/>
      </c>
      <c r="D10" s="3">
        <v>0</v>
      </c>
      <c r="E10" s="67">
        <f>_xlfn.XLOOKUP(D10,POC!B:B,POC!D:D)</f>
        <v>0</v>
      </c>
      <c r="F10" s="67">
        <f>_xlfn.XLOOKUP(D10,POC!B:B,POC!E:E)</f>
        <v>0</v>
      </c>
      <c r="G10" s="67">
        <f>SUMIFS(Details!$BB$5:$BB165,Details!$AR$5:$AR165,'Buyer Metrics'!$D10)</f>
        <v>0</v>
      </c>
      <c r="H10" s="67">
        <f>SUMIFS(Details!$BO$5:$BO165,Details!$AR$5:$AR165,'Buyer Metrics'!$D10)</f>
        <v>0</v>
      </c>
      <c r="I10" s="12">
        <f>SUMIFS(Details!$BP$5:$BP165,Details!$AR$5:$AR165,'Buyer Metrics'!$D10)</f>
        <v>-108000</v>
      </c>
      <c r="J10" s="70" t="e">
        <f t="shared" si="9"/>
        <v>#DIV/0!</v>
      </c>
      <c r="K10" s="12">
        <f>-SUMIFS(Details!$BM$5:$BM165,Details!$AR$5:$AR165,'Buyer Metrics'!$D10)</f>
        <v>0</v>
      </c>
      <c r="L10" s="71" t="e">
        <f t="shared" si="10"/>
        <v>#DIV/0!</v>
      </c>
      <c r="M10" s="12" cm="1">
        <f t="array" ref="M10">COUNTA(_xlfn.UNIQUE(_xlfn._xlws.FILTER(Details!AO164:AO165,Details!AR164:AR165='Buyer Metrics'!$D10)))</f>
        <v>1</v>
      </c>
      <c r="N10" s="12">
        <f t="shared" si="11"/>
        <v>0</v>
      </c>
    </row>
    <row r="11" spans="2:32" x14ac:dyDescent="0.3">
      <c r="B11" s="67" t="str">
        <f>(_xlfn.XLOOKUP(D11,Details!$AR$5:$AR$160,Details!$AQ$5:$AQ$160))</f>
        <v>Genpact India Private Limited</v>
      </c>
      <c r="C11" s="3" t="str">
        <v>AABCE4461B</v>
      </c>
      <c r="D11" s="3" t="str">
        <v>09AABCE4461B2ZZ</v>
      </c>
      <c r="E11" s="67">
        <f>_xlfn.XLOOKUP(D11,POC!B:B,POC!D:D)</f>
        <v>0</v>
      </c>
      <c r="F11" s="67">
        <f>_xlfn.XLOOKUP(D11,POC!B:B,POC!E:E)</f>
        <v>0</v>
      </c>
      <c r="G11" s="67">
        <f>SUMIFS(Details!$BB$5:$BB166,Details!$AR$5:$AR166,'Buyer Metrics'!$D11)</f>
        <v>1401</v>
      </c>
      <c r="H11" s="67">
        <f>SUMIFS(Details!$BO$5:$BO166,Details!$AR$5:$AR166,'Buyer Metrics'!$D11)</f>
        <v>291520.70199999999</v>
      </c>
      <c r="I11" s="12">
        <f>SUMIFS(Details!$BP$5:$BP166,Details!$AR$5:$AR166,'Buyer Metrics'!$D11)</f>
        <v>291520.70199999999</v>
      </c>
      <c r="J11" s="70">
        <f t="shared" si="9"/>
        <v>1</v>
      </c>
      <c r="K11" s="12">
        <f>-SUMIFS(Details!$BM$5:$BM166,Details!$AR$5:$AR166,'Buyer Metrics'!$D11)</f>
        <v>0</v>
      </c>
      <c r="L11" s="71">
        <f t="shared" si="10"/>
        <v>0</v>
      </c>
      <c r="M11" s="12" cm="1">
        <f t="array" ref="M11">COUNTA(_xlfn.UNIQUE(_xlfn._xlws.FILTER(Details!AO165:AO166,Details!AR165:AR166='Buyer Metrics'!$D11)))</f>
        <v>1</v>
      </c>
      <c r="N11" s="12">
        <f t="shared" si="11"/>
        <v>291520.70199999999</v>
      </c>
    </row>
    <row r="12" spans="2:32" x14ac:dyDescent="0.3">
      <c r="B12" s="67" t="str">
        <f>(_xlfn.XLOOKUP(D12,Details!$AR$5:$AR$160,Details!$AQ$5:$AQ$160))</f>
        <v>LIGHTNING COMPUTECH</v>
      </c>
      <c r="C12" s="3" t="str">
        <v>GOWPS6814G</v>
      </c>
      <c r="D12" s="3" t="str">
        <v>29GOWPS6814G2ZX</v>
      </c>
      <c r="E12" s="67">
        <f>_xlfn.XLOOKUP(D12,POC!B:B,POC!D:D)</f>
        <v>0</v>
      </c>
      <c r="F12" s="67">
        <f>_xlfn.XLOOKUP(D12,POC!B:B,POC!E:E)</f>
        <v>0</v>
      </c>
      <c r="G12" s="67">
        <f>SUMIFS(Details!$BB$5:$BB167,Details!$AR$5:$AR167,'Buyer Metrics'!$D12)</f>
        <v>441</v>
      </c>
      <c r="H12" s="67">
        <f>SUMIFS(Details!$BO$5:$BO167,Details!$AR$5:$AR167,'Buyer Metrics'!$D12)</f>
        <v>644980.58100000001</v>
      </c>
      <c r="I12" s="12">
        <f>SUMIFS(Details!$BP$5:$BP167,Details!$AR$5:$AR167,'Buyer Metrics'!$D12)</f>
        <v>48578.041000000012</v>
      </c>
      <c r="J12" s="70">
        <f t="shared" ref="J12" si="12">I12/H12</f>
        <v>7.531705981703038E-2</v>
      </c>
      <c r="K12" s="12">
        <f>-SUMIFS(Details!$BM$5:$BM167,Details!$AR$5:$AR167,'Buyer Metrics'!$D12)</f>
        <v>0</v>
      </c>
      <c r="L12" s="71">
        <f t="shared" ref="L12" si="13">K12/H12</f>
        <v>0</v>
      </c>
      <c r="M12" s="12" cm="1">
        <f t="array" ref="M12">COUNTA(_xlfn.UNIQUE(_xlfn._xlws.FILTER(Details!AO166:AO167,Details!AR166:AR167='Buyer Metrics'!$D12)))</f>
        <v>1</v>
      </c>
      <c r="N12" s="12">
        <f t="shared" ref="N12" si="14">H12/M12</f>
        <v>644980.58100000001</v>
      </c>
    </row>
    <row r="13" spans="2:32" x14ac:dyDescent="0.3">
      <c r="B13" s="67" t="str">
        <f>(_xlfn.XLOOKUP(D13,Details!$AR$5:$AR$160,Details!$AQ$5:$AQ$160))</f>
        <v>CONNECT INFO SOLUTIONS INDIA PRIVATE LIMITED</v>
      </c>
      <c r="C13" s="3" t="str">
        <v>AAFCC0260J</v>
      </c>
      <c r="D13" s="3" t="str">
        <v>27AAFCC0260J1ZU</v>
      </c>
      <c r="E13" s="67">
        <f>_xlfn.XLOOKUP(D13,POC!B:B,POC!D:D)</f>
        <v>0</v>
      </c>
      <c r="F13" s="67">
        <f>_xlfn.XLOOKUP(D13,POC!B:B,POC!E:E)</f>
        <v>0</v>
      </c>
      <c r="G13" s="67">
        <f>SUMIFS(Details!$BB$5:$BB168,Details!$AR$5:$AR168,'Buyer Metrics'!$D13)</f>
        <v>2</v>
      </c>
      <c r="H13" s="67">
        <f>SUMIFS(Details!$BO$5:$BO168,Details!$AR$5:$AR168,'Buyer Metrics'!$D13)</f>
        <v>972083.75</v>
      </c>
      <c r="I13" s="12">
        <f>SUMIFS(Details!$BP$5:$BP168,Details!$AR$5:$AR168,'Buyer Metrics'!$D13)</f>
        <v>60788.749999999942</v>
      </c>
      <c r="J13" s="70">
        <f t="shared" ref="J13" si="15">I13/H13</f>
        <v>6.2534478124955731E-2</v>
      </c>
      <c r="K13" s="12">
        <f>-SUMIFS(Details!$BM$5:$BM168,Details!$AR$5:$AR168,'Buyer Metrics'!$D13)</f>
        <v>0</v>
      </c>
      <c r="L13" s="71">
        <f t="shared" ref="L13" si="16">K13/H13</f>
        <v>0</v>
      </c>
      <c r="M13" s="12" cm="1">
        <f t="array" ref="M13">COUNTA(_xlfn.UNIQUE(_xlfn._xlws.FILTER(Details!AO167:AO168,Details!AR167:AR168='Buyer Metrics'!$D13)))</f>
        <v>1</v>
      </c>
      <c r="N13" s="12">
        <f t="shared" ref="N13" si="17">H13/M13</f>
        <v>972083.75</v>
      </c>
    </row>
    <row r="14" spans="2:32" x14ac:dyDescent="0.3">
      <c r="B14" s="67" t="str">
        <f>(_xlfn.XLOOKUP(D14,Details!$AR$5:$AR$160,Details!$AQ$5:$AQ$160))</f>
        <v>A N TRADERS</v>
      </c>
      <c r="C14" s="3" t="str">
        <v>ACHFA4592Q</v>
      </c>
      <c r="D14" s="3" t="str">
        <v>36ACHFA4592Q1ZO</v>
      </c>
      <c r="E14" s="67">
        <f>_xlfn.XLOOKUP(D14,POC!B:B,POC!D:D)</f>
        <v>0</v>
      </c>
      <c r="F14" s="67">
        <f>_xlfn.XLOOKUP(D14,POC!B:B,POC!E:E)</f>
        <v>0</v>
      </c>
      <c r="G14" s="67">
        <f>SUMIFS(Details!$BB$5:$BB169,Details!$AR$5:$AR169,'Buyer Metrics'!$D14)</f>
        <v>70</v>
      </c>
      <c r="H14" s="67">
        <f>SUMIFS(Details!$BO$5:$BO169,Details!$AR$5:$AR169,'Buyer Metrics'!$D14)</f>
        <v>314223.89799999999</v>
      </c>
      <c r="I14" s="12">
        <f>SUMIFS(Details!$BP$5:$BP169,Details!$AR$5:$AR169,'Buyer Metrics'!$D14)</f>
        <v>32085.323999999986</v>
      </c>
      <c r="J14" s="70">
        <f t="shared" ref="J14" si="18">I14/H14</f>
        <v>0.10210975105400795</v>
      </c>
      <c r="K14" s="12">
        <f>-SUMIFS(Details!$BM$5:$BM169,Details!$AR$5:$AR169,'Buyer Metrics'!$D14)</f>
        <v>0</v>
      </c>
      <c r="L14" s="71">
        <f t="shared" ref="L14" si="19">K14/H14</f>
        <v>0</v>
      </c>
      <c r="M14" s="12" cm="1">
        <f t="array" ref="M14">COUNTA(_xlfn.UNIQUE(_xlfn._xlws.FILTER(Details!AO168:AO169,Details!AR168:AR169='Buyer Metrics'!$D14)))</f>
        <v>1</v>
      </c>
      <c r="N14" s="12">
        <f t="shared" ref="N14" si="20">H14/M14</f>
        <v>314223.89799999999</v>
      </c>
    </row>
    <row r="15" spans="2:32" x14ac:dyDescent="0.3">
      <c r="B15" s="67" t="str">
        <f>(_xlfn.XLOOKUP(D15,Details!$AR$5:$AR$160,Details!$AQ$5:$AQ$160))</f>
        <v>I.K. COMPUTERS</v>
      </c>
      <c r="C15" s="3" t="str">
        <v>CDXPK0245F</v>
      </c>
      <c r="D15" s="3" t="str">
        <v>27CDXPK0245F1ZD</v>
      </c>
      <c r="E15" s="67">
        <f>_xlfn.XLOOKUP(D15,POC!B:B,POC!D:D)</f>
        <v>0</v>
      </c>
      <c r="F15" s="67">
        <f>_xlfn.XLOOKUP(D15,POC!B:B,POC!E:E)</f>
        <v>0</v>
      </c>
      <c r="G15" s="67">
        <f>SUMIFS(Details!$BB$5:$BB170,Details!$AR$5:$AR170,'Buyer Metrics'!$D15)</f>
        <v>3</v>
      </c>
      <c r="H15" s="67">
        <f>SUMIFS(Details!$BO$5:$BO170,Details!$AR$5:$AR170,'Buyer Metrics'!$D15)</f>
        <v>6302</v>
      </c>
      <c r="I15" s="12">
        <f>SUMIFS(Details!$BP$5:$BP170,Details!$AR$5:$AR170,'Buyer Metrics'!$D15)</f>
        <v>1700.6800000000003</v>
      </c>
      <c r="J15" s="70">
        <f t="shared" ref="J15:J17" si="21">I15/H15</f>
        <v>0.26986353538559193</v>
      </c>
      <c r="K15" s="12">
        <f>-SUMIFS(Details!$BM$5:$BM170,Details!$AR$5:$AR170,'Buyer Metrics'!$D15)</f>
        <v>0</v>
      </c>
      <c r="L15" s="71">
        <f t="shared" ref="L15:L17" si="22">K15/H15</f>
        <v>0</v>
      </c>
      <c r="M15" s="12" cm="1">
        <f t="array" ref="M15">COUNTA(_xlfn.UNIQUE(_xlfn._xlws.FILTER(Details!AO169:AO170,Details!AR169:AR170='Buyer Metrics'!$D15)))</f>
        <v>1</v>
      </c>
      <c r="N15" s="12">
        <f t="shared" ref="N15:N17" si="23">H15/M15</f>
        <v>6302</v>
      </c>
    </row>
    <row r="16" spans="2:32" x14ac:dyDescent="0.3">
      <c r="B16" s="67" t="str">
        <f>(_xlfn.XLOOKUP(D16,Details!$AR$5:$AR$160,Details!$AQ$5:$AQ$160))</f>
        <v>Unique Enterprise</v>
      </c>
      <c r="C16" s="3" t="str">
        <v>BCQPY1455G</v>
      </c>
      <c r="D16" s="3" t="str">
        <v>07BCQPY1455G1Z3</v>
      </c>
      <c r="E16" s="67">
        <f>_xlfn.XLOOKUP(D16,POC!B:B,POC!D:D)</f>
        <v>0</v>
      </c>
      <c r="F16" s="67">
        <f>_xlfn.XLOOKUP(D16,POC!B:B,POC!E:E)</f>
        <v>0</v>
      </c>
      <c r="G16" s="67">
        <f>SUMIFS(Details!$BB$5:$BB171,Details!$AR$5:$AR171,'Buyer Metrics'!$D16)</f>
        <v>600</v>
      </c>
      <c r="H16" s="67">
        <f>SUMIFS(Details!$BO$5:$BO171,Details!$AR$5:$AR171,'Buyer Metrics'!$D16)</f>
        <v>664672.20000000007</v>
      </c>
      <c r="I16" s="12">
        <f>SUMIFS(Details!$BP$5:$BP171,Details!$AR$5:$AR171,'Buyer Metrics'!$D16)</f>
        <v>32469</v>
      </c>
      <c r="J16" s="70">
        <f t="shared" si="21"/>
        <v>4.8849643478394308E-2</v>
      </c>
      <c r="K16" s="12">
        <f>-SUMIFS(Details!$BM$5:$BM171,Details!$AR$5:$AR171,'Buyer Metrics'!$D16)</f>
        <v>0</v>
      </c>
      <c r="L16" s="71">
        <f t="shared" si="22"/>
        <v>0</v>
      </c>
      <c r="M16" s="12" cm="1">
        <f t="array" ref="M16">COUNTA(_xlfn.UNIQUE(_xlfn._xlws.FILTER(Details!AO170:AO171,Details!AR170:AR171='Buyer Metrics'!$D16)))</f>
        <v>1</v>
      </c>
      <c r="N16" s="12">
        <f t="shared" si="23"/>
        <v>664672.20000000007</v>
      </c>
    </row>
    <row r="17" spans="2:14" x14ac:dyDescent="0.3">
      <c r="B17" s="67" t="str">
        <f>(_xlfn.XLOOKUP(D17,Details!$AR$5:$AR$160,Details!$AQ$5:$AQ$160))</f>
        <v>ABR INFOTECH</v>
      </c>
      <c r="C17" s="3" t="str">
        <v>ABKPH7872E</v>
      </c>
      <c r="D17" s="3" t="str">
        <v>19ABKPH7872E1ZB</v>
      </c>
      <c r="E17" s="67">
        <f>_xlfn.XLOOKUP(D17,POC!B:B,POC!D:D)</f>
        <v>0</v>
      </c>
      <c r="F17" s="67">
        <f>_xlfn.XLOOKUP(D17,POC!B:B,POC!E:E)</f>
        <v>0</v>
      </c>
      <c r="G17" s="67">
        <f>SUMIFS(Details!$BB$5:$BB172,Details!$AR$5:$AR172,'Buyer Metrics'!$D17)</f>
        <v>70</v>
      </c>
      <c r="H17" s="67">
        <f>SUMIFS(Details!$BO$5:$BO172,Details!$AR$5:$AR172,'Buyer Metrics'!$D17)</f>
        <v>127118.6</v>
      </c>
      <c r="I17" s="12">
        <f>SUMIFS(Details!$BP$5:$BP172,Details!$AR$5:$AR172,'Buyer Metrics'!$D17)</f>
        <v>8474.1999999999971</v>
      </c>
      <c r="J17" s="70">
        <f t="shared" si="21"/>
        <v>6.6663729776759634E-2</v>
      </c>
      <c r="K17" s="12">
        <f>-SUMIFS(Details!$BM$5:$BM172,Details!$AR$5:$AR172,'Buyer Metrics'!$D17)</f>
        <v>0</v>
      </c>
      <c r="L17" s="71">
        <f t="shared" si="22"/>
        <v>0</v>
      </c>
      <c r="M17" s="12" cm="1">
        <f t="array" ref="M17">COUNTA(_xlfn.UNIQUE(_xlfn._xlws.FILTER(Details!AO171:AO172,Details!AR171:AR172='Buyer Metrics'!$D17)))</f>
        <v>1</v>
      </c>
      <c r="N17" s="12">
        <f t="shared" si="23"/>
        <v>127118.6</v>
      </c>
    </row>
    <row r="18" spans="2:14" x14ac:dyDescent="0.3">
      <c r="B18" s="67" t="str">
        <f>(_xlfn.XLOOKUP(D18,Details!$AR$5:$AR$160,Details!$AQ$5:$AQ$160))</f>
        <v>ABUZAR ENTERPRISES</v>
      </c>
      <c r="C18" s="3" t="str">
        <v>AAZPI8306C</v>
      </c>
      <c r="D18" s="3" t="str">
        <v>36AAZPI8306C1ZI</v>
      </c>
      <c r="E18" s="67">
        <f>_xlfn.XLOOKUP(D18,POC!B:B,POC!D:D)</f>
        <v>0</v>
      </c>
      <c r="F18" s="67">
        <f>_xlfn.XLOOKUP(D18,POC!B:B,POC!E:E)</f>
        <v>0</v>
      </c>
      <c r="G18" s="67">
        <f>SUMIFS(Details!$BB$5:$BB173,Details!$AR$5:$AR173,'Buyer Metrics'!$D18)</f>
        <v>312</v>
      </c>
      <c r="H18" s="67">
        <f>SUMIFS(Details!$BO$5:$BO173,Details!$AR$5:$AR173,'Buyer Metrics'!$D18)</f>
        <v>24343.618000000002</v>
      </c>
      <c r="I18" s="12">
        <f>SUMIFS(Details!$BP$5:$BP173,Details!$AR$5:$AR173,'Buyer Metrics'!$D18)</f>
        <v>3931.1480000000029</v>
      </c>
      <c r="J18" s="70">
        <f t="shared" ref="J18" si="24">I18/H18</f>
        <v>0.16148577421811344</v>
      </c>
      <c r="K18" s="12">
        <f>-SUMIFS(Details!$BM$5:$BM173,Details!$AR$5:$AR173,'Buyer Metrics'!$D18)</f>
        <v>0</v>
      </c>
      <c r="L18" s="71">
        <f t="shared" ref="L18" si="25">K18/H18</f>
        <v>0</v>
      </c>
      <c r="M18" s="12" cm="1">
        <f t="array" ref="M18">COUNTA(_xlfn.UNIQUE(_xlfn._xlws.FILTER(Details!AO172:AO173,Details!AR172:AR173='Buyer Metrics'!$D18)))</f>
        <v>1</v>
      </c>
      <c r="N18" s="12">
        <f t="shared" ref="N18" si="26">H18/M18</f>
        <v>24343.618000000002</v>
      </c>
    </row>
  </sheetData>
  <conditionalFormatting sqref="D5:D6">
    <cfRule type="duplicateValues" dxfId="3" priority="20043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E16"/>
  <sheetViews>
    <sheetView showGridLines="0" showRowColHeaders="0" workbookViewId="0">
      <selection activeCell="D16" sqref="D16"/>
    </sheetView>
  </sheetViews>
  <sheetFormatPr defaultRowHeight="14.4" x14ac:dyDescent="0.3"/>
  <cols>
    <col min="2" max="2" width="19.21875" bestFit="1" customWidth="1"/>
    <col min="3" max="3" width="50.77734375" bestFit="1" customWidth="1"/>
    <col min="4" max="4" width="16.33203125" bestFit="1" customWidth="1"/>
  </cols>
  <sheetData>
    <row r="1" spans="2:5" ht="15" thickBot="1" x14ac:dyDescent="0.35"/>
    <row r="2" spans="2:5" ht="15" thickBot="1" x14ac:dyDescent="0.35">
      <c r="B2" s="79" t="s">
        <v>187</v>
      </c>
      <c r="C2" s="79" t="s">
        <v>46</v>
      </c>
      <c r="D2" s="81" t="s">
        <v>183</v>
      </c>
      <c r="E2" s="231" t="s">
        <v>184</v>
      </c>
    </row>
    <row r="3" spans="2:5" x14ac:dyDescent="0.3">
      <c r="B3" t="str" cm="1">
        <f t="array" ref="B3:B16">_xlfn.UNIQUE(_xlfn._TRO_TRAILING(Details!AR5:AR160))</f>
        <v>07AARFT3586D1ZR</v>
      </c>
      <c r="C3" t="str">
        <f>_xlfn.XLOOKUP(B3,Details!AR:AR,Details!AQ:AQ)</f>
        <v>TRADEWIND BUSINESS SOLUTIONS LLP</v>
      </c>
      <c r="D3" t="s">
        <v>210</v>
      </c>
    </row>
    <row r="4" spans="2:5" x14ac:dyDescent="0.3">
      <c r="B4" t="str">
        <v>27AAHCR2638B1ZK</v>
      </c>
      <c r="C4" t="str">
        <f>_xlfn.XLOOKUP(B4,Details!AR:AR,Details!AQ:AQ)</f>
        <v>RETECK ENVIROTECH PRIVATE LIMITED</v>
      </c>
      <c r="D4" t="s">
        <v>210</v>
      </c>
    </row>
    <row r="5" spans="2:5" x14ac:dyDescent="0.3">
      <c r="B5" t="str">
        <v>29DAKPA5526G1ZP</v>
      </c>
      <c r="C5" t="str">
        <f>_xlfn.XLOOKUP(B5,Details!AR:AR,Details!AQ:AQ)</f>
        <v>FALAH ENTERPRISES</v>
      </c>
      <c r="D5" t="s">
        <v>210</v>
      </c>
    </row>
    <row r="6" spans="2:5" x14ac:dyDescent="0.3">
      <c r="B6" t="str">
        <v>27AAJCG6268L1ZY</v>
      </c>
      <c r="C6" t="str">
        <f>_xlfn.XLOOKUP(B6,Details!AR:AR,Details!AQ:AQ)</f>
        <v>GREENLIFE EWASTE RECYCLING PRIVATE LIMITED</v>
      </c>
    </row>
    <row r="7" spans="2:5" x14ac:dyDescent="0.3">
      <c r="B7" t="str">
        <v>27AAKCB5757A2ZO</v>
      </c>
      <c r="C7" t="str">
        <f>_xlfn.XLOOKUP(B7,Details!AR:AR,Details!AQ:AQ)</f>
        <v>Bhangarwala Waste Management Private Limited</v>
      </c>
    </row>
    <row r="8" spans="2:5" x14ac:dyDescent="0.3">
      <c r="B8">
        <v>0</v>
      </c>
      <c r="C8">
        <f>_xlfn.XLOOKUP(B8,Details!AR:AR,Details!AQ:AQ)</f>
        <v>0</v>
      </c>
    </row>
    <row r="9" spans="2:5" x14ac:dyDescent="0.3">
      <c r="B9" t="str">
        <v>09AABCE4461B2ZZ</v>
      </c>
      <c r="C9" t="str">
        <f>_xlfn.XLOOKUP(B9,Details!AR:AR,Details!AQ:AQ)</f>
        <v>Genpact India Private Limited</v>
      </c>
    </row>
    <row r="10" spans="2:5" x14ac:dyDescent="0.3">
      <c r="B10" t="str">
        <v>29GOWPS6814G2ZX</v>
      </c>
      <c r="C10" t="str">
        <f>_xlfn.XLOOKUP(B10,Details!AR:AR,Details!AQ:AQ)</f>
        <v>LIGHTNING COMPUTECH</v>
      </c>
    </row>
    <row r="11" spans="2:5" x14ac:dyDescent="0.3">
      <c r="B11" t="str">
        <v>27AAFCC0260J1ZU</v>
      </c>
      <c r="C11" t="str">
        <f>_xlfn.XLOOKUP(B11,Details!AR:AR,Details!AQ:AQ)</f>
        <v>CONNECT INFO SOLUTIONS INDIA PRIVATE LIMITED</v>
      </c>
    </row>
    <row r="12" spans="2:5" x14ac:dyDescent="0.3">
      <c r="B12" t="str">
        <v>36ACHFA4592Q1ZO</v>
      </c>
      <c r="C12" t="str">
        <f>_xlfn.XLOOKUP(B12,Details!AR:AR,Details!AQ:AQ)</f>
        <v>A N TRADERS</v>
      </c>
    </row>
    <row r="13" spans="2:5" x14ac:dyDescent="0.3">
      <c r="B13" t="str">
        <v>27CDXPK0245F1ZD</v>
      </c>
      <c r="C13" t="str">
        <f>_xlfn.XLOOKUP(B13,Details!AR:AR,Details!AQ:AQ)</f>
        <v>I.K. COMPUTERS</v>
      </c>
    </row>
    <row r="14" spans="2:5" x14ac:dyDescent="0.3">
      <c r="B14" t="str">
        <v>07BCQPY1455G1Z3</v>
      </c>
      <c r="C14" t="str">
        <f>_xlfn.XLOOKUP(B14,Details!AR:AR,Details!AQ:AQ)</f>
        <v>Unique Enterprise</v>
      </c>
    </row>
    <row r="15" spans="2:5" x14ac:dyDescent="0.3">
      <c r="B15" t="str">
        <v>19ABKPH7872E1ZB</v>
      </c>
      <c r="C15" t="str">
        <f>_xlfn.XLOOKUP(B15,Details!AR:AR,Details!AQ:AQ)</f>
        <v>ABR INFOTECH</v>
      </c>
    </row>
    <row r="16" spans="2:5" x14ac:dyDescent="0.3">
      <c r="B16" t="str">
        <v>36AAZPI8306C1ZI</v>
      </c>
      <c r="C16" t="str">
        <f>_xlfn.XLOOKUP(B16,Details!AR:AR,Details!AQ:AQ)</f>
        <v>ABUZAR ENTERPRISES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091B-F6F8-4D1E-A4FE-BDFC9FD96C39}">
  <dimension ref="A2:AC91"/>
  <sheetViews>
    <sheetView showGridLines="0" showRowColHeaders="0" topLeftCell="G1" workbookViewId="0">
      <selection activeCell="I3" sqref="I3"/>
    </sheetView>
  </sheetViews>
  <sheetFormatPr defaultRowHeight="14.4" x14ac:dyDescent="0.3"/>
  <cols>
    <col min="1" max="1" width="10.77734375" style="3" customWidth="1"/>
    <col min="2" max="2" width="10.109375" style="338" bestFit="1" customWidth="1"/>
    <col min="3" max="3" width="7.77734375" bestFit="1" customWidth="1"/>
    <col min="4" max="4" width="5.77734375" bestFit="1" customWidth="1"/>
    <col min="5" max="5" width="4.77734375" bestFit="1" customWidth="1"/>
    <col min="6" max="6" width="10.109375" bestFit="1" customWidth="1"/>
    <col min="7" max="7" width="18.21875" style="3" bestFit="1" customWidth="1"/>
    <col min="8" max="8" width="53.21875" style="3" bestFit="1" customWidth="1"/>
    <col min="9" max="9" width="11.21875" bestFit="1" customWidth="1"/>
    <col min="10" max="10" width="12.21875" bestFit="1" customWidth="1"/>
    <col min="11" max="11" width="17.77734375" bestFit="1" customWidth="1"/>
    <col min="12" max="13" width="30.33203125" bestFit="1" customWidth="1"/>
    <col min="14" max="14" width="17.109375" customWidth="1"/>
    <col min="15" max="15" width="10.109375" bestFit="1" customWidth="1"/>
    <col min="16" max="16" width="11.77734375" bestFit="1" customWidth="1"/>
    <col min="17" max="17" width="6.6640625" bestFit="1" customWidth="1"/>
    <col min="18" max="18" width="3.77734375" bestFit="1" customWidth="1"/>
    <col min="19" max="19" width="10.109375" bestFit="1" customWidth="1"/>
    <col min="20" max="20" width="18.21875" bestFit="1" customWidth="1"/>
    <col min="21" max="21" width="40.21875" style="3" bestFit="1" customWidth="1"/>
    <col min="22" max="22" width="13.109375" style="3" bestFit="1" customWidth="1"/>
    <col min="23" max="23" width="9.77734375" style="3" bestFit="1" customWidth="1"/>
    <col min="24" max="24" width="13.21875" bestFit="1" customWidth="1"/>
    <col min="25" max="25" width="16.21875" bestFit="1" customWidth="1"/>
    <col min="26" max="26" width="16.77734375" bestFit="1" customWidth="1"/>
    <col min="27" max="27" width="12.109375" style="3" bestFit="1" customWidth="1"/>
    <col min="28" max="28" width="32.109375" style="3" bestFit="1" customWidth="1"/>
    <col min="29" max="29" width="30.33203125" bestFit="1" customWidth="1"/>
  </cols>
  <sheetData>
    <row r="2" spans="1:29" s="342" customFormat="1" x14ac:dyDescent="0.3">
      <c r="A2" s="68"/>
      <c r="B2" s="341"/>
      <c r="D2" s="366"/>
      <c r="E2" s="366"/>
      <c r="G2" s="68"/>
      <c r="H2" s="68"/>
      <c r="U2" s="68"/>
      <c r="V2" s="68"/>
      <c r="AA2" s="352">
        <f>V3-AA3</f>
        <v>1389959.4300000002</v>
      </c>
      <c r="AB2" s="68"/>
    </row>
    <row r="3" spans="1:29" ht="15" thickBot="1" x14ac:dyDescent="0.35">
      <c r="B3" s="338">
        <f>Details!AT167</f>
        <v>46203</v>
      </c>
      <c r="C3" t="s">
        <v>276</v>
      </c>
      <c r="I3" s="3">
        <f>SUBTOTAL(9,I5:I49)</f>
        <v>1730327.65</v>
      </c>
      <c r="J3" s="3">
        <f>SUBTOTAL(9,J5:J49)</f>
        <v>3681962.0200000005</v>
      </c>
      <c r="K3" s="3"/>
      <c r="L3" s="3"/>
      <c r="M3" s="3"/>
      <c r="N3" s="3"/>
      <c r="O3" s="335">
        <f>B3</f>
        <v>46203</v>
      </c>
      <c r="P3" t="s">
        <v>275</v>
      </c>
      <c r="T3" s="3"/>
      <c r="V3" s="3">
        <f>SUBTOTAL(9,V5:V50)</f>
        <v>1389959.4300000002</v>
      </c>
      <c r="W3" s="3">
        <f>SUBTOTAL(9,W5:W50)</f>
        <v>1652328.06</v>
      </c>
      <c r="X3" s="3"/>
      <c r="AA3" s="3">
        <f>SUM(AA5:AA30)</f>
        <v>0</v>
      </c>
    </row>
    <row r="4" spans="1:29" ht="15" thickBot="1" x14ac:dyDescent="0.35">
      <c r="A4"/>
      <c r="B4" s="343" t="s">
        <v>263</v>
      </c>
      <c r="C4" s="343" t="s">
        <v>264</v>
      </c>
      <c r="D4" s="343" t="s">
        <v>265</v>
      </c>
      <c r="E4" s="343" t="s">
        <v>266</v>
      </c>
      <c r="F4" s="343" t="s">
        <v>267</v>
      </c>
      <c r="G4" s="343" t="s">
        <v>268</v>
      </c>
      <c r="H4" s="343" t="s">
        <v>258</v>
      </c>
      <c r="I4" s="343" t="s">
        <v>269</v>
      </c>
      <c r="J4" s="343" t="s">
        <v>270</v>
      </c>
      <c r="K4" s="343" t="s">
        <v>279</v>
      </c>
      <c r="L4" s="343" t="s">
        <v>284</v>
      </c>
      <c r="M4" s="334" t="s">
        <v>507</v>
      </c>
      <c r="N4" s="334"/>
      <c r="O4" s="345" t="s">
        <v>263</v>
      </c>
      <c r="P4" s="346" t="s">
        <v>264</v>
      </c>
      <c r="Q4" s="346" t="s">
        <v>265</v>
      </c>
      <c r="R4" s="346" t="s">
        <v>266</v>
      </c>
      <c r="S4" s="346" t="s">
        <v>267</v>
      </c>
      <c r="T4" s="346" t="s">
        <v>268</v>
      </c>
      <c r="U4" s="346" t="s">
        <v>259</v>
      </c>
      <c r="V4" s="346" t="s">
        <v>269</v>
      </c>
      <c r="W4" s="346" t="s">
        <v>270</v>
      </c>
      <c r="X4" s="346" t="s">
        <v>278</v>
      </c>
      <c r="Y4" s="346" t="s">
        <v>279</v>
      </c>
      <c r="Z4" s="346" t="s">
        <v>280</v>
      </c>
      <c r="AA4" s="347" t="s">
        <v>494</v>
      </c>
      <c r="AB4" s="347" t="s">
        <v>281</v>
      </c>
      <c r="AC4" s="348" t="s">
        <v>54</v>
      </c>
    </row>
    <row r="5" spans="1:29" x14ac:dyDescent="0.3">
      <c r="A5"/>
      <c r="B5" t="s">
        <v>430</v>
      </c>
      <c r="C5" t="s">
        <v>309</v>
      </c>
      <c r="D5" t="s">
        <v>319</v>
      </c>
      <c r="E5" t="s">
        <v>762</v>
      </c>
      <c r="F5" t="s">
        <v>430</v>
      </c>
      <c r="G5" t="s">
        <v>431</v>
      </c>
      <c r="H5" t="s">
        <v>432</v>
      </c>
      <c r="I5">
        <v>40698.080000000002</v>
      </c>
      <c r="J5">
        <v>266799.77</v>
      </c>
      <c r="K5" t="s">
        <v>433</v>
      </c>
      <c r="L5" t="s">
        <v>282</v>
      </c>
      <c r="M5" t="s">
        <v>508</v>
      </c>
      <c r="O5" s="336">
        <v>46107</v>
      </c>
      <c r="P5" s="334" t="s">
        <v>309</v>
      </c>
      <c r="Q5" s="334" t="s">
        <v>310</v>
      </c>
      <c r="R5" s="334" t="s">
        <v>759</v>
      </c>
      <c r="S5" s="334" t="s">
        <v>312</v>
      </c>
      <c r="T5" s="334" t="s">
        <v>313</v>
      </c>
      <c r="U5" s="334" t="s">
        <v>251</v>
      </c>
      <c r="V5" s="344">
        <v>611474.49</v>
      </c>
      <c r="W5" s="334">
        <v>611474.49</v>
      </c>
      <c r="X5" s="334" t="s">
        <v>314</v>
      </c>
      <c r="Y5" s="334" t="s">
        <v>252</v>
      </c>
      <c r="Z5" s="334">
        <v>36500000</v>
      </c>
      <c r="AA5" s="344">
        <v>0</v>
      </c>
      <c r="AB5" s="344" t="s">
        <v>282</v>
      </c>
      <c r="AC5" t="s">
        <v>364</v>
      </c>
    </row>
    <row r="6" spans="1:29" x14ac:dyDescent="0.3">
      <c r="A6"/>
      <c r="B6" t="s">
        <v>555</v>
      </c>
      <c r="C6" t="s">
        <v>309</v>
      </c>
      <c r="D6" t="s">
        <v>319</v>
      </c>
      <c r="E6" t="s">
        <v>763</v>
      </c>
      <c r="F6" t="s">
        <v>434</v>
      </c>
      <c r="G6" t="s">
        <v>435</v>
      </c>
      <c r="H6" t="s">
        <v>436</v>
      </c>
      <c r="I6">
        <v>65.599999999999994</v>
      </c>
      <c r="J6">
        <v>43286.6</v>
      </c>
      <c r="K6" t="s">
        <v>437</v>
      </c>
      <c r="L6" t="s">
        <v>282</v>
      </c>
      <c r="M6" t="s">
        <v>509</v>
      </c>
      <c r="O6" s="336">
        <v>46109</v>
      </c>
      <c r="P6" s="334" t="s">
        <v>309</v>
      </c>
      <c r="Q6" s="334" t="s">
        <v>310</v>
      </c>
      <c r="R6" s="334" t="s">
        <v>754</v>
      </c>
      <c r="S6" s="334" t="s">
        <v>315</v>
      </c>
      <c r="T6" s="334" t="s">
        <v>316</v>
      </c>
      <c r="U6" s="334" t="s">
        <v>251</v>
      </c>
      <c r="V6" s="344">
        <v>223266.58</v>
      </c>
      <c r="W6" s="334">
        <v>223266.58</v>
      </c>
      <c r="X6" s="334" t="s">
        <v>314</v>
      </c>
      <c r="Y6" s="334" t="s">
        <v>252</v>
      </c>
      <c r="Z6" s="334">
        <v>36500000</v>
      </c>
      <c r="AA6" s="344">
        <v>0</v>
      </c>
      <c r="AB6" s="344" t="s">
        <v>282</v>
      </c>
      <c r="AC6" t="s">
        <v>364</v>
      </c>
    </row>
    <row r="7" spans="1:29" x14ac:dyDescent="0.3">
      <c r="A7"/>
      <c r="B7" t="s">
        <v>556</v>
      </c>
      <c r="C7" t="s">
        <v>309</v>
      </c>
      <c r="D7" t="s">
        <v>319</v>
      </c>
      <c r="E7" t="s">
        <v>764</v>
      </c>
      <c r="F7" t="s">
        <v>438</v>
      </c>
      <c r="G7" t="s">
        <v>439</v>
      </c>
      <c r="H7" t="s">
        <v>440</v>
      </c>
      <c r="I7">
        <v>4476</v>
      </c>
      <c r="J7">
        <v>46224.09</v>
      </c>
      <c r="K7" t="s">
        <v>441</v>
      </c>
      <c r="L7" t="s">
        <v>282</v>
      </c>
      <c r="M7" t="s">
        <v>509</v>
      </c>
      <c r="O7" s="336">
        <v>46109</v>
      </c>
      <c r="P7" s="334" t="s">
        <v>309</v>
      </c>
      <c r="Q7" s="334" t="s">
        <v>310</v>
      </c>
      <c r="R7" s="334" t="s">
        <v>754</v>
      </c>
      <c r="S7" s="334" t="s">
        <v>315</v>
      </c>
      <c r="T7" s="334" t="s">
        <v>317</v>
      </c>
      <c r="U7" s="334" t="s">
        <v>251</v>
      </c>
      <c r="V7" s="344">
        <v>323083.24</v>
      </c>
      <c r="W7" s="334">
        <v>323083.24</v>
      </c>
      <c r="X7" s="334" t="s">
        <v>314</v>
      </c>
      <c r="Y7" s="334" t="s">
        <v>252</v>
      </c>
      <c r="Z7" s="334">
        <v>36500000</v>
      </c>
      <c r="AA7" s="344">
        <v>0</v>
      </c>
      <c r="AB7" s="344" t="s">
        <v>282</v>
      </c>
      <c r="AC7" t="s">
        <v>364</v>
      </c>
    </row>
    <row r="8" spans="1:29" x14ac:dyDescent="0.3">
      <c r="A8"/>
      <c r="B8" t="s">
        <v>556</v>
      </c>
      <c r="C8" t="s">
        <v>309</v>
      </c>
      <c r="D8" t="s">
        <v>319</v>
      </c>
      <c r="E8" t="s">
        <v>765</v>
      </c>
      <c r="F8" t="s">
        <v>442</v>
      </c>
      <c r="G8" t="s">
        <v>443</v>
      </c>
      <c r="H8" t="s">
        <v>440</v>
      </c>
      <c r="I8">
        <v>986.61</v>
      </c>
      <c r="J8">
        <v>47817.33</v>
      </c>
      <c r="K8" t="s">
        <v>444</v>
      </c>
      <c r="L8" t="s">
        <v>282</v>
      </c>
      <c r="M8" t="s">
        <v>509</v>
      </c>
      <c r="O8" s="336">
        <v>46140</v>
      </c>
      <c r="P8" s="334" t="s">
        <v>309</v>
      </c>
      <c r="Q8" s="334" t="s">
        <v>310</v>
      </c>
      <c r="R8" s="334" t="s">
        <v>760</v>
      </c>
      <c r="S8" s="334" t="s">
        <v>318</v>
      </c>
      <c r="T8" s="334" t="s">
        <v>481</v>
      </c>
      <c r="U8" s="334" t="s">
        <v>483</v>
      </c>
      <c r="V8" s="344">
        <v>29152.07</v>
      </c>
      <c r="W8" s="334">
        <v>291520.7</v>
      </c>
      <c r="X8" s="334" t="s">
        <v>311</v>
      </c>
      <c r="Y8" s="334" t="s">
        <v>484</v>
      </c>
      <c r="Z8" s="334">
        <v>300000</v>
      </c>
      <c r="AA8" s="344">
        <v>0</v>
      </c>
      <c r="AB8" s="344" t="s">
        <v>282</v>
      </c>
      <c r="AC8" t="s">
        <v>364</v>
      </c>
    </row>
    <row r="9" spans="1:29" x14ac:dyDescent="0.3">
      <c r="A9"/>
      <c r="B9" t="s">
        <v>557</v>
      </c>
      <c r="C9" t="s">
        <v>309</v>
      </c>
      <c r="D9" t="s">
        <v>319</v>
      </c>
      <c r="E9" t="s">
        <v>766</v>
      </c>
      <c r="F9" t="s">
        <v>445</v>
      </c>
      <c r="G9" t="s">
        <v>446</v>
      </c>
      <c r="H9" t="s">
        <v>447</v>
      </c>
      <c r="I9">
        <v>56.16</v>
      </c>
      <c r="J9">
        <v>37184.160000000003</v>
      </c>
      <c r="K9" t="s">
        <v>448</v>
      </c>
      <c r="L9" t="s">
        <v>282</v>
      </c>
      <c r="M9" t="s">
        <v>509</v>
      </c>
      <c r="O9" s="336">
        <v>46148</v>
      </c>
      <c r="P9" s="334" t="s">
        <v>309</v>
      </c>
      <c r="Q9" s="334" t="s">
        <v>310</v>
      </c>
      <c r="R9" s="334" t="s">
        <v>761</v>
      </c>
      <c r="S9" s="334" t="s">
        <v>506</v>
      </c>
      <c r="T9" s="334" t="s">
        <v>503</v>
      </c>
      <c r="U9" s="334" t="s">
        <v>251</v>
      </c>
      <c r="V9" s="344">
        <v>85000.55</v>
      </c>
      <c r="W9" s="334">
        <v>85000.55</v>
      </c>
      <c r="X9" s="334" t="s">
        <v>314</v>
      </c>
      <c r="Y9" s="334" t="s">
        <v>252</v>
      </c>
      <c r="Z9" s="334">
        <v>36500000</v>
      </c>
      <c r="AA9" s="344">
        <v>0</v>
      </c>
      <c r="AB9" s="344" t="s">
        <v>282</v>
      </c>
      <c r="AC9" t="s">
        <v>364</v>
      </c>
    </row>
    <row r="10" spans="1:29" x14ac:dyDescent="0.3">
      <c r="A10"/>
      <c r="B10" t="s">
        <v>558</v>
      </c>
      <c r="C10" t="s">
        <v>309</v>
      </c>
      <c r="D10" t="s">
        <v>319</v>
      </c>
      <c r="E10" t="s">
        <v>767</v>
      </c>
      <c r="F10" t="s">
        <v>449</v>
      </c>
      <c r="G10" t="s">
        <v>450</v>
      </c>
      <c r="H10" t="s">
        <v>451</v>
      </c>
      <c r="I10">
        <v>1643.74</v>
      </c>
      <c r="J10">
        <v>10295.02</v>
      </c>
      <c r="K10" t="s">
        <v>452</v>
      </c>
      <c r="L10" t="s">
        <v>282</v>
      </c>
      <c r="M10" t="s">
        <v>509</v>
      </c>
      <c r="O10" s="336">
        <v>46190</v>
      </c>
      <c r="P10" s="334" t="s">
        <v>689</v>
      </c>
      <c r="Q10" s="334" t="s">
        <v>310</v>
      </c>
      <c r="R10" s="334" t="s">
        <v>208</v>
      </c>
      <c r="S10" s="334" t="s">
        <v>690</v>
      </c>
      <c r="T10" s="334" t="s">
        <v>676</v>
      </c>
      <c r="U10" s="334" t="s">
        <v>251</v>
      </c>
      <c r="V10" s="344">
        <v>117982.5</v>
      </c>
      <c r="W10" s="334">
        <v>117982.5</v>
      </c>
      <c r="X10" s="334" t="s">
        <v>314</v>
      </c>
      <c r="Y10" s="334" t="s">
        <v>252</v>
      </c>
      <c r="Z10" s="334">
        <v>36500000</v>
      </c>
      <c r="AA10" s="344">
        <v>0</v>
      </c>
      <c r="AB10" s="344" t="s">
        <v>282</v>
      </c>
      <c r="AC10" t="s">
        <v>364</v>
      </c>
    </row>
    <row r="11" spans="1:29" x14ac:dyDescent="0.3">
      <c r="A11"/>
      <c r="B11" t="s">
        <v>559</v>
      </c>
      <c r="C11" t="s">
        <v>309</v>
      </c>
      <c r="D11" t="s">
        <v>319</v>
      </c>
      <c r="E11" t="s">
        <v>768</v>
      </c>
      <c r="F11" t="s">
        <v>453</v>
      </c>
      <c r="G11" t="s">
        <v>454</v>
      </c>
      <c r="H11" t="s">
        <v>455</v>
      </c>
      <c r="I11">
        <v>18.32</v>
      </c>
      <c r="J11">
        <v>10009.94</v>
      </c>
      <c r="K11" t="s">
        <v>456</v>
      </c>
      <c r="L11" t="s">
        <v>282</v>
      </c>
      <c r="M11" t="s">
        <v>509</v>
      </c>
      <c r="O11" s="336"/>
      <c r="P11" s="334"/>
      <c r="Q11" s="334"/>
      <c r="R11" s="334"/>
      <c r="S11" s="334"/>
      <c r="T11" s="334"/>
      <c r="U11" s="334"/>
      <c r="V11" s="344"/>
      <c r="W11" s="334"/>
      <c r="X11" s="334"/>
      <c r="Y11" s="334"/>
      <c r="Z11" s="334"/>
      <c r="AA11" s="344"/>
      <c r="AB11" s="344"/>
    </row>
    <row r="12" spans="1:29" x14ac:dyDescent="0.3">
      <c r="A12"/>
      <c r="B12" t="s">
        <v>560</v>
      </c>
      <c r="C12" t="s">
        <v>309</v>
      </c>
      <c r="D12" t="s">
        <v>319</v>
      </c>
      <c r="E12" t="s">
        <v>769</v>
      </c>
      <c r="F12" t="s">
        <v>320</v>
      </c>
      <c r="G12" t="s">
        <v>321</v>
      </c>
      <c r="H12" t="s">
        <v>322</v>
      </c>
      <c r="I12">
        <v>488.76</v>
      </c>
      <c r="J12">
        <v>12510.19</v>
      </c>
      <c r="K12" t="s">
        <v>323</v>
      </c>
      <c r="L12" t="s">
        <v>282</v>
      </c>
      <c r="M12" t="s">
        <v>508</v>
      </c>
      <c r="O12" s="336"/>
      <c r="P12" s="334"/>
      <c r="Q12" s="334"/>
      <c r="R12" s="334"/>
      <c r="S12" s="334"/>
      <c r="T12" s="334"/>
      <c r="U12" s="334"/>
      <c r="V12" s="344"/>
      <c r="W12" s="334"/>
      <c r="X12" s="334"/>
      <c r="Y12" s="334"/>
      <c r="Z12" s="334"/>
      <c r="AA12" s="344"/>
      <c r="AB12" s="344"/>
    </row>
    <row r="13" spans="1:29" x14ac:dyDescent="0.3">
      <c r="A13"/>
      <c r="B13" t="s">
        <v>561</v>
      </c>
      <c r="C13" t="s">
        <v>309</v>
      </c>
      <c r="D13" t="s">
        <v>319</v>
      </c>
      <c r="E13" t="s">
        <v>770</v>
      </c>
      <c r="F13" t="s">
        <v>326</v>
      </c>
      <c r="G13" t="s">
        <v>327</v>
      </c>
      <c r="H13" t="s">
        <v>328</v>
      </c>
      <c r="I13">
        <v>762.72</v>
      </c>
      <c r="J13">
        <v>2000.01</v>
      </c>
      <c r="K13" t="s">
        <v>329</v>
      </c>
      <c r="L13" t="s">
        <v>282</v>
      </c>
      <c r="M13" t="s">
        <v>509</v>
      </c>
      <c r="O13" s="336"/>
      <c r="P13" s="334"/>
      <c r="Q13" s="334"/>
      <c r="R13" s="334"/>
      <c r="S13" s="334"/>
      <c r="T13" s="334"/>
      <c r="U13" s="334"/>
      <c r="V13" s="344"/>
      <c r="W13" s="334"/>
      <c r="X13" s="334"/>
      <c r="Y13" s="334"/>
      <c r="Z13" s="334"/>
      <c r="AA13" s="344"/>
      <c r="AB13" s="344"/>
    </row>
    <row r="14" spans="1:29" x14ac:dyDescent="0.3">
      <c r="A14"/>
      <c r="B14" t="s">
        <v>562</v>
      </c>
      <c r="C14" t="s">
        <v>309</v>
      </c>
      <c r="D14" t="s">
        <v>319</v>
      </c>
      <c r="E14" t="s">
        <v>771</v>
      </c>
      <c r="F14" t="s">
        <v>330</v>
      </c>
      <c r="G14" t="s">
        <v>331</v>
      </c>
      <c r="H14" t="s">
        <v>332</v>
      </c>
      <c r="I14">
        <v>69.959999999999994</v>
      </c>
      <c r="J14">
        <v>500079.28</v>
      </c>
      <c r="K14" t="s">
        <v>333</v>
      </c>
      <c r="L14" t="s">
        <v>282</v>
      </c>
      <c r="M14" t="s">
        <v>508</v>
      </c>
      <c r="O14" s="336"/>
      <c r="P14" s="334"/>
      <c r="Q14" s="334"/>
      <c r="R14" s="334"/>
      <c r="S14" s="334"/>
      <c r="T14" s="334"/>
      <c r="U14" s="334"/>
      <c r="V14" s="344"/>
      <c r="W14" s="334"/>
      <c r="X14" s="334"/>
      <c r="Y14" s="334"/>
      <c r="Z14" s="334"/>
      <c r="AA14" s="344"/>
      <c r="AB14" s="344"/>
    </row>
    <row r="15" spans="1:29" x14ac:dyDescent="0.3">
      <c r="A15"/>
      <c r="B15" t="s">
        <v>563</v>
      </c>
      <c r="C15" t="s">
        <v>309</v>
      </c>
      <c r="D15" t="s">
        <v>319</v>
      </c>
      <c r="E15" t="s">
        <v>772</v>
      </c>
      <c r="F15" t="s">
        <v>334</v>
      </c>
      <c r="G15" t="s">
        <v>335</v>
      </c>
      <c r="H15" t="s">
        <v>336</v>
      </c>
      <c r="I15">
        <v>26000.13</v>
      </c>
      <c r="J15">
        <v>26000.13</v>
      </c>
      <c r="K15" t="s">
        <v>337</v>
      </c>
      <c r="L15" t="s">
        <v>282</v>
      </c>
      <c r="M15" t="s">
        <v>509</v>
      </c>
      <c r="O15" s="336"/>
      <c r="P15" s="334"/>
      <c r="Q15" s="334"/>
      <c r="R15" s="334"/>
      <c r="S15" s="334"/>
      <c r="T15" s="334"/>
      <c r="U15" s="334"/>
      <c r="V15" s="344"/>
      <c r="W15" s="334"/>
      <c r="X15" s="334"/>
      <c r="Y15" s="334"/>
      <c r="Z15" s="334"/>
      <c r="AA15" s="344"/>
      <c r="AB15" s="344"/>
    </row>
    <row r="16" spans="1:29" x14ac:dyDescent="0.3">
      <c r="A16"/>
      <c r="B16" t="s">
        <v>563</v>
      </c>
      <c r="C16" t="s">
        <v>309</v>
      </c>
      <c r="D16" t="s">
        <v>319</v>
      </c>
      <c r="E16" t="s">
        <v>772</v>
      </c>
      <c r="F16" t="s">
        <v>334</v>
      </c>
      <c r="G16" t="s">
        <v>338</v>
      </c>
      <c r="H16" t="s">
        <v>336</v>
      </c>
      <c r="I16">
        <v>4779.8100000000004</v>
      </c>
      <c r="J16">
        <v>5900</v>
      </c>
      <c r="K16" t="s">
        <v>337</v>
      </c>
      <c r="L16" t="s">
        <v>282</v>
      </c>
      <c r="M16" t="s">
        <v>509</v>
      </c>
      <c r="O16" s="336"/>
      <c r="P16" s="334"/>
      <c r="Q16" s="334"/>
      <c r="R16" s="334"/>
      <c r="S16" s="334"/>
      <c r="T16" s="334"/>
      <c r="U16" s="334"/>
      <c r="V16" s="344"/>
      <c r="W16" s="334"/>
      <c r="X16" s="334"/>
      <c r="Y16" s="334"/>
      <c r="Z16" s="334"/>
      <c r="AA16" s="344"/>
      <c r="AB16" s="344"/>
    </row>
    <row r="17" spans="1:28" x14ac:dyDescent="0.3">
      <c r="A17"/>
      <c r="B17" t="s">
        <v>564</v>
      </c>
      <c r="C17" t="s">
        <v>309</v>
      </c>
      <c r="D17" t="s">
        <v>319</v>
      </c>
      <c r="E17" t="s">
        <v>773</v>
      </c>
      <c r="F17" t="s">
        <v>339</v>
      </c>
      <c r="G17" t="s">
        <v>340</v>
      </c>
      <c r="H17" t="s">
        <v>341</v>
      </c>
      <c r="I17">
        <v>12487.88</v>
      </c>
      <c r="J17">
        <v>89987.88</v>
      </c>
      <c r="K17" t="s">
        <v>342</v>
      </c>
      <c r="L17" t="s">
        <v>282</v>
      </c>
      <c r="M17" t="s">
        <v>509</v>
      </c>
      <c r="O17" s="336"/>
      <c r="P17" s="334"/>
      <c r="Q17" s="334"/>
      <c r="R17" s="334"/>
      <c r="S17" s="334"/>
      <c r="T17" s="334"/>
      <c r="U17" s="334"/>
      <c r="V17" s="344"/>
      <c r="W17" s="334"/>
      <c r="X17" s="334"/>
      <c r="Y17" s="334"/>
      <c r="Z17" s="334"/>
      <c r="AA17" s="344"/>
      <c r="AB17" s="344"/>
    </row>
    <row r="18" spans="1:28" x14ac:dyDescent="0.3">
      <c r="A18"/>
      <c r="B18" t="s">
        <v>565</v>
      </c>
      <c r="C18" t="s">
        <v>309</v>
      </c>
      <c r="D18" t="s">
        <v>319</v>
      </c>
      <c r="E18" t="s">
        <v>774</v>
      </c>
      <c r="F18" t="s">
        <v>344</v>
      </c>
      <c r="G18" t="s">
        <v>345</v>
      </c>
      <c r="H18" t="s">
        <v>346</v>
      </c>
      <c r="I18">
        <v>250</v>
      </c>
      <c r="J18">
        <v>592124</v>
      </c>
      <c r="K18" t="s">
        <v>347</v>
      </c>
      <c r="L18" t="s">
        <v>282</v>
      </c>
      <c r="M18" t="s">
        <v>508</v>
      </c>
      <c r="O18" s="336"/>
      <c r="P18" s="334"/>
      <c r="Q18" s="334"/>
      <c r="R18" s="334"/>
      <c r="S18" s="334"/>
      <c r="T18" s="334"/>
      <c r="U18" s="334"/>
      <c r="V18" s="344"/>
      <c r="W18" s="334"/>
      <c r="X18" s="334"/>
      <c r="Y18" s="334"/>
      <c r="Z18" s="334"/>
      <c r="AA18" s="344"/>
      <c r="AB18" s="344"/>
    </row>
    <row r="19" spans="1:28" x14ac:dyDescent="0.3">
      <c r="A19"/>
      <c r="B19" t="s">
        <v>566</v>
      </c>
      <c r="C19" t="s">
        <v>309</v>
      </c>
      <c r="D19" t="s">
        <v>319</v>
      </c>
      <c r="E19" t="s">
        <v>775</v>
      </c>
      <c r="F19" t="s">
        <v>457</v>
      </c>
      <c r="G19" t="s">
        <v>368</v>
      </c>
      <c r="H19" t="s">
        <v>366</v>
      </c>
      <c r="I19">
        <v>585.46</v>
      </c>
      <c r="J19">
        <v>29785.46</v>
      </c>
      <c r="K19" t="s">
        <v>367</v>
      </c>
      <c r="L19" t="s">
        <v>282</v>
      </c>
      <c r="M19" t="s">
        <v>509</v>
      </c>
      <c r="O19" s="336"/>
      <c r="P19" s="334"/>
      <c r="Q19" s="334"/>
      <c r="R19" s="334"/>
      <c r="S19" s="334"/>
      <c r="T19" s="334"/>
      <c r="U19" s="334"/>
      <c r="V19" s="344"/>
      <c r="W19" s="334"/>
      <c r="X19" s="334"/>
      <c r="Y19" s="334"/>
      <c r="Z19" s="334"/>
      <c r="AA19" s="344"/>
      <c r="AB19" s="344"/>
    </row>
    <row r="20" spans="1:28" x14ac:dyDescent="0.3">
      <c r="A20"/>
      <c r="B20" t="s">
        <v>584</v>
      </c>
      <c r="C20" t="s">
        <v>309</v>
      </c>
      <c r="D20" t="s">
        <v>319</v>
      </c>
      <c r="E20" t="s">
        <v>776</v>
      </c>
      <c r="F20" t="s">
        <v>585</v>
      </c>
      <c r="G20" t="s">
        <v>570</v>
      </c>
      <c r="H20" t="s">
        <v>568</v>
      </c>
      <c r="I20">
        <v>695079</v>
      </c>
      <c r="J20">
        <v>695079</v>
      </c>
      <c r="K20" t="s">
        <v>569</v>
      </c>
      <c r="L20" t="s">
        <v>282</v>
      </c>
      <c r="M20" t="s">
        <v>509</v>
      </c>
      <c r="O20" s="336"/>
      <c r="P20" s="334"/>
      <c r="Q20" s="334"/>
      <c r="R20" s="334"/>
      <c r="S20" s="334"/>
      <c r="T20" s="334"/>
      <c r="U20" s="334"/>
      <c r="V20" s="344"/>
      <c r="W20" s="334"/>
      <c r="X20" s="334"/>
      <c r="Y20" s="334"/>
      <c r="Z20" s="334"/>
      <c r="AA20" s="344"/>
      <c r="AB20" s="344"/>
    </row>
    <row r="21" spans="1:28" x14ac:dyDescent="0.3">
      <c r="A21"/>
      <c r="B21" s="335" t="s">
        <v>616</v>
      </c>
      <c r="C21" t="s">
        <v>309</v>
      </c>
      <c r="D21" t="s">
        <v>319</v>
      </c>
      <c r="E21" t="s">
        <v>777</v>
      </c>
      <c r="F21" t="s">
        <v>617</v>
      </c>
      <c r="G21" s="3" t="s">
        <v>610</v>
      </c>
      <c r="H21" s="3" t="s">
        <v>587</v>
      </c>
      <c r="I21" s="3">
        <v>13806</v>
      </c>
      <c r="J21" s="3">
        <v>13806</v>
      </c>
      <c r="K21" t="s">
        <v>588</v>
      </c>
      <c r="L21" t="s">
        <v>282</v>
      </c>
      <c r="M21" t="s">
        <v>618</v>
      </c>
      <c r="O21" s="336"/>
      <c r="P21" s="334"/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44"/>
      <c r="AB21" s="344"/>
    </row>
    <row r="22" spans="1:28" x14ac:dyDescent="0.3">
      <c r="A22"/>
      <c r="B22" s="335" t="s">
        <v>691</v>
      </c>
      <c r="C22" t="s">
        <v>309</v>
      </c>
      <c r="D22" t="s">
        <v>319</v>
      </c>
      <c r="E22" t="s">
        <v>778</v>
      </c>
      <c r="F22" t="s">
        <v>692</v>
      </c>
      <c r="G22" s="3" t="s">
        <v>622</v>
      </c>
      <c r="H22" s="3" t="s">
        <v>620</v>
      </c>
      <c r="I22" s="3">
        <v>430936</v>
      </c>
      <c r="J22" s="3">
        <v>430936</v>
      </c>
      <c r="K22" t="s">
        <v>621</v>
      </c>
      <c r="L22" t="s">
        <v>282</v>
      </c>
      <c r="M22" t="s">
        <v>509</v>
      </c>
      <c r="O22" s="336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44"/>
      <c r="AB22" s="344"/>
    </row>
    <row r="23" spans="1:28" x14ac:dyDescent="0.3">
      <c r="A23"/>
      <c r="B23" s="335" t="s">
        <v>691</v>
      </c>
      <c r="C23" t="s">
        <v>309</v>
      </c>
      <c r="D23" t="s">
        <v>319</v>
      </c>
      <c r="E23" t="s">
        <v>693</v>
      </c>
      <c r="F23" t="s">
        <v>756</v>
      </c>
      <c r="G23" s="3" t="s">
        <v>757</v>
      </c>
      <c r="H23" s="3" t="s">
        <v>620</v>
      </c>
      <c r="I23" s="3">
        <v>8619</v>
      </c>
      <c r="J23" s="3">
        <v>8619</v>
      </c>
      <c r="K23" t="s">
        <v>621</v>
      </c>
      <c r="L23" t="s">
        <v>282</v>
      </c>
      <c r="M23" t="s">
        <v>509</v>
      </c>
      <c r="O23" s="336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44"/>
      <c r="AB23" s="344"/>
    </row>
    <row r="24" spans="1:28" x14ac:dyDescent="0.3">
      <c r="A24" s="334"/>
      <c r="B24" s="335" t="s">
        <v>694</v>
      </c>
      <c r="C24" s="335" t="s">
        <v>309</v>
      </c>
      <c r="D24" t="s">
        <v>319</v>
      </c>
      <c r="E24" t="s">
        <v>779</v>
      </c>
      <c r="F24" t="s">
        <v>696</v>
      </c>
      <c r="G24" s="3" t="s">
        <v>634</v>
      </c>
      <c r="H24" s="3" t="s">
        <v>600</v>
      </c>
      <c r="I24" s="3">
        <v>32.21</v>
      </c>
      <c r="J24" s="3">
        <v>125031.95</v>
      </c>
      <c r="K24" t="s">
        <v>601</v>
      </c>
      <c r="L24" t="s">
        <v>282</v>
      </c>
      <c r="M24" t="s">
        <v>695</v>
      </c>
      <c r="O24" s="336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44"/>
      <c r="AB24" s="344"/>
    </row>
    <row r="25" spans="1:28" x14ac:dyDescent="0.3">
      <c r="A25" s="334"/>
      <c r="B25" s="336" t="s">
        <v>692</v>
      </c>
      <c r="C25" t="s">
        <v>309</v>
      </c>
      <c r="D25" s="335" t="s">
        <v>319</v>
      </c>
      <c r="E25" t="s">
        <v>693</v>
      </c>
      <c r="F25" t="s">
        <v>756</v>
      </c>
      <c r="G25" s="3" t="s">
        <v>742</v>
      </c>
      <c r="H25" s="3" t="s">
        <v>600</v>
      </c>
      <c r="I25" s="3">
        <v>0.01</v>
      </c>
      <c r="J25" s="3">
        <v>200000.01</v>
      </c>
      <c r="K25" s="3" t="s">
        <v>741</v>
      </c>
      <c r="L25" s="3" t="s">
        <v>282</v>
      </c>
      <c r="M25" s="3" t="s">
        <v>509</v>
      </c>
      <c r="O25" s="336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44"/>
      <c r="AB25" s="344"/>
    </row>
    <row r="26" spans="1:28" x14ac:dyDescent="0.3">
      <c r="A26" s="334"/>
      <c r="B26" s="336" t="s">
        <v>698</v>
      </c>
      <c r="C26" t="s">
        <v>309</v>
      </c>
      <c r="D26" s="335" t="s">
        <v>319</v>
      </c>
      <c r="E26" t="s">
        <v>755</v>
      </c>
      <c r="F26" t="s">
        <v>699</v>
      </c>
      <c r="G26" s="3" t="s">
        <v>652</v>
      </c>
      <c r="H26" s="3" t="s">
        <v>650</v>
      </c>
      <c r="I26" s="3">
        <v>140000.39000000001</v>
      </c>
      <c r="J26" s="3">
        <v>140000.39000000001</v>
      </c>
      <c r="K26" s="3" t="s">
        <v>651</v>
      </c>
      <c r="L26" s="3" t="s">
        <v>282</v>
      </c>
      <c r="M26" s="3" t="s">
        <v>695</v>
      </c>
      <c r="N26" s="3"/>
      <c r="O26" s="336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44"/>
      <c r="AB26" s="344"/>
    </row>
    <row r="27" spans="1:28" x14ac:dyDescent="0.3">
      <c r="A27" s="334"/>
      <c r="B27" s="336" t="s">
        <v>697</v>
      </c>
      <c r="C27" t="s">
        <v>309</v>
      </c>
      <c r="D27" s="335" t="s">
        <v>319</v>
      </c>
      <c r="E27" t="s">
        <v>780</v>
      </c>
      <c r="F27" t="s">
        <v>722</v>
      </c>
      <c r="G27" s="3" t="s">
        <v>703</v>
      </c>
      <c r="H27" s="3" t="s">
        <v>701</v>
      </c>
      <c r="I27" s="3">
        <v>24086.71</v>
      </c>
      <c r="J27" s="3">
        <v>24086.71</v>
      </c>
      <c r="K27" s="3" t="s">
        <v>702</v>
      </c>
      <c r="L27" s="3" t="s">
        <v>282</v>
      </c>
      <c r="M27" s="3" t="s">
        <v>723</v>
      </c>
      <c r="N27" s="3"/>
      <c r="O27" s="336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4"/>
      <c r="AA27" s="344"/>
      <c r="AB27" s="344"/>
    </row>
    <row r="28" spans="1:28" x14ac:dyDescent="0.3">
      <c r="A28" s="334"/>
      <c r="B28" s="336" t="s">
        <v>697</v>
      </c>
      <c r="C28" t="s">
        <v>309</v>
      </c>
      <c r="D28" s="335" t="s">
        <v>319</v>
      </c>
      <c r="E28" t="s">
        <v>780</v>
      </c>
      <c r="F28" t="s">
        <v>722</v>
      </c>
      <c r="G28" s="3" t="s">
        <v>709</v>
      </c>
      <c r="H28" s="3" t="s">
        <v>459</v>
      </c>
      <c r="I28" s="3">
        <v>31798.81</v>
      </c>
      <c r="J28" s="3">
        <v>31798.81</v>
      </c>
      <c r="K28" s="3" t="s">
        <v>460</v>
      </c>
      <c r="L28" s="3" t="s">
        <v>282</v>
      </c>
      <c r="M28" s="3" t="s">
        <v>509</v>
      </c>
      <c r="N28" s="3"/>
      <c r="O28" s="336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44"/>
      <c r="AB28" s="344"/>
    </row>
    <row r="29" spans="1:28" x14ac:dyDescent="0.3">
      <c r="A29" s="334"/>
      <c r="B29" s="336" t="s">
        <v>722</v>
      </c>
      <c r="C29" t="s">
        <v>309</v>
      </c>
      <c r="D29" s="335" t="s">
        <v>319</v>
      </c>
      <c r="E29" t="s">
        <v>693</v>
      </c>
      <c r="F29" t="s">
        <v>756</v>
      </c>
      <c r="G29" s="3" t="s">
        <v>727</v>
      </c>
      <c r="H29" s="3" t="s">
        <v>725</v>
      </c>
      <c r="I29" s="3">
        <v>52900.06</v>
      </c>
      <c r="J29" s="3">
        <v>52900.06</v>
      </c>
      <c r="K29" s="3" t="s">
        <v>758</v>
      </c>
      <c r="L29" s="3" t="s">
        <v>282</v>
      </c>
      <c r="M29" s="3" t="s">
        <v>509</v>
      </c>
      <c r="N29" s="3"/>
      <c r="O29" s="339"/>
      <c r="P29" s="340"/>
      <c r="Q29" s="340"/>
      <c r="R29" s="340"/>
      <c r="S29" s="340"/>
      <c r="T29" s="304"/>
      <c r="U29" s="304"/>
      <c r="W29"/>
    </row>
    <row r="30" spans="1:28" x14ac:dyDescent="0.3">
      <c r="A30" s="334"/>
      <c r="B30" s="336" t="s">
        <v>722</v>
      </c>
      <c r="C30" t="s">
        <v>309</v>
      </c>
      <c r="D30" s="335" t="s">
        <v>319</v>
      </c>
      <c r="E30" t="s">
        <v>693</v>
      </c>
      <c r="F30" t="s">
        <v>756</v>
      </c>
      <c r="G30" s="3" t="s">
        <v>737</v>
      </c>
      <c r="H30" s="3" t="s">
        <v>725</v>
      </c>
      <c r="I30" s="3">
        <v>239700.23</v>
      </c>
      <c r="J30" s="3">
        <v>239700.23</v>
      </c>
      <c r="K30" s="3" t="s">
        <v>758</v>
      </c>
      <c r="L30" s="3" t="s">
        <v>282</v>
      </c>
      <c r="M30" s="3" t="s">
        <v>509</v>
      </c>
      <c r="N30" s="3"/>
      <c r="O30" s="339"/>
      <c r="P30" s="340"/>
      <c r="Q30" s="340"/>
      <c r="R30" s="340"/>
      <c r="S30" s="340"/>
      <c r="T30" s="304"/>
      <c r="U30" s="304"/>
      <c r="W30"/>
    </row>
    <row r="31" spans="1:28" x14ac:dyDescent="0.3">
      <c r="A31" s="334"/>
      <c r="B31" s="336"/>
      <c r="D31" s="335"/>
      <c r="I31" s="3"/>
      <c r="J31" s="3"/>
      <c r="K31" s="3"/>
      <c r="L31" s="3"/>
      <c r="M31" s="3"/>
      <c r="N31" s="3"/>
      <c r="O31" s="339"/>
      <c r="P31" s="340"/>
      <c r="Q31" s="340"/>
      <c r="R31" s="340"/>
      <c r="S31" s="340"/>
      <c r="T31" s="304"/>
      <c r="U31" s="304"/>
      <c r="W31"/>
    </row>
    <row r="32" spans="1:28" x14ac:dyDescent="0.3">
      <c r="A32" s="334"/>
      <c r="B32" s="336"/>
      <c r="D32" s="335"/>
      <c r="I32" s="3"/>
      <c r="J32" s="3"/>
      <c r="K32" s="3"/>
      <c r="L32" s="3"/>
      <c r="M32" s="3"/>
      <c r="N32" s="3"/>
      <c r="O32" s="339"/>
      <c r="P32" s="340"/>
      <c r="Q32" s="340"/>
      <c r="R32" s="340"/>
      <c r="S32" s="340"/>
      <c r="T32" s="304"/>
      <c r="U32" s="304"/>
      <c r="W32"/>
    </row>
    <row r="33" spans="1:23" x14ac:dyDescent="0.3">
      <c r="A33" s="334"/>
      <c r="B33" s="336"/>
      <c r="D33" s="335"/>
      <c r="I33" s="3"/>
      <c r="J33" s="3"/>
      <c r="K33" s="3"/>
      <c r="L33" s="3"/>
      <c r="M33" s="3"/>
      <c r="N33" s="3"/>
      <c r="O33" s="340"/>
      <c r="P33" s="340"/>
      <c r="Q33" s="340"/>
      <c r="R33" s="340"/>
      <c r="S33" s="340"/>
      <c r="T33" s="304"/>
      <c r="U33" s="304"/>
      <c r="W33"/>
    </row>
    <row r="34" spans="1:23" x14ac:dyDescent="0.3">
      <c r="A34" s="334"/>
      <c r="B34" s="336"/>
      <c r="D34" s="335"/>
      <c r="I34" s="3"/>
      <c r="J34" s="3"/>
      <c r="K34" s="3"/>
      <c r="L34" s="3"/>
      <c r="M34" s="3"/>
      <c r="N34" s="3"/>
      <c r="O34" s="340"/>
      <c r="P34" s="340"/>
      <c r="Q34" s="340"/>
      <c r="R34" s="340"/>
      <c r="S34" s="340"/>
      <c r="T34" s="304"/>
      <c r="U34" s="304"/>
      <c r="W34"/>
    </row>
    <row r="35" spans="1:23" x14ac:dyDescent="0.3">
      <c r="D35" s="335"/>
      <c r="I35" s="3"/>
      <c r="J35" s="3"/>
      <c r="K35" s="3"/>
      <c r="L35" s="3"/>
      <c r="M35" s="3"/>
      <c r="N35" s="3"/>
      <c r="O35" s="340"/>
      <c r="P35" s="340"/>
      <c r="Q35" s="340"/>
      <c r="R35" s="340"/>
      <c r="S35" s="340"/>
      <c r="T35" s="304"/>
      <c r="U35" s="304"/>
      <c r="W35"/>
    </row>
    <row r="36" spans="1:23" x14ac:dyDescent="0.3">
      <c r="D36" s="335"/>
      <c r="I36" s="3"/>
      <c r="J36" s="3"/>
      <c r="K36" s="3"/>
      <c r="L36" s="3"/>
      <c r="M36" s="3"/>
      <c r="N36" s="3"/>
      <c r="O36" s="340"/>
      <c r="P36" s="340"/>
      <c r="Q36" s="340"/>
      <c r="R36" s="340"/>
      <c r="S36" s="340"/>
      <c r="T36" s="304"/>
      <c r="U36" s="304"/>
      <c r="W36"/>
    </row>
    <row r="37" spans="1:23" x14ac:dyDescent="0.3">
      <c r="D37" s="335"/>
      <c r="I37" s="3"/>
      <c r="J37" s="3"/>
      <c r="K37" s="3"/>
      <c r="L37" s="3"/>
      <c r="M37" s="3"/>
      <c r="N37" s="3"/>
      <c r="O37" s="340"/>
      <c r="P37" s="340"/>
      <c r="Q37" s="340"/>
      <c r="R37" s="340"/>
      <c r="S37" s="340"/>
      <c r="T37" s="304"/>
      <c r="U37" s="304"/>
      <c r="W37"/>
    </row>
    <row r="38" spans="1:23" x14ac:dyDescent="0.3">
      <c r="D38" s="335"/>
      <c r="I38" s="3"/>
      <c r="J38" s="3"/>
      <c r="K38" s="3"/>
      <c r="L38" s="3"/>
      <c r="M38" s="3"/>
      <c r="N38" s="3"/>
      <c r="O38" s="340"/>
      <c r="P38" s="340"/>
      <c r="Q38" s="340"/>
      <c r="R38" s="340"/>
      <c r="S38" s="340"/>
      <c r="T38" s="304"/>
      <c r="U38" s="304"/>
      <c r="W38"/>
    </row>
    <row r="39" spans="1:23" x14ac:dyDescent="0.3">
      <c r="D39" s="335"/>
      <c r="I39" s="3"/>
      <c r="J39" s="3"/>
      <c r="K39" s="3"/>
      <c r="L39" s="3"/>
      <c r="M39" s="3"/>
      <c r="N39" s="3"/>
      <c r="O39" s="340"/>
      <c r="P39" s="340"/>
      <c r="Q39" s="340"/>
      <c r="R39" s="340"/>
      <c r="S39" s="340"/>
      <c r="T39" s="304"/>
      <c r="U39" s="304"/>
      <c r="W39"/>
    </row>
    <row r="40" spans="1:23" x14ac:dyDescent="0.3">
      <c r="N40" s="3"/>
      <c r="O40" s="340"/>
      <c r="P40" s="340"/>
      <c r="Q40" s="340"/>
      <c r="R40" s="340"/>
      <c r="S40" s="340"/>
      <c r="T40" s="304"/>
      <c r="U40" s="304"/>
      <c r="W40"/>
    </row>
    <row r="41" spans="1:23" x14ac:dyDescent="0.3">
      <c r="O41" s="339"/>
      <c r="P41" s="340"/>
      <c r="Q41" s="340"/>
      <c r="R41" s="340"/>
      <c r="S41" s="340"/>
      <c r="T41" s="340"/>
      <c r="U41" s="304"/>
      <c r="V41" s="304"/>
    </row>
    <row r="42" spans="1:23" x14ac:dyDescent="0.3">
      <c r="O42" s="339"/>
      <c r="P42" s="340"/>
      <c r="Q42" s="340"/>
      <c r="R42" s="340"/>
      <c r="S42" s="340"/>
      <c r="T42" s="340"/>
      <c r="U42" s="304"/>
      <c r="V42" s="304"/>
    </row>
    <row r="43" spans="1:23" x14ac:dyDescent="0.3">
      <c r="O43" s="339"/>
      <c r="P43" s="340"/>
      <c r="Q43" s="340"/>
      <c r="R43" s="340"/>
      <c r="S43" s="340"/>
      <c r="T43" s="340"/>
      <c r="U43" s="304"/>
      <c r="V43" s="304"/>
    </row>
    <row r="44" spans="1:23" x14ac:dyDescent="0.3">
      <c r="O44" s="339"/>
      <c r="P44" s="340"/>
      <c r="Q44" s="340"/>
      <c r="R44" s="340"/>
      <c r="S44" s="340"/>
      <c r="T44" s="340"/>
      <c r="U44" s="304"/>
      <c r="V44" s="304"/>
    </row>
    <row r="45" spans="1:23" x14ac:dyDescent="0.3">
      <c r="O45" s="339"/>
      <c r="P45" s="340"/>
      <c r="Q45" s="340"/>
      <c r="R45" s="340"/>
      <c r="S45" s="340"/>
      <c r="T45" s="340"/>
      <c r="U45" s="304"/>
      <c r="V45" s="304"/>
    </row>
    <row r="46" spans="1:23" x14ac:dyDescent="0.3">
      <c r="O46" s="339"/>
      <c r="P46" s="340"/>
      <c r="Q46" s="340"/>
      <c r="R46" s="340"/>
      <c r="S46" s="340"/>
      <c r="T46" s="340"/>
      <c r="U46" s="304"/>
      <c r="V46" s="304"/>
    </row>
    <row r="47" spans="1:23" x14ac:dyDescent="0.3">
      <c r="O47" s="339"/>
      <c r="P47" s="340"/>
      <c r="Q47" s="340"/>
      <c r="R47" s="340"/>
      <c r="S47" s="340"/>
      <c r="T47" s="340"/>
      <c r="U47" s="304"/>
      <c r="V47" s="304"/>
    </row>
    <row r="48" spans="1:23" x14ac:dyDescent="0.3">
      <c r="O48" s="339"/>
      <c r="P48" s="340"/>
      <c r="Q48" s="340"/>
      <c r="R48" s="340"/>
      <c r="S48" s="340"/>
      <c r="T48" s="340"/>
      <c r="U48" s="304"/>
      <c r="V48" s="304"/>
    </row>
    <row r="49" spans="15:22" x14ac:dyDescent="0.3">
      <c r="O49" s="339"/>
      <c r="P49" s="340"/>
      <c r="Q49" s="340"/>
      <c r="R49" s="340"/>
      <c r="S49" s="340"/>
      <c r="T49" s="340"/>
      <c r="U49" s="304"/>
      <c r="V49" s="304"/>
    </row>
    <row r="50" spans="15:22" x14ac:dyDescent="0.3">
      <c r="O50" s="339"/>
      <c r="P50" s="340"/>
      <c r="Q50" s="340"/>
      <c r="R50" s="340"/>
      <c r="S50" s="340"/>
      <c r="T50" s="340"/>
      <c r="U50" s="304"/>
      <c r="V50" s="304"/>
    </row>
    <row r="51" spans="15:22" x14ac:dyDescent="0.3">
      <c r="O51" s="339"/>
      <c r="P51" s="340"/>
      <c r="Q51" s="340"/>
      <c r="R51" s="340"/>
      <c r="S51" s="340"/>
      <c r="T51" s="340"/>
      <c r="U51" s="304"/>
      <c r="V51" s="304"/>
    </row>
    <row r="52" spans="15:22" x14ac:dyDescent="0.3">
      <c r="O52" s="339"/>
      <c r="P52" s="340"/>
      <c r="Q52" s="340"/>
      <c r="R52" s="340"/>
      <c r="S52" s="340"/>
      <c r="T52" s="340"/>
      <c r="U52" s="304"/>
      <c r="V52" s="304"/>
    </row>
    <row r="53" spans="15:22" x14ac:dyDescent="0.3">
      <c r="O53" s="339"/>
      <c r="P53" s="340"/>
      <c r="Q53" s="340"/>
      <c r="R53" s="340"/>
      <c r="S53" s="340"/>
      <c r="T53" s="340"/>
      <c r="U53" s="304"/>
      <c r="V53" s="304"/>
    </row>
    <row r="54" spans="15:22" x14ac:dyDescent="0.3">
      <c r="O54" s="339"/>
      <c r="P54" s="340"/>
      <c r="Q54" s="340"/>
      <c r="R54" s="340"/>
      <c r="S54" s="340"/>
      <c r="T54" s="340"/>
      <c r="U54" s="304"/>
      <c r="V54" s="304"/>
    </row>
    <row r="55" spans="15:22" x14ac:dyDescent="0.3">
      <c r="O55" s="339"/>
      <c r="P55" s="340"/>
      <c r="Q55" s="340"/>
      <c r="R55" s="340"/>
      <c r="S55" s="340"/>
      <c r="T55" s="340"/>
      <c r="U55" s="304"/>
      <c r="V55" s="304"/>
    </row>
    <row r="56" spans="15:22" x14ac:dyDescent="0.3">
      <c r="O56" s="339"/>
      <c r="P56" s="340"/>
      <c r="Q56" s="340"/>
      <c r="R56" s="340"/>
      <c r="S56" s="340"/>
      <c r="T56" s="340"/>
      <c r="U56" s="304"/>
      <c r="V56" s="304"/>
    </row>
    <row r="57" spans="15:22" x14ac:dyDescent="0.3">
      <c r="O57" s="339"/>
      <c r="P57" s="340"/>
      <c r="Q57" s="340"/>
      <c r="R57" s="340"/>
      <c r="S57" s="340"/>
      <c r="T57" s="340"/>
      <c r="U57" s="304"/>
      <c r="V57" s="304"/>
    </row>
    <row r="58" spans="15:22" x14ac:dyDescent="0.3">
      <c r="O58" s="339"/>
      <c r="P58" s="340"/>
      <c r="Q58" s="340"/>
      <c r="R58" s="340"/>
      <c r="S58" s="340"/>
      <c r="T58" s="340"/>
      <c r="U58" s="304"/>
      <c r="V58" s="304"/>
    </row>
    <row r="59" spans="15:22" x14ac:dyDescent="0.3">
      <c r="O59" s="339"/>
      <c r="P59" s="340"/>
      <c r="Q59" s="340"/>
      <c r="R59" s="340"/>
      <c r="S59" s="340"/>
      <c r="T59" s="340"/>
      <c r="U59" s="304"/>
      <c r="V59" s="304"/>
    </row>
    <row r="60" spans="15:22" x14ac:dyDescent="0.3">
      <c r="O60" s="339"/>
      <c r="P60" s="340"/>
      <c r="Q60" s="340"/>
      <c r="R60" s="340"/>
      <c r="S60" s="340"/>
      <c r="T60" s="340"/>
      <c r="U60" s="304"/>
      <c r="V60" s="304"/>
    </row>
    <row r="61" spans="15:22" x14ac:dyDescent="0.3">
      <c r="O61" s="339"/>
      <c r="P61" s="340"/>
      <c r="Q61" s="340"/>
      <c r="R61" s="340"/>
      <c r="S61" s="340"/>
      <c r="T61" s="340"/>
      <c r="U61" s="304"/>
      <c r="V61" s="304"/>
    </row>
    <row r="62" spans="15:22" x14ac:dyDescent="0.3">
      <c r="O62" s="339"/>
      <c r="P62" s="340"/>
      <c r="Q62" s="340"/>
      <c r="R62" s="340"/>
      <c r="S62" s="340"/>
      <c r="T62" s="340"/>
      <c r="U62" s="304"/>
      <c r="V62" s="304"/>
    </row>
    <row r="63" spans="15:22" x14ac:dyDescent="0.3">
      <c r="O63" s="339"/>
      <c r="P63" s="340"/>
      <c r="Q63" s="340"/>
      <c r="R63" s="340"/>
      <c r="S63" s="340"/>
      <c r="T63" s="340"/>
      <c r="U63" s="304"/>
      <c r="V63" s="304"/>
    </row>
    <row r="64" spans="15:22" x14ac:dyDescent="0.3">
      <c r="O64" s="339"/>
      <c r="P64" s="340"/>
      <c r="Q64" s="340"/>
      <c r="R64" s="340"/>
      <c r="S64" s="340"/>
      <c r="T64" s="340"/>
      <c r="U64" s="304"/>
      <c r="V64" s="304"/>
    </row>
    <row r="65" spans="15:22" x14ac:dyDescent="0.3">
      <c r="O65" s="339"/>
      <c r="P65" s="340"/>
      <c r="Q65" s="340"/>
      <c r="R65" s="340"/>
      <c r="S65" s="340"/>
      <c r="T65" s="340"/>
      <c r="U65" s="304"/>
      <c r="V65" s="304"/>
    </row>
    <row r="66" spans="15:22" x14ac:dyDescent="0.3">
      <c r="O66" s="339"/>
      <c r="P66" s="340"/>
      <c r="Q66" s="340"/>
      <c r="R66" s="340"/>
      <c r="S66" s="340"/>
      <c r="T66" s="340"/>
      <c r="U66" s="304"/>
      <c r="V66" s="304"/>
    </row>
    <row r="67" spans="15:22" x14ac:dyDescent="0.3">
      <c r="O67" s="339"/>
      <c r="P67" s="340"/>
      <c r="Q67" s="340"/>
      <c r="R67" s="340"/>
      <c r="S67" s="340"/>
      <c r="T67" s="340"/>
      <c r="U67" s="304"/>
      <c r="V67" s="304"/>
    </row>
    <row r="68" spans="15:22" x14ac:dyDescent="0.3">
      <c r="O68" s="339"/>
      <c r="P68" s="340"/>
      <c r="Q68" s="340"/>
      <c r="R68" s="340"/>
      <c r="S68" s="340"/>
      <c r="T68" s="340"/>
      <c r="U68" s="304"/>
      <c r="V68" s="304"/>
    </row>
    <row r="69" spans="15:22" x14ac:dyDescent="0.3">
      <c r="O69" s="339"/>
      <c r="P69" s="340"/>
      <c r="Q69" s="340"/>
      <c r="R69" s="340"/>
      <c r="S69" s="340"/>
      <c r="T69" s="340"/>
      <c r="U69" s="304"/>
      <c r="V69" s="304"/>
    </row>
    <row r="70" spans="15:22" x14ac:dyDescent="0.3">
      <c r="O70" s="339"/>
      <c r="P70" s="340"/>
      <c r="Q70" s="340"/>
      <c r="R70" s="340"/>
      <c r="S70" s="340"/>
      <c r="T70" s="340"/>
      <c r="U70" s="304"/>
      <c r="V70" s="304"/>
    </row>
    <row r="71" spans="15:22" x14ac:dyDescent="0.3">
      <c r="O71" s="339"/>
      <c r="P71" s="340"/>
      <c r="Q71" s="340"/>
      <c r="R71" s="340"/>
      <c r="S71" s="340"/>
      <c r="T71" s="340"/>
      <c r="U71" s="304"/>
      <c r="V71" s="304"/>
    </row>
    <row r="72" spans="15:22" x14ac:dyDescent="0.3">
      <c r="O72" s="339"/>
      <c r="P72" s="340"/>
      <c r="Q72" s="340"/>
      <c r="R72" s="340"/>
      <c r="S72" s="340"/>
      <c r="T72" s="340"/>
      <c r="U72" s="304"/>
      <c r="V72" s="304"/>
    </row>
    <row r="73" spans="15:22" x14ac:dyDescent="0.3">
      <c r="O73" s="339"/>
      <c r="P73" s="340"/>
      <c r="Q73" s="340"/>
      <c r="R73" s="340"/>
      <c r="S73" s="340"/>
      <c r="T73" s="340"/>
      <c r="U73" s="304"/>
      <c r="V73" s="304"/>
    </row>
    <row r="74" spans="15:22" x14ac:dyDescent="0.3">
      <c r="O74" s="339"/>
      <c r="P74" s="340"/>
      <c r="Q74" s="340"/>
      <c r="R74" s="340"/>
      <c r="S74" s="340"/>
      <c r="T74" s="340"/>
      <c r="U74" s="304"/>
      <c r="V74" s="304"/>
    </row>
    <row r="75" spans="15:22" x14ac:dyDescent="0.3">
      <c r="O75" s="339"/>
      <c r="P75" s="340"/>
      <c r="Q75" s="340"/>
      <c r="R75" s="340"/>
      <c r="S75" s="340"/>
      <c r="T75" s="340"/>
      <c r="U75" s="304"/>
      <c r="V75" s="304"/>
    </row>
    <row r="76" spans="15:22" x14ac:dyDescent="0.3">
      <c r="O76" s="339"/>
      <c r="P76" s="340"/>
      <c r="Q76" s="340"/>
      <c r="R76" s="340"/>
      <c r="S76" s="340"/>
      <c r="T76" s="340"/>
      <c r="U76" s="304"/>
      <c r="V76" s="304"/>
    </row>
    <row r="77" spans="15:22" x14ac:dyDescent="0.3">
      <c r="O77" s="339"/>
      <c r="P77" s="340"/>
      <c r="Q77" s="340"/>
      <c r="R77" s="340"/>
      <c r="S77" s="340"/>
      <c r="T77" s="340"/>
      <c r="U77" s="304"/>
      <c r="V77" s="304"/>
    </row>
    <row r="78" spans="15:22" x14ac:dyDescent="0.3">
      <c r="O78" s="339"/>
      <c r="P78" s="340"/>
      <c r="Q78" s="340"/>
      <c r="R78" s="340"/>
      <c r="S78" s="340"/>
      <c r="T78" s="340"/>
      <c r="U78" s="304"/>
      <c r="V78" s="304"/>
    </row>
    <row r="79" spans="15:22" x14ac:dyDescent="0.3">
      <c r="O79" s="339"/>
      <c r="P79" s="340"/>
      <c r="Q79" s="340"/>
      <c r="R79" s="340"/>
      <c r="S79" s="340"/>
      <c r="T79" s="340"/>
      <c r="U79" s="304"/>
      <c r="V79" s="304"/>
    </row>
    <row r="80" spans="15:22" x14ac:dyDescent="0.3">
      <c r="O80" s="339"/>
      <c r="P80" s="340"/>
      <c r="Q80" s="340"/>
      <c r="R80" s="340"/>
      <c r="S80" s="340"/>
      <c r="T80" s="340"/>
      <c r="U80" s="304"/>
      <c r="V80" s="304"/>
    </row>
    <row r="81" spans="15:22" x14ac:dyDescent="0.3">
      <c r="O81" s="339"/>
      <c r="P81" s="340"/>
      <c r="Q81" s="340"/>
      <c r="R81" s="340"/>
      <c r="S81" s="340"/>
      <c r="T81" s="340"/>
      <c r="U81" s="304"/>
      <c r="V81" s="304"/>
    </row>
    <row r="82" spans="15:22" x14ac:dyDescent="0.3">
      <c r="O82" s="339"/>
      <c r="P82" s="340"/>
      <c r="Q82" s="340"/>
      <c r="R82" s="340"/>
      <c r="S82" s="340"/>
      <c r="T82" s="340"/>
      <c r="U82" s="304"/>
      <c r="V82" s="304"/>
    </row>
    <row r="83" spans="15:22" x14ac:dyDescent="0.3">
      <c r="O83" s="339"/>
      <c r="P83" s="340"/>
      <c r="Q83" s="340"/>
      <c r="R83" s="340"/>
      <c r="S83" s="340"/>
      <c r="T83" s="340"/>
      <c r="U83" s="304"/>
      <c r="V83" s="304"/>
    </row>
    <row r="84" spans="15:22" x14ac:dyDescent="0.3">
      <c r="O84" s="339"/>
      <c r="P84" s="340"/>
      <c r="Q84" s="340"/>
      <c r="R84" s="340"/>
      <c r="S84" s="340"/>
      <c r="T84" s="340"/>
      <c r="U84" s="304"/>
      <c r="V84" s="304"/>
    </row>
    <row r="85" spans="15:22" x14ac:dyDescent="0.3">
      <c r="O85" s="339"/>
      <c r="P85" s="340"/>
      <c r="Q85" s="340"/>
      <c r="R85" s="340"/>
      <c r="S85" s="340"/>
      <c r="T85" s="340"/>
      <c r="U85" s="304"/>
      <c r="V85" s="304"/>
    </row>
    <row r="86" spans="15:22" x14ac:dyDescent="0.3">
      <c r="O86" s="339"/>
      <c r="P86" s="340"/>
      <c r="Q86" s="340"/>
      <c r="R86" s="340"/>
      <c r="S86" s="340"/>
      <c r="T86" s="340"/>
      <c r="U86" s="304"/>
      <c r="V86" s="304"/>
    </row>
    <row r="87" spans="15:22" x14ac:dyDescent="0.3">
      <c r="O87" s="339"/>
      <c r="P87" s="340"/>
      <c r="Q87" s="340"/>
      <c r="R87" s="340"/>
      <c r="S87" s="340"/>
      <c r="T87" s="340"/>
      <c r="U87" s="304"/>
      <c r="V87" s="304"/>
    </row>
    <row r="88" spans="15:22" x14ac:dyDescent="0.3">
      <c r="O88" s="339"/>
      <c r="P88" s="340"/>
      <c r="Q88" s="340"/>
      <c r="R88" s="340"/>
      <c r="S88" s="340"/>
      <c r="T88" s="340"/>
      <c r="U88" s="304"/>
      <c r="V88" s="304"/>
    </row>
    <row r="89" spans="15:22" x14ac:dyDescent="0.3">
      <c r="O89" s="339"/>
      <c r="P89" s="340"/>
      <c r="Q89" s="340"/>
      <c r="R89" s="340"/>
      <c r="S89" s="340"/>
      <c r="T89" s="340"/>
      <c r="U89" s="304"/>
      <c r="V89" s="304"/>
    </row>
    <row r="90" spans="15:22" x14ac:dyDescent="0.3">
      <c r="O90" s="339"/>
      <c r="P90" s="340"/>
      <c r="Q90" s="340"/>
      <c r="R90" s="340"/>
      <c r="S90" s="340"/>
      <c r="T90" s="340"/>
      <c r="U90" s="304"/>
      <c r="V90" s="304"/>
    </row>
    <row r="91" spans="15:22" x14ac:dyDescent="0.3">
      <c r="O91" s="339"/>
      <c r="P91" s="340"/>
      <c r="Q91" s="340"/>
      <c r="R91" s="340"/>
      <c r="S91" s="340"/>
      <c r="T91" s="340"/>
      <c r="U91" s="304"/>
      <c r="V91" s="304"/>
    </row>
  </sheetData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R61"/>
  <sheetViews>
    <sheetView showGridLines="0" showRowColHeaders="0" workbookViewId="0">
      <selection activeCell="A12" sqref="A12"/>
    </sheetView>
  </sheetViews>
  <sheetFormatPr defaultRowHeight="14.4" x14ac:dyDescent="0.3"/>
  <cols>
    <col min="2" max="2" width="31.88671875" bestFit="1" customWidth="1"/>
    <col min="3" max="3" width="14.44140625" bestFit="1" customWidth="1"/>
    <col min="4" max="4" width="18" bestFit="1" customWidth="1"/>
    <col min="5" max="5" width="55.33203125" bestFit="1" customWidth="1"/>
    <col min="6" max="7" width="9.44140625" bestFit="1" customWidth="1"/>
    <col min="8" max="8" width="30.33203125" bestFit="1" customWidth="1"/>
    <col min="9" max="9" width="15" bestFit="1" customWidth="1"/>
    <col min="10" max="10" width="18.109375" bestFit="1" customWidth="1"/>
    <col min="11" max="11" width="53.6640625" bestFit="1" customWidth="1"/>
    <col min="12" max="12" width="10.77734375" bestFit="1" customWidth="1"/>
    <col min="13" max="13" width="9.77734375" bestFit="1" customWidth="1"/>
    <col min="14" max="14" width="7.77734375" bestFit="1" customWidth="1"/>
    <col min="15" max="15" width="10.77734375" bestFit="1" customWidth="1"/>
    <col min="16" max="16" width="13.5546875" bestFit="1" customWidth="1"/>
    <col min="17" max="17" width="12.6640625" bestFit="1" customWidth="1"/>
    <col min="18" max="18" width="7.88671875" bestFit="1" customWidth="1"/>
  </cols>
  <sheetData>
    <row r="1" spans="2:18" ht="15" thickBot="1" x14ac:dyDescent="0.35"/>
    <row r="2" spans="2:18" ht="15" thickBot="1" x14ac:dyDescent="0.35">
      <c r="D2" s="220" t="s">
        <v>83</v>
      </c>
      <c r="E2" s="221" t="s">
        <v>81</v>
      </c>
      <c r="F2" s="225" t="s">
        <v>50</v>
      </c>
      <c r="J2" s="220" t="s">
        <v>83</v>
      </c>
      <c r="K2" s="221" t="s">
        <v>81</v>
      </c>
      <c r="L2" s="225" t="s">
        <v>50</v>
      </c>
    </row>
    <row r="3" spans="2:18" x14ac:dyDescent="0.3">
      <c r="D3" s="222"/>
      <c r="E3" s="18" t="s">
        <v>116</v>
      </c>
      <c r="F3" s="227"/>
      <c r="J3" s="222"/>
      <c r="K3" s="18" t="s">
        <v>120</v>
      </c>
      <c r="L3" s="227"/>
    </row>
    <row r="4" spans="2:18" x14ac:dyDescent="0.3">
      <c r="D4" s="222"/>
      <c r="E4" s="18" t="s">
        <v>117</v>
      </c>
      <c r="F4" s="228"/>
      <c r="J4" s="222"/>
      <c r="K4" s="18" t="s">
        <v>121</v>
      </c>
      <c r="L4" s="228"/>
    </row>
    <row r="5" spans="2:18" x14ac:dyDescent="0.3">
      <c r="D5" s="222"/>
      <c r="E5" s="18"/>
      <c r="F5" s="228"/>
      <c r="J5" s="222"/>
      <c r="K5" s="18"/>
      <c r="L5" s="228"/>
    </row>
    <row r="6" spans="2:18" x14ac:dyDescent="0.3">
      <c r="D6" s="222"/>
      <c r="E6" s="18"/>
      <c r="F6" s="228"/>
      <c r="J6" s="222"/>
      <c r="K6" s="18"/>
      <c r="L6" s="228"/>
    </row>
    <row r="7" spans="2:18" x14ac:dyDescent="0.3">
      <c r="D7" s="222"/>
      <c r="E7" s="18"/>
      <c r="F7" s="229">
        <f>SUBTOTAL(9,F3:F6)</f>
        <v>0</v>
      </c>
      <c r="J7" s="222"/>
      <c r="K7" s="18"/>
      <c r="L7" s="229"/>
    </row>
    <row r="8" spans="2:18" x14ac:dyDescent="0.3">
      <c r="D8" s="222"/>
      <c r="E8" s="18" t="s">
        <v>118</v>
      </c>
      <c r="F8" s="228">
        <f>F54</f>
        <v>0</v>
      </c>
      <c r="J8" s="222"/>
      <c r="K8" s="18" t="s">
        <v>84</v>
      </c>
      <c r="L8" s="228">
        <f>L6</f>
        <v>0</v>
      </c>
    </row>
    <row r="9" spans="2:18" ht="15" thickBot="1" x14ac:dyDescent="0.35">
      <c r="D9" s="222"/>
      <c r="E9" s="18" t="s">
        <v>97</v>
      </c>
      <c r="F9" s="230"/>
      <c r="J9" s="222"/>
      <c r="K9" s="18" t="s">
        <v>85</v>
      </c>
      <c r="L9" s="230">
        <f>'Last year''s'!L56</f>
        <v>0</v>
      </c>
    </row>
    <row r="10" spans="2:18" ht="15" thickBot="1" x14ac:dyDescent="0.35">
      <c r="D10" s="223"/>
      <c r="E10" s="224"/>
      <c r="F10" s="226">
        <f>F7-F8</f>
        <v>0</v>
      </c>
      <c r="J10" s="223"/>
      <c r="K10" s="224" t="s">
        <v>86</v>
      </c>
      <c r="L10" s="226">
        <f>L8-L9</f>
        <v>0</v>
      </c>
    </row>
    <row r="11" spans="2:18" x14ac:dyDescent="0.3">
      <c r="F11" s="1"/>
    </row>
    <row r="12" spans="2:18" ht="15" thickBot="1" x14ac:dyDescent="0.35">
      <c r="B12" s="48" t="s">
        <v>188</v>
      </c>
      <c r="C12" s="48"/>
      <c r="H12" s="52" t="s">
        <v>232</v>
      </c>
      <c r="I12" s="52"/>
      <c r="J12" s="52"/>
      <c r="N12" s="48" t="s">
        <v>189</v>
      </c>
      <c r="O12" s="48"/>
      <c r="P12" s="48"/>
    </row>
    <row r="13" spans="2:18" ht="15" thickBot="1" x14ac:dyDescent="0.35">
      <c r="B13" s="34" t="s">
        <v>74</v>
      </c>
      <c r="C13" s="29" t="s">
        <v>78</v>
      </c>
      <c r="D13" s="30" t="s">
        <v>79</v>
      </c>
      <c r="E13" s="29" t="s">
        <v>115</v>
      </c>
      <c r="F13" s="31" t="s">
        <v>70</v>
      </c>
      <c r="H13" s="28" t="s">
        <v>74</v>
      </c>
      <c r="I13" s="29" t="s">
        <v>67</v>
      </c>
      <c r="J13" s="30" t="s">
        <v>68</v>
      </c>
      <c r="K13" s="29" t="s">
        <v>69</v>
      </c>
      <c r="L13" s="31" t="s">
        <v>119</v>
      </c>
      <c r="N13" s="32" t="s">
        <v>112</v>
      </c>
      <c r="O13" s="33" t="s">
        <v>113</v>
      </c>
      <c r="P13" s="43" t="s">
        <v>114</v>
      </c>
      <c r="Q13" s="43" t="s">
        <v>115</v>
      </c>
      <c r="R13" s="43" t="s">
        <v>50</v>
      </c>
    </row>
    <row r="14" spans="2:18" x14ac:dyDescent="0.3">
      <c r="B14" s="11"/>
      <c r="C14" s="50"/>
      <c r="E14" s="11"/>
      <c r="F14" s="21"/>
      <c r="H14" s="7"/>
      <c r="I14" s="50"/>
      <c r="K14" s="11"/>
      <c r="L14" s="19"/>
      <c r="N14" s="47"/>
      <c r="O14" s="11"/>
      <c r="P14" s="9"/>
      <c r="Q14" s="9"/>
      <c r="R14" s="21"/>
    </row>
    <row r="15" spans="2:18" x14ac:dyDescent="0.3">
      <c r="B15" s="11"/>
      <c r="C15" s="50"/>
      <c r="E15" s="11"/>
      <c r="F15" s="21"/>
      <c r="H15" s="7"/>
      <c r="I15" s="50"/>
      <c r="K15" s="11"/>
      <c r="L15" s="19"/>
      <c r="N15" s="47"/>
      <c r="O15" s="11"/>
      <c r="P15" s="9"/>
      <c r="Q15" s="9"/>
      <c r="R15" s="21"/>
    </row>
    <row r="16" spans="2:18" x14ac:dyDescent="0.3">
      <c r="B16" s="11"/>
      <c r="C16" s="50"/>
      <c r="E16" s="11"/>
      <c r="F16" s="21"/>
      <c r="H16" s="7"/>
      <c r="I16" s="50"/>
      <c r="K16" s="11"/>
      <c r="L16" s="19"/>
      <c r="N16" s="47"/>
      <c r="O16" s="11"/>
      <c r="P16" s="9"/>
      <c r="Q16" s="9"/>
      <c r="R16" s="21"/>
    </row>
    <row r="17" spans="2:18" x14ac:dyDescent="0.3">
      <c r="B17" s="11"/>
      <c r="C17" s="50"/>
      <c r="E17" s="11"/>
      <c r="F17" s="21"/>
      <c r="H17" s="7"/>
      <c r="I17" s="50"/>
      <c r="K17" s="11"/>
      <c r="L17" s="19"/>
      <c r="N17" s="47"/>
      <c r="O17" s="11"/>
      <c r="P17" s="9"/>
      <c r="Q17" s="9"/>
      <c r="R17" s="21"/>
    </row>
    <row r="18" spans="2:18" x14ac:dyDescent="0.3">
      <c r="B18" s="11"/>
      <c r="C18" s="50"/>
      <c r="E18" s="11"/>
      <c r="F18" s="21"/>
      <c r="H18" s="7"/>
      <c r="I18" s="50"/>
      <c r="K18" s="11"/>
      <c r="L18" s="19"/>
      <c r="N18" s="47"/>
      <c r="O18" s="11"/>
      <c r="P18" s="9"/>
      <c r="Q18" s="9"/>
      <c r="R18" s="21"/>
    </row>
    <row r="19" spans="2:18" x14ac:dyDescent="0.3">
      <c r="B19" s="11"/>
      <c r="C19" s="50"/>
      <c r="E19" s="11"/>
      <c r="F19" s="21"/>
      <c r="H19" s="7"/>
      <c r="I19" s="50"/>
      <c r="K19" s="11"/>
      <c r="L19" s="19"/>
      <c r="N19" s="47"/>
      <c r="O19" s="11"/>
      <c r="P19" s="9"/>
      <c r="Q19" s="9"/>
      <c r="R19" s="21"/>
    </row>
    <row r="20" spans="2:18" x14ac:dyDescent="0.3">
      <c r="B20" s="11"/>
      <c r="C20" s="50"/>
      <c r="E20" s="11"/>
      <c r="F20" s="21"/>
      <c r="H20" s="7"/>
      <c r="I20" s="50"/>
      <c r="K20" s="11"/>
      <c r="L20" s="19"/>
      <c r="N20" s="47"/>
      <c r="O20" s="11"/>
      <c r="P20" s="9"/>
      <c r="Q20" s="9"/>
      <c r="R20" s="21"/>
    </row>
    <row r="21" spans="2:18" x14ac:dyDescent="0.3">
      <c r="B21" s="11"/>
      <c r="C21" s="50"/>
      <c r="E21" s="11"/>
      <c r="F21" s="21"/>
      <c r="H21" s="7"/>
      <c r="I21" s="50"/>
      <c r="K21" s="11"/>
      <c r="L21" s="19"/>
      <c r="N21" s="47"/>
      <c r="O21" s="11"/>
      <c r="P21" s="9"/>
      <c r="Q21" s="9"/>
      <c r="R21" s="21"/>
    </row>
    <row r="22" spans="2:18" x14ac:dyDescent="0.3">
      <c r="B22" s="11"/>
      <c r="C22" s="50"/>
      <c r="E22" s="11"/>
      <c r="F22" s="21"/>
      <c r="H22" s="7"/>
      <c r="I22" s="50"/>
      <c r="K22" s="11"/>
      <c r="L22" s="19"/>
      <c r="N22" s="47"/>
      <c r="O22" s="11"/>
      <c r="P22" s="9"/>
      <c r="Q22" s="9"/>
      <c r="R22" s="21"/>
    </row>
    <row r="23" spans="2:18" x14ac:dyDescent="0.3">
      <c r="B23" s="11"/>
      <c r="C23" s="50"/>
      <c r="E23" s="11"/>
      <c r="F23" s="21"/>
      <c r="H23" s="7"/>
      <c r="I23" s="50"/>
      <c r="K23" s="11"/>
      <c r="L23" s="19"/>
      <c r="N23" s="47"/>
      <c r="O23" s="11"/>
      <c r="P23" s="9"/>
      <c r="Q23" s="9"/>
      <c r="R23" s="21"/>
    </row>
    <row r="24" spans="2:18" x14ac:dyDescent="0.3">
      <c r="B24" s="11"/>
      <c r="C24" s="50"/>
      <c r="E24" s="11"/>
      <c r="F24" s="21"/>
      <c r="H24" s="7"/>
      <c r="I24" s="50"/>
      <c r="K24" s="11"/>
      <c r="L24" s="19"/>
      <c r="N24" s="47"/>
      <c r="O24" s="11"/>
      <c r="P24" s="9"/>
      <c r="Q24" s="9"/>
      <c r="R24" s="21"/>
    </row>
    <row r="25" spans="2:18" x14ac:dyDescent="0.3">
      <c r="B25" s="11"/>
      <c r="C25" s="50"/>
      <c r="E25" s="11"/>
      <c r="F25" s="21"/>
      <c r="H25" s="7"/>
      <c r="I25" s="50"/>
      <c r="K25" s="11"/>
      <c r="L25" s="19"/>
      <c r="N25" s="47"/>
      <c r="O25" s="11"/>
      <c r="P25" s="9"/>
      <c r="Q25" s="9"/>
      <c r="R25" s="21"/>
    </row>
    <row r="26" spans="2:18" x14ac:dyDescent="0.3">
      <c r="B26" s="11"/>
      <c r="C26" s="50"/>
      <c r="E26" s="11"/>
      <c r="F26" s="21"/>
      <c r="H26" s="7"/>
      <c r="I26" s="50"/>
      <c r="K26" s="11"/>
      <c r="L26" s="19"/>
      <c r="N26" s="47"/>
      <c r="O26" s="11"/>
      <c r="P26" s="9"/>
      <c r="Q26" s="9"/>
      <c r="R26" s="21"/>
    </row>
    <row r="27" spans="2:18" x14ac:dyDescent="0.3">
      <c r="B27" s="11"/>
      <c r="C27" s="50"/>
      <c r="E27" s="11"/>
      <c r="F27" s="21"/>
      <c r="H27" s="7"/>
      <c r="I27" s="50"/>
      <c r="K27" s="11"/>
      <c r="L27" s="19"/>
      <c r="N27" s="47"/>
      <c r="O27" s="11"/>
      <c r="P27" s="9"/>
      <c r="Q27" s="9"/>
      <c r="R27" s="21"/>
    </row>
    <row r="28" spans="2:18" x14ac:dyDescent="0.3">
      <c r="B28" s="11"/>
      <c r="C28" s="50"/>
      <c r="E28" s="11"/>
      <c r="F28" s="21"/>
      <c r="H28" s="7"/>
      <c r="I28" s="50"/>
      <c r="K28" s="11"/>
      <c r="L28" s="19"/>
      <c r="N28" s="47"/>
      <c r="O28" s="11"/>
      <c r="P28" s="9"/>
      <c r="Q28" s="9"/>
      <c r="R28" s="21"/>
    </row>
    <row r="29" spans="2:18" x14ac:dyDescent="0.3">
      <c r="B29" s="11"/>
      <c r="C29" s="50"/>
      <c r="E29" s="11"/>
      <c r="F29" s="21"/>
      <c r="H29" s="7"/>
      <c r="I29" s="50"/>
      <c r="K29" s="11"/>
      <c r="L29" s="19"/>
      <c r="N29" s="47"/>
      <c r="O29" s="11"/>
      <c r="P29" s="9"/>
      <c r="Q29" s="9"/>
      <c r="R29" s="21"/>
    </row>
    <row r="30" spans="2:18" x14ac:dyDescent="0.3">
      <c r="B30" s="11"/>
      <c r="C30" s="50"/>
      <c r="E30" s="11"/>
      <c r="F30" s="21"/>
      <c r="H30" s="7"/>
      <c r="I30" s="50"/>
      <c r="K30" s="11"/>
      <c r="L30" s="19"/>
      <c r="N30" s="47"/>
      <c r="O30" s="11"/>
      <c r="P30" s="9"/>
      <c r="Q30" s="9"/>
      <c r="R30" s="21"/>
    </row>
    <row r="31" spans="2:18" x14ac:dyDescent="0.3">
      <c r="B31" s="11"/>
      <c r="C31" s="50"/>
      <c r="E31" s="11"/>
      <c r="F31" s="21"/>
      <c r="H31" s="7"/>
      <c r="I31" s="50"/>
      <c r="K31" s="11"/>
      <c r="L31" s="19"/>
      <c r="N31" s="47"/>
      <c r="O31" s="11"/>
      <c r="P31" s="9"/>
      <c r="Q31" s="9"/>
      <c r="R31" s="21"/>
    </row>
    <row r="32" spans="2:18" x14ac:dyDescent="0.3">
      <c r="B32" s="11"/>
      <c r="C32" s="50"/>
      <c r="E32" s="11"/>
      <c r="F32" s="21"/>
      <c r="H32" s="7"/>
      <c r="I32" s="50"/>
      <c r="K32" s="11"/>
      <c r="L32" s="19"/>
      <c r="N32" s="47"/>
      <c r="O32" s="11"/>
      <c r="P32" s="9"/>
      <c r="Q32" s="9"/>
      <c r="R32" s="21"/>
    </row>
    <row r="33" spans="2:18" x14ac:dyDescent="0.3">
      <c r="B33" s="11"/>
      <c r="C33" s="50"/>
      <c r="E33" s="11"/>
      <c r="F33" s="21"/>
      <c r="H33" s="7"/>
      <c r="I33" s="50"/>
      <c r="K33" s="11"/>
      <c r="L33" s="19"/>
      <c r="N33" s="47"/>
      <c r="O33" s="11"/>
      <c r="P33" s="9"/>
      <c r="Q33" s="9"/>
      <c r="R33" s="21"/>
    </row>
    <row r="34" spans="2:18" x14ac:dyDescent="0.3">
      <c r="B34" s="11"/>
      <c r="C34" s="50"/>
      <c r="E34" s="11"/>
      <c r="F34" s="21"/>
      <c r="H34" s="7"/>
      <c r="I34" s="50"/>
      <c r="K34" s="11"/>
      <c r="L34" s="19"/>
      <c r="N34" s="47"/>
      <c r="O34" s="11"/>
      <c r="P34" s="9"/>
      <c r="Q34" s="9"/>
      <c r="R34" s="21"/>
    </row>
    <row r="35" spans="2:18" x14ac:dyDescent="0.3">
      <c r="B35" s="11"/>
      <c r="C35" s="50"/>
      <c r="E35" s="11"/>
      <c r="F35" s="21"/>
      <c r="H35" s="7"/>
      <c r="I35" s="50"/>
      <c r="K35" s="11"/>
      <c r="L35" s="19"/>
      <c r="N35" s="47"/>
      <c r="O35" s="11"/>
      <c r="P35" s="9"/>
      <c r="Q35" s="9"/>
      <c r="R35" s="21"/>
    </row>
    <row r="36" spans="2:18" x14ac:dyDescent="0.3">
      <c r="B36" s="11"/>
      <c r="C36" s="50"/>
      <c r="E36" s="11"/>
      <c r="F36" s="21"/>
      <c r="H36" s="7"/>
      <c r="I36" s="50"/>
      <c r="K36" s="11"/>
      <c r="L36" s="19"/>
      <c r="N36" s="47"/>
      <c r="O36" s="11"/>
      <c r="P36" s="9"/>
      <c r="Q36" s="9"/>
      <c r="R36" s="21"/>
    </row>
    <row r="37" spans="2:18" ht="15" thickBot="1" x14ac:dyDescent="0.35">
      <c r="B37" s="11"/>
      <c r="C37" s="50"/>
      <c r="E37" s="11"/>
      <c r="F37" s="21"/>
      <c r="H37" s="7"/>
      <c r="I37" s="50"/>
      <c r="K37" s="11"/>
      <c r="L37" s="19"/>
      <c r="N37" s="47"/>
      <c r="O37" s="11"/>
      <c r="P37" s="9"/>
      <c r="Q37" s="9"/>
      <c r="R37" s="21"/>
    </row>
    <row r="38" spans="2:18" ht="15" thickBot="1" x14ac:dyDescent="0.35">
      <c r="B38" s="11"/>
      <c r="C38" s="50"/>
      <c r="E38" s="11"/>
      <c r="F38" s="21"/>
      <c r="H38" s="7"/>
      <c r="I38" s="50"/>
      <c r="K38" s="11"/>
      <c r="L38" s="19"/>
      <c r="N38" s="367" t="s">
        <v>72</v>
      </c>
      <c r="O38" s="368"/>
      <c r="P38" s="368"/>
      <c r="Q38" s="369"/>
      <c r="R38" s="35">
        <f>SUM(R14:R37)</f>
        <v>0</v>
      </c>
    </row>
    <row r="39" spans="2:18" x14ac:dyDescent="0.3">
      <c r="B39" s="11"/>
      <c r="C39" s="50"/>
      <c r="E39" s="11"/>
      <c r="F39" s="21"/>
      <c r="H39" s="7"/>
      <c r="I39" s="50"/>
      <c r="K39" s="11"/>
      <c r="L39" s="19"/>
    </row>
    <row r="40" spans="2:18" x14ac:dyDescent="0.3">
      <c r="B40" s="11"/>
      <c r="C40" s="50"/>
      <c r="E40" s="11"/>
      <c r="F40" s="21"/>
      <c r="H40" s="7"/>
      <c r="I40" s="50"/>
      <c r="K40" s="11"/>
      <c r="L40" s="19"/>
    </row>
    <row r="41" spans="2:18" x14ac:dyDescent="0.3">
      <c r="B41" s="11"/>
      <c r="C41" s="50"/>
      <c r="E41" s="11"/>
      <c r="F41" s="21"/>
      <c r="H41" s="7"/>
      <c r="I41" s="50"/>
      <c r="K41" s="11"/>
      <c r="L41" s="19"/>
    </row>
    <row r="42" spans="2:18" x14ac:dyDescent="0.3">
      <c r="B42" s="11"/>
      <c r="C42" s="50"/>
      <c r="E42" s="11"/>
      <c r="F42" s="21"/>
      <c r="H42" s="7"/>
      <c r="I42" s="50"/>
      <c r="K42" s="11"/>
      <c r="L42" s="19"/>
    </row>
    <row r="43" spans="2:18" x14ac:dyDescent="0.3">
      <c r="B43" s="11"/>
      <c r="C43" s="50"/>
      <c r="E43" s="11"/>
      <c r="F43" s="21"/>
      <c r="H43" s="7"/>
      <c r="I43" s="50"/>
      <c r="K43" s="11"/>
      <c r="L43" s="19"/>
    </row>
    <row r="44" spans="2:18" x14ac:dyDescent="0.3">
      <c r="B44" s="11"/>
      <c r="C44" s="50"/>
      <c r="E44" s="11"/>
      <c r="F44" s="21"/>
      <c r="H44" s="7"/>
      <c r="I44" s="50"/>
      <c r="K44" s="11"/>
      <c r="L44" s="19"/>
    </row>
    <row r="45" spans="2:18" x14ac:dyDescent="0.3">
      <c r="B45" s="11"/>
      <c r="C45" s="50"/>
      <c r="E45" s="11"/>
      <c r="F45" s="21"/>
      <c r="H45" s="7"/>
      <c r="I45" s="50"/>
      <c r="K45" s="11"/>
      <c r="L45" s="19"/>
    </row>
    <row r="46" spans="2:18" x14ac:dyDescent="0.3">
      <c r="B46" s="11"/>
      <c r="C46" s="50"/>
      <c r="E46" s="11"/>
      <c r="F46" s="21"/>
      <c r="H46" s="7"/>
      <c r="I46" s="50"/>
      <c r="K46" s="11"/>
      <c r="L46" s="19"/>
    </row>
    <row r="47" spans="2:18" x14ac:dyDescent="0.3">
      <c r="B47" s="11"/>
      <c r="C47" s="50"/>
      <c r="E47" s="11"/>
      <c r="F47" s="21"/>
      <c r="H47" s="7"/>
      <c r="I47" s="50"/>
      <c r="K47" s="11"/>
      <c r="L47" s="19"/>
    </row>
    <row r="48" spans="2:18" x14ac:dyDescent="0.3">
      <c r="B48" s="11"/>
      <c r="C48" s="50"/>
      <c r="E48" s="11"/>
      <c r="F48" s="21"/>
      <c r="H48" s="7"/>
      <c r="I48" s="50"/>
      <c r="K48" s="11"/>
      <c r="L48" s="19"/>
    </row>
    <row r="49" spans="2:12" x14ac:dyDescent="0.3">
      <c r="B49" s="11"/>
      <c r="C49" s="50"/>
      <c r="E49" s="11"/>
      <c r="F49" s="21"/>
      <c r="H49" s="7"/>
      <c r="I49" s="50"/>
      <c r="K49" s="11"/>
      <c r="L49" s="19"/>
    </row>
    <row r="50" spans="2:12" x14ac:dyDescent="0.3">
      <c r="B50" s="11"/>
      <c r="C50" s="50"/>
      <c r="E50" s="11"/>
      <c r="F50" s="21"/>
      <c r="H50" s="7"/>
      <c r="I50" s="50"/>
      <c r="K50" s="11"/>
      <c r="L50" s="19"/>
    </row>
    <row r="51" spans="2:12" x14ac:dyDescent="0.3">
      <c r="B51" s="11"/>
      <c r="C51" s="50"/>
      <c r="E51" s="11"/>
      <c r="F51" s="21"/>
      <c r="H51" s="7"/>
      <c r="I51" s="50"/>
      <c r="K51" s="11"/>
      <c r="L51" s="19"/>
    </row>
    <row r="52" spans="2:12" x14ac:dyDescent="0.3">
      <c r="B52" s="11"/>
      <c r="C52" s="50"/>
      <c r="E52" s="11"/>
      <c r="F52" s="21"/>
      <c r="H52" s="7"/>
      <c r="I52" s="50"/>
      <c r="K52" s="11"/>
      <c r="L52" s="19"/>
    </row>
    <row r="53" spans="2:12" ht="15" thickBot="1" x14ac:dyDescent="0.35">
      <c r="B53" s="11"/>
      <c r="C53" s="50"/>
      <c r="E53" s="11"/>
      <c r="F53" s="21"/>
      <c r="H53" s="7"/>
      <c r="I53" s="50"/>
      <c r="K53" s="11"/>
      <c r="L53" s="19"/>
    </row>
    <row r="54" spans="2:12" ht="15" thickBot="1" x14ac:dyDescent="0.35">
      <c r="B54" s="367" t="s">
        <v>72</v>
      </c>
      <c r="C54" s="368"/>
      <c r="D54" s="368"/>
      <c r="E54" s="369"/>
      <c r="F54" s="35">
        <f>SUBTOTAL(9,F14:F53)</f>
        <v>0</v>
      </c>
      <c r="H54" s="7"/>
      <c r="I54" s="50"/>
      <c r="K54" s="11"/>
      <c r="L54" s="19"/>
    </row>
    <row r="55" spans="2:12" ht="15" thickBot="1" x14ac:dyDescent="0.35">
      <c r="B55" s="5"/>
      <c r="C55" s="5"/>
      <c r="D55" s="5"/>
      <c r="E55" s="5"/>
      <c r="F55" s="282"/>
      <c r="H55" s="7"/>
      <c r="I55" s="50"/>
      <c r="K55" s="11"/>
      <c r="L55" s="19"/>
    </row>
    <row r="56" spans="2:12" ht="15" thickBot="1" x14ac:dyDescent="0.35">
      <c r="B56" s="5"/>
      <c r="C56" s="5"/>
      <c r="D56" s="5"/>
      <c r="E56" s="5"/>
      <c r="F56" s="282"/>
      <c r="H56" s="10"/>
      <c r="I56" s="20"/>
      <c r="J56" s="16"/>
      <c r="K56" s="20"/>
      <c r="L56" s="39">
        <f>SUM(L14:L55)</f>
        <v>0</v>
      </c>
    </row>
    <row r="57" spans="2:12" x14ac:dyDescent="0.3">
      <c r="B57" s="5"/>
      <c r="C57" s="5"/>
      <c r="D57" s="5"/>
      <c r="E57" s="5"/>
      <c r="F57" s="282"/>
    </row>
    <row r="58" spans="2:12" x14ac:dyDescent="0.3">
      <c r="B58" s="5"/>
      <c r="C58" s="5"/>
      <c r="D58" s="5"/>
      <c r="E58" s="5"/>
      <c r="F58" s="282"/>
    </row>
    <row r="59" spans="2:12" x14ac:dyDescent="0.3">
      <c r="B59" s="5"/>
      <c r="C59" s="5"/>
      <c r="D59" s="5"/>
      <c r="E59" s="5"/>
      <c r="F59" s="282"/>
    </row>
    <row r="60" spans="2:12" x14ac:dyDescent="0.3">
      <c r="B60" s="5"/>
      <c r="C60" s="5"/>
      <c r="D60" s="5"/>
      <c r="E60" s="5"/>
      <c r="F60" s="282"/>
    </row>
    <row r="61" spans="2:12" x14ac:dyDescent="0.3">
      <c r="B61" s="5"/>
      <c r="C61" s="5"/>
      <c r="D61" s="5"/>
      <c r="E61" s="5"/>
      <c r="F61" s="282"/>
    </row>
  </sheetData>
  <mergeCells count="2">
    <mergeCell ref="B54:E54"/>
    <mergeCell ref="N38:Q38"/>
  </mergeCells>
  <conditionalFormatting sqref="B14:B52">
    <cfRule type="duplicateValues" dxfId="1" priority="19841"/>
  </conditionalFormatting>
  <conditionalFormatting sqref="H14:H5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B4:I40"/>
  <sheetViews>
    <sheetView showGridLines="0" showRowColHeaders="0" workbookViewId="0">
      <selection activeCell="A11" sqref="A11"/>
    </sheetView>
  </sheetViews>
  <sheetFormatPr defaultRowHeight="14.4" x14ac:dyDescent="0.3"/>
  <cols>
    <col min="2" max="2" width="40.109375" bestFit="1" customWidth="1"/>
    <col min="3" max="3" width="14.21875" bestFit="1" customWidth="1"/>
    <col min="5" max="5" width="39.5546875" bestFit="1" customWidth="1"/>
    <col min="6" max="6" width="14.21875" bestFit="1" customWidth="1"/>
    <col min="8" max="8" width="39.6640625" bestFit="1" customWidth="1"/>
    <col min="9" max="9" width="11.5546875" bestFit="1" customWidth="1"/>
  </cols>
  <sheetData>
    <row r="4" spans="2:9" s="285" customFormat="1" ht="16.2" thickBot="1" x14ac:dyDescent="0.35">
      <c r="B4" s="285" t="s">
        <v>87</v>
      </c>
      <c r="E4" s="285" t="s">
        <v>90</v>
      </c>
      <c r="H4" s="285" t="s">
        <v>92</v>
      </c>
    </row>
    <row r="5" spans="2:9" ht="15" thickBot="1" x14ac:dyDescent="0.35">
      <c r="B5" s="55" t="s">
        <v>81</v>
      </c>
      <c r="C5" s="56" t="s">
        <v>50</v>
      </c>
      <c r="E5" s="55" t="s">
        <v>81</v>
      </c>
      <c r="F5" s="56" t="s">
        <v>50</v>
      </c>
      <c r="H5" s="55" t="s">
        <v>81</v>
      </c>
      <c r="I5" s="56" t="s">
        <v>50</v>
      </c>
    </row>
    <row r="6" spans="2:9" x14ac:dyDescent="0.3">
      <c r="B6" s="54" t="s">
        <v>88</v>
      </c>
      <c r="C6" s="57">
        <f>Details!AS166</f>
        <v>6660989.7383999992</v>
      </c>
      <c r="E6" s="54" t="s">
        <v>91</v>
      </c>
      <c r="F6" s="57">
        <f>Details!O166</f>
        <v>5604766.0369999986</v>
      </c>
      <c r="H6" s="61" t="s">
        <v>93</v>
      </c>
      <c r="I6" s="62">
        <f>Details!AC166</f>
        <v>0</v>
      </c>
    </row>
    <row r="7" spans="2:9" x14ac:dyDescent="0.3">
      <c r="B7" s="54" t="s">
        <v>165</v>
      </c>
      <c r="C7" s="57">
        <f>Details!AS170</f>
        <v>0</v>
      </c>
      <c r="E7" s="54" t="s">
        <v>166</v>
      </c>
      <c r="F7" s="57">
        <f>-Details!O171</f>
        <v>0</v>
      </c>
      <c r="H7" s="54" t="s">
        <v>167</v>
      </c>
      <c r="I7" s="57">
        <f>Details!AC170</f>
        <v>0</v>
      </c>
    </row>
    <row r="8" spans="2:9" x14ac:dyDescent="0.3">
      <c r="B8" s="54" t="s">
        <v>148</v>
      </c>
      <c r="C8" s="57">
        <f>'Recon Items'!Q8</f>
        <v>0</v>
      </c>
      <c r="E8" s="54" t="s">
        <v>149</v>
      </c>
      <c r="F8" s="57">
        <f>Details!O169</f>
        <v>0</v>
      </c>
      <c r="H8" s="54"/>
      <c r="I8" s="57"/>
    </row>
    <row r="9" spans="2:9" x14ac:dyDescent="0.3">
      <c r="B9" s="54" t="s">
        <v>77</v>
      </c>
      <c r="C9" s="57">
        <f>Details!AS171</f>
        <v>0</v>
      </c>
      <c r="E9" s="54" t="s">
        <v>77</v>
      </c>
      <c r="F9" s="57">
        <f>'Recon Items'!F18</f>
        <v>0</v>
      </c>
      <c r="H9" s="54"/>
      <c r="I9" s="57"/>
    </row>
    <row r="10" spans="2:9" ht="15" thickBot="1" x14ac:dyDescent="0.35">
      <c r="B10" s="54" t="s">
        <v>150</v>
      </c>
      <c r="C10" s="57">
        <f>Details!AS169</f>
        <v>0</v>
      </c>
      <c r="E10" s="54" t="s">
        <v>178</v>
      </c>
      <c r="F10" s="57">
        <v>0</v>
      </c>
      <c r="H10" s="54" t="s">
        <v>168</v>
      </c>
      <c r="I10" s="57">
        <f>Details!AC168</f>
        <v>0</v>
      </c>
    </row>
    <row r="11" spans="2:9" ht="15" thickBot="1" x14ac:dyDescent="0.35">
      <c r="B11" s="54"/>
      <c r="C11" s="63">
        <f>SUM(C6:C10)</f>
        <v>6660989.7383999992</v>
      </c>
      <c r="E11" s="54" t="s">
        <v>131</v>
      </c>
      <c r="F11" s="57">
        <f>-'Recon Items'!M18</f>
        <v>0</v>
      </c>
      <c r="H11" s="54"/>
      <c r="I11" s="63">
        <f>SUM(I6:I10)</f>
        <v>0</v>
      </c>
    </row>
    <row r="12" spans="2:9" ht="15" thickBot="1" x14ac:dyDescent="0.35">
      <c r="B12" s="54" t="s">
        <v>89</v>
      </c>
      <c r="C12" s="57">
        <f>Details!AS167</f>
        <v>6660989.7400000002</v>
      </c>
      <c r="E12" s="54"/>
      <c r="F12" s="63">
        <f>SUM(F6:F11)</f>
        <v>5604766.0369999986</v>
      </c>
      <c r="H12" s="54" t="s">
        <v>94</v>
      </c>
      <c r="I12" s="57">
        <f>Details!AC167</f>
        <v>0</v>
      </c>
    </row>
    <row r="13" spans="2:9" ht="15" thickBot="1" x14ac:dyDescent="0.35">
      <c r="B13" s="59" t="s">
        <v>95</v>
      </c>
      <c r="C13" s="58">
        <f>C11-C12</f>
        <v>-1.6000010073184967E-3</v>
      </c>
      <c r="E13" s="54" t="s">
        <v>96</v>
      </c>
      <c r="F13" s="57">
        <f>Details!O167</f>
        <v>5604766.0499999998</v>
      </c>
      <c r="H13" s="59" t="s">
        <v>95</v>
      </c>
      <c r="I13" s="58">
        <f>I11-I12</f>
        <v>0</v>
      </c>
    </row>
    <row r="14" spans="2:9" ht="15" thickBot="1" x14ac:dyDescent="0.35">
      <c r="B14" s="24"/>
      <c r="C14" s="25"/>
      <c r="E14" s="59" t="s">
        <v>95</v>
      </c>
      <c r="F14" s="60">
        <f>F12-F13-'Recon Items'!C18</f>
        <v>-1.3000001199543476E-2</v>
      </c>
    </row>
    <row r="24" spans="2:3" x14ac:dyDescent="0.3">
      <c r="B24" s="24"/>
      <c r="C24" s="26"/>
    </row>
    <row r="32" spans="2:3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Details</vt:lpstr>
      <vt:lpstr>Recon Items</vt:lpstr>
      <vt:lpstr>Supplier Metrics</vt:lpstr>
      <vt:lpstr>Buyer Metrics</vt:lpstr>
      <vt:lpstr>POC</vt:lpstr>
      <vt:lpstr>AP &amp; AR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Finance6</cp:lastModifiedBy>
  <cp:lastPrinted>2024-05-14T07:36:53Z</cp:lastPrinted>
  <dcterms:created xsi:type="dcterms:W3CDTF">2015-06-05T18:17:20Z</dcterms:created>
  <dcterms:modified xsi:type="dcterms:W3CDTF">2026-07-01T06:38:27Z</dcterms:modified>
</cp:coreProperties>
</file>