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amya.potala\Documents\MIS FY 26-27\Plastic Waste &amp; Rewerse\"/>
    </mc:Choice>
  </mc:AlternateContent>
  <xr:revisionPtr revIDLastSave="0" documentId="13_ncr:1_{E3583D75-FE04-4B80-B17D-A3C7D92169F6}" xr6:coauthVersionLast="47" xr6:coauthVersionMax="47" xr10:uidLastSave="{00000000-0000-0000-0000-000000000000}"/>
  <bookViews>
    <workbookView xWindow="-110" yWindow="-110" windowWidth="19420" windowHeight="10300" tabRatio="742" xr2:uid="{00000000-000D-0000-FFFF-FFFF00000000}"/>
  </bookViews>
  <sheets>
    <sheet name="Summary" sheetId="5" r:id="rId1"/>
    <sheet name="Details" sheetId="4" r:id="rId2"/>
    <sheet name="Recon Items" sheetId="80" r:id="rId3"/>
    <sheet name="Supplier Metrics" sheetId="97" r:id="rId4"/>
    <sheet name="Buyer Metrics" sheetId="95" r:id="rId5"/>
    <sheet name="Material Metrics" sheetId="103" r:id="rId6"/>
    <sheet name="receivables" sheetId="102" r:id="rId7"/>
    <sheet name="Last year's" sheetId="81" r:id="rId8"/>
    <sheet name="Revenue - Reco" sheetId="84" state="hidden" r:id="rId9"/>
  </sheets>
  <definedNames>
    <definedName name="_xlnm._FilterDatabase" localSheetId="4" hidden="1">'Buyer Metrics'!#REF!</definedName>
    <definedName name="_xlnm._FilterDatabase" localSheetId="1" hidden="1">Details!$A$4:$CZ$5</definedName>
    <definedName name="_xlnm._FilterDatabase" localSheetId="7" hidden="1">'Last year''s'!$B$9:$F$27</definedName>
    <definedName name="_xlnm._FilterDatabase" localSheetId="5" hidden="1">'Material Metrics'!$B$2:$D$63</definedName>
    <definedName name="_xlnm._FilterDatabase" localSheetId="6" hidden="1">receivables!$K$2:$AA$246</definedName>
    <definedName name="_xlnm._FilterDatabase" localSheetId="0" hidden="1">Summary!$C$3:$U$49</definedName>
    <definedName name="_xlnm._FilterDatabase" localSheetId="3" hidden="1">'Supplier Metrics'!$B$3:$D$4</definedName>
    <definedName name="_xlcn.WorksheetConnection_DetailsB4BN19801" hidden="1">Details!$D$4:$BQ$8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81" l="1"/>
  <c r="AA36" i="102"/>
  <c r="P25" i="5"/>
  <c r="AO1" i="102"/>
  <c r="P23" i="5"/>
  <c r="D17" i="5"/>
  <c r="AF5" i="102"/>
  <c r="AF10" i="102"/>
  <c r="AF9" i="102"/>
  <c r="AF8" i="102"/>
  <c r="AF7" i="102"/>
  <c r="AF6" i="102"/>
  <c r="AF4" i="102"/>
  <c r="AF3" i="102"/>
  <c r="N18" i="80"/>
  <c r="AY7" i="4"/>
  <c r="BK7" i="4" s="1"/>
  <c r="BT7" i="4" s="1"/>
  <c r="AZ7" i="4"/>
  <c r="BB7" i="4"/>
  <c r="BU7" i="4"/>
  <c r="BW7" i="4"/>
  <c r="BX7" i="4"/>
  <c r="CO7" i="4" s="1"/>
  <c r="CB7" i="4"/>
  <c r="CE7" i="4"/>
  <c r="CL7" i="4"/>
  <c r="CS7" i="4"/>
  <c r="CT7" i="4"/>
  <c r="Q7" i="4"/>
  <c r="S7" i="4"/>
  <c r="AB7" i="4"/>
  <c r="B7" i="4"/>
  <c r="C7" i="4"/>
  <c r="AF14" i="102"/>
  <c r="AF13" i="102"/>
  <c r="AF12" i="102"/>
  <c r="AF11" i="102"/>
  <c r="S1" i="102"/>
  <c r="R1" i="102"/>
  <c r="C16" i="4"/>
  <c r="D16" i="4"/>
  <c r="CE16" i="4" s="1"/>
  <c r="Q16" i="4"/>
  <c r="S16" i="4"/>
  <c r="AB16" i="4"/>
  <c r="BB16" i="4"/>
  <c r="BT16" i="4"/>
  <c r="BU16" i="4"/>
  <c r="BW16" i="4"/>
  <c r="BX16" i="4"/>
  <c r="CB16" i="4"/>
  <c r="CN16" i="4"/>
  <c r="CS16" i="4"/>
  <c r="CT16" i="4"/>
  <c r="AY16" i="4"/>
  <c r="CL16" i="4" s="1"/>
  <c r="AZ16" i="4"/>
  <c r="AY24" i="4"/>
  <c r="O24" i="4"/>
  <c r="BY16" i="4" l="1"/>
  <c r="D16" i="5"/>
  <c r="BY7" i="4"/>
  <c r="CN7" i="4"/>
  <c r="AM7" i="4"/>
  <c r="CC7" i="4" s="1"/>
  <c r="CI7" i="4"/>
  <c r="CJ7" i="4" s="1"/>
  <c r="BL16" i="4"/>
  <c r="CD16" i="4" s="1"/>
  <c r="BV7" i="4"/>
  <c r="CM7" i="4"/>
  <c r="BL7" i="4"/>
  <c r="BP7" i="4"/>
  <c r="BQ7" i="4" s="1"/>
  <c r="AD7" i="4"/>
  <c r="BV16" i="4"/>
  <c r="CO16" i="4"/>
  <c r="AD16" i="4"/>
  <c r="AM16" i="4"/>
  <c r="BP16" i="4"/>
  <c r="BQ16" i="4" s="1"/>
  <c r="CI16" i="4"/>
  <c r="CJ16" i="4" s="1"/>
  <c r="CM16" i="4"/>
  <c r="C14" i="4"/>
  <c r="D14" i="4"/>
  <c r="CE14" i="4" s="1"/>
  <c r="Q14" i="4"/>
  <c r="S14" i="4"/>
  <c r="AB14" i="4"/>
  <c r="C15" i="4"/>
  <c r="D15" i="4"/>
  <c r="CE15" i="4" s="1"/>
  <c r="Q15" i="4"/>
  <c r="S15" i="4"/>
  <c r="AB15" i="4"/>
  <c r="AY14" i="4"/>
  <c r="CL14" i="4" s="1"/>
  <c r="AZ14" i="4"/>
  <c r="BB14" i="4"/>
  <c r="BT14" i="4"/>
  <c r="BU14" i="4"/>
  <c r="BW14" i="4"/>
  <c r="CN14" i="4" s="1"/>
  <c r="BX14" i="4"/>
  <c r="CO14" i="4" s="1"/>
  <c r="CB14" i="4"/>
  <c r="CS14" i="4"/>
  <c r="CT14" i="4"/>
  <c r="AY15" i="4"/>
  <c r="AZ15" i="4"/>
  <c r="BB15" i="4"/>
  <c r="BT15" i="4"/>
  <c r="BU15" i="4"/>
  <c r="BW15" i="4"/>
  <c r="CN15" i="4" s="1"/>
  <c r="BX15" i="4"/>
  <c r="CO15" i="4" s="1"/>
  <c r="CB15" i="4"/>
  <c r="CS15" i="4"/>
  <c r="CT15" i="4"/>
  <c r="AB13" i="4"/>
  <c r="S13" i="4"/>
  <c r="Q13" i="4"/>
  <c r="D13" i="4"/>
  <c r="CP7" i="4" l="1"/>
  <c r="CK7" i="4"/>
  <c r="BL14" i="4"/>
  <c r="BP14" i="4"/>
  <c r="BQ14" i="4" s="1"/>
  <c r="BM7" i="4"/>
  <c r="CD7" i="4"/>
  <c r="AM14" i="4"/>
  <c r="CC14" i="4" s="1"/>
  <c r="CP16" i="4"/>
  <c r="CI14" i="4"/>
  <c r="CJ14" i="4" s="1"/>
  <c r="AD15" i="4"/>
  <c r="CM14" i="4"/>
  <c r="CP14" i="4" s="1"/>
  <c r="CK16" i="4"/>
  <c r="CC16" i="4"/>
  <c r="BM16" i="4"/>
  <c r="BP15" i="4"/>
  <c r="BQ15" i="4" s="1"/>
  <c r="BV15" i="4"/>
  <c r="CL15" i="4"/>
  <c r="AD14" i="4"/>
  <c r="BL15" i="4"/>
  <c r="CD15" i="4" s="1"/>
  <c r="AM15" i="4"/>
  <c r="CM15" i="4"/>
  <c r="BY15" i="4"/>
  <c r="BV14" i="4"/>
  <c r="CI15" i="4"/>
  <c r="CJ15" i="4" s="1"/>
  <c r="BY14" i="4"/>
  <c r="AM13" i="4"/>
  <c r="AD13" i="4"/>
  <c r="CC15" i="4" l="1"/>
  <c r="BN7" i="4"/>
  <c r="BR7" i="4"/>
  <c r="BS7" i="4" s="1"/>
  <c r="CK14" i="4"/>
  <c r="BM14" i="4"/>
  <c r="BR14" i="4" s="1"/>
  <c r="BS14" i="4" s="1"/>
  <c r="CD14" i="4"/>
  <c r="CP15" i="4"/>
  <c r="BM15" i="4"/>
  <c r="CK15" i="4"/>
  <c r="BR16" i="4"/>
  <c r="BS16" i="4" s="1"/>
  <c r="BN16" i="4"/>
  <c r="AY6" i="4"/>
  <c r="BK6" i="4" s="1"/>
  <c r="AZ6" i="4"/>
  <c r="BB6" i="4"/>
  <c r="BW6" i="4"/>
  <c r="CN6" i="4" s="1"/>
  <c r="BX6" i="4"/>
  <c r="CB6" i="4"/>
  <c r="CE6" i="4"/>
  <c r="CS6" i="4"/>
  <c r="CT6" i="4"/>
  <c r="Q6" i="4"/>
  <c r="S6" i="4"/>
  <c r="AB6" i="4"/>
  <c r="B6" i="4"/>
  <c r="C6" i="4"/>
  <c r="BN15" i="4" l="1"/>
  <c r="BR15" i="4"/>
  <c r="BS15" i="4" s="1"/>
  <c r="BN14" i="4"/>
  <c r="AL6" i="4"/>
  <c r="BU6" i="4" s="1"/>
  <c r="CI6" i="4"/>
  <c r="CJ6" i="4" s="1"/>
  <c r="BY6" i="4"/>
  <c r="CM6" i="4"/>
  <c r="BL6" i="4"/>
  <c r="BT6" i="4"/>
  <c r="BP6" i="4"/>
  <c r="BQ6" i="4" s="1"/>
  <c r="CL6" i="4"/>
  <c r="AD6" i="4"/>
  <c r="CO6" i="4"/>
  <c r="Z3" i="102" a="1"/>
  <c r="R31" i="81"/>
  <c r="AM6" i="4" l="1"/>
  <c r="CC6" i="4" s="1"/>
  <c r="AA4" i="102"/>
  <c r="AA8" i="102"/>
  <c r="AA7" i="102"/>
  <c r="AA6" i="102"/>
  <c r="AA9" i="102"/>
  <c r="AA11" i="102"/>
  <c r="AA12" i="102"/>
  <c r="AA13" i="102"/>
  <c r="AA14" i="102"/>
  <c r="AA15" i="102"/>
  <c r="AA16" i="102"/>
  <c r="AA17" i="102"/>
  <c r="AA18" i="102"/>
  <c r="AA19" i="102"/>
  <c r="AA20" i="102"/>
  <c r="AA21" i="102"/>
  <c r="AA22" i="102"/>
  <c r="AA23" i="102"/>
  <c r="AA24" i="102"/>
  <c r="AA25" i="102"/>
  <c r="AA26" i="102"/>
  <c r="AA27" i="102"/>
  <c r="AA28" i="102"/>
  <c r="AA29" i="102"/>
  <c r="AA30" i="102"/>
  <c r="AA31" i="102"/>
  <c r="AA32" i="102"/>
  <c r="AA33" i="102"/>
  <c r="AA34" i="102"/>
  <c r="AA35" i="102"/>
  <c r="AA5" i="102"/>
  <c r="AA10" i="102"/>
  <c r="AA3" i="102" s="1"/>
  <c r="BV6" i="4"/>
  <c r="CD6" i="4"/>
  <c r="CP6" i="4"/>
  <c r="CK6" i="4" l="1"/>
  <c r="BM6" i="4"/>
  <c r="AA1" i="102"/>
  <c r="BN6" i="4" l="1"/>
  <c r="BR6" i="4"/>
  <c r="BS6" i="4" s="1"/>
  <c r="AB1" i="102"/>
  <c r="D42" i="80"/>
  <c r="BW5" i="4" l="1"/>
  <c r="H56" i="80"/>
  <c r="G56" i="80"/>
  <c r="AK18" i="4" l="1"/>
  <c r="D56" i="80" l="1"/>
  <c r="K56" i="80" l="1"/>
  <c r="AC27" i="4" s="1"/>
  <c r="I56" i="80"/>
  <c r="C56" i="80"/>
  <c r="C46" i="80" s="1"/>
  <c r="O27" i="4" l="1"/>
  <c r="G46" i="80"/>
  <c r="AY27" i="4" l="1"/>
  <c r="AE9" i="4" l="1"/>
  <c r="Y9" i="4"/>
  <c r="O9" i="4"/>
  <c r="BC9" i="4"/>
  <c r="BA9" i="4"/>
  <c r="AX9" i="4" l="1"/>
  <c r="AW9" i="4"/>
  <c r="K6" i="80" s="1"/>
  <c r="K10" i="80" s="1"/>
  <c r="BK18" i="4" l="1"/>
  <c r="BJ18" i="4"/>
  <c r="BI18" i="4"/>
  <c r="BC18" i="4"/>
  <c r="BA18" i="4"/>
  <c r="AW18" i="4"/>
  <c r="AJ18" i="4"/>
  <c r="AG18" i="4"/>
  <c r="AF18" i="4"/>
  <c r="AE18" i="4"/>
  <c r="AC18" i="4"/>
  <c r="AA18" i="4"/>
  <c r="Z18" i="4"/>
  <c r="Y18" i="4"/>
  <c r="T18" i="4"/>
  <c r="R18" i="4"/>
  <c r="O18" i="4"/>
  <c r="C13" i="4"/>
  <c r="CT13" i="4"/>
  <c r="CS13" i="4"/>
  <c r="CE13" i="4"/>
  <c r="CB13" i="4"/>
  <c r="BX13" i="4"/>
  <c r="CO13" i="4" s="1"/>
  <c r="BW13" i="4"/>
  <c r="BB13" i="4"/>
  <c r="AZ13" i="4"/>
  <c r="AY13" i="4"/>
  <c r="BL13" i="4" s="1"/>
  <c r="D14" i="5" l="1"/>
  <c r="Q18" i="4"/>
  <c r="CM13" i="4"/>
  <c r="CM18" i="4" s="1"/>
  <c r="AB18" i="4"/>
  <c r="BB18" i="4"/>
  <c r="BW18" i="4"/>
  <c r="S18" i="4"/>
  <c r="CO18" i="4"/>
  <c r="J14" i="5"/>
  <c r="O14" i="5"/>
  <c r="E14" i="5"/>
  <c r="F14" i="5"/>
  <c r="K14" i="5"/>
  <c r="G14" i="5"/>
  <c r="L14" i="5"/>
  <c r="H14" i="5"/>
  <c r="M14" i="5"/>
  <c r="N14" i="5"/>
  <c r="AY18" i="4"/>
  <c r="BX18" i="4"/>
  <c r="BL18" i="4"/>
  <c r="BP13" i="4"/>
  <c r="CI13" i="4"/>
  <c r="CN13" i="4"/>
  <c r="CL13" i="4"/>
  <c r="CL18" i="4" s="1"/>
  <c r="BY13" i="4"/>
  <c r="BY18" i="4" s="1"/>
  <c r="AD18" i="4" l="1"/>
  <c r="CI18" i="4"/>
  <c r="CN18" i="4"/>
  <c r="BP18" i="4"/>
  <c r="I14" i="5"/>
  <c r="P14" i="5" s="1"/>
  <c r="BT13" i="4"/>
  <c r="CJ13" i="4"/>
  <c r="CJ18" i="4" s="1"/>
  <c r="BQ13" i="4"/>
  <c r="CP13" i="4"/>
  <c r="CP18" i="4" s="1"/>
  <c r="BT18" i="4" l="1"/>
  <c r="AL18" i="4"/>
  <c r="CD13" i="4"/>
  <c r="CD18" i="4" s="1"/>
  <c r="BU13" i="4"/>
  <c r="BV13" i="4" s="1"/>
  <c r="AM18" i="4" l="1"/>
  <c r="BV18" i="4"/>
  <c r="BU18" i="4"/>
  <c r="CC13" i="4"/>
  <c r="CK13" i="4"/>
  <c r="BM13" i="4"/>
  <c r="BM18" i="4" l="1"/>
  <c r="CC18" i="4"/>
  <c r="CK18" i="4"/>
  <c r="BR13" i="4"/>
  <c r="BS13" i="4" s="1"/>
  <c r="BN13" i="4"/>
  <c r="H42" i="80" l="1"/>
  <c r="BI9" i="4" l="1"/>
  <c r="AJ9" i="4"/>
  <c r="L30" i="81" l="1"/>
  <c r="P3" i="5" l="1"/>
  <c r="CT5" i="4" l="1"/>
  <c r="B3" i="102" l="1" a="1"/>
  <c r="I42" i="80"/>
  <c r="K42" i="80"/>
  <c r="AC28" i="4" s="1"/>
  <c r="G42" i="80"/>
  <c r="H43" i="80" s="1"/>
  <c r="C42" i="80"/>
  <c r="C43" i="80" s="1"/>
  <c r="C5" i="4"/>
  <c r="C5" i="102" l="1"/>
  <c r="E5" i="102" s="1"/>
  <c r="C4" i="102"/>
  <c r="E4" i="102" s="1"/>
  <c r="E6" i="5"/>
  <c r="CH16" i="4"/>
  <c r="CH7" i="4"/>
  <c r="CH14" i="4"/>
  <c r="CH15" i="4"/>
  <c r="O6" i="5"/>
  <c r="CH6" i="4"/>
  <c r="C3" i="102"/>
  <c r="E3" i="102" s="1"/>
  <c r="N6" i="5" l="1"/>
  <c r="M6" i="5"/>
  <c r="L6" i="5"/>
  <c r="K6" i="5"/>
  <c r="J6" i="5"/>
  <c r="I6" i="5"/>
  <c r="H6" i="5"/>
  <c r="M28" i="5"/>
  <c r="G6" i="5"/>
  <c r="C5" i="95" a="1"/>
  <c r="M29" i="5" l="1"/>
  <c r="G6" i="95"/>
  <c r="D6" i="95"/>
  <c r="G7" i="95"/>
  <c r="N7" i="95"/>
  <c r="N6" i="95"/>
  <c r="F7" i="95"/>
  <c r="D7" i="95"/>
  <c r="E7" i="95"/>
  <c r="K6" i="95" a="1"/>
  <c r="I6" i="95"/>
  <c r="F6" i="95"/>
  <c r="I7" i="95"/>
  <c r="K7" i="95" a="1"/>
  <c r="E6" i="95"/>
  <c r="D5" i="95"/>
  <c r="K5" i="95" a="1"/>
  <c r="AC9" i="4"/>
  <c r="H6" i="95" l="1"/>
  <c r="J6" i="95"/>
  <c r="L7" i="95"/>
  <c r="M7" i="95"/>
  <c r="L6" i="95"/>
  <c r="M6" i="95"/>
  <c r="H7" i="95"/>
  <c r="J7" i="95"/>
  <c r="D1" i="102"/>
  <c r="CH5" i="4" l="1"/>
  <c r="CH13" i="4"/>
  <c r="F6" i="5"/>
  <c r="N5" i="95" l="1"/>
  <c r="N3" i="95" l="1"/>
  <c r="D10" i="84" l="1"/>
  <c r="G8" i="84"/>
  <c r="J8" i="84"/>
  <c r="D11" i="5" l="1"/>
  <c r="E11" i="5"/>
  <c r="F7" i="5"/>
  <c r="F11" i="5"/>
  <c r="G11" i="5"/>
  <c r="H7" i="5"/>
  <c r="H11" i="5"/>
  <c r="I11" i="5"/>
  <c r="J11" i="5"/>
  <c r="K7" i="5"/>
  <c r="K11" i="5"/>
  <c r="L7" i="5"/>
  <c r="L11" i="5"/>
  <c r="M7" i="5"/>
  <c r="M11" i="5"/>
  <c r="N7" i="5"/>
  <c r="N11" i="5"/>
  <c r="O7" i="5"/>
  <c r="O11" i="5"/>
  <c r="C64" i="5"/>
  <c r="AK9" i="4" l="1"/>
  <c r="BJ9" i="4"/>
  <c r="BF10" i="4" s="1"/>
  <c r="BF11" i="4"/>
  <c r="AY25" i="4"/>
  <c r="P11" i="5"/>
  <c r="C65" i="5"/>
  <c r="B3" i="103" a="1"/>
  <c r="C4" i="97" a="1"/>
  <c r="D5" i="97" l="1"/>
  <c r="D6" i="97"/>
  <c r="D7" i="97"/>
  <c r="B5" i="97"/>
  <c r="B6" i="97"/>
  <c r="B7" i="97"/>
  <c r="B4" i="97" s="1"/>
  <c r="D33" i="5" l="1"/>
  <c r="F30" i="81"/>
  <c r="F4" i="81" s="1"/>
  <c r="F6" i="81" s="1"/>
  <c r="E4" i="97" a="1"/>
  <c r="AJ11" i="4" l="1"/>
  <c r="O26" i="4"/>
  <c r="E2" i="97" s="1"/>
  <c r="P20" i="5" s="1"/>
  <c r="D64" i="5"/>
  <c r="AY5" i="4"/>
  <c r="AZ5" i="4"/>
  <c r="BB5" i="4"/>
  <c r="BX5" i="4"/>
  <c r="CB5" i="4"/>
  <c r="CE5" i="4"/>
  <c r="CS5" i="4"/>
  <c r="Q5" i="4"/>
  <c r="Q9" i="4" s="1"/>
  <c r="Q10" i="4" s="1"/>
  <c r="R10" i="4" s="1"/>
  <c r="S5" i="4"/>
  <c r="AB5" i="4"/>
  <c r="AB9" i="4" s="1"/>
  <c r="B5" i="4"/>
  <c r="B5" i="95" a="1"/>
  <c r="BT5" i="4" l="1"/>
  <c r="O21" i="4"/>
  <c r="O23" i="4" s="1"/>
  <c r="S9" i="4"/>
  <c r="CO5" i="4"/>
  <c r="BW9" i="4"/>
  <c r="E7" i="5"/>
  <c r="I5" i="95"/>
  <c r="E5" i="95"/>
  <c r="AD5" i="4"/>
  <c r="B3" i="95" s="1"/>
  <c r="P21" i="5" s="1"/>
  <c r="E64" i="5"/>
  <c r="H59" i="5"/>
  <c r="L59" i="5"/>
  <c r="E60" i="5"/>
  <c r="I60" i="5"/>
  <c r="M60" i="5"/>
  <c r="F61" i="5"/>
  <c r="N61" i="5"/>
  <c r="F59" i="5"/>
  <c r="J59" i="5"/>
  <c r="N59" i="5"/>
  <c r="G60" i="5"/>
  <c r="K60" i="5"/>
  <c r="O60" i="5"/>
  <c r="H61" i="5"/>
  <c r="L61" i="5"/>
  <c r="G59" i="5"/>
  <c r="K59" i="5"/>
  <c r="O59" i="5"/>
  <c r="H60" i="5"/>
  <c r="M61" i="5"/>
  <c r="E59" i="5"/>
  <c r="I59" i="5"/>
  <c r="M59" i="5"/>
  <c r="F60" i="5"/>
  <c r="J60" i="5"/>
  <c r="N60" i="5"/>
  <c r="K61" i="5"/>
  <c r="O61" i="5"/>
  <c r="L60" i="5"/>
  <c r="BP5" i="4"/>
  <c r="CL5" i="4"/>
  <c r="BY5" i="4"/>
  <c r="CN5" i="4"/>
  <c r="CI5" i="4"/>
  <c r="CM5" i="4"/>
  <c r="L4" i="81"/>
  <c r="BK9" i="4" l="1"/>
  <c r="BL5" i="4"/>
  <c r="AY9" i="4"/>
  <c r="AY21" i="4" s="1"/>
  <c r="I3" i="95"/>
  <c r="I2" i="95" s="1"/>
  <c r="AD9" i="4"/>
  <c r="BB9" i="4"/>
  <c r="Q10" i="5"/>
  <c r="L35" i="81"/>
  <c r="Q5" i="95" a="1"/>
  <c r="CM9" i="4"/>
  <c r="CJ5" i="4"/>
  <c r="CN9" i="4"/>
  <c r="BQ5" i="4"/>
  <c r="E61" i="5"/>
  <c r="CP5" i="4"/>
  <c r="CD5" i="4" l="1"/>
  <c r="BP9" i="4"/>
  <c r="CI9" i="4"/>
  <c r="CJ9" i="4"/>
  <c r="CL9" i="4"/>
  <c r="E1" i="102"/>
  <c r="C3" i="95"/>
  <c r="D60" i="5"/>
  <c r="P60" i="5" s="1"/>
  <c r="D59" i="5"/>
  <c r="P59" i="5" s="1"/>
  <c r="F5" i="95"/>
  <c r="BL9" i="4" l="1"/>
  <c r="Q6" i="5" s="1"/>
  <c r="AM5" i="95"/>
  <c r="AM3" i="95" s="1"/>
  <c r="AB5" i="95"/>
  <c r="AB3" i="95" s="1"/>
  <c r="AI5" i="95"/>
  <c r="AI3" i="95" s="1"/>
  <c r="AJ5" i="95"/>
  <c r="AJ3" i="95" s="1"/>
  <c r="AK5" i="95"/>
  <c r="AK3" i="95" s="1"/>
  <c r="AL5" i="95"/>
  <c r="AL3" i="95" s="1"/>
  <c r="X5" i="95"/>
  <c r="X3" i="95" s="1"/>
  <c r="Y5" i="95"/>
  <c r="Y3" i="95" s="1"/>
  <c r="Z5" i="95"/>
  <c r="Z3" i="95" s="1"/>
  <c r="AA5" i="95"/>
  <c r="AA3" i="95" s="1"/>
  <c r="W5" i="95"/>
  <c r="W3" i="95" s="1"/>
  <c r="R5" i="95"/>
  <c r="AH5" i="95"/>
  <c r="AH3" i="95" s="1"/>
  <c r="AG5" i="95"/>
  <c r="AG3" i="95" s="1"/>
  <c r="AD5" i="95"/>
  <c r="AD3" i="95" s="1"/>
  <c r="U5" i="95"/>
  <c r="U3" i="95" s="1"/>
  <c r="V5" i="95"/>
  <c r="V3" i="95" s="1"/>
  <c r="AF5" i="95"/>
  <c r="AF3" i="95" s="1"/>
  <c r="T5" i="95"/>
  <c r="T3" i="95" s="1"/>
  <c r="AE5" i="95"/>
  <c r="AE3" i="95" s="1"/>
  <c r="S5" i="95"/>
  <c r="BT9" i="4"/>
  <c r="J5" i="95"/>
  <c r="M5" i="95"/>
  <c r="L5" i="95"/>
  <c r="D65" i="5"/>
  <c r="D29" i="5"/>
  <c r="D7" i="84"/>
  <c r="F3" i="95" l="1"/>
  <c r="S3" i="95"/>
  <c r="D66" i="5"/>
  <c r="CD9" i="4"/>
  <c r="D24" i="5"/>
  <c r="D40" i="5"/>
  <c r="D15" i="5"/>
  <c r="G7" i="84"/>
  <c r="E33" i="5"/>
  <c r="F33" i="5"/>
  <c r="G33" i="5"/>
  <c r="H33" i="5"/>
  <c r="I33" i="5"/>
  <c r="J33" i="5"/>
  <c r="K33" i="5"/>
  <c r="L33" i="5"/>
  <c r="M33" i="5"/>
  <c r="N33" i="5"/>
  <c r="O33" i="5"/>
  <c r="P33" i="5"/>
  <c r="E39" i="5"/>
  <c r="E44" i="5" s="1"/>
  <c r="E51" i="5" s="1"/>
  <c r="E55" i="5" s="1"/>
  <c r="F39" i="5"/>
  <c r="F44" i="5" s="1"/>
  <c r="F51" i="5" s="1"/>
  <c r="F55" i="5" s="1"/>
  <c r="G39" i="5"/>
  <c r="G44" i="5" s="1"/>
  <c r="G51" i="5" s="1"/>
  <c r="G55" i="5" s="1"/>
  <c r="H39" i="5"/>
  <c r="H44" i="5" s="1"/>
  <c r="H51" i="5" s="1"/>
  <c r="H55" i="5" s="1"/>
  <c r="I39" i="5"/>
  <c r="I44" i="5" s="1"/>
  <c r="I51" i="5" s="1"/>
  <c r="I55" i="5" s="1"/>
  <c r="J39" i="5"/>
  <c r="J44" i="5" s="1"/>
  <c r="J51" i="5" s="1"/>
  <c r="J55" i="5" s="1"/>
  <c r="K39" i="5"/>
  <c r="K44" i="5" s="1"/>
  <c r="K51" i="5" s="1"/>
  <c r="K55" i="5" s="1"/>
  <c r="L39" i="5"/>
  <c r="L44" i="5" s="1"/>
  <c r="L51" i="5" s="1"/>
  <c r="L55" i="5" s="1"/>
  <c r="M39" i="5"/>
  <c r="M44" i="5" s="1"/>
  <c r="M51" i="5" s="1"/>
  <c r="M55" i="5" s="1"/>
  <c r="N39" i="5"/>
  <c r="N44" i="5" s="1"/>
  <c r="N51" i="5" s="1"/>
  <c r="N55" i="5" s="1"/>
  <c r="O39" i="5"/>
  <c r="O44" i="5" s="1"/>
  <c r="O51" i="5" s="1"/>
  <c r="O55" i="5" s="1"/>
  <c r="P39" i="5"/>
  <c r="P44" i="5" s="1"/>
  <c r="P51" i="5" s="1"/>
  <c r="P55" i="5" s="1"/>
  <c r="D39" i="5"/>
  <c r="D44" i="5" s="1"/>
  <c r="D51" i="5" s="1"/>
  <c r="D55" i="5" l="1"/>
  <c r="D61" i="5"/>
  <c r="E3" i="95" l="1"/>
  <c r="L3" i="95" l="1"/>
  <c r="K3" i="95"/>
  <c r="M3" i="95"/>
  <c r="J3" i="95"/>
  <c r="R31" i="80" l="1"/>
  <c r="N10" i="4" s="1"/>
  <c r="P45" i="5"/>
  <c r="P47" i="5"/>
  <c r="R24" i="80"/>
  <c r="G13" i="84"/>
  <c r="D12" i="84"/>
  <c r="J10" i="84"/>
  <c r="AB701" i="80"/>
  <c r="G29" i="80"/>
  <c r="C29" i="80"/>
  <c r="O18" i="80"/>
  <c r="G10" i="84"/>
  <c r="K18" i="80"/>
  <c r="H18" i="80"/>
  <c r="G18" i="80"/>
  <c r="C18" i="80"/>
  <c r="AK49" i="4"/>
  <c r="BG42" i="4"/>
  <c r="BG43" i="4" s="1"/>
  <c r="AZ22" i="4"/>
  <c r="AD22" i="4"/>
  <c r="K4" i="80" s="1"/>
  <c r="AA9" i="4"/>
  <c r="T9" i="4"/>
  <c r="P49" i="5"/>
  <c r="H48" i="5"/>
  <c r="P46" i="5"/>
  <c r="O2" i="5"/>
  <c r="O22" i="5" s="1" a="1"/>
  <c r="N2" i="5"/>
  <c r="N22" i="5" s="1" a="1"/>
  <c r="M2" i="5"/>
  <c r="M22" i="5" s="1" a="1"/>
  <c r="L2" i="5"/>
  <c r="L22" i="5" s="1" a="1"/>
  <c r="K2" i="5"/>
  <c r="K22" i="5" s="1" a="1"/>
  <c r="J2" i="5"/>
  <c r="J22" i="5" s="1" a="1"/>
  <c r="I2" i="5"/>
  <c r="I22" i="5" s="1" a="1"/>
  <c r="H2" i="5"/>
  <c r="G2" i="5"/>
  <c r="G22" i="5" s="1" a="1"/>
  <c r="F2" i="5"/>
  <c r="F22" i="5" s="1" a="1"/>
  <c r="E2" i="5"/>
  <c r="E22" i="5" s="1" a="1"/>
  <c r="D2" i="5"/>
  <c r="D22" i="5" l="1" a="1"/>
  <c r="D21" i="5" a="1"/>
  <c r="D20" i="5" a="1"/>
  <c r="AY28" i="4"/>
  <c r="D9" i="84" s="1"/>
  <c r="K9" i="80"/>
  <c r="AY23" i="4"/>
  <c r="H20" i="5" a="1"/>
  <c r="H19" i="5" a="1"/>
  <c r="H22" i="5" a="1"/>
  <c r="H21" i="5" a="1"/>
  <c r="O28" i="4"/>
  <c r="O29" i="4" s="1"/>
  <c r="G11" i="84"/>
  <c r="J7" i="84"/>
  <c r="Z9" i="4"/>
  <c r="AC21" i="4" s="1"/>
  <c r="D53" i="5"/>
  <c r="D34" i="5" s="1"/>
  <c r="G53" i="5"/>
  <c r="G34" i="5" s="1"/>
  <c r="G52" i="5"/>
  <c r="H5" i="5"/>
  <c r="F53" i="5"/>
  <c r="H10" i="5"/>
  <c r="M10" i="5"/>
  <c r="G10" i="5"/>
  <c r="G5" i="5"/>
  <c r="G16" i="5" s="1"/>
  <c r="O26" i="5"/>
  <c r="N10" i="5"/>
  <c r="F10" i="5"/>
  <c r="L10" i="5"/>
  <c r="O10" i="5"/>
  <c r="E10" i="5"/>
  <c r="K10" i="5"/>
  <c r="J10" i="5"/>
  <c r="I5" i="5"/>
  <c r="I16" i="5" s="1"/>
  <c r="O30" i="5"/>
  <c r="O31" i="5" s="1"/>
  <c r="J5" i="5"/>
  <c r="J16" i="5" s="1"/>
  <c r="M56" i="5"/>
  <c r="O52" i="5"/>
  <c r="E5" i="5"/>
  <c r="M5" i="5"/>
  <c r="H56" i="5"/>
  <c r="K5" i="5"/>
  <c r="O28" i="5"/>
  <c r="O29" i="5" s="1"/>
  <c r="O5" i="5"/>
  <c r="L5" i="5"/>
  <c r="D56" i="5"/>
  <c r="K56" i="5"/>
  <c r="L56" i="5"/>
  <c r="E56" i="5"/>
  <c r="O56" i="5"/>
  <c r="F56" i="5"/>
  <c r="J56" i="5"/>
  <c r="G56" i="5"/>
  <c r="I56" i="5"/>
  <c r="N56" i="5"/>
  <c r="O53" i="5"/>
  <c r="F5" i="5"/>
  <c r="O19" i="5" a="1"/>
  <c r="D19" i="5" a="1"/>
  <c r="O20" i="5" a="1"/>
  <c r="M20" i="5" a="1"/>
  <c r="F20" i="5" a="1"/>
  <c r="J19" i="5" a="1"/>
  <c r="N19" i="5" a="1"/>
  <c r="I19" i="5" a="1"/>
  <c r="M21" i="5" a="1"/>
  <c r="K21" i="5" a="1"/>
  <c r="L21" i="5" a="1"/>
  <c r="G19" i="5" a="1"/>
  <c r="E19" i="5" a="1"/>
  <c r="K19" i="5" a="1"/>
  <c r="L19" i="5" a="1"/>
  <c r="N21" i="5" a="1"/>
  <c r="E21" i="5" a="1"/>
  <c r="F21" i="5" a="1"/>
  <c r="I21" i="5" a="1"/>
  <c r="O21" i="5" a="1"/>
  <c r="J21" i="5" a="1"/>
  <c r="L20" i="5" a="1"/>
  <c r="M19" i="5" a="1"/>
  <c r="F19" i="5" a="1"/>
  <c r="K20" i="5" a="1"/>
  <c r="N20" i="5" a="1"/>
  <c r="G20" i="5" a="1"/>
  <c r="E20" i="5" a="1"/>
  <c r="I20" i="5" a="1"/>
  <c r="G21" i="5" a="1"/>
  <c r="J20" i="5" a="1"/>
  <c r="E16" i="5" l="1"/>
  <c r="E17" i="5"/>
  <c r="M16" i="5"/>
  <c r="M17" i="5"/>
  <c r="F16" i="5"/>
  <c r="F17" i="5"/>
  <c r="H16" i="5"/>
  <c r="H17" i="5"/>
  <c r="K16" i="5"/>
  <c r="K17" i="5"/>
  <c r="L16" i="5"/>
  <c r="L17" i="5"/>
  <c r="O16" i="5"/>
  <c r="O17" i="5"/>
  <c r="AY29" i="4"/>
  <c r="O12" i="5"/>
  <c r="O13" i="5" s="1"/>
  <c r="E12" i="5"/>
  <c r="E13" i="5" s="1"/>
  <c r="O35" i="5"/>
  <c r="O34" i="5"/>
  <c r="P22" i="5"/>
  <c r="F48" i="5" s="1"/>
  <c r="M48" i="5" s="1"/>
  <c r="L48" i="5" s="1"/>
  <c r="K48" i="5" s="1"/>
  <c r="E48" i="5" s="1"/>
  <c r="H42" i="5" s="1"/>
  <c r="I48" i="5" s="1"/>
  <c r="N48" i="5" s="1"/>
  <c r="J48" i="5" s="1"/>
  <c r="D48" i="5" s="1"/>
  <c r="O48" i="5" s="1"/>
  <c r="H52" i="5"/>
  <c r="H12" i="5"/>
  <c r="O24" i="5"/>
  <c r="O27" i="5" s="1"/>
  <c r="E52" i="5"/>
  <c r="H53" i="5"/>
  <c r="H18" i="5"/>
  <c r="H41" i="5"/>
  <c r="G28" i="5"/>
  <c r="G29" i="5" s="1"/>
  <c r="F28" i="5"/>
  <c r="F29" i="5" s="1"/>
  <c r="I41" i="5"/>
  <c r="G18" i="5"/>
  <c r="O8" i="5"/>
  <c r="O9" i="5" s="1"/>
  <c r="E18" i="5"/>
  <c r="J41" i="5"/>
  <c r="F52" i="5"/>
  <c r="M18" i="5"/>
  <c r="L41" i="5"/>
  <c r="E53" i="5"/>
  <c r="K41" i="5"/>
  <c r="P56" i="5"/>
  <c r="J18" i="5"/>
  <c r="H28" i="5"/>
  <c r="H29" i="5" s="1"/>
  <c r="O15" i="5"/>
  <c r="F18" i="5"/>
  <c r="F41" i="5"/>
  <c r="L18" i="5"/>
  <c r="G41" i="5"/>
  <c r="O18" i="5"/>
  <c r="K18" i="5"/>
  <c r="M41" i="5"/>
  <c r="E41" i="5"/>
  <c r="N5" i="5"/>
  <c r="D18" i="5"/>
  <c r="D41" i="5"/>
  <c r="I10" i="5"/>
  <c r="P10" i="5" s="1"/>
  <c r="I53" i="5"/>
  <c r="L53" i="5"/>
  <c r="K53" i="5"/>
  <c r="M53" i="5"/>
  <c r="J53" i="5"/>
  <c r="P5" i="5" l="1"/>
  <c r="N16" i="5"/>
  <c r="N17" i="5"/>
  <c r="Q5" i="5"/>
  <c r="AC23" i="4"/>
  <c r="AC29" i="4" s="1"/>
  <c r="F12" i="5"/>
  <c r="F13" i="5" s="1"/>
  <c r="H34" i="5"/>
  <c r="F34" i="5"/>
  <c r="E24" i="5"/>
  <c r="E34" i="5"/>
  <c r="D42" i="5"/>
  <c r="L42" i="5"/>
  <c r="P19" i="5"/>
  <c r="P48" i="5" s="1"/>
  <c r="O42" i="5"/>
  <c r="E42" i="5"/>
  <c r="I42" i="5"/>
  <c r="N42" i="5"/>
  <c r="K42" i="5"/>
  <c r="F42" i="5"/>
  <c r="J42" i="5"/>
  <c r="M42" i="5"/>
  <c r="G42" i="5"/>
  <c r="G48" i="5"/>
  <c r="J6" i="84"/>
  <c r="J9" i="84" s="1"/>
  <c r="J11" i="84" s="1"/>
  <c r="AA10" i="4"/>
  <c r="L24" i="5"/>
  <c r="E30" i="5"/>
  <c r="E31" i="5" s="1"/>
  <c r="O36" i="5"/>
  <c r="O37" i="5" s="1"/>
  <c r="H30" i="5"/>
  <c r="H31" i="5" s="1"/>
  <c r="H26" i="5"/>
  <c r="F30" i="5"/>
  <c r="F31" i="5" s="1"/>
  <c r="I28" i="5"/>
  <c r="I29" i="5" s="1"/>
  <c r="Q28" i="5"/>
  <c r="BO10" i="4"/>
  <c r="N53" i="5"/>
  <c r="P53" i="5" s="1"/>
  <c r="J28" i="5"/>
  <c r="J29" i="5" s="1"/>
  <c r="E28" i="5"/>
  <c r="E29" i="5" s="1"/>
  <c r="F15" i="5"/>
  <c r="F24" i="5"/>
  <c r="BH10" i="4"/>
  <c r="O41" i="5"/>
  <c r="N41" i="5"/>
  <c r="N18" i="5"/>
  <c r="M52" i="5"/>
  <c r="I18" i="5"/>
  <c r="H15" i="5"/>
  <c r="H24" i="5"/>
  <c r="K28" i="5"/>
  <c r="K29" i="5" s="1"/>
  <c r="G15" i="5"/>
  <c r="G24" i="5"/>
  <c r="G40" i="5"/>
  <c r="H40" i="5"/>
  <c r="I52" i="5"/>
  <c r="K52" i="5"/>
  <c r="J52" i="5"/>
  <c r="L52" i="5"/>
  <c r="L28" i="5"/>
  <c r="L29" i="5" s="1"/>
  <c r="R5" i="5" l="1"/>
  <c r="P18" i="5"/>
  <c r="H27" i="5"/>
  <c r="M34" i="5"/>
  <c r="M12" i="5"/>
  <c r="L34" i="5"/>
  <c r="L12" i="5"/>
  <c r="K34" i="5"/>
  <c r="K12" i="5"/>
  <c r="F35" i="5"/>
  <c r="F36" i="5" s="1"/>
  <c r="F37" i="5" s="1"/>
  <c r="F26" i="5"/>
  <c r="F27" i="5" s="1"/>
  <c r="E35" i="5"/>
  <c r="E36" i="5" s="1"/>
  <c r="E37" i="5" s="1"/>
  <c r="J15" i="5"/>
  <c r="J34" i="5"/>
  <c r="I34" i="5"/>
  <c r="H8" i="5"/>
  <c r="H9" i="5" s="1"/>
  <c r="H35" i="5"/>
  <c r="H36" i="5" s="1"/>
  <c r="H37" i="5" s="1"/>
  <c r="D6" i="84"/>
  <c r="D11" i="84" s="1"/>
  <c r="D13" i="84" s="1"/>
  <c r="K2" i="95"/>
  <c r="Q53" i="5"/>
  <c r="R53" i="5" s="1"/>
  <c r="N12" i="5"/>
  <c r="E8" i="5"/>
  <c r="E9" i="5" s="1"/>
  <c r="J24" i="5"/>
  <c r="K24" i="5"/>
  <c r="K15" i="5"/>
  <c r="K40" i="5"/>
  <c r="H13" i="5"/>
  <c r="I15" i="5"/>
  <c r="J40" i="5"/>
  <c r="I40" i="5"/>
  <c r="I24" i="5"/>
  <c r="F8" i="5"/>
  <c r="F9" i="5" s="1"/>
  <c r="N52" i="5"/>
  <c r="E15" i="5"/>
  <c r="E40" i="5"/>
  <c r="F40" i="5"/>
  <c r="K30" i="5"/>
  <c r="K31" i="5" s="1"/>
  <c r="K26" i="5"/>
  <c r="N28" i="5"/>
  <c r="R10" i="5"/>
  <c r="M30" i="5"/>
  <c r="M31" i="5" s="1"/>
  <c r="L30" i="5"/>
  <c r="L31" i="5" s="1"/>
  <c r="M24" i="5"/>
  <c r="M15" i="5"/>
  <c r="M40" i="5"/>
  <c r="L40" i="5"/>
  <c r="L15" i="5"/>
  <c r="P28" i="5" l="1"/>
  <c r="N29" i="5"/>
  <c r="K27" i="5"/>
  <c r="P6" i="5"/>
  <c r="L35" i="5"/>
  <c r="L36" i="5" s="1"/>
  <c r="L37" i="5" s="1"/>
  <c r="L26" i="5"/>
  <c r="L27" i="5" s="1"/>
  <c r="M35" i="5"/>
  <c r="M36" i="5" s="1"/>
  <c r="M37" i="5" s="1"/>
  <c r="M26" i="5"/>
  <c r="M27" i="5" s="1"/>
  <c r="K13" i="5"/>
  <c r="K35" i="5"/>
  <c r="K36" i="5" s="1"/>
  <c r="K37" i="5" s="1"/>
  <c r="O40" i="5"/>
  <c r="N34" i="5"/>
  <c r="P34" i="5" s="1"/>
  <c r="CC10" i="4"/>
  <c r="N40" i="5"/>
  <c r="N24" i="5"/>
  <c r="N15" i="5"/>
  <c r="K8" i="5"/>
  <c r="K9" i="5" s="1"/>
  <c r="N30" i="5"/>
  <c r="N31" i="5" s="1"/>
  <c r="N26" i="5"/>
  <c r="M13" i="5"/>
  <c r="L13" i="5"/>
  <c r="L8" i="5"/>
  <c r="L9" i="5" s="1"/>
  <c r="M8" i="5"/>
  <c r="M9" i="5" s="1"/>
  <c r="R28" i="5" l="1"/>
  <c r="P24" i="5"/>
  <c r="R6" i="5"/>
  <c r="F2" i="95"/>
  <c r="N27" i="5"/>
  <c r="N35" i="5"/>
  <c r="N36" i="5" s="1"/>
  <c r="N37" i="5" s="1"/>
  <c r="P29" i="5"/>
  <c r="P15" i="5"/>
  <c r="P16" i="5"/>
  <c r="N8" i="5"/>
  <c r="N9" i="5" l="1"/>
  <c r="N13" i="5"/>
  <c r="G7" i="5" l="1"/>
  <c r="G17" i="5" s="1"/>
  <c r="G30" i="5"/>
  <c r="G31" i="5" l="1"/>
  <c r="G12" i="5"/>
  <c r="G26" i="5"/>
  <c r="G27" i="5" s="1"/>
  <c r="G8" i="5"/>
  <c r="G35" i="5"/>
  <c r="G61" i="5"/>
  <c r="G13" i="5" l="1"/>
  <c r="G36" i="5"/>
  <c r="G37" i="5" s="1"/>
  <c r="G9" i="5"/>
  <c r="I7" i="5" l="1"/>
  <c r="I17" i="5" s="1"/>
  <c r="I30" i="5"/>
  <c r="BX9" i="4"/>
  <c r="BX10" i="4" s="1"/>
  <c r="AJ10" i="4"/>
  <c r="J30" i="5"/>
  <c r="J7" i="5"/>
  <c r="J17" i="5" s="1"/>
  <c r="I31" i="5" l="1"/>
  <c r="J31" i="5"/>
  <c r="J61" i="5"/>
  <c r="G6" i="84"/>
  <c r="G12" i="84" s="1"/>
  <c r="G14" i="84" s="1"/>
  <c r="I12" i="5"/>
  <c r="I26" i="5"/>
  <c r="I27" i="5" s="1"/>
  <c r="I35" i="5"/>
  <c r="I8" i="5"/>
  <c r="J12" i="5"/>
  <c r="J13" i="5" s="1"/>
  <c r="J35" i="5"/>
  <c r="J36" i="5" s="1"/>
  <c r="J37" i="5" s="1"/>
  <c r="J26" i="5"/>
  <c r="J27" i="5" s="1"/>
  <c r="J8" i="5"/>
  <c r="J9" i="5" s="1"/>
  <c r="BY9" i="4"/>
  <c r="CP9" i="4"/>
  <c r="CO9" i="4"/>
  <c r="I61" i="5"/>
  <c r="P61" i="5" l="1"/>
  <c r="I9" i="5"/>
  <c r="I36" i="5"/>
  <c r="I37" i="5" s="1"/>
  <c r="I13" i="5"/>
  <c r="AF15" i="102" l="1"/>
  <c r="AF16" i="102"/>
  <c r="AF1" i="102" l="1"/>
  <c r="D52" i="5"/>
  <c r="P52" i="5" s="1"/>
  <c r="AL9" i="4"/>
  <c r="Q30" i="5" s="1"/>
  <c r="BU5" i="4"/>
  <c r="BU9" i="4" s="1"/>
  <c r="BU10" i="4" s="1"/>
  <c r="E65" i="5"/>
  <c r="AM5" i="4"/>
  <c r="CC5" i="4" s="1"/>
  <c r="CC9" i="4" s="1"/>
  <c r="CB10" i="4" s="1"/>
  <c r="AC10" i="4" l="1"/>
  <c r="D31" i="5"/>
  <c r="P7" i="5"/>
  <c r="D4" i="97"/>
  <c r="D2" i="97" s="1"/>
  <c r="BM5" i="4"/>
  <c r="BV5" i="4"/>
  <c r="BV9" i="4" s="1"/>
  <c r="P10" i="4"/>
  <c r="Q7" i="5" s="1"/>
  <c r="AM9" i="4"/>
  <c r="Q52" i="5"/>
  <c r="CK5" i="4"/>
  <c r="CK9" i="4" s="1"/>
  <c r="D12" i="5" l="1"/>
  <c r="D35" i="5"/>
  <c r="P35" i="5" s="1"/>
  <c r="P36" i="5" s="1"/>
  <c r="P37" i="5" s="1"/>
  <c r="P17" i="5"/>
  <c r="P30" i="5"/>
  <c r="R30" i="5" s="1"/>
  <c r="D26" i="5"/>
  <c r="D27" i="5" s="1"/>
  <c r="D8" i="5"/>
  <c r="P8" i="5" s="1"/>
  <c r="P9" i="5" s="1"/>
  <c r="D1" i="97"/>
  <c r="BM9" i="4"/>
  <c r="BK10" i="4" s="1"/>
  <c r="G5" i="95"/>
  <c r="BR5" i="4"/>
  <c r="BS5" i="4" s="1"/>
  <c r="BN5" i="4"/>
  <c r="R7" i="5"/>
  <c r="E66" i="5"/>
  <c r="AM10" i="4"/>
  <c r="R52" i="5"/>
  <c r="P12" i="5" l="1"/>
  <c r="D13" i="5"/>
  <c r="P31" i="5"/>
  <c r="D36" i="5"/>
  <c r="D37" i="5" s="1"/>
  <c r="D9" i="5"/>
  <c r="H5" i="95"/>
  <c r="G3" i="95"/>
  <c r="H3" i="95" s="1"/>
  <c r="P13" i="5" l="1"/>
  <c r="H2" i="95" s="1"/>
  <c r="Q51" i="5"/>
  <c r="G2" i="95"/>
  <c r="E26" i="5" l="1"/>
  <c r="E27" i="5" s="1"/>
  <c r="P26" i="5"/>
  <c r="P2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9A3DC4-D5F1-4B7A-853E-B1657F94050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<sst xmlns="http://schemas.openxmlformats.org/spreadsheetml/2006/main" count="7827" uniqueCount="2496">
  <si>
    <t>Quantity (MT)</t>
  </si>
  <si>
    <t>Sales</t>
  </si>
  <si>
    <t>Purchases</t>
  </si>
  <si>
    <t>Transportation Charges</t>
  </si>
  <si>
    <t>Transport Charges (%)</t>
  </si>
  <si>
    <t>Contribution (%)</t>
  </si>
  <si>
    <t>Receivable</t>
  </si>
  <si>
    <t>DSO (Days)</t>
  </si>
  <si>
    <t>Revenue Per Kg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</si>
  <si>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</si>
  <si>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</si>
  <si>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</si>
  <si>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</si>
  <si>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</si>
  <si>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</si>
  <si>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</si>
  <si>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</si>
  <si>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</si>
  <si>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</si>
  <si>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</si>
  <si>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</si>
  <si>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</si>
  <si>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</si>
  <si>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</si>
  <si>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</si>
  <si>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</si>
  <si>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</si>
  <si>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</si>
  <si>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</si>
  <si>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</si>
  <si>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</si>
  <si>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</si>
  <si>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</si>
  <si>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</si>
  <si>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</si>
  <si>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</si>
  <si>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</si>
  <si>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</si>
  <si>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</si>
  <si>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</si>
  <si>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</si>
  <si>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Price/Kg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</si>
  <si>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</si>
  <si>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</si>
  <si>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</si>
  <si>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</si>
  <si>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</si>
  <si>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</si>
  <si>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</si>
  <si>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</si>
  <si>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</si>
  <si>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</si>
  <si>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</si>
  <si>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</si>
  <si>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</si>
  <si>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Rate/Kg</t>
  </si>
  <si>
    <t>Amount</t>
  </si>
  <si>
    <t>Qty Check</t>
  </si>
  <si>
    <t>Net Revenue</t>
  </si>
  <si>
    <t>Margin</t>
  </si>
  <si>
    <t>Check</t>
  </si>
  <si>
    <t>Remarks</t>
  </si>
  <si>
    <t>Total</t>
  </si>
  <si>
    <t>Net Sales As per report</t>
  </si>
  <si>
    <t>Net Purchase as per report</t>
  </si>
  <si>
    <t>As per ZOHO</t>
  </si>
  <si>
    <t>Variance</t>
  </si>
  <si>
    <t>No of loss Making Transactions</t>
  </si>
  <si>
    <t>% of Loss Making Transactions</t>
  </si>
  <si>
    <t>Debit note on logistic cost</t>
  </si>
  <si>
    <t>Value Of  Making Transactions</t>
  </si>
  <si>
    <t>Reamrks - Margin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</si>
  <si>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</si>
  <si>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</si>
  <si>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</si>
  <si>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</si>
  <si>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</si>
  <si>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</si>
  <si>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</si>
  <si>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</si>
  <si>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</si>
  <si>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</si>
  <si>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</si>
  <si>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</si>
  <si>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Bils in Report &amp; P&amp;L , Sale yet to be done</t>
  </si>
  <si>
    <t>Qty</t>
  </si>
  <si>
    <t>Reconciliation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</si>
  <si>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</si>
  <si>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</si>
  <si>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</si>
  <si>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</si>
  <si>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</si>
  <si>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</si>
  <si>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</si>
  <si>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</si>
  <si>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</si>
  <si>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</si>
  <si>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</si>
  <si>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</si>
  <si>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</si>
  <si>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</si>
  <si>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</si>
  <si>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</si>
  <si>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</si>
  <si>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</si>
  <si>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</si>
  <si>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</si>
  <si>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Basic Customs Duty</t>
  </si>
  <si>
    <t>DN Provision</t>
  </si>
  <si>
    <t>CN Provision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</si>
  <si>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</si>
  <si>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</si>
  <si>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</si>
  <si>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</si>
  <si>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</si>
  <si>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</si>
  <si>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</si>
  <si>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</si>
  <si>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BCD not in Report</t>
  </si>
  <si>
    <t xml:space="preserve"> </t>
  </si>
  <si>
    <t>Bill Date</t>
  </si>
  <si>
    <t>Bill Number</t>
  </si>
  <si>
    <t>PurchaseOrder</t>
  </si>
  <si>
    <t>Vendor Name</t>
  </si>
  <si>
    <t>CN Amount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</si>
  <si>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</si>
  <si>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</si>
  <si>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</si>
  <si>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</si>
  <si>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</si>
  <si>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</si>
  <si>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</si>
  <si>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</si>
  <si>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</si>
  <si>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</si>
  <si>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</si>
  <si>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CN &amp; DN Provisions</t>
  </si>
  <si>
    <t>KPI's without Provisions</t>
  </si>
  <si>
    <t>Business Trends</t>
  </si>
  <si>
    <t>Loss Making Transactions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</si>
  <si>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</si>
  <si>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</si>
  <si>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</si>
  <si>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</si>
  <si>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</si>
  <si>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</si>
  <si>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 xml:space="preserve">Buyer GST Number </t>
  </si>
  <si>
    <t>UP</t>
  </si>
  <si>
    <t>Revenue</t>
  </si>
  <si>
    <t>Margin(%</t>
  </si>
  <si>
    <t>Debit Notes</t>
  </si>
  <si>
    <t>DN to Sale(%)</t>
  </si>
  <si>
    <t>No of transactions</t>
  </si>
  <si>
    <t>Avg Tran Value</t>
  </si>
  <si>
    <t>Category (Material)</t>
  </si>
  <si>
    <t>Avg.Price/kg</t>
  </si>
  <si>
    <t>Supplier Type</t>
  </si>
  <si>
    <t>Credit Notes issued in FY-25 pertaining to FY-24</t>
  </si>
  <si>
    <t>Debit Notes issued in FY-25 pertaining to FY-24</t>
  </si>
  <si>
    <t>Logistic Bills issued in FY-25 pertaining to FY-24</t>
  </si>
  <si>
    <t>Cost</t>
  </si>
  <si>
    <t>Without Provisions</t>
  </si>
  <si>
    <t>With GST</t>
  </si>
  <si>
    <t>Vendor PAN No</t>
  </si>
  <si>
    <t>Customer PAN No</t>
  </si>
  <si>
    <t>Qty Returned</t>
  </si>
  <si>
    <t>Shipment ID</t>
  </si>
  <si>
    <t>JV for last year Bills</t>
  </si>
  <si>
    <t>JV for Last year Bills</t>
  </si>
  <si>
    <t>Count Recyclers</t>
  </si>
  <si>
    <t>Count Supplier Name</t>
  </si>
  <si>
    <t>Week No:</t>
  </si>
  <si>
    <t>Broad Category</t>
  </si>
  <si>
    <t>POC Name</t>
  </si>
  <si>
    <t>FY 2025-26</t>
  </si>
  <si>
    <t>Customer ID</t>
  </si>
  <si>
    <t>CN Provision in Zoho FY 24-25</t>
  </si>
  <si>
    <t>Fy 2024-25 Logistic Provision Reversal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</si>
  <si>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</si>
  <si>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</si>
  <si>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</si>
  <si>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</si>
  <si>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</si>
  <si>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</si>
  <si>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</si>
  <si>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</si>
  <si>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</si>
  <si>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</si>
  <si>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</si>
  <si>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>Total CN in FY 2025-26</t>
  </si>
  <si>
    <t>Total CN of FY 2024-25</t>
  </si>
  <si>
    <t>Recivables</t>
  </si>
  <si>
    <t xml:space="preserve">Sales </t>
  </si>
  <si>
    <t>Credit Note</t>
  </si>
  <si>
    <t>Debit Note</t>
  </si>
  <si>
    <t>Financials with GST</t>
  </si>
  <si>
    <t>Marketplace (Plastic)</t>
  </si>
  <si>
    <t>BLACK GOLD RECYCLING PRIVATE LIMITED</t>
  </si>
  <si>
    <t>PET - Hot Washed White Flakes, Grade 2</t>
  </si>
  <si>
    <t>DODHIA SYNTHETICS LIMITED</t>
  </si>
  <si>
    <t>24AAACD9892J2Z7</t>
  </si>
  <si>
    <t>Amaani Polyflakes</t>
  </si>
  <si>
    <t>24ABGFA3556N1Z8</t>
  </si>
  <si>
    <t>MAHALAKSHMI SPINTEX PRIVATE LIMITED</t>
  </si>
  <si>
    <t>02AADCM5003B1ZG</t>
  </si>
  <si>
    <t>RPG  Industrial Product Private Limited</t>
  </si>
  <si>
    <t>09AABCR6248K2ZY</t>
  </si>
  <si>
    <t>Uttar Pradesh</t>
  </si>
  <si>
    <t>Raw Data -Plastic</t>
  </si>
  <si>
    <t>BADRI COTSYN LIMITED</t>
  </si>
  <si>
    <t>RELIANCE INDUSTRIES LIMITED</t>
  </si>
  <si>
    <t>M/S ARIHANT INDUSTRIES</t>
  </si>
  <si>
    <t>23AGFPD8167J1ZC</t>
  </si>
  <si>
    <t>J B ECOTEX LIMITED</t>
  </si>
  <si>
    <t>24AAFCJ3332A1Z9</t>
  </si>
  <si>
    <t>23AAICB1747Q1ZC</t>
  </si>
  <si>
    <t>SAMRUDDHI INDUSTRIES</t>
  </si>
  <si>
    <t>Neelesh Dixit</t>
  </si>
  <si>
    <t>M/S KASHI VISHWANATH TEXTILE MILL PRIVATE LIMITED</t>
  </si>
  <si>
    <t>NIRMAL FIBRES PRIVATE LIMITED</t>
  </si>
  <si>
    <t>SHRIMAN NARAYAN FIBER UDHOG PRIVATE LIMITED</t>
  </si>
  <si>
    <t>Ramesh G</t>
  </si>
  <si>
    <t>Sri Chakra Poly Plast India Private Limited</t>
  </si>
  <si>
    <t>Gitika</t>
  </si>
  <si>
    <t>SANDBERRY FIBRETECH PRIVATE LIMITED</t>
  </si>
  <si>
    <t>Pushpraj</t>
  </si>
  <si>
    <t>RSWM LIMITED</t>
  </si>
  <si>
    <t>Ganesha Ecosphere Limited (Unit-2)</t>
  </si>
  <si>
    <t>Ganesha Ecotech Private Limited (Warangal)</t>
  </si>
  <si>
    <t>KANCHAN INDIA LIMITED</t>
  </si>
  <si>
    <t>AEC PLAST PRIVATE LIMITED</t>
  </si>
  <si>
    <t>SULOCHANA COTTON SPINNING MILLS (P)LTD</t>
  </si>
  <si>
    <t>Prism Infratech Management Private Limited</t>
  </si>
  <si>
    <t>KUNDANA TECHNO TEX PRIVATE LIMITED</t>
  </si>
  <si>
    <t>Shashank</t>
  </si>
  <si>
    <t>Nextgen Fibres Private Limited</t>
  </si>
  <si>
    <t>Silver Ecotex LLP</t>
  </si>
  <si>
    <t>Alliance Fibres Limited</t>
  </si>
  <si>
    <t>GUNJAN INDUSTRIES</t>
  </si>
  <si>
    <t>SHRI MAN NARAYAN POLYTAX PVT LTD</t>
  </si>
  <si>
    <t>PASHUPATI EXCRUSION PRIVATE LIMITED</t>
  </si>
  <si>
    <t>BHAGYAVARDHAN POLYFLAKES PRIVATE LIMITED</t>
  </si>
  <si>
    <t>RUNGTA GREENTECH LIMITED</t>
  </si>
  <si>
    <t>TAPADIA POLYESTERS PRIVATE LIMITED</t>
  </si>
  <si>
    <t>KANNAPIRAN POLYMERS LIMITED</t>
  </si>
  <si>
    <t>Shree Renga Polymers</t>
  </si>
  <si>
    <t>EMINENT DEALERS PVT LTD</t>
  </si>
  <si>
    <t>Dalmia Polypro Industries Private Limited</t>
  </si>
  <si>
    <t>UMA PLASTIC</t>
  </si>
  <si>
    <t>MANJUSHREE TECHNOPACK LIMITED</t>
  </si>
  <si>
    <t>GOPAL PLASTIC</t>
  </si>
  <si>
    <t>SAHEB FIBRE PRIVATE LIMITED</t>
  </si>
  <si>
    <t>GOKUL PLASTIC</t>
  </si>
  <si>
    <t>SHREE RENGA POLYESTER PRIVATE LIMITED</t>
  </si>
  <si>
    <t>RECRAFT PROCESSING PRIVATE LIMITED</t>
  </si>
  <si>
    <t>Apex International</t>
  </si>
  <si>
    <t>Pankaj</t>
  </si>
  <si>
    <t>ELITE INDUSTRIES</t>
  </si>
  <si>
    <t>SAARK INDUSTRIES</t>
  </si>
  <si>
    <t>JB RPET INDUSTRIES PRIVATE LIMITED</t>
  </si>
  <si>
    <t>SWACHH POLYMERS</t>
  </si>
  <si>
    <t>VKB PLASTICS PRIVATE LIMITED</t>
  </si>
  <si>
    <t>Plastic</t>
  </si>
  <si>
    <t>customer_name</t>
  </si>
  <si>
    <t>gst_no</t>
  </si>
  <si>
    <t>A N Service Enterprises</t>
  </si>
  <si>
    <t>Marketplace (Plastic Waste)</t>
  </si>
  <si>
    <t>05AAQFA3937J1Z7</t>
  </si>
  <si>
    <t>HALIFAX GREENTECH LLP</t>
  </si>
  <si>
    <t>INDIA POLYMERS</t>
  </si>
  <si>
    <t>Jai Jeen Mata Trading Company</t>
  </si>
  <si>
    <t>08AABCK0452C1Z3</t>
  </si>
  <si>
    <t>36AAGCK8844F1Z9</t>
  </si>
  <si>
    <t>05AABCS5269H1ZA</t>
  </si>
  <si>
    <t>M/S PAL INDUSTRIES</t>
  </si>
  <si>
    <t>M/S SHLOK AND SANS</t>
  </si>
  <si>
    <t>Maa Durga Industries</t>
  </si>
  <si>
    <t>MLS INDUSTRIES</t>
  </si>
  <si>
    <t>Modestpet Pack Private Limited</t>
  </si>
  <si>
    <t>09AABCN0376N1Z4</t>
  </si>
  <si>
    <t>Nitika Polymer</t>
  </si>
  <si>
    <t>PUSHPANJALI ENTERPRISES</t>
  </si>
  <si>
    <t>Shiva Texfabs Limited</t>
  </si>
  <si>
    <t>SHREE SALASAR POLYFLEX (P) LTD.</t>
  </si>
  <si>
    <t>VANSH POLYPACK LLP</t>
  </si>
  <si>
    <t>VERDE POLYSFY PRIVATE LIMITED</t>
  </si>
  <si>
    <t>Full Rejection</t>
  </si>
  <si>
    <t>BHAGIRATHI POLYMER PRIVATE LIMITED</t>
  </si>
  <si>
    <t>09AALCB0491L1ZA</t>
  </si>
  <si>
    <t>33ABNCS7918N1ZK</t>
  </si>
  <si>
    <t>LUCRO PLASTECYCLE PRIVATE LIMITED</t>
  </si>
  <si>
    <t>SHRI SAI PLASTIC</t>
  </si>
  <si>
    <t>M A R SCRAPS</t>
  </si>
  <si>
    <t>Reco</t>
  </si>
  <si>
    <t>Current O/s</t>
  </si>
  <si>
    <t xml:space="preserve">Legacy </t>
  </si>
  <si>
    <t>Category B</t>
  </si>
  <si>
    <t>Category A</t>
  </si>
  <si>
    <t>Chaitanya</t>
  </si>
  <si>
    <t>36AAICG6718Q1ZV</t>
  </si>
  <si>
    <t>Margins</t>
  </si>
  <si>
    <t>Financial with GST</t>
  </si>
  <si>
    <t>Fy 2025-26</t>
  </si>
  <si>
    <t>Sales-Revenue (MoM)</t>
  </si>
  <si>
    <t>Sales-Volume (MoM)</t>
  </si>
  <si>
    <t>Sales-Transactions (MoM)</t>
  </si>
  <si>
    <t>No of LMI</t>
  </si>
  <si>
    <t>Value of LMI</t>
  </si>
  <si>
    <t>AR TRADERS</t>
  </si>
  <si>
    <t>Tanuj Chhajer</t>
  </si>
  <si>
    <t>Total DN in FY 2025-26</t>
  </si>
  <si>
    <t>Total DN of FY 2024-25</t>
  </si>
  <si>
    <t>GANESHA ECOPET PRIVATE LIMITED</t>
  </si>
  <si>
    <t>Provision for DN to Vendors(Fy 2024-25) </t>
  </si>
  <si>
    <t>Receivables</t>
  </si>
  <si>
    <t>HITARTH ENTERPRISES</t>
  </si>
  <si>
    <t>23AAPFH5775E1Z6</t>
  </si>
  <si>
    <t>Meerut,Uttar Pradesh,250002</t>
  </si>
  <si>
    <t>Logistic Provision in Zoho FY 24-25</t>
  </si>
  <si>
    <t>DN Provision in Zoho FY 24-25</t>
  </si>
  <si>
    <t>Bill Branch</t>
  </si>
  <si>
    <t>Inv Branch</t>
  </si>
  <si>
    <t>Telangana - HO</t>
  </si>
  <si>
    <t/>
  </si>
  <si>
    <t>RAKSHITAM ECOFIBRE PRIVATE LIMITED</t>
  </si>
  <si>
    <t>23</t>
  </si>
  <si>
    <t>25</t>
  </si>
  <si>
    <t>HDPE</t>
  </si>
  <si>
    <t>29</t>
  </si>
  <si>
    <t>Operational Cost</t>
  </si>
  <si>
    <t>Gross Margin (%)</t>
  </si>
  <si>
    <t>Net Margin (%)</t>
  </si>
  <si>
    <t>Payable</t>
  </si>
  <si>
    <t>DPO (Days)</t>
  </si>
  <si>
    <t>JAINARAIN FABTECH LIMITED</t>
  </si>
  <si>
    <t>09AADCJ2313B1Z6</t>
  </si>
  <si>
    <t>KANCHAN ECO PACK</t>
  </si>
  <si>
    <t>36</t>
  </si>
  <si>
    <t>DRS</t>
  </si>
  <si>
    <t>Bills</t>
  </si>
  <si>
    <t>Invoices</t>
  </si>
  <si>
    <t>Logistic Bill</t>
  </si>
  <si>
    <t>CN</t>
  </si>
  <si>
    <t>40</t>
  </si>
  <si>
    <t>Q2</t>
  </si>
  <si>
    <t>Raghubeer Ranjan Ray</t>
  </si>
  <si>
    <t>Shashank Jadhav</t>
  </si>
  <si>
    <t>41</t>
  </si>
  <si>
    <t>32</t>
  </si>
  <si>
    <t>DIVYADHAN RECYCLING INDUSTRIES LIMITED</t>
  </si>
  <si>
    <t>02AADCD4621Q1ZO</t>
  </si>
  <si>
    <t>26/MPPET/INV0562</t>
  </si>
  <si>
    <t>42</t>
  </si>
  <si>
    <t>34</t>
  </si>
  <si>
    <t>35</t>
  </si>
  <si>
    <t>37</t>
  </si>
  <si>
    <t>Offline orders &amp; Divertions</t>
  </si>
  <si>
    <t>GST TDS Applicability</t>
  </si>
  <si>
    <t>Cash Discount. No</t>
  </si>
  <si>
    <t>CD Date</t>
  </si>
  <si>
    <t>Cash Discount(Provision)</t>
  </si>
  <si>
    <t>Cash Discount</t>
  </si>
  <si>
    <t>38</t>
  </si>
  <si>
    <t>AMAANI POLYFLAKES</t>
  </si>
  <si>
    <t>44</t>
  </si>
  <si>
    <t>Name</t>
  </si>
  <si>
    <t>Apr-25</t>
  </si>
  <si>
    <t>May-25</t>
  </si>
  <si>
    <t>Jun-25</t>
  </si>
  <si>
    <t>Jul-25</t>
  </si>
  <si>
    <t>MAGPET POLYMERS PRIVATE LIMITED</t>
  </si>
  <si>
    <t>19AAICS7344C1Z8</t>
  </si>
  <si>
    <t>Aug-25</t>
  </si>
  <si>
    <t>CHIRIPAL POLY FILMS LIMITED</t>
  </si>
  <si>
    <t>01AADCC7403M1ZX</t>
  </si>
  <si>
    <t>IDVB RECYCLING OPERATIONS PRIVATE LIMITED</t>
  </si>
  <si>
    <t>21AAGCI6765F1ZM</t>
  </si>
  <si>
    <t>55</t>
  </si>
  <si>
    <t>26/MPPET/INV0875</t>
  </si>
  <si>
    <t>23AAWCS6047A1ZB</t>
  </si>
  <si>
    <t>AVI GLOBAL PLAST PRIVATE LIMITED</t>
  </si>
  <si>
    <t>26AABCC5843R1Z5</t>
  </si>
  <si>
    <t>26/MPPET/INV0980</t>
  </si>
  <si>
    <t>NATIONAL FIBRES PRIVATE LIMITED</t>
  </si>
  <si>
    <t>26AAICN2675D1ZG</t>
  </si>
  <si>
    <t>832139000005565947</t>
  </si>
  <si>
    <t>09AEJFS8446P1ZY</t>
  </si>
  <si>
    <t>Shamali</t>
  </si>
  <si>
    <t>26/MPPET/INV1043</t>
  </si>
  <si>
    <t>26/MPPET/INV1056</t>
  </si>
  <si>
    <t>Other Income</t>
  </si>
  <si>
    <t>Finance Up Charges</t>
  </si>
  <si>
    <t>26/MPPET/INV1106</t>
  </si>
  <si>
    <t>DN</t>
  </si>
  <si>
    <t>RPG INDUSTRIAL PRODUCT PRIVATE LIMITED</t>
  </si>
  <si>
    <t>26/MPPET/INV1225</t>
  </si>
  <si>
    <t>26/MPPET/INV1243</t>
  </si>
  <si>
    <t>ALLIANCE FIBRES PRIVATE LIMITED</t>
  </si>
  <si>
    <t>DODHIA INDUSTRIES LIMITED</t>
  </si>
  <si>
    <t>26/MPPET/INV1441</t>
  </si>
  <si>
    <t>26/MPPET/INV1516</t>
  </si>
  <si>
    <t>08AAACR9700M1Z3</t>
  </si>
  <si>
    <t>26/MPPET/INV1535</t>
  </si>
  <si>
    <t>26/MPPET/INV1545</t>
  </si>
  <si>
    <t>26/MPPET/INV1575</t>
  </si>
  <si>
    <t>26/MPPET/INV1593</t>
  </si>
  <si>
    <t>26/MPPET/INV1702</t>
  </si>
  <si>
    <t>26/MPPET/INV1711</t>
  </si>
  <si>
    <t>26/MPPET/INV1724</t>
  </si>
  <si>
    <t>26/MPPET/INV1727</t>
  </si>
  <si>
    <t>26/MPPET/INV1739</t>
  </si>
  <si>
    <t>26/MPPET/INV1735</t>
  </si>
  <si>
    <t>Paper</t>
  </si>
  <si>
    <t>UP15JT8380</t>
  </si>
  <si>
    <t>26/MPPET/INV1748</t>
  </si>
  <si>
    <t>26/MPPET/INV1762</t>
  </si>
  <si>
    <t>Sep-25</t>
  </si>
  <si>
    <t>Oct-25</t>
  </si>
  <si>
    <t>Nov-25</t>
  </si>
  <si>
    <t>Dec-25</t>
  </si>
  <si>
    <t>Working Capital Days</t>
  </si>
  <si>
    <t>26/MPPET/INV1773</t>
  </si>
  <si>
    <t>26/MPPET/INV1775</t>
  </si>
  <si>
    <t>26/MPPET/INV1812</t>
  </si>
  <si>
    <t>26/MPPET/INV1815</t>
  </si>
  <si>
    <t>26/MPPET/INV1825</t>
  </si>
  <si>
    <t>26/MPPET/INV1858</t>
  </si>
  <si>
    <t>26/MPPET/INV1850</t>
  </si>
  <si>
    <t>26/MPPET/INV1869</t>
  </si>
  <si>
    <t>AIRSON POLY INDUSTRIES</t>
  </si>
  <si>
    <t>24ABFFA3974K1Z9</t>
  </si>
  <si>
    <t>26/MPPET/INV1887</t>
  </si>
  <si>
    <t>26/MPPET/INV1931</t>
  </si>
  <si>
    <t>26/MPPET/INV1940</t>
  </si>
  <si>
    <t>26/MPPET/INV1933</t>
  </si>
  <si>
    <t>26/MPPET/INV1979</t>
  </si>
  <si>
    <t>Jan-26</t>
  </si>
  <si>
    <t>26/MPPET/INV2026</t>
  </si>
  <si>
    <t>26/MPPET/INV2036</t>
  </si>
  <si>
    <t>26/MPPET/INV2045</t>
  </si>
  <si>
    <t>26/MPPET/INV2048</t>
  </si>
  <si>
    <t>26/MPPET/INV2043</t>
  </si>
  <si>
    <t>date</t>
  </si>
  <si>
    <t>status</t>
  </si>
  <si>
    <t>entity</t>
  </si>
  <si>
    <t>age</t>
  </si>
  <si>
    <t>due_date</t>
  </si>
  <si>
    <t>transaction_number</t>
  </si>
  <si>
    <t>balance</t>
  </si>
  <si>
    <t>amount</t>
  </si>
  <si>
    <t>overdue</t>
  </si>
  <si>
    <t>invoice</t>
  </si>
  <si>
    <t>2022-09-15</t>
  </si>
  <si>
    <t>23/MPPET/INV2883</t>
  </si>
  <si>
    <t>2022-09-18</t>
  </si>
  <si>
    <t>23/MPPET/INV2909</t>
  </si>
  <si>
    <t>2022-09-17</t>
  </si>
  <si>
    <t>23/MPPET/INV2926</t>
  </si>
  <si>
    <t>23/MPPET/INV2915</t>
  </si>
  <si>
    <t>23/MPPET/INV2928</t>
  </si>
  <si>
    <t>23/MPPET/INV2925</t>
  </si>
  <si>
    <t>23/MPPET/INV2933</t>
  </si>
  <si>
    <t>23/MPPET/INV2929</t>
  </si>
  <si>
    <t>23/MPPET/INV2940</t>
  </si>
  <si>
    <t>23/MPPET/INV2932</t>
  </si>
  <si>
    <t>23/MPPET/INV2938</t>
  </si>
  <si>
    <t>2022-09-19</t>
  </si>
  <si>
    <t>23/MPPET/INV2942</t>
  </si>
  <si>
    <t>23/MPPET/INV2950</t>
  </si>
  <si>
    <t>23/MPPET/INV2961</t>
  </si>
  <si>
    <t>23/MPPET/INV2963</t>
  </si>
  <si>
    <t>2022-09-20</t>
  </si>
  <si>
    <t>23/MPPET/INV2995</t>
  </si>
  <si>
    <t>23/MPPET/INV3005</t>
  </si>
  <si>
    <t>23/MPPET/INV3003</t>
  </si>
  <si>
    <t>2022-09-21</t>
  </si>
  <si>
    <t>23/MPPET/INV3011</t>
  </si>
  <si>
    <t>23/MPPET/INV3025</t>
  </si>
  <si>
    <t>23/MPPET/INV3015</t>
  </si>
  <si>
    <t>23/MPPET/INV3026</t>
  </si>
  <si>
    <t>2022-09-22</t>
  </si>
  <si>
    <t>23/MPPET/INV3047</t>
  </si>
  <si>
    <t>23/MPPET/INV3050</t>
  </si>
  <si>
    <t>23/MPPET/INV3049</t>
  </si>
  <si>
    <t>23/MPPET/INV3056</t>
  </si>
  <si>
    <t>2022-09-23</t>
  </si>
  <si>
    <t>23/MPPET/INV3068</t>
  </si>
  <si>
    <t>2022-09-24</t>
  </si>
  <si>
    <t>23/MPPET/INV3087</t>
  </si>
  <si>
    <t>2022-09-26</t>
  </si>
  <si>
    <t>23/MPPET/INV3127</t>
  </si>
  <si>
    <t>23/MPPET/INV3128</t>
  </si>
  <si>
    <t>23/MPPET/INV3137</t>
  </si>
  <si>
    <t>23/MPPET/INV3152</t>
  </si>
  <si>
    <t>2022-09-28</t>
  </si>
  <si>
    <t>23/MPPET/INV3184</t>
  </si>
  <si>
    <t>23/MPPET/INV3196</t>
  </si>
  <si>
    <t>23/MPPET/INV3189</t>
  </si>
  <si>
    <t>2022-09-29</t>
  </si>
  <si>
    <t>23/MPPET/INV3235</t>
  </si>
  <si>
    <t>2022-09-30</t>
  </si>
  <si>
    <t>23/MPPET/INV3239</t>
  </si>
  <si>
    <t>23/MPPET/INV3240</t>
  </si>
  <si>
    <t>2022-10-15</t>
  </si>
  <si>
    <t>23/MPPET/INV3618</t>
  </si>
  <si>
    <t>2022-11-16</t>
  </si>
  <si>
    <t>23/MPPET/INV4163</t>
  </si>
  <si>
    <t>23/MPPET/INV4166</t>
  </si>
  <si>
    <t>2022-11-17</t>
  </si>
  <si>
    <t>23/MPPET/INV4176</t>
  </si>
  <si>
    <t>2022-11-18</t>
  </si>
  <si>
    <t>23/MPPET/INV4197</t>
  </si>
  <si>
    <t>23/MPPET/INV4202</t>
  </si>
  <si>
    <t>2022-11-19</t>
  </si>
  <si>
    <t>23/MPPET/INV4212</t>
  </si>
  <si>
    <t>2022-11-20</t>
  </si>
  <si>
    <t>23/MPPET/INV4221</t>
  </si>
  <si>
    <t>23/MPPET/INV4230</t>
  </si>
  <si>
    <t>23/MPPET/INV4231</t>
  </si>
  <si>
    <t>2022-11-21</t>
  </si>
  <si>
    <t>23/MPPET/INV4243</t>
  </si>
  <si>
    <t>23/MPPET/INV4265</t>
  </si>
  <si>
    <t>2022-11-22</t>
  </si>
  <si>
    <t>23/MPPET/INV4276</t>
  </si>
  <si>
    <t>23/MPPET/INV4295</t>
  </si>
  <si>
    <t>23/MPPET/INV4293</t>
  </si>
  <si>
    <t>23/MPPET/INV4296</t>
  </si>
  <si>
    <t>23/MPPET/INV4298</t>
  </si>
  <si>
    <t>2022-11-23</t>
  </si>
  <si>
    <t>23/MPPET/INV4314</t>
  </si>
  <si>
    <t>23/MPPET/INV4320</t>
  </si>
  <si>
    <t>23/MPPET/INV4329</t>
  </si>
  <si>
    <t>23/MPPET/INV4334</t>
  </si>
  <si>
    <t>23/MPPET/INV4344</t>
  </si>
  <si>
    <t>23/MPPET/INV4338</t>
  </si>
  <si>
    <t>23/MPPET/INV4347</t>
  </si>
  <si>
    <t>23/MPPET/INV4356</t>
  </si>
  <si>
    <t>23/MPPET/INV4360</t>
  </si>
  <si>
    <t>23/MPPET/INV4367</t>
  </si>
  <si>
    <t>2022-11-24</t>
  </si>
  <si>
    <t>23/MPPET/INV4386</t>
  </si>
  <si>
    <t>23/MPPET/INV4385</t>
  </si>
  <si>
    <t>2022-11-25</t>
  </si>
  <si>
    <t>23/MPPET/INV4398</t>
  </si>
  <si>
    <t>2022-11-27</t>
  </si>
  <si>
    <t>23/MPPET/INV4426</t>
  </si>
  <si>
    <t>23/MPPET/INV4428</t>
  </si>
  <si>
    <t>23/MPPET/INV4433</t>
  </si>
  <si>
    <t>23/MPPET/INV4435</t>
  </si>
  <si>
    <t>2022-11-28</t>
  </si>
  <si>
    <t>23/MPPET/INV4462</t>
  </si>
  <si>
    <t>23/MPPET/INV4460</t>
  </si>
  <si>
    <t>23/MPPET/INV4457</t>
  </si>
  <si>
    <t>23/MPPET/INV4459</t>
  </si>
  <si>
    <t>2022-12-14</t>
  </si>
  <si>
    <t>23/MPPET/INV4686</t>
  </si>
  <si>
    <t>2022-12-16</t>
  </si>
  <si>
    <t>23/MPPET/INV4698</t>
  </si>
  <si>
    <t>2022-12-17</t>
  </si>
  <si>
    <t>23/MPPET/INV4713</t>
  </si>
  <si>
    <t>23/MPPET/INV4722</t>
  </si>
  <si>
    <t>2022-12-18</t>
  </si>
  <si>
    <t>23/MPPET/INV4729</t>
  </si>
  <si>
    <t>23/MPPET/INV4752</t>
  </si>
  <si>
    <t>23/MPPET/INV4751</t>
  </si>
  <si>
    <t>2022-12-19</t>
  </si>
  <si>
    <t>23/MPPET/INV4759</t>
  </si>
  <si>
    <t>23/MPPET/INV4764</t>
  </si>
  <si>
    <t>23/MPPET/INV4765</t>
  </si>
  <si>
    <t>2022-12-21</t>
  </si>
  <si>
    <t>23/MPPET/INV4790</t>
  </si>
  <si>
    <t>2022-12-26</t>
  </si>
  <si>
    <t>23/MPPET/INV4832</t>
  </si>
  <si>
    <t>23/MPPET/INV4831</t>
  </si>
  <si>
    <t>2022-12-29</t>
  </si>
  <si>
    <t>23/MPPET/INV4855</t>
  </si>
  <si>
    <t>2023-04-07</t>
  </si>
  <si>
    <t>23/MPPET/INV6265</t>
  </si>
  <si>
    <t>2023-04-08</t>
  </si>
  <si>
    <t>23/MPPET/INV6271</t>
  </si>
  <si>
    <t>23/MPPET/INV6276</t>
  </si>
  <si>
    <t>2023-04-09</t>
  </si>
  <si>
    <t>23/MPPET/INV6283</t>
  </si>
  <si>
    <t>23/MPPET/INV6282</t>
  </si>
  <si>
    <t>debit_note</t>
  </si>
  <si>
    <t>2023-05-18</t>
  </si>
  <si>
    <t>24/MPPET/DN0004</t>
  </si>
  <si>
    <t>2023-07-05</t>
  </si>
  <si>
    <t>24/MPPET/INV0937</t>
  </si>
  <si>
    <t>2023-07-11</t>
  </si>
  <si>
    <t>24/MPPET/INV1008</t>
  </si>
  <si>
    <t>24/MPPET/INV1015</t>
  </si>
  <si>
    <t>2023-07-18</t>
  </si>
  <si>
    <t>24/MPPET/INV1084</t>
  </si>
  <si>
    <t>2023-07-20</t>
  </si>
  <si>
    <t>24/MPPET/INV1095</t>
  </si>
  <si>
    <t>2023-07-23</t>
  </si>
  <si>
    <t>24/MPPET/INV1121</t>
  </si>
  <si>
    <t>2023-08-29</t>
  </si>
  <si>
    <t>24/MPPET/INV1250</t>
  </si>
  <si>
    <t>2023-09-04</t>
  </si>
  <si>
    <t>24/MPPET/INV1255</t>
  </si>
  <si>
    <t>2023-10-18</t>
  </si>
  <si>
    <t>24/MPPET/INV1344</t>
  </si>
  <si>
    <t>24/MPPET/INV1343</t>
  </si>
  <si>
    <t>2024-03-06</t>
  </si>
  <si>
    <t>24/MPPET/INV3861</t>
  </si>
  <si>
    <t>24/MPPET/INV3871</t>
  </si>
  <si>
    <t>2024-03-07</t>
  </si>
  <si>
    <t>24/MPPET/INV3886</t>
  </si>
  <si>
    <t>2024-03-10</t>
  </si>
  <si>
    <t>24/MPPET/INV3948</t>
  </si>
  <si>
    <t>2024-03-11</t>
  </si>
  <si>
    <t>24/MPPET/INV3957</t>
  </si>
  <si>
    <t>24/MPPET/INV3965</t>
  </si>
  <si>
    <t>2024-04-09</t>
  </si>
  <si>
    <t>24/MPPET/INV4782</t>
  </si>
  <si>
    <t>24/MPPET/INV4796</t>
  </si>
  <si>
    <t>2024-04-12</t>
  </si>
  <si>
    <t>25/MPPET/INV0058</t>
  </si>
  <si>
    <t>2024-04-15</t>
  </si>
  <si>
    <t>25/MPPET/INV0113</t>
  </si>
  <si>
    <t>2025-08-04</t>
  </si>
  <si>
    <t>2025-09-24</t>
  </si>
  <si>
    <t>2025-10-15</t>
  </si>
  <si>
    <t>2025-10-18</t>
  </si>
  <si>
    <t>2025-10-19</t>
  </si>
  <si>
    <t>2025-10-30</t>
  </si>
  <si>
    <t>2025-11-09</t>
  </si>
  <si>
    <t>2025-11-21</t>
  </si>
  <si>
    <t>2025-12-15</t>
  </si>
  <si>
    <t>2025-12-19</t>
  </si>
  <si>
    <t>2025-12-21</t>
  </si>
  <si>
    <t>2025-12-22</t>
  </si>
  <si>
    <t>2025-12-27</t>
  </si>
  <si>
    <t>2026-01-04</t>
  </si>
  <si>
    <t>2026-01-02</t>
  </si>
  <si>
    <t>2026-01-07</t>
  </si>
  <si>
    <t>2026-01-13</t>
  </si>
  <si>
    <t>2026-01-09</t>
  </si>
  <si>
    <t>2026-01-10</t>
  </si>
  <si>
    <t>2026-01-14</t>
  </si>
  <si>
    <t>2026-01-18</t>
  </si>
  <si>
    <t>2026-01-23</t>
  </si>
  <si>
    <t>2026-01-24</t>
  </si>
  <si>
    <t>2026-01-28</t>
  </si>
  <si>
    <t>2026-01-26</t>
  </si>
  <si>
    <t>2026-01-29</t>
  </si>
  <si>
    <t>2026-01-31</t>
  </si>
  <si>
    <t>2026-01-25</t>
  </si>
  <si>
    <t>2026-02-05</t>
  </si>
  <si>
    <t>2026-02-09</t>
  </si>
  <si>
    <t>2026-02-11</t>
  </si>
  <si>
    <t>2026-02-10</t>
  </si>
  <si>
    <t>2026-02-17</t>
  </si>
  <si>
    <t>2026-02-13</t>
  </si>
  <si>
    <t>2026-02-18</t>
  </si>
  <si>
    <t>2026-02-22</t>
  </si>
  <si>
    <t>2026-02-24</t>
  </si>
  <si>
    <t>2026-02-21</t>
  </si>
  <si>
    <t>2026-02-26</t>
  </si>
  <si>
    <t>2026-02-28</t>
  </si>
  <si>
    <t>2026-02-23</t>
  </si>
  <si>
    <t>2026-03-01</t>
  </si>
  <si>
    <t>2026-03-02</t>
  </si>
  <si>
    <t>2026-03-05</t>
  </si>
  <si>
    <t>26/MPPET/INV2094</t>
  </si>
  <si>
    <t>26/MPPET/INV2104</t>
  </si>
  <si>
    <t>26/MPPET/INV2106</t>
  </si>
  <si>
    <t>26/MPPET/INV2134</t>
  </si>
  <si>
    <t>26/MPPET/INV2118</t>
  </si>
  <si>
    <t>26/MPPET/INV2129</t>
  </si>
  <si>
    <t>26/MPPET/INV2132</t>
  </si>
  <si>
    <t>26/MPPET/INV2130</t>
  </si>
  <si>
    <t>26/MPPET/INV2143</t>
  </si>
  <si>
    <t>26/MPPET/INV2140</t>
  </si>
  <si>
    <t>26/MPPET/INV2074</t>
  </si>
  <si>
    <t>26/MPPET/INV2078</t>
  </si>
  <si>
    <t>26/MPPET/INV2084</t>
  </si>
  <si>
    <t>payment_terms</t>
  </si>
  <si>
    <t>credit_limit</t>
  </si>
  <si>
    <t>contact.CF.Vertical Name</t>
  </si>
  <si>
    <t>Immediate</t>
  </si>
  <si>
    <t>Net 15 (Days)</t>
  </si>
  <si>
    <t>09AARFV5599C1ZE</t>
  </si>
  <si>
    <t>HOLD</t>
  </si>
  <si>
    <t>02AAGFI0380M1ZI</t>
  </si>
  <si>
    <t>Net 10 (Days)</t>
  </si>
  <si>
    <t>24AAKFH9080R1ZK</t>
  </si>
  <si>
    <t xml:space="preserve">Advance Payment </t>
  </si>
  <si>
    <t>03AACCS0279A1ZZ</t>
  </si>
  <si>
    <t>Net 45 (Days)</t>
  </si>
  <si>
    <t>27AAPCM1780R1ZJ</t>
  </si>
  <si>
    <t>Net 30 (Days)</t>
  </si>
  <si>
    <t>26AAECN2228G1ZP</t>
  </si>
  <si>
    <t>Adjustment</t>
  </si>
  <si>
    <t>2026-03-06</t>
  </si>
  <si>
    <t>2026-03-04</t>
  </si>
  <si>
    <t>2026-03-09</t>
  </si>
  <si>
    <t>2026-03-08</t>
  </si>
  <si>
    <t>2026-03-10</t>
  </si>
  <si>
    <t>2026-03-07</t>
  </si>
  <si>
    <t>2026-03-11</t>
  </si>
  <si>
    <t>2026-03-12</t>
  </si>
  <si>
    <t>2026-03-13</t>
  </si>
  <si>
    <t>Unused</t>
  </si>
  <si>
    <t>26/MPPET/INV2219</t>
  </si>
  <si>
    <t>26/MPPET/INV2220</t>
  </si>
  <si>
    <t>26/MPPET/INV2221</t>
  </si>
  <si>
    <t>26/MPPET/INV2155</t>
  </si>
  <si>
    <t>26/MPPET/INV2157</t>
  </si>
  <si>
    <t>26/MPPET/INV2153</t>
  </si>
  <si>
    <t>26/MPPET/INV2170</t>
  </si>
  <si>
    <t>26/MPPET/INV2176</t>
  </si>
  <si>
    <t>26/MPPET/INV2181</t>
  </si>
  <si>
    <t>26/MPPET/INV2182</t>
  </si>
  <si>
    <t>26/MPPET/INV2214</t>
  </si>
  <si>
    <t>26/MPPET/INV2200</t>
  </si>
  <si>
    <t>26/MPPET/INV2201</t>
  </si>
  <si>
    <t>26/MPPET/INV2208</t>
  </si>
  <si>
    <t>26/MPPET/INV2206</t>
  </si>
  <si>
    <t>26/MPPET/INV2217</t>
  </si>
  <si>
    <t>2026-03-15</t>
  </si>
  <si>
    <t>2026-03-16</t>
  </si>
  <si>
    <t>2026-03-18</t>
  </si>
  <si>
    <t>26/MPPET/INV2226</t>
  </si>
  <si>
    <t>26/MPPET/INV2234</t>
  </si>
  <si>
    <t>26/MPPET/INV2238</t>
  </si>
  <si>
    <t>26/MPPET/INV2240</t>
  </si>
  <si>
    <t>26/MPPET/INV2247</t>
  </si>
  <si>
    <t>26/MPPET/INV2249</t>
  </si>
  <si>
    <t>26/MPPET/INV2243</t>
  </si>
  <si>
    <t>26/MPPET/INV2257</t>
  </si>
  <si>
    <t>26/MPPET/INV2253</t>
  </si>
  <si>
    <t>26/MPPET/INV2258</t>
  </si>
  <si>
    <t>26/MPPET/INV2256</t>
  </si>
  <si>
    <t>26/MPPET/INV2264</t>
  </si>
  <si>
    <t>26/MPPET/INV2265</t>
  </si>
  <si>
    <t>26/MPPET/INV2259</t>
  </si>
  <si>
    <t>26/MPPET/INV2266</t>
  </si>
  <si>
    <t>26/MPPET/INV2244</t>
  </si>
  <si>
    <t>26/MPPET/INV2241</t>
  </si>
  <si>
    <t>2026-03-22</t>
  </si>
  <si>
    <t>2026-03-23</t>
  </si>
  <si>
    <t>2026-03-19</t>
  </si>
  <si>
    <t>2026-03-24</t>
  </si>
  <si>
    <t>2026-03-20</t>
  </si>
  <si>
    <t>2026-03-21</t>
  </si>
  <si>
    <t>2026-03-27</t>
  </si>
  <si>
    <t>26/MPPET/INV2269</t>
  </si>
  <si>
    <t>26/MPPET/INV2276</t>
  </si>
  <si>
    <t>26/MPPET/INV2272</t>
  </si>
  <si>
    <t>26/MPPET/INV2279</t>
  </si>
  <si>
    <t>26/MPPET/INV2287</t>
  </si>
  <si>
    <t>26/MPPET/INV2289</t>
  </si>
  <si>
    <t>26/MPPET/INV2292</t>
  </si>
  <si>
    <t>26/MPPET/INV2297</t>
  </si>
  <si>
    <t>26/MPPET/INV2296</t>
  </si>
  <si>
    <t>26/MPPET/INV2295</t>
  </si>
  <si>
    <t>2026-03-29</t>
  </si>
  <si>
    <t>2026-03-26</t>
  </si>
  <si>
    <t>2026-03-30</t>
  </si>
  <si>
    <t>2026-04-01</t>
  </si>
  <si>
    <t>2026-03-28</t>
  </si>
  <si>
    <t>PET</t>
  </si>
  <si>
    <t>26/MPPET/INV2303</t>
  </si>
  <si>
    <t>26/MPPET/INV2312</t>
  </si>
  <si>
    <t>26/MPPET/INV2305</t>
  </si>
  <si>
    <t>26/MPPET/INV2316</t>
  </si>
  <si>
    <t>26/MPPET/INV2324</t>
  </si>
  <si>
    <t>26/MPPET/INV2327</t>
  </si>
  <si>
    <t>26/MPPET/INV2325</t>
  </si>
  <si>
    <t>2026-04-05</t>
  </si>
  <si>
    <t>2026-04-03</t>
  </si>
  <si>
    <t>2026-04-08</t>
  </si>
  <si>
    <t>2026-04-04</t>
  </si>
  <si>
    <t>26/MPPET/INV2331</t>
  </si>
  <si>
    <t>26/MPPET/INV2329</t>
  </si>
  <si>
    <t>26/MPPET/INV2334</t>
  </si>
  <si>
    <t>2026-04-07</t>
  </si>
  <si>
    <t>2026-04-09</t>
  </si>
  <si>
    <t>26/MPPET/INV2338</t>
  </si>
  <si>
    <t>26/MPPET/INV2336</t>
  </si>
  <si>
    <t>26/MPPET/INV2337</t>
  </si>
  <si>
    <t>2026-04-10</t>
  </si>
  <si>
    <t>2026-04-11</t>
  </si>
  <si>
    <t>SH04260306</t>
  </si>
  <si>
    <t>BPPL/26-27/1</t>
  </si>
  <si>
    <t>26-27/PUR/000001</t>
  </si>
  <si>
    <t>36/PET/27IN00002</t>
  </si>
  <si>
    <t>Debit note FY 25-26</t>
  </si>
  <si>
    <t>FY 2025-26 Logistics</t>
  </si>
  <si>
    <t>Provision for Logistics (Fy 2025-26) </t>
  </si>
  <si>
    <t>CN Provision in Zoho FY 25-26</t>
  </si>
  <si>
    <t xml:space="preserve">FY 2025-26 Credit notes </t>
  </si>
  <si>
    <t>Provision for CN from Customers(Fy 2025-26) </t>
  </si>
  <si>
    <t>Credit note Pertaining to FY 25-26</t>
  </si>
  <si>
    <t>Accounted in FY 26-27</t>
  </si>
  <si>
    <t>FY 24-25 Logistic Bills accounted Fy 26-27</t>
  </si>
  <si>
    <t>Accounted in FY 2026-27</t>
  </si>
  <si>
    <t>As per Zoho(till last month)</t>
  </si>
  <si>
    <t>As per Zoho (current month)</t>
  </si>
  <si>
    <t>2025-01-30</t>
  </si>
  <si>
    <t>25/MPPET/INV2309</t>
  </si>
  <si>
    <t>25/MPPET/INV2310</t>
  </si>
  <si>
    <t>2025-02-03</t>
  </si>
  <si>
    <t>25/MPPET/INV2324</t>
  </si>
  <si>
    <t>2025-02-04</t>
  </si>
  <si>
    <t>25/MPPET/INV2325</t>
  </si>
  <si>
    <t>2025-02-06</t>
  </si>
  <si>
    <t>25/MPPET/INV2342</t>
  </si>
  <si>
    <t>2026-05-02</t>
  </si>
  <si>
    <t>FY 2026-27</t>
  </si>
  <si>
    <t>SH04261004</t>
  </si>
  <si>
    <t>MK POLYPET INDIA PRIVATE LIMITED</t>
  </si>
  <si>
    <t>29AAQCM8215Q1ZG</t>
  </si>
  <si>
    <t>MPI/26-27/6</t>
  </si>
  <si>
    <t>26-27/PUR/000396</t>
  </si>
  <si>
    <t>KA</t>
  </si>
  <si>
    <t>KA569215</t>
  </si>
  <si>
    <t>WASTE PLASTIC-PP</t>
  </si>
  <si>
    <t>SH022606031</t>
  </si>
  <si>
    <t>MP</t>
  </si>
  <si>
    <t>36/PET/27IN00003</t>
  </si>
  <si>
    <t>832139000000121856</t>
  </si>
  <si>
    <t>Kallur Karnataka 585330</t>
  </si>
  <si>
    <t>Surat</t>
  </si>
  <si>
    <t>Gujarat</t>
  </si>
  <si>
    <t>182397339124</t>
  </si>
  <si>
    <t>E-WayBill Number</t>
  </si>
  <si>
    <t>DN &amp; CN Provision</t>
  </si>
  <si>
    <t>36/PET/27DN00001</t>
  </si>
  <si>
    <t>832139000000027397</t>
  </si>
  <si>
    <t>36AAOCS6150Q1ZJ</t>
  </si>
  <si>
    <t>Kandi</t>
  </si>
  <si>
    <t>Telangana</t>
  </si>
  <si>
    <t>SH032607013</t>
  </si>
  <si>
    <t>SH02262807</t>
  </si>
  <si>
    <t>GURU KURPA PLAST</t>
  </si>
  <si>
    <t>36/PET/27VC00001</t>
  </si>
  <si>
    <t>36/PET/27VC00002</t>
  </si>
  <si>
    <t>Excess Qty DN</t>
  </si>
  <si>
    <t>45</t>
  </si>
  <si>
    <t>2026-05-14</t>
  </si>
  <si>
    <t>36/PET/27DN00002</t>
  </si>
  <si>
    <t>832139000000022933</t>
  </si>
  <si>
    <t>KASHIPUR</t>
  </si>
  <si>
    <t>Uttarakhand</t>
  </si>
  <si>
    <t>36/PET/27DN00003</t>
  </si>
  <si>
    <t>832139000007459042</t>
  </si>
  <si>
    <t>Meerut</t>
  </si>
  <si>
    <t>Marketplace DN, CN and Expense Provisions | 31-03-2026</t>
  </si>
  <si>
    <t>Debit note Pertaining to FY 2025-26</t>
  </si>
  <si>
    <t>36/PET/27VC00009</t>
  </si>
  <si>
    <t>AH ENTERPRISES</t>
  </si>
  <si>
    <t>SUPER DISPOSABLE TRADING</t>
  </si>
  <si>
    <t>Ceekay Green Care Agencies</t>
  </si>
  <si>
    <t>SALIM PLASTIC</t>
  </si>
  <si>
    <t>SH022617046</t>
  </si>
  <si>
    <t>SH02260309</t>
  </si>
  <si>
    <t>SH022605019</t>
  </si>
  <si>
    <t>SH022602029</t>
  </si>
  <si>
    <t>SH022609011</t>
  </si>
  <si>
    <t>SH012631015</t>
  </si>
  <si>
    <t>36/PET/27VC00003</t>
  </si>
  <si>
    <t>36/PET/27VC00005</t>
  </si>
  <si>
    <t>36/PET/27VC00006</t>
  </si>
  <si>
    <t>36/PET/27VC00004</t>
  </si>
  <si>
    <t>36/PET/27VC00007</t>
  </si>
  <si>
    <t>36/PET/27VC00008</t>
  </si>
  <si>
    <t>36/PET/27CN00001</t>
  </si>
  <si>
    <t>36/PET/27CN00002</t>
  </si>
  <si>
    <t>36/PET/27CN00003</t>
  </si>
  <si>
    <t>36/PET/27CN00005</t>
  </si>
  <si>
    <t>36/PET/27CN00006</t>
  </si>
  <si>
    <t>36/PET/27CN00004</t>
  </si>
  <si>
    <t>36/PET/27CN00007</t>
  </si>
  <si>
    <t>36/PET/27CN00008</t>
  </si>
  <si>
    <t>68</t>
  </si>
  <si>
    <t>46</t>
  </si>
  <si>
    <t>57</t>
  </si>
  <si>
    <t>36/PET/27DN00004</t>
  </si>
  <si>
    <t>832139000058476217</t>
  </si>
  <si>
    <t>Silvassa</t>
  </si>
  <si>
    <t>Dadra and Nagar Haveli and Daman and Diu</t>
  </si>
  <si>
    <t>76</t>
  </si>
  <si>
    <t>63</t>
  </si>
  <si>
    <t>SH04262304</t>
  </si>
  <si>
    <t>HE/26-27/10</t>
  </si>
  <si>
    <t>26-27/PUR/001402</t>
  </si>
  <si>
    <t>UP24T8069</t>
  </si>
  <si>
    <t>Hot washed PET flakes</t>
  </si>
  <si>
    <t>36/PET/27IN00004</t>
  </si>
  <si>
    <t>832139000000024349</t>
  </si>
  <si>
    <t>BLUEOCEAN ECOTECH LIMITED</t>
  </si>
  <si>
    <t>Pratap Pura, Madhya Pradesh 472246</t>
  </si>
  <si>
    <t>Bhopal</t>
  </si>
  <si>
    <t>Madhya Pradesh</t>
  </si>
  <si>
    <t>SH012627021</t>
  </si>
  <si>
    <t>SH012621039</t>
  </si>
  <si>
    <t>FY 2025-26 bills considered ths year</t>
  </si>
  <si>
    <t>39</t>
  </si>
  <si>
    <t>22</t>
  </si>
  <si>
    <t>2026-04-23</t>
  </si>
  <si>
    <t>26/MPPET/DN0050</t>
  </si>
  <si>
    <t>26/MPPET/DN0051</t>
  </si>
  <si>
    <t>2026-04-26</t>
  </si>
  <si>
    <t>26/MPPET/DN0053</t>
  </si>
  <si>
    <t>26/MPPET/DN0054</t>
  </si>
  <si>
    <t>2026-05-13</t>
  </si>
  <si>
    <t>2026-05-24</t>
  </si>
  <si>
    <t>unused_credits_receivable_amount</t>
  </si>
  <si>
    <t>197</t>
  </si>
  <si>
    <t>113</t>
  </si>
  <si>
    <t>100</t>
  </si>
  <si>
    <t>95</t>
  </si>
  <si>
    <t>79</t>
  </si>
  <si>
    <t>71</t>
  </si>
  <si>
    <t>66</t>
  </si>
  <si>
    <t>65</t>
  </si>
  <si>
    <t>43</t>
  </si>
  <si>
    <t>26</t>
  </si>
  <si>
    <t>7</t>
  </si>
  <si>
    <t>196</t>
  </si>
  <si>
    <t>185</t>
  </si>
  <si>
    <t>163</t>
  </si>
  <si>
    <t>119</t>
  </si>
  <si>
    <t>103</t>
  </si>
  <si>
    <t>82</t>
  </si>
  <si>
    <t>75</t>
  </si>
  <si>
    <t>83</t>
  </si>
  <si>
    <t>70</t>
  </si>
  <si>
    <t>81</t>
  </si>
  <si>
    <t>74</t>
  </si>
  <si>
    <t>69</t>
  </si>
  <si>
    <t>64</t>
  </si>
  <si>
    <t>58</t>
  </si>
  <si>
    <t>47</t>
  </si>
  <si>
    <t>30</t>
  </si>
  <si>
    <t>28</t>
  </si>
  <si>
    <t>24</t>
  </si>
  <si>
    <t>10</t>
  </si>
  <si>
    <t>1</t>
  </si>
  <si>
    <t>275</t>
  </si>
  <si>
    <t>138</t>
  </si>
  <si>
    <t>136</t>
  </si>
  <si>
    <t>124</t>
  </si>
  <si>
    <t>122</t>
  </si>
  <si>
    <t>111</t>
  </si>
  <si>
    <t>106</t>
  </si>
  <si>
    <t>101</t>
  </si>
  <si>
    <t>90</t>
  </si>
  <si>
    <t>78</t>
  </si>
  <si>
    <t>86</t>
  </si>
  <si>
    <t>73</t>
  </si>
  <si>
    <t>84</t>
  </si>
  <si>
    <t>77</t>
  </si>
  <si>
    <t>72</t>
  </si>
  <si>
    <t>67</t>
  </si>
  <si>
    <t>33</t>
  </si>
  <si>
    <t>31</t>
  </si>
  <si>
    <t>50</t>
  </si>
  <si>
    <t>27</t>
  </si>
  <si>
    <t>13</t>
  </si>
  <si>
    <t>4</t>
  </si>
  <si>
    <t>vendor_name</t>
  </si>
  <si>
    <t>vendor.CF.Vertical Name</t>
  </si>
  <si>
    <t>vendor.CF.MSME Category</t>
  </si>
  <si>
    <t>bill</t>
  </si>
  <si>
    <t>2022-04-03</t>
  </si>
  <si>
    <t>15294</t>
  </si>
  <si>
    <t>NEW SHALIMAR ROADWAYS</t>
  </si>
  <si>
    <t>23AAIFN0748A2ZR</t>
  </si>
  <si>
    <t>Small</t>
  </si>
  <si>
    <t>2022-04-01</t>
  </si>
  <si>
    <t>692302</t>
  </si>
  <si>
    <t>VRL Logistics Ltd</t>
  </si>
  <si>
    <t>29AABCV3609C1ZJ</t>
  </si>
  <si>
    <t>Not Registered</t>
  </si>
  <si>
    <t>693004</t>
  </si>
  <si>
    <t>2022-04-04</t>
  </si>
  <si>
    <t>352</t>
  </si>
  <si>
    <t>SRIJA POLYMERS</t>
  </si>
  <si>
    <t>36AMLPB6731C1ZD</t>
  </si>
  <si>
    <t>2022-04-10</t>
  </si>
  <si>
    <t>Sri Balaji Plastic</t>
  </si>
  <si>
    <t>36BDOPR6297L2ZF</t>
  </si>
  <si>
    <t>2022-04-12</t>
  </si>
  <si>
    <t>792</t>
  </si>
  <si>
    <t>S.K.ENTERPRISE</t>
  </si>
  <si>
    <t>19AJLPR9792C1ZG</t>
  </si>
  <si>
    <t>2022-04-15</t>
  </si>
  <si>
    <t>2022-04-16</t>
  </si>
  <si>
    <t>3</t>
  </si>
  <si>
    <t>K.G.N ENTERPRISES</t>
  </si>
  <si>
    <t>09BOUPS9047E1Z4</t>
  </si>
  <si>
    <t>2022-04-19</t>
  </si>
  <si>
    <t>802</t>
  </si>
  <si>
    <t>1846</t>
  </si>
  <si>
    <t>KRS Road Transport Co</t>
  </si>
  <si>
    <t>33AVAPR5377E1ZK</t>
  </si>
  <si>
    <t>2022-04-20</t>
  </si>
  <si>
    <t>1854</t>
  </si>
  <si>
    <t>2022-04-25</t>
  </si>
  <si>
    <t>804</t>
  </si>
  <si>
    <t>2</t>
  </si>
  <si>
    <t>2022-04-24</t>
  </si>
  <si>
    <t>2022-04-23</t>
  </si>
  <si>
    <t>VTBILL-001</t>
  </si>
  <si>
    <t>Vinayaka Traders</t>
  </si>
  <si>
    <t>36BEWPR9948M1Z0</t>
  </si>
  <si>
    <t>2022-04-27</t>
  </si>
  <si>
    <t>2022-04-28</t>
  </si>
  <si>
    <t>025/2022-23</t>
  </si>
  <si>
    <t>Bhawani Enterprises</t>
  </si>
  <si>
    <t>07AYKPT7284P1Z8</t>
  </si>
  <si>
    <t>VTBILL-002</t>
  </si>
  <si>
    <t>2022-04-29</t>
  </si>
  <si>
    <t>JBRL-108</t>
  </si>
  <si>
    <t>Jai Bhawani Roadlines</t>
  </si>
  <si>
    <t>29CYPPS8892B1ZH</t>
  </si>
  <si>
    <t>Micro</t>
  </si>
  <si>
    <t>JBRL -109</t>
  </si>
  <si>
    <t>2022-05-02</t>
  </si>
  <si>
    <t>2022-05-06</t>
  </si>
  <si>
    <t>2022-05-05</t>
  </si>
  <si>
    <t>MLE/22-23/017</t>
  </si>
  <si>
    <t>MAHALAKSHMI ENTERPRISES</t>
  </si>
  <si>
    <t>36AARFM8215E1Z3</t>
  </si>
  <si>
    <t>2022-05-09</t>
  </si>
  <si>
    <t>2022-05-10</t>
  </si>
  <si>
    <t>QT2021TP27757</t>
  </si>
  <si>
    <t>Quick Digital Technologies Private Limited</t>
  </si>
  <si>
    <t>06AAACQ3830D1ZW</t>
  </si>
  <si>
    <t>2022-05-13</t>
  </si>
  <si>
    <t>VTBILL-003</t>
  </si>
  <si>
    <t>2022-05-11</t>
  </si>
  <si>
    <t>JBRL 107</t>
  </si>
  <si>
    <t>2022-05-14</t>
  </si>
  <si>
    <t>2022-05-12</t>
  </si>
  <si>
    <t>VTL/22-23/038</t>
  </si>
  <si>
    <t>VINAYAK TRANS LOGISTICS</t>
  </si>
  <si>
    <t>07CADPK1094F1ZW</t>
  </si>
  <si>
    <t>014</t>
  </si>
  <si>
    <t>SURYA TRADINGS</t>
  </si>
  <si>
    <t>32CXBPP5021J1ZP</t>
  </si>
  <si>
    <t>2022-05-16</t>
  </si>
  <si>
    <t>QT2021TP27020</t>
  </si>
  <si>
    <t>1926</t>
  </si>
  <si>
    <t>2022-05-15</t>
  </si>
  <si>
    <t>15</t>
  </si>
  <si>
    <t>2022-05-18</t>
  </si>
  <si>
    <t>JBRL-112</t>
  </si>
  <si>
    <t>016</t>
  </si>
  <si>
    <t>2022-05-19</t>
  </si>
  <si>
    <t>1930</t>
  </si>
  <si>
    <t>2022-05-20</t>
  </si>
  <si>
    <t>017</t>
  </si>
  <si>
    <t>2022-05-23</t>
  </si>
  <si>
    <t>1937</t>
  </si>
  <si>
    <t>1938</t>
  </si>
  <si>
    <t>2022-05-24</t>
  </si>
  <si>
    <t>1940</t>
  </si>
  <si>
    <t>1939</t>
  </si>
  <si>
    <t>2022-05-25</t>
  </si>
  <si>
    <t>299</t>
  </si>
  <si>
    <t>Mahaveer Roadlines</t>
  </si>
  <si>
    <t>08AMSPC8506F1ZX</t>
  </si>
  <si>
    <t>2022-05-28</t>
  </si>
  <si>
    <t>A13</t>
  </si>
  <si>
    <t>AS Scraps</t>
  </si>
  <si>
    <t>32BJYPA9497H2ZI</t>
  </si>
  <si>
    <t>12</t>
  </si>
  <si>
    <t>2022-05-30</t>
  </si>
  <si>
    <t>311</t>
  </si>
  <si>
    <t>2022-06-03</t>
  </si>
  <si>
    <t>NUR DAMP</t>
  </si>
  <si>
    <t>18ABIPI7017A1Z1</t>
  </si>
  <si>
    <t>2022-06-01</t>
  </si>
  <si>
    <t>14</t>
  </si>
  <si>
    <t>MAY29/22-23</t>
  </si>
  <si>
    <t>VERMA ENTERPRISES</t>
  </si>
  <si>
    <t>27BPUPV1571D1ZE</t>
  </si>
  <si>
    <t>2022-06-05</t>
  </si>
  <si>
    <t>2022-06-06</t>
  </si>
  <si>
    <t>313</t>
  </si>
  <si>
    <t>318</t>
  </si>
  <si>
    <t>2022-06-07</t>
  </si>
  <si>
    <t>16</t>
  </si>
  <si>
    <t>17</t>
  </si>
  <si>
    <t>2022-06-10</t>
  </si>
  <si>
    <t>5766</t>
  </si>
  <si>
    <t>Vikajit Logistics</t>
  </si>
  <si>
    <t>2022-06-11</t>
  </si>
  <si>
    <t>19</t>
  </si>
  <si>
    <t>2022-06-12</t>
  </si>
  <si>
    <t>20</t>
  </si>
  <si>
    <t>2022-06-17</t>
  </si>
  <si>
    <t>Royal Traders</t>
  </si>
  <si>
    <t>09AUYPK3390H1ZX</t>
  </si>
  <si>
    <t>2022-06-20</t>
  </si>
  <si>
    <t>2125</t>
  </si>
  <si>
    <t>Jay Shree Salsar Road Lines</t>
  </si>
  <si>
    <t>21CPCPP6789Q1Z0</t>
  </si>
  <si>
    <t>2022-06-22</t>
  </si>
  <si>
    <t>21</t>
  </si>
  <si>
    <t>2022-06-26</t>
  </si>
  <si>
    <t>K-NO-W WASTE</t>
  </si>
  <si>
    <t>15ABUPE6315K1ZF</t>
  </si>
  <si>
    <t>2022-06-28</t>
  </si>
  <si>
    <t>2022-06-29</t>
  </si>
  <si>
    <t>SSR-PET-06-22-03</t>
  </si>
  <si>
    <t>S S RECLAIMERS</t>
  </si>
  <si>
    <t>37ADKFS3802K1ZS</t>
  </si>
  <si>
    <t>2022-07-01</t>
  </si>
  <si>
    <t>SRI -PET-06-22-02</t>
  </si>
  <si>
    <t>Sreshta Recycling Industries</t>
  </si>
  <si>
    <t>37EHYPP5556D1ZK</t>
  </si>
  <si>
    <t>1866</t>
  </si>
  <si>
    <t>2022-07-02</t>
  </si>
  <si>
    <t>126</t>
  </si>
  <si>
    <t>Moga Gauhati Roadways</t>
  </si>
  <si>
    <t>10BFYPR2561B1ZI</t>
  </si>
  <si>
    <t>2022-07-03</t>
  </si>
  <si>
    <t>312</t>
  </si>
  <si>
    <t>Road King Transport And Contractor</t>
  </si>
  <si>
    <t>07ABBFR9279E1ZV</t>
  </si>
  <si>
    <t>2022-07-04</t>
  </si>
  <si>
    <t>2022-07-06</t>
  </si>
  <si>
    <t>Ak03/JUL/22-23</t>
  </si>
  <si>
    <t>AK CIVIL WORK</t>
  </si>
  <si>
    <t>27FOTPK0551L1ZD</t>
  </si>
  <si>
    <t>213</t>
  </si>
  <si>
    <t>Anjani Transport Co.</t>
  </si>
  <si>
    <t>07APXPJ0687G1ZD</t>
  </si>
  <si>
    <t>2022-07-07</t>
  </si>
  <si>
    <t>2022-07-09</t>
  </si>
  <si>
    <t>JUL02/22-23</t>
  </si>
  <si>
    <t>2022-07-12</t>
  </si>
  <si>
    <t>2022-07-14</t>
  </si>
  <si>
    <t>1567</t>
  </si>
  <si>
    <t>New India Roadways</t>
  </si>
  <si>
    <t>07JGAPK6274B1ZG</t>
  </si>
  <si>
    <t>1460</t>
  </si>
  <si>
    <t>1446</t>
  </si>
  <si>
    <t>2022-07-13</t>
  </si>
  <si>
    <t>22/2022-23</t>
  </si>
  <si>
    <t>Sai Traders</t>
  </si>
  <si>
    <t>06DSPPR7243A1ZK</t>
  </si>
  <si>
    <t>RT001/22</t>
  </si>
  <si>
    <t>Sri Sakthi Transport</t>
  </si>
  <si>
    <t>29AKYPC3424G2ZX</t>
  </si>
  <si>
    <t>Fast Logistics</t>
  </si>
  <si>
    <t>2022-07-18</t>
  </si>
  <si>
    <t>2022-07-23</t>
  </si>
  <si>
    <t>A G TRADERS</t>
  </si>
  <si>
    <t>36KVPPS7164K1ZE</t>
  </si>
  <si>
    <t>2022-07-21</t>
  </si>
  <si>
    <t>407</t>
  </si>
  <si>
    <t>Gandhi Roadways</t>
  </si>
  <si>
    <t>2022-07-22</t>
  </si>
  <si>
    <t>446</t>
  </si>
  <si>
    <t>JBRL-102</t>
  </si>
  <si>
    <t>D.D.ENTERPRISES</t>
  </si>
  <si>
    <t>09CIBPS2261N1ZT</t>
  </si>
  <si>
    <t>2022-07-27</t>
  </si>
  <si>
    <t>Capital Polymers</t>
  </si>
  <si>
    <t>23AUFPK8549M1Z4</t>
  </si>
  <si>
    <t>1380</t>
  </si>
  <si>
    <t>2022-07-26</t>
  </si>
  <si>
    <t>16005</t>
  </si>
  <si>
    <t>XPCC2182/03/2022</t>
  </si>
  <si>
    <t>Instant Supply Chain Solutions Private Limited</t>
  </si>
  <si>
    <t>06AAFCI4823D1ZW</t>
  </si>
  <si>
    <t>Medium</t>
  </si>
  <si>
    <t>2022-07-30</t>
  </si>
  <si>
    <t>Sri Kanakadurga Industries</t>
  </si>
  <si>
    <t>37ATSPN4497P1ZC</t>
  </si>
  <si>
    <t>2022-07-29</t>
  </si>
  <si>
    <t>MTC/2022-23/047</t>
  </si>
  <si>
    <t>Manisha Trading Company</t>
  </si>
  <si>
    <t>08AGWPS8576K1Z1</t>
  </si>
  <si>
    <t>2022-07-31</t>
  </si>
  <si>
    <t>6/22-23</t>
  </si>
  <si>
    <t>Shree Krishna Metal</t>
  </si>
  <si>
    <t>21AAPPU2800B1Z6</t>
  </si>
  <si>
    <t>2022-08-01</t>
  </si>
  <si>
    <t>1962</t>
  </si>
  <si>
    <t>1987</t>
  </si>
  <si>
    <t>1967</t>
  </si>
  <si>
    <t>2022-08-03</t>
  </si>
  <si>
    <t>524</t>
  </si>
  <si>
    <t>Y.H. ENTERPRISE</t>
  </si>
  <si>
    <t>21AMIPY9849B1ZP</t>
  </si>
  <si>
    <t>2022-08-18</t>
  </si>
  <si>
    <t>Hiteshi Enterprises</t>
  </si>
  <si>
    <t>09ATKPJ2221M1ZJ</t>
  </si>
  <si>
    <t>Tabasssum Enterprises</t>
  </si>
  <si>
    <t>37AMLPM1274D1Z2</t>
  </si>
  <si>
    <t>2022-08-06</t>
  </si>
  <si>
    <t>Shri Siddhnath Enterprises</t>
  </si>
  <si>
    <t>09GYPPK7731B1Z3</t>
  </si>
  <si>
    <t>2022-08-12</t>
  </si>
  <si>
    <t>11</t>
  </si>
  <si>
    <t>Durga Iron Steel</t>
  </si>
  <si>
    <t>09AFCPE7054F1ZN</t>
  </si>
  <si>
    <t>2022-08-15</t>
  </si>
  <si>
    <t>2022-08-16</t>
  </si>
  <si>
    <t>NATURE FRIENDLY PLASTIC</t>
  </si>
  <si>
    <t>21ALDPL6775F1Z6</t>
  </si>
  <si>
    <t>2022-08-20</t>
  </si>
  <si>
    <t>2022-2022/001</t>
  </si>
  <si>
    <t>Shri Ram Industries</t>
  </si>
  <si>
    <t>26BIAPM4736L1Z1</t>
  </si>
  <si>
    <t>2022-08-23</t>
  </si>
  <si>
    <t>118</t>
  </si>
  <si>
    <t>Radhika Agency</t>
  </si>
  <si>
    <t>29AASPY2107N1ZU</t>
  </si>
  <si>
    <t>1099</t>
  </si>
  <si>
    <t>Deepak Logistic</t>
  </si>
  <si>
    <t>24CFHPR5582Q1ZJ</t>
  </si>
  <si>
    <t>2022-08-21</t>
  </si>
  <si>
    <t>2022-08-25</t>
  </si>
  <si>
    <t>AST-202</t>
  </si>
  <si>
    <t>A.S traders</t>
  </si>
  <si>
    <t>09FGYPS0353H1ZO</t>
  </si>
  <si>
    <t>2022-08-22</t>
  </si>
  <si>
    <t>AST-201</t>
  </si>
  <si>
    <t>2022-08-27</t>
  </si>
  <si>
    <t>PT/58</t>
  </si>
  <si>
    <t>Shri Panchmukhi Traders</t>
  </si>
  <si>
    <t>23GGOPM6309E1ZB</t>
  </si>
  <si>
    <t>2022-09-01</t>
  </si>
  <si>
    <t>2022-2023/002</t>
  </si>
  <si>
    <t>2022-08-31</t>
  </si>
  <si>
    <t>01</t>
  </si>
  <si>
    <t>D K Yadav Enterprises</t>
  </si>
  <si>
    <t>20ALNPY1441K1ZX</t>
  </si>
  <si>
    <t>02</t>
  </si>
  <si>
    <t>2022-09-03</t>
  </si>
  <si>
    <t>03</t>
  </si>
  <si>
    <t>2022-09-05</t>
  </si>
  <si>
    <t>GNL/136</t>
  </si>
  <si>
    <t>Gyaninand Logistics</t>
  </si>
  <si>
    <t>21BZSPK5395J1ZS</t>
  </si>
  <si>
    <t>2022-09-10</t>
  </si>
  <si>
    <t>08</t>
  </si>
  <si>
    <t>Sri Tulasi Traders</t>
  </si>
  <si>
    <t>37BVNPT7420C1ZC</t>
  </si>
  <si>
    <t>2022-09-14</t>
  </si>
  <si>
    <t>285</t>
  </si>
  <si>
    <t>Doad Constructions</t>
  </si>
  <si>
    <t>02AYRPK5620R1ZW</t>
  </si>
  <si>
    <t>365</t>
  </si>
  <si>
    <t>2022-10-01</t>
  </si>
  <si>
    <t>DNIS/022</t>
  </si>
  <si>
    <t>Datanet Installation Services</t>
  </si>
  <si>
    <t>02AXVPK2784R1ZJ</t>
  </si>
  <si>
    <t>222</t>
  </si>
  <si>
    <t>Malti Enterprises</t>
  </si>
  <si>
    <t>09AKIPY7544B1ZR</t>
  </si>
  <si>
    <t>2022-10-03</t>
  </si>
  <si>
    <t>069</t>
  </si>
  <si>
    <t>JUNAID ENTERPRISES</t>
  </si>
  <si>
    <t>36BBJPN0948M2Z4</t>
  </si>
  <si>
    <t>2022-10-08</t>
  </si>
  <si>
    <t>KMEC/1152</t>
  </si>
  <si>
    <t>M/S K.M.ENGINEERING &amp; CONSTRUCTION</t>
  </si>
  <si>
    <t>21BBLPM2205G2Z5</t>
  </si>
  <si>
    <t>2022-10-31</t>
  </si>
  <si>
    <t>KMEC/1155</t>
  </si>
  <si>
    <t>5746</t>
  </si>
  <si>
    <t>5733</t>
  </si>
  <si>
    <t>5742</t>
  </si>
  <si>
    <t>2022-11-07</t>
  </si>
  <si>
    <t>180</t>
  </si>
  <si>
    <t>Mahalakshmi Enterprises (PET)</t>
  </si>
  <si>
    <t>36AYJPD7638L1ZY</t>
  </si>
  <si>
    <t>2022-11-10</t>
  </si>
  <si>
    <t>4876</t>
  </si>
  <si>
    <t>4881</t>
  </si>
  <si>
    <t>5288</t>
  </si>
  <si>
    <t>5274</t>
  </si>
  <si>
    <t>5271</t>
  </si>
  <si>
    <t>2022-12-08</t>
  </si>
  <si>
    <t>MN.22.035</t>
  </si>
  <si>
    <t>MOTHER NATURE WASTE MANAGEMENT AND RECYCLING INDUSTRY</t>
  </si>
  <si>
    <t>29ABTFM3326P1ZD</t>
  </si>
  <si>
    <t>2022-12-12</t>
  </si>
  <si>
    <t>321</t>
  </si>
  <si>
    <t>S S Speed Logistics</t>
  </si>
  <si>
    <t>08BSXPK0990F1Z7</t>
  </si>
  <si>
    <t>DEC01</t>
  </si>
  <si>
    <t>Bilaspur Plastic</t>
  </si>
  <si>
    <t>22AQAPA1867H1ZD</t>
  </si>
  <si>
    <t>3A</t>
  </si>
  <si>
    <t>2022-12-23</t>
  </si>
  <si>
    <t>344</t>
  </si>
  <si>
    <t>YAKUB ENTERPRISES</t>
  </si>
  <si>
    <t>29CHSPK9882K1Z2</t>
  </si>
  <si>
    <t>2022-12-31</t>
  </si>
  <si>
    <t>68/2022-2023</t>
  </si>
  <si>
    <t>Sandhya Agencies</t>
  </si>
  <si>
    <t>37ACFPA5280R3Z4</t>
  </si>
  <si>
    <t>2023-01-01</t>
  </si>
  <si>
    <t>2023-01-05</t>
  </si>
  <si>
    <t>NE/22-23/396</t>
  </si>
  <si>
    <t>NATIONAL ENTERPRISES</t>
  </si>
  <si>
    <t>06CENPC2339P1Z5</t>
  </si>
  <si>
    <t>2023-01-08</t>
  </si>
  <si>
    <t>2023-01-16</t>
  </si>
  <si>
    <t>7323</t>
  </si>
  <si>
    <t>2023-01-15</t>
  </si>
  <si>
    <t>NST/221/22-23</t>
  </si>
  <si>
    <t>N.S TRADING CO.</t>
  </si>
  <si>
    <t>10DXDPK5178Q1Z1</t>
  </si>
  <si>
    <t>2023-01-17</t>
  </si>
  <si>
    <t>7284</t>
  </si>
  <si>
    <t>2023-01-20</t>
  </si>
  <si>
    <t>7423</t>
  </si>
  <si>
    <t>2023-01-21</t>
  </si>
  <si>
    <t>7533</t>
  </si>
  <si>
    <t>2023-02-01</t>
  </si>
  <si>
    <t>258</t>
  </si>
  <si>
    <t>2023-02-08</t>
  </si>
  <si>
    <t>350</t>
  </si>
  <si>
    <t>2023-02-11</t>
  </si>
  <si>
    <t>INV-199</t>
  </si>
  <si>
    <t>Eartth Resource Management</t>
  </si>
  <si>
    <t>36AAIFE7936R1ZJ</t>
  </si>
  <si>
    <t>2023-02-12</t>
  </si>
  <si>
    <t>413</t>
  </si>
  <si>
    <t>2023-02-09</t>
  </si>
  <si>
    <t>370</t>
  </si>
  <si>
    <t>SR/22-23/292</t>
  </si>
  <si>
    <t>Spark Riser</t>
  </si>
  <si>
    <t>33CHNPR6823G1Z1</t>
  </si>
  <si>
    <t>2023-02-10</t>
  </si>
  <si>
    <t>SRT/2223/00045</t>
  </si>
  <si>
    <t>Shree Navin Orient Mailspeed Transport Service</t>
  </si>
  <si>
    <t>27AAAFN1823E1ZQ</t>
  </si>
  <si>
    <t>2023-02-13</t>
  </si>
  <si>
    <t>2023-02-17</t>
  </si>
  <si>
    <t>SR/22-23/294</t>
  </si>
  <si>
    <t>2023-02-21</t>
  </si>
  <si>
    <t>726</t>
  </si>
  <si>
    <t>2023-02-24</t>
  </si>
  <si>
    <t>SR/22-23/298</t>
  </si>
  <si>
    <t>SR/22-23/297</t>
  </si>
  <si>
    <t>373</t>
  </si>
  <si>
    <t>2023-03-10</t>
  </si>
  <si>
    <t>8</t>
  </si>
  <si>
    <t>2023-03-24</t>
  </si>
  <si>
    <t>GYP Enterprises</t>
  </si>
  <si>
    <t>27AVYPK2619Q2ZJ</t>
  </si>
  <si>
    <t>2023-03-28</t>
  </si>
  <si>
    <t>274</t>
  </si>
  <si>
    <t>Maa Bhagavathi Traders</t>
  </si>
  <si>
    <t>37ASGPV5868H1ZY</t>
  </si>
  <si>
    <t>2023-04-13</t>
  </si>
  <si>
    <t>818</t>
  </si>
  <si>
    <t>2023-04-02</t>
  </si>
  <si>
    <t>211</t>
  </si>
  <si>
    <t>SRI VIJAYA DURGA TRADERS</t>
  </si>
  <si>
    <t>37BKIPG9196G1ZN</t>
  </si>
  <si>
    <t>071</t>
  </si>
  <si>
    <t>SAI SHRADDHA ENTERPRISES</t>
  </si>
  <si>
    <t>36AJUPB0536H1Z9</t>
  </si>
  <si>
    <t>2023-04-04</t>
  </si>
  <si>
    <t>2023-04-03</t>
  </si>
  <si>
    <t>INV/22-23/430</t>
  </si>
  <si>
    <t>Uma Industries</t>
  </si>
  <si>
    <t>19AJSPN8606L1ZB</t>
  </si>
  <si>
    <t>INV/22-23/429</t>
  </si>
  <si>
    <t>2023-06-02</t>
  </si>
  <si>
    <t>ME/2223/048-A</t>
  </si>
  <si>
    <t>MANGALA ENTERPRISES</t>
  </si>
  <si>
    <t>21DYPPK0775N1ZX</t>
  </si>
  <si>
    <t>104</t>
  </si>
  <si>
    <t>Ever Star Enterprises</t>
  </si>
  <si>
    <t>27AUIPK9797N1ZF</t>
  </si>
  <si>
    <t>GL/2021-22/091</t>
  </si>
  <si>
    <t>MMF PLASTICS</t>
  </si>
  <si>
    <t>32DNPPP8568D2ZG</t>
  </si>
  <si>
    <t>2023-04-19</t>
  </si>
  <si>
    <t>COK2324/2300012</t>
  </si>
  <si>
    <t>M S A SHIPPING PRIVATE LIMITED</t>
  </si>
  <si>
    <t>32AAFCM6174M1Z6</t>
  </si>
  <si>
    <t>2023-04-28</t>
  </si>
  <si>
    <t>M/S VENKATESHWARA ENTERPRISES</t>
  </si>
  <si>
    <t>36BMHPS5248G1ZP</t>
  </si>
  <si>
    <t>2023-05-08</t>
  </si>
  <si>
    <t>85/2023-24</t>
  </si>
  <si>
    <t>SANDARSHIKA COMMODITY PRIVATE LIMITED</t>
  </si>
  <si>
    <t>19AATCS7100H1Z1</t>
  </si>
  <si>
    <t>2023-05-11</t>
  </si>
  <si>
    <t>90/2023-24</t>
  </si>
  <si>
    <t>91/2023-24</t>
  </si>
  <si>
    <t>95/2023-24</t>
  </si>
  <si>
    <t>2023-05-12</t>
  </si>
  <si>
    <t>97/2023-2024</t>
  </si>
  <si>
    <t>2023-05-24</t>
  </si>
  <si>
    <t>96</t>
  </si>
  <si>
    <t>N K TRADERS</t>
  </si>
  <si>
    <t>10DEQPK0550C1Z2</t>
  </si>
  <si>
    <t>2023-06-03</t>
  </si>
  <si>
    <t>P.P POLYMERS</t>
  </si>
  <si>
    <t>03BURPM7867B1ZB</t>
  </si>
  <si>
    <t>2023-06-06</t>
  </si>
  <si>
    <t>2023-06-10</t>
  </si>
  <si>
    <t>229/2023-24</t>
  </si>
  <si>
    <t>2023-06-13</t>
  </si>
  <si>
    <t>2023-06-30</t>
  </si>
  <si>
    <t>FY-2022 TCS receivable</t>
  </si>
  <si>
    <t>Roongta Traders</t>
  </si>
  <si>
    <t>27ARUPR7738P1ZD</t>
  </si>
  <si>
    <t>2023-07-01</t>
  </si>
  <si>
    <t>SR/23-24/012</t>
  </si>
  <si>
    <t>2023-07-03</t>
  </si>
  <si>
    <t>RP/23-24/54</t>
  </si>
  <si>
    <t>RAGHAV PLASTIC</t>
  </si>
  <si>
    <t>03AAOHR2499Q1Z7</t>
  </si>
  <si>
    <t>2023-07-27</t>
  </si>
  <si>
    <t>STC/23-24/0826</t>
  </si>
  <si>
    <t>Swan Trans Cargo</t>
  </si>
  <si>
    <t>36AGXPL9380P2Z1</t>
  </si>
  <si>
    <t>2023-07-28</t>
  </si>
  <si>
    <t>WE/23-24/44</t>
  </si>
  <si>
    <t>Waheguru Express</t>
  </si>
  <si>
    <t>36GWXPK9023E1ZZ</t>
  </si>
  <si>
    <t>WE/23-24/43</t>
  </si>
  <si>
    <t>2023-08-03</t>
  </si>
  <si>
    <t>2023-08-05</t>
  </si>
  <si>
    <t>ASHIFA TRADERS</t>
  </si>
  <si>
    <t>23AAFPQ1673A1Z5</t>
  </si>
  <si>
    <t>2023-08-18</t>
  </si>
  <si>
    <t>INV-0175</t>
  </si>
  <si>
    <t>Green Works Waste Solutions</t>
  </si>
  <si>
    <t>05AAWFG1169L1ZV</t>
  </si>
  <si>
    <t>MICRO</t>
  </si>
  <si>
    <t>2023-08-16</t>
  </si>
  <si>
    <t>Mallikarjuna Agencies</t>
  </si>
  <si>
    <t>36DDJPK7245A1ZN</t>
  </si>
  <si>
    <t>PL/2023-24/14</t>
  </si>
  <si>
    <t>Paradise Logistics</t>
  </si>
  <si>
    <t>07AQNPN6436E1ZM</t>
  </si>
  <si>
    <t>2023-08-22</t>
  </si>
  <si>
    <t>SSE/0002/23-24</t>
  </si>
  <si>
    <t>S.S ENTERPRISES</t>
  </si>
  <si>
    <t>19ABKPU3869L1ZM</t>
  </si>
  <si>
    <t>300</t>
  </si>
  <si>
    <t>M/S RAMESH BOTTLES</t>
  </si>
  <si>
    <t>36AGQPA3549Q1ZR</t>
  </si>
  <si>
    <t>2023-08-24</t>
  </si>
  <si>
    <t>M/s Saumya</t>
  </si>
  <si>
    <t>27AEWFS8672J1ZV</t>
  </si>
  <si>
    <t>2023-09-05</t>
  </si>
  <si>
    <t>Balaji Plastic Udyog</t>
  </si>
  <si>
    <t>08BHZPK7708N1Z9</t>
  </si>
  <si>
    <t>SP/23-24/036</t>
  </si>
  <si>
    <t>SANSAR PET</t>
  </si>
  <si>
    <t>06AJSPA7518E1Z9</t>
  </si>
  <si>
    <t>2023-09-11</t>
  </si>
  <si>
    <t>M/S AJEET PLASTICS</t>
  </si>
  <si>
    <t>09AMBPM5591P1ZA</t>
  </si>
  <si>
    <t>2023-09-14</t>
  </si>
  <si>
    <t>M/S APPEX TRADING ENTERPRISES</t>
  </si>
  <si>
    <t>09AANFA9652R1ZE</t>
  </si>
  <si>
    <t>2023-09-12</t>
  </si>
  <si>
    <t>2023-09-18</t>
  </si>
  <si>
    <t>2022-23/93</t>
  </si>
  <si>
    <t>ZOYA TRADERS</t>
  </si>
  <si>
    <t>07POWPS3366Q1Z9</t>
  </si>
  <si>
    <t>2023-09-16</t>
  </si>
  <si>
    <t>TI/0084</t>
  </si>
  <si>
    <t>M.S.POLYMERS</t>
  </si>
  <si>
    <t>03ABFPB1918G1ZC</t>
  </si>
  <si>
    <t>80</t>
  </si>
  <si>
    <t>2023-09-17</t>
  </si>
  <si>
    <t>TI/0085</t>
  </si>
  <si>
    <t>2023-09-21</t>
  </si>
  <si>
    <t>2023-09-20</t>
  </si>
  <si>
    <t>066</t>
  </si>
  <si>
    <t>Bharat logistics</t>
  </si>
  <si>
    <t>05FLOPR9256K1Z5</t>
  </si>
  <si>
    <t>065</t>
  </si>
  <si>
    <t>2023-09-26</t>
  </si>
  <si>
    <t>MAHADEV TRADING COMPANY</t>
  </si>
  <si>
    <t>06ASGPM1164K1ZO</t>
  </si>
  <si>
    <t>2023-09-25</t>
  </si>
  <si>
    <t>TI/0086</t>
  </si>
  <si>
    <t>R R Traders</t>
  </si>
  <si>
    <t>36AIQPR3040K1ZV</t>
  </si>
  <si>
    <t>2023-09-28</t>
  </si>
  <si>
    <t>INV-7</t>
  </si>
  <si>
    <t>GO GREEN RECYCLERS</t>
  </si>
  <si>
    <t>36AAZFG3116E1ZB</t>
  </si>
  <si>
    <t>2023-09-30</t>
  </si>
  <si>
    <t>INV-8</t>
  </si>
  <si>
    <t>2023-10-02</t>
  </si>
  <si>
    <t>TI/0087</t>
  </si>
  <si>
    <t>2023-10-04</t>
  </si>
  <si>
    <t>TI/0088</t>
  </si>
  <si>
    <t>2023-10-07</t>
  </si>
  <si>
    <t>2022-23/113</t>
  </si>
  <si>
    <t>2023-10-10</t>
  </si>
  <si>
    <t>INV-9</t>
  </si>
  <si>
    <t>2023-10-12</t>
  </si>
  <si>
    <t>AKH ENTERPRISES</t>
  </si>
  <si>
    <t>27DTHPA0291L1ZM</t>
  </si>
  <si>
    <t>TI/0090</t>
  </si>
  <si>
    <t>2023-10-27</t>
  </si>
  <si>
    <t>0006</t>
  </si>
  <si>
    <t>NAGAR PANCHAYAT KEDARNATH</t>
  </si>
  <si>
    <t>05AAALA1879R1ZP</t>
  </si>
  <si>
    <t>2023-10-30</t>
  </si>
  <si>
    <t>G P Traders</t>
  </si>
  <si>
    <t>10CMWPK7747L2ZB</t>
  </si>
  <si>
    <t>2023-11-01</t>
  </si>
  <si>
    <t>TI/0091</t>
  </si>
  <si>
    <t>2023-10-31</t>
  </si>
  <si>
    <t>RTC/655</t>
  </si>
  <si>
    <t>M/S RAJPUT TRADING COMPANY</t>
  </si>
  <si>
    <t>09AIRPN9344F1ZN</t>
  </si>
  <si>
    <t>2023-11-03</t>
  </si>
  <si>
    <t>SP/23-24/062</t>
  </si>
  <si>
    <t>2023-11-04</t>
  </si>
  <si>
    <t>SNP/005/23-24</t>
  </si>
  <si>
    <t>S N POLYPLAST</t>
  </si>
  <si>
    <t>19ANXPN3491N1ZT</t>
  </si>
  <si>
    <t>2023-11-05</t>
  </si>
  <si>
    <t>688</t>
  </si>
  <si>
    <t>H M ENTERPRISES</t>
  </si>
  <si>
    <t>29EJOPK9551B1ZS</t>
  </si>
  <si>
    <t>2023-11-12</t>
  </si>
  <si>
    <t>TI/0116</t>
  </si>
  <si>
    <t>2023-11-17</t>
  </si>
  <si>
    <t>155</t>
  </si>
  <si>
    <t>SRI SAI BALAJI TRADERS</t>
  </si>
  <si>
    <t>36BEJPL5594Q1ZH</t>
  </si>
  <si>
    <t>2023-11-13</t>
  </si>
  <si>
    <t>406</t>
  </si>
  <si>
    <t>Sri Vighneswara Durga Traders</t>
  </si>
  <si>
    <t>37ARLPG6509L1ZD</t>
  </si>
  <si>
    <t>TI/0119</t>
  </si>
  <si>
    <t>2023-11-24</t>
  </si>
  <si>
    <t>M/S SRI SUBRAMANYESWARA SWAMY ENTERPRISES</t>
  </si>
  <si>
    <t>37ASHPJ3578K1Z7</t>
  </si>
  <si>
    <t>2023-12-03</t>
  </si>
  <si>
    <t>JAMFIZ ENTERPRISES</t>
  </si>
  <si>
    <t>36AMXPJ3821D1ZY</t>
  </si>
  <si>
    <t>2023-12-02</t>
  </si>
  <si>
    <t>123</t>
  </si>
  <si>
    <t>2023-12-04</t>
  </si>
  <si>
    <t>TI/0135</t>
  </si>
  <si>
    <t>2023-12-09</t>
  </si>
  <si>
    <t>162</t>
  </si>
  <si>
    <t>2023-12-07</t>
  </si>
  <si>
    <t>SHIVA SHAKTI BALING UNIT</t>
  </si>
  <si>
    <t>36AMDPA4013G1ZR</t>
  </si>
  <si>
    <t>14-C</t>
  </si>
  <si>
    <t>2023-12-13</t>
  </si>
  <si>
    <t>GL/2023-24/352</t>
  </si>
  <si>
    <t>2023-12-18</t>
  </si>
  <si>
    <t>FY2324-00975</t>
  </si>
  <si>
    <t>Reopik Environment Private Limited</t>
  </si>
  <si>
    <t>29AAHCR7586C1ZX</t>
  </si>
  <si>
    <t>2023-12-25</t>
  </si>
  <si>
    <t>15-C</t>
  </si>
  <si>
    <t>2024-01-08</t>
  </si>
  <si>
    <t>LAXMI ENTERPRISES</t>
  </si>
  <si>
    <t>20FQSPP6778M1ZS</t>
  </si>
  <si>
    <t>2024-01-11</t>
  </si>
  <si>
    <t>SSR-PET-01-24- 02</t>
  </si>
  <si>
    <t>2024-01-20</t>
  </si>
  <si>
    <t>2024-01-30</t>
  </si>
  <si>
    <t>DSK/107</t>
  </si>
  <si>
    <t>DSK Plastics</t>
  </si>
  <si>
    <t>36CGVPK9312E1Z2</t>
  </si>
  <si>
    <t>2024-01-17</t>
  </si>
  <si>
    <t>2024-01-19</t>
  </si>
  <si>
    <t>2024-01-13</t>
  </si>
  <si>
    <t>SSR-PET-01-24- 04</t>
  </si>
  <si>
    <t>GL/2023-24/329</t>
  </si>
  <si>
    <t>2024-02-01</t>
  </si>
  <si>
    <t>161</t>
  </si>
  <si>
    <t>T M S TRADERS</t>
  </si>
  <si>
    <t>23AVYPA7780L1ZW</t>
  </si>
  <si>
    <t>2024-02-06</t>
  </si>
  <si>
    <t>MT/244</t>
  </si>
  <si>
    <t>Meghana Traders</t>
  </si>
  <si>
    <t>36CSYPK7144M1ZR</t>
  </si>
  <si>
    <t>2024-02-10</t>
  </si>
  <si>
    <t>SNP/025/23-24</t>
  </si>
  <si>
    <t>182</t>
  </si>
  <si>
    <t>2024-02-12</t>
  </si>
  <si>
    <t>M/S 9 TRADERS</t>
  </si>
  <si>
    <t>36CPJPB5054D1Z7</t>
  </si>
  <si>
    <t>2024-02-17</t>
  </si>
  <si>
    <t>184</t>
  </si>
  <si>
    <t>2024-02-20</t>
  </si>
  <si>
    <t>2024-02-24</t>
  </si>
  <si>
    <t>186</t>
  </si>
  <si>
    <t>2024-02-22</t>
  </si>
  <si>
    <t>244/2023-24</t>
  </si>
  <si>
    <t>CHATRAVATA TRADERS</t>
  </si>
  <si>
    <t>37CQGPV8970E1Z5</t>
  </si>
  <si>
    <t>2024-02-26</t>
  </si>
  <si>
    <t>187</t>
  </si>
  <si>
    <t>2024-03-05</t>
  </si>
  <si>
    <t>412</t>
  </si>
  <si>
    <t>GIRDHARI ENTERPRISES</t>
  </si>
  <si>
    <t>20JKNPK1545Q1ZN</t>
  </si>
  <si>
    <t>2024-02-29</t>
  </si>
  <si>
    <t>410</t>
  </si>
  <si>
    <t>2024-02-27</t>
  </si>
  <si>
    <t>247/2023-24</t>
  </si>
  <si>
    <t>246/2023-24</t>
  </si>
  <si>
    <t>2024-02-28</t>
  </si>
  <si>
    <t>248/2023-24</t>
  </si>
  <si>
    <t>250/2023-24</t>
  </si>
  <si>
    <t>249/2023-24</t>
  </si>
  <si>
    <t>DURGA TRADERS</t>
  </si>
  <si>
    <t>33BKYPD8143E1Z1</t>
  </si>
  <si>
    <t>2024-03-01</t>
  </si>
  <si>
    <t>251/2023-24</t>
  </si>
  <si>
    <t>2024-03-02</t>
  </si>
  <si>
    <t>253/2023-24</t>
  </si>
  <si>
    <t>254/2023-24</t>
  </si>
  <si>
    <t>2024-03-09</t>
  </si>
  <si>
    <t>283</t>
  </si>
  <si>
    <t>KURUMURTHY TRADERS</t>
  </si>
  <si>
    <t>36LLRPK4761R1ZS</t>
  </si>
  <si>
    <t>27JXCPS3223R1ZP</t>
  </si>
  <si>
    <t>SILVER STAR CO</t>
  </si>
  <si>
    <t>24BISPS4752A1Z4</t>
  </si>
  <si>
    <t>257/2023-24</t>
  </si>
  <si>
    <t>March/19/23-24</t>
  </si>
  <si>
    <t>AQSA TRADING CO</t>
  </si>
  <si>
    <t>20ATYPM7739H1Z4</t>
  </si>
  <si>
    <t>SAE/23-24/001</t>
  </si>
  <si>
    <t>SHREE AMBIKA ENTERPRISE</t>
  </si>
  <si>
    <t>24AJNPT0303R1ZT</t>
  </si>
  <si>
    <t>24-C</t>
  </si>
  <si>
    <t>258/2023-24</t>
  </si>
  <si>
    <t>259/2023-24</t>
  </si>
  <si>
    <t>2024-03-12</t>
  </si>
  <si>
    <t>263/2023-24</t>
  </si>
  <si>
    <t>265/2023-24</t>
  </si>
  <si>
    <t>264/2023-24</t>
  </si>
  <si>
    <t>266/2023-24</t>
  </si>
  <si>
    <t>2024-03-13</t>
  </si>
  <si>
    <t>409</t>
  </si>
  <si>
    <t>SRI LAKSHMI NARASIMHA PLASTIC</t>
  </si>
  <si>
    <t>37ADDPL3568Q1ZU</t>
  </si>
  <si>
    <t>2024-03-14</t>
  </si>
  <si>
    <t>268/2023-24</t>
  </si>
  <si>
    <t>269/2023-24</t>
  </si>
  <si>
    <t>2024-03-16</t>
  </si>
  <si>
    <t>MAHADEV INDUSTRIES</t>
  </si>
  <si>
    <t>09BPJPM7866R1ZL</t>
  </si>
  <si>
    <t>2024-03-17</t>
  </si>
  <si>
    <t>270/2023-24</t>
  </si>
  <si>
    <t>2024-03-22</t>
  </si>
  <si>
    <t>532</t>
  </si>
  <si>
    <t>AYAN ENTERPRISES</t>
  </si>
  <si>
    <t>29BIAPP6032J1Z3</t>
  </si>
  <si>
    <t>2024-03-19</t>
  </si>
  <si>
    <t>276/2023-24</t>
  </si>
  <si>
    <t>2024-03-21</t>
  </si>
  <si>
    <t>587</t>
  </si>
  <si>
    <t>N.J.PLASTIC INDUSTRY.BOLAKUCHI,NALBARI.</t>
  </si>
  <si>
    <t>18AUWPA0709J1ZG</t>
  </si>
  <si>
    <t>2024-03-31</t>
  </si>
  <si>
    <t>2024-03-30</t>
  </si>
  <si>
    <t>2023-24/396</t>
  </si>
  <si>
    <t>A K GOODS CARRIERS</t>
  </si>
  <si>
    <t>19BVUPS9675R1ZO</t>
  </si>
  <si>
    <t>2024-04-01</t>
  </si>
  <si>
    <t>134</t>
  </si>
  <si>
    <t>27AYGPC3643K1ZE</t>
  </si>
  <si>
    <t>Shri Man Narayan Trading Company</t>
  </si>
  <si>
    <t>23FYGPS6604R1ZO</t>
  </si>
  <si>
    <t>2024-04-02</t>
  </si>
  <si>
    <t>STC/23-24/10</t>
  </si>
  <si>
    <t>SHIVA TRADING COMPANY</t>
  </si>
  <si>
    <t>07EMTPK7750L1Z5</t>
  </si>
  <si>
    <t>2024-04-17</t>
  </si>
  <si>
    <t>GALAXY ENTERPRISES</t>
  </si>
  <si>
    <t>23GPQPM9672R1ZJ</t>
  </si>
  <si>
    <t>KR/OD/101/24-25</t>
  </si>
  <si>
    <t>KUNAL ROADWAYS</t>
  </si>
  <si>
    <t>21APUPM5644P2Z4</t>
  </si>
  <si>
    <t>2024-04-18</t>
  </si>
  <si>
    <t>GL/2024-25/001</t>
  </si>
  <si>
    <t>2024-05-09</t>
  </si>
  <si>
    <t>SRZ/03/24-25</t>
  </si>
  <si>
    <t>STAR RECYCLE ZONE</t>
  </si>
  <si>
    <t>19AETFS8230B1ZQ</t>
  </si>
  <si>
    <t>2024-05-08</t>
  </si>
  <si>
    <t>039/2024-25</t>
  </si>
  <si>
    <t>GARG TRADING CO</t>
  </si>
  <si>
    <t>06BSFPK8120B1Z7</t>
  </si>
  <si>
    <t>SNP/025/24-25</t>
  </si>
  <si>
    <t>2024-05-15</t>
  </si>
  <si>
    <t>SRZ/04/24-25</t>
  </si>
  <si>
    <t>2024-05-16</t>
  </si>
  <si>
    <t>SRZ/05/24-25</t>
  </si>
  <si>
    <t>2024-05-19</t>
  </si>
  <si>
    <t>SE/24-25/15</t>
  </si>
  <si>
    <t>SUFIYAN ENTERPRISES</t>
  </si>
  <si>
    <t>10ELQPD7572F1Z3</t>
  </si>
  <si>
    <t>2024-05-26</t>
  </si>
  <si>
    <t>164</t>
  </si>
  <si>
    <t>2024-05-22</t>
  </si>
  <si>
    <t>SRZ/06/24-25</t>
  </si>
  <si>
    <t>2024-05-30</t>
  </si>
  <si>
    <t>NARAYANA PLASTICS</t>
  </si>
  <si>
    <t>36BVCPK7151E1ZQ</t>
  </si>
  <si>
    <t>2024-05-27</t>
  </si>
  <si>
    <t>2024-05-31</t>
  </si>
  <si>
    <t>SRZ/08/24-25</t>
  </si>
  <si>
    <t>SRZ/09/24-25</t>
  </si>
  <si>
    <t>RT003/25</t>
  </si>
  <si>
    <t>2024-06-08</t>
  </si>
  <si>
    <t>2024-06-24</t>
  </si>
  <si>
    <t>GL/2023-24/448</t>
  </si>
  <si>
    <t>2024-06-25</t>
  </si>
  <si>
    <t>156</t>
  </si>
  <si>
    <t>2024-07-09</t>
  </si>
  <si>
    <t>9</t>
  </si>
  <si>
    <t>SRI LAKSHMI POLYMERS</t>
  </si>
  <si>
    <t>33AIBPN0482E1ZP</t>
  </si>
  <si>
    <t>2024-07-12</t>
  </si>
  <si>
    <t>2024-07-13</t>
  </si>
  <si>
    <t>2024-08-10</t>
  </si>
  <si>
    <t>193</t>
  </si>
  <si>
    <t>Y N ENTERPRISES</t>
  </si>
  <si>
    <t>36CDJPJ3756Q1ZS</t>
  </si>
  <si>
    <t>195</t>
  </si>
  <si>
    <t>2024-08-14</t>
  </si>
  <si>
    <t>137</t>
  </si>
  <si>
    <t>N.K. TRADERS</t>
  </si>
  <si>
    <t>10ALWPK9224B1Z9</t>
  </si>
  <si>
    <t>2024-08-16</t>
  </si>
  <si>
    <t>18</t>
  </si>
  <si>
    <t>2024-08-24</t>
  </si>
  <si>
    <t>147</t>
  </si>
  <si>
    <t>2024-08-27</t>
  </si>
  <si>
    <t>KISHAN POLYMERS</t>
  </si>
  <si>
    <t>08AAWFK4705C3Z6</t>
  </si>
  <si>
    <t>NSST/2024-25/013</t>
  </si>
  <si>
    <t>New Shiv Shakti Transport</t>
  </si>
  <si>
    <t>06AARFN5575E1ZW</t>
  </si>
  <si>
    <t>2024-09-16</t>
  </si>
  <si>
    <t>KA/24-25/160</t>
  </si>
  <si>
    <t>Deliveryontime Logistics Pvt Ltd ( KA )</t>
  </si>
  <si>
    <t>29AAFCD2077A1ZX</t>
  </si>
  <si>
    <t>2024-09-11</t>
  </si>
  <si>
    <t>2024-09-24</t>
  </si>
  <si>
    <t>0001</t>
  </si>
  <si>
    <t>2024-09-23</t>
  </si>
  <si>
    <t>JAI BHAWANI SCRAP CENTER</t>
  </si>
  <si>
    <t>27AVSPS1823L1ZW</t>
  </si>
  <si>
    <t>2024-09-25</t>
  </si>
  <si>
    <t>2024-10-15</t>
  </si>
  <si>
    <t>SNP/158/24-25</t>
  </si>
  <si>
    <t>2024-10-11</t>
  </si>
  <si>
    <t>SNP/160/24-25</t>
  </si>
  <si>
    <t>2024-10-12</t>
  </si>
  <si>
    <t>2024-10-16</t>
  </si>
  <si>
    <t>194</t>
  </si>
  <si>
    <t>2024-10-22</t>
  </si>
  <si>
    <t>225</t>
  </si>
  <si>
    <t>2024-10-23</t>
  </si>
  <si>
    <t>SNP/162/24-25</t>
  </si>
  <si>
    <t>2024-11-01</t>
  </si>
  <si>
    <t>SNP/167/24-25</t>
  </si>
  <si>
    <t>2024-11-08</t>
  </si>
  <si>
    <t>SNP/168/24-25</t>
  </si>
  <si>
    <t>2024-11-06</t>
  </si>
  <si>
    <t>LORD KRISHNA ASSOCIATES</t>
  </si>
  <si>
    <t>09CMYPP2903D1ZP</t>
  </si>
  <si>
    <t>2024-11-22</t>
  </si>
  <si>
    <t>SNP/173/24-25</t>
  </si>
  <si>
    <t>2024-12-02</t>
  </si>
  <si>
    <t>SNP/175/24-25</t>
  </si>
  <si>
    <t>2025-01-03</t>
  </si>
  <si>
    <t>0002</t>
  </si>
  <si>
    <t>2025-01-14</t>
  </si>
  <si>
    <t>SCRAP IT</t>
  </si>
  <si>
    <t>09EFQPK6949F1ZP</t>
  </si>
  <si>
    <t>2025-01-15</t>
  </si>
  <si>
    <t>SNP/180/24-25</t>
  </si>
  <si>
    <t>2025-01-24</t>
  </si>
  <si>
    <t>2025-01-22</t>
  </si>
  <si>
    <t>ZAM ZAM TRADERS</t>
  </si>
  <si>
    <t>37AKYPA7829F1ZO</t>
  </si>
  <si>
    <t>2025-03-08</t>
  </si>
  <si>
    <t>2025-04-08</t>
  </si>
  <si>
    <t>AZ BHARATH TECHNO ENGINEERING WORKS</t>
  </si>
  <si>
    <t>29FBXPS3377H1ZJ</t>
  </si>
  <si>
    <t>2025-08-16</t>
  </si>
  <si>
    <t>GURJAR GOLDEN TRANSPORT COMPANY</t>
  </si>
  <si>
    <t>07DRCPG5178M1ZD</t>
  </si>
  <si>
    <t>2025-08-17</t>
  </si>
  <si>
    <t>2025-08-18</t>
  </si>
  <si>
    <t>06</t>
  </si>
  <si>
    <t>2025-08-19</t>
  </si>
  <si>
    <t>2025-08-20</t>
  </si>
  <si>
    <t>2025-06-20</t>
  </si>
  <si>
    <t>2025-06-26</t>
  </si>
  <si>
    <t>2025-06-27</t>
  </si>
  <si>
    <t>5</t>
  </si>
  <si>
    <t>2025-07-09</t>
  </si>
  <si>
    <t>25-26/203</t>
  </si>
  <si>
    <t>EKTA PLASTICS</t>
  </si>
  <si>
    <t>06ATMPB1205D1ZG</t>
  </si>
  <si>
    <t>2025-07-19</t>
  </si>
  <si>
    <t>2025-08-24</t>
  </si>
  <si>
    <t>SHP/25-26/58</t>
  </si>
  <si>
    <t>SHREE HARI POLYMERS</t>
  </si>
  <si>
    <t>09CBOPA7522G1ZM</t>
  </si>
  <si>
    <t>2025-09-05</t>
  </si>
  <si>
    <t>GIP/25-26/179</t>
  </si>
  <si>
    <t>M/S GOVIND INDUSTRIAL PRODUCTS</t>
  </si>
  <si>
    <t>06AORPK9002P2ZB</t>
  </si>
  <si>
    <t>2025-10-02</t>
  </si>
  <si>
    <t>M/S MUSTAFA ENTERPRISES</t>
  </si>
  <si>
    <t>21BPUPS8930R1ZR</t>
  </si>
  <si>
    <t>2025-10-03</t>
  </si>
  <si>
    <t>ST/2025-26/56</t>
  </si>
  <si>
    <t>2025-10-04</t>
  </si>
  <si>
    <t>2025-10-05</t>
  </si>
  <si>
    <t>N N TRADERS</t>
  </si>
  <si>
    <t>23ATHPM9104B1Z4</t>
  </si>
  <si>
    <t>1001</t>
  </si>
  <si>
    <t>2025-10-08</t>
  </si>
  <si>
    <t>025</t>
  </si>
  <si>
    <t>2025-10-16</t>
  </si>
  <si>
    <t>SPE/25-26/82</t>
  </si>
  <si>
    <t>SIYA PASHUPATI ENTERPRISES</t>
  </si>
  <si>
    <t>10CRQPK0338A1ZE</t>
  </si>
  <si>
    <t>2025-11-08</t>
  </si>
  <si>
    <t>SL/19/25-26</t>
  </si>
  <si>
    <t>R.H. TRADING CO</t>
  </si>
  <si>
    <t>19ADSPH6869F1ZU</t>
  </si>
  <si>
    <t>2025-11-29</t>
  </si>
  <si>
    <t>252</t>
  </si>
  <si>
    <t>REGIONAL AND URBAN DEVELOPMENT AGENCY</t>
  </si>
  <si>
    <t>01AALFR1725N2Z4</t>
  </si>
  <si>
    <t>2025-12-06</t>
  </si>
  <si>
    <t>ASHIMABIOEARTH PRIVATE LIMITED</t>
  </si>
  <si>
    <t>21AAUCA3443Q1Z8</t>
  </si>
  <si>
    <t>2025-12-08</t>
  </si>
  <si>
    <t>SRI MAHESH ENTERPRISES</t>
  </si>
  <si>
    <t>37AHMPN1178M1ZP</t>
  </si>
  <si>
    <t>2025-12-13</t>
  </si>
  <si>
    <t>SRI ARUMUGAM PET</t>
  </si>
  <si>
    <t>33AEVFS2858B1ZS</t>
  </si>
  <si>
    <t>2025-12-17</t>
  </si>
  <si>
    <t>Shri Ram Pet Polymers</t>
  </si>
  <si>
    <t>09FULPK4037D1ZJ</t>
  </si>
  <si>
    <t>27/2025-26</t>
  </si>
  <si>
    <t>SRI GAYATHRI TRADERS</t>
  </si>
  <si>
    <t>36ANWPA7428F2ZQ</t>
  </si>
  <si>
    <t>2025-12-25</t>
  </si>
  <si>
    <t>417</t>
  </si>
  <si>
    <t>2026-01-12</t>
  </si>
  <si>
    <t>MS ANGELA TRADING COMPANY</t>
  </si>
  <si>
    <t>23BAWPC5657C1ZP</t>
  </si>
  <si>
    <t>2026-01-16</t>
  </si>
  <si>
    <t>INDIAN CONSTRUCTION</t>
  </si>
  <si>
    <t>19AMXPA4497L1Z4</t>
  </si>
  <si>
    <t>2026-01-21</t>
  </si>
  <si>
    <t>FP/25-26/87</t>
  </si>
  <si>
    <t>FLAKELY POLYMERS PRIVATE LIMITED</t>
  </si>
  <si>
    <t>23AAFCF9674H1ZC</t>
  </si>
  <si>
    <t>SI/25-26/27</t>
  </si>
  <si>
    <t>Surya Industries</t>
  </si>
  <si>
    <t>37CPTPG1682L1Z7</t>
  </si>
  <si>
    <t>93</t>
  </si>
  <si>
    <t>2026-02-02</t>
  </si>
  <si>
    <t>2026-02-06</t>
  </si>
  <si>
    <t>STD25-29</t>
  </si>
  <si>
    <t>32AUWPN3045L1Z6</t>
  </si>
  <si>
    <t>2026-02-07</t>
  </si>
  <si>
    <t>STD25-30</t>
  </si>
  <si>
    <t>2026-02-08</t>
  </si>
  <si>
    <t>389</t>
  </si>
  <si>
    <t>R M SHAH TRADERS</t>
  </si>
  <si>
    <t>27DUNPS1236Q1ZR</t>
  </si>
  <si>
    <t>1137</t>
  </si>
  <si>
    <t>BHAGYA LOGISTICS/SUMITRA ENVIRONMENTAL SOLUTIONS</t>
  </si>
  <si>
    <t>27CVAPA4486P1Z5</t>
  </si>
  <si>
    <t>384</t>
  </si>
  <si>
    <t>2026-02-12</t>
  </si>
  <si>
    <t>OM SAI RAM TRADERS</t>
  </si>
  <si>
    <t>20MPGPS5270F1ZQ</t>
  </si>
  <si>
    <t>2026-02-14</t>
  </si>
  <si>
    <t>107</t>
  </si>
  <si>
    <t>AE/112/25-26</t>
  </si>
  <si>
    <t>ARMAN ENTERPRISES</t>
  </si>
  <si>
    <t>20RRWPS8532P1ZD</t>
  </si>
  <si>
    <t>Micro (27/06/2024)</t>
  </si>
  <si>
    <t>485</t>
  </si>
  <si>
    <t>SAAI PLASTICS</t>
  </si>
  <si>
    <t>33BLKPB3949R1ZK</t>
  </si>
  <si>
    <t>NPI/25-26/00111</t>
  </si>
  <si>
    <t>NARMADA PET INDUSTRIES</t>
  </si>
  <si>
    <t>23AASFN7304E1ZC</t>
  </si>
  <si>
    <t>M/S  DANISH OLD PLASTIC SUPPLIERS</t>
  </si>
  <si>
    <t>09BMOPD5179E1ZS</t>
  </si>
  <si>
    <t>NPI/25-26/00112</t>
  </si>
  <si>
    <t>AGS/039/25-26</t>
  </si>
  <si>
    <t>AGSUNWIN ENGINEERING CONSULTANCY AND SERVICES</t>
  </si>
  <si>
    <t>33CRUPS6395F1ZZ</t>
  </si>
  <si>
    <t>M/S YAKSHIT TRADING</t>
  </si>
  <si>
    <t>21BGNPG9019D1ZO</t>
  </si>
  <si>
    <t>2026-04-24</t>
  </si>
  <si>
    <t>DR/2</t>
  </si>
  <si>
    <t>DR/1</t>
  </si>
  <si>
    <t>94</t>
  </si>
  <si>
    <t>2022-03-31</t>
  </si>
  <si>
    <t>2022-04-08</t>
  </si>
  <si>
    <t>2022-04-11</t>
  </si>
  <si>
    <t>2022-04-13</t>
  </si>
  <si>
    <t>2022-04-14</t>
  </si>
  <si>
    <t>2022-04-17</t>
  </si>
  <si>
    <t>2022-04-18</t>
  </si>
  <si>
    <t>1476</t>
  </si>
  <si>
    <t>2022-04-22</t>
  </si>
  <si>
    <t>2022-05-03</t>
  </si>
  <si>
    <t>2022-05-04</t>
  </si>
  <si>
    <t>2022-06-02</t>
  </si>
  <si>
    <t>2022-06-25</t>
  </si>
  <si>
    <t>2022-07-05</t>
  </si>
  <si>
    <t>2022-07-08</t>
  </si>
  <si>
    <t>2022-07-10</t>
  </si>
  <si>
    <t>2022-07-17</t>
  </si>
  <si>
    <t>2022-07-20</t>
  </si>
  <si>
    <t>2022-08-02</t>
  </si>
  <si>
    <t>2022-08-05</t>
  </si>
  <si>
    <t>2022-08-11</t>
  </si>
  <si>
    <t>2022-08-14</t>
  </si>
  <si>
    <t>2022-08-19</t>
  </si>
  <si>
    <t>2022-09-02</t>
  </si>
  <si>
    <t>2022-09-11</t>
  </si>
  <si>
    <t>2022-09-13</t>
  </si>
  <si>
    <t>2022-09-27</t>
  </si>
  <si>
    <t>2022-11-03</t>
  </si>
  <si>
    <t>2022-11-08</t>
  </si>
  <si>
    <t>2022-12-10</t>
  </si>
  <si>
    <t>2022-12-22</t>
  </si>
  <si>
    <t>2022-12-27</t>
  </si>
  <si>
    <t>2022-12-28</t>
  </si>
  <si>
    <t>2023-01-04</t>
  </si>
  <si>
    <t>2023-01-10</t>
  </si>
  <si>
    <t>2023-01-11</t>
  </si>
  <si>
    <t>2023-02-07</t>
  </si>
  <si>
    <t>2023-02-16</t>
  </si>
  <si>
    <t>2023-02-23</t>
  </si>
  <si>
    <t>2023-03-06</t>
  </si>
  <si>
    <t>2023-03-22</t>
  </si>
  <si>
    <t>2023-03-23</t>
  </si>
  <si>
    <t>2023-03-25</t>
  </si>
  <si>
    <t>2023-03-29</t>
  </si>
  <si>
    <t>2023-03-30</t>
  </si>
  <si>
    <t>2023-03-31</t>
  </si>
  <si>
    <t>2023-04-05</t>
  </si>
  <si>
    <t>2023-04-06</t>
  </si>
  <si>
    <t>2023-04-24</t>
  </si>
  <si>
    <t>2023-05-04</t>
  </si>
  <si>
    <t>2023-05-06</t>
  </si>
  <si>
    <t>2023-05-07</t>
  </si>
  <si>
    <t>2023-05-20</t>
  </si>
  <si>
    <t>2023-06-01</t>
  </si>
  <si>
    <t>2023-06-04</t>
  </si>
  <si>
    <t>2023-06-08</t>
  </si>
  <si>
    <t>2023-07-26</t>
  </si>
  <si>
    <t>2023-07-30</t>
  </si>
  <si>
    <t>2023-07-31</t>
  </si>
  <si>
    <t>2023-08-01</t>
  </si>
  <si>
    <t>2023-08-19</t>
  </si>
  <si>
    <t>2023-09-01</t>
  </si>
  <si>
    <t>2023-09-07</t>
  </si>
  <si>
    <t>2023-09-13</t>
  </si>
  <si>
    <t>2023-09-24</t>
  </si>
  <si>
    <t>2023-09-27</t>
  </si>
  <si>
    <t>2023-09-29</t>
  </si>
  <si>
    <t>2023-10-03</t>
  </si>
  <si>
    <t>2023-10-05</t>
  </si>
  <si>
    <t>2023-10-08</t>
  </si>
  <si>
    <t>2023-10-17</t>
  </si>
  <si>
    <t>2023-10-23</t>
  </si>
  <si>
    <t>2023-10-26</t>
  </si>
  <si>
    <t>2023-10-28</t>
  </si>
  <si>
    <t>2023-10-29</t>
  </si>
  <si>
    <t>2023-11-08</t>
  </si>
  <si>
    <t>2023-11-09</t>
  </si>
  <si>
    <t>2023-11-10</t>
  </si>
  <si>
    <t>2023-11-22</t>
  </si>
  <si>
    <t>2023-12-01</t>
  </si>
  <si>
    <t>2023-12-05</t>
  </si>
  <si>
    <t>2023-12-06</t>
  </si>
  <si>
    <t>2023-12-16</t>
  </si>
  <si>
    <t>2023-12-21</t>
  </si>
  <si>
    <t>2024-01-04</t>
  </si>
  <si>
    <t>2024-01-07</t>
  </si>
  <si>
    <t>2024-01-10</t>
  </si>
  <si>
    <t>2024-01-12</t>
  </si>
  <si>
    <t>2024-01-16</t>
  </si>
  <si>
    <t>2024-01-31</t>
  </si>
  <si>
    <t>2024-02-03</t>
  </si>
  <si>
    <t>2024-02-07</t>
  </si>
  <si>
    <t>2024-02-13</t>
  </si>
  <si>
    <t>2024-02-21</t>
  </si>
  <si>
    <t>2024-02-23</t>
  </si>
  <si>
    <t>2024-03-03</t>
  </si>
  <si>
    <t>2024-03-08</t>
  </si>
  <si>
    <t>2024-03-20</t>
  </si>
  <si>
    <t>2024-03-29</t>
  </si>
  <si>
    <t>2024-04-16</t>
  </si>
  <si>
    <t>2024-05-03</t>
  </si>
  <si>
    <t>2024-05-06</t>
  </si>
  <si>
    <t>2024-05-07</t>
  </si>
  <si>
    <t>2024-05-18</t>
  </si>
  <si>
    <t>2024-05-20</t>
  </si>
  <si>
    <t>2024-05-25</t>
  </si>
  <si>
    <t>2024-05-28</t>
  </si>
  <si>
    <t>2024-05-29</t>
  </si>
  <si>
    <t>2024-06-04</t>
  </si>
  <si>
    <t>2024-07-08</t>
  </si>
  <si>
    <t>2024-07-11</t>
  </si>
  <si>
    <t>2024-08-02</t>
  </si>
  <si>
    <t>2024-08-05</t>
  </si>
  <si>
    <t>2024-08-11</t>
  </si>
  <si>
    <t>2024-08-13</t>
  </si>
  <si>
    <t>2024-08-15</t>
  </si>
  <si>
    <t>2024-08-17</t>
  </si>
  <si>
    <t>2024-08-23</t>
  </si>
  <si>
    <t>2024-09-09</t>
  </si>
  <si>
    <t>2024-09-10</t>
  </si>
  <si>
    <t>2024-09-21</t>
  </si>
  <si>
    <t>2024-10-05</t>
  </si>
  <si>
    <t>2024-10-07</t>
  </si>
  <si>
    <t>2024-10-13</t>
  </si>
  <si>
    <t>2024-10-18</t>
  </si>
  <si>
    <t>2024-10-19</t>
  </si>
  <si>
    <t>2024-10-28</t>
  </si>
  <si>
    <t>2024-11-04</t>
  </si>
  <si>
    <t>2024-11-18</t>
  </si>
  <si>
    <t>2024-11-28</t>
  </si>
  <si>
    <t>2025-01-02</t>
  </si>
  <si>
    <t>2025-01-10</t>
  </si>
  <si>
    <t>2025-01-11</t>
  </si>
  <si>
    <t>2025-01-20</t>
  </si>
  <si>
    <t>2025-03-04</t>
  </si>
  <si>
    <t>2025-06-17</t>
  </si>
  <si>
    <t>2025-06-18</t>
  </si>
  <si>
    <t>2025-06-19</t>
  </si>
  <si>
    <t>2025-07-05</t>
  </si>
  <si>
    <t>2025-09-01</t>
  </si>
  <si>
    <t>2025-09-28</t>
  </si>
  <si>
    <t>2025-09-29</t>
  </si>
  <si>
    <t>2025-09-30</t>
  </si>
  <si>
    <t>2025-10-01</t>
  </si>
  <si>
    <t>2025-10-12</t>
  </si>
  <si>
    <t>2025-10-14</t>
  </si>
  <si>
    <t>2025-11-04</t>
  </si>
  <si>
    <t>2025-11-25</t>
  </si>
  <si>
    <t>2025-12-02</t>
  </si>
  <si>
    <t>2025-12-04</t>
  </si>
  <si>
    <t>2025-12-09</t>
  </si>
  <si>
    <t>2026-01-05</t>
  </si>
  <si>
    <t>2026-01-08</t>
  </si>
  <si>
    <t>2026-01-17</t>
  </si>
  <si>
    <t>2026-02-01</t>
  </si>
  <si>
    <t>2026-02-03</t>
  </si>
  <si>
    <t>2026-02-25</t>
  </si>
  <si>
    <t>2026-03-03</t>
  </si>
  <si>
    <t>98</t>
  </si>
  <si>
    <t>1493</t>
  </si>
  <si>
    <t>1490</t>
  </si>
  <si>
    <t>1013</t>
  </si>
  <si>
    <t>1345</t>
  </si>
  <si>
    <t>Marketplace Sales (Plastic)</t>
  </si>
  <si>
    <t>87</t>
  </si>
  <si>
    <t>26/MPPET/INV2328</t>
  </si>
  <si>
    <t>TRIVENI POLY PLAST</t>
  </si>
  <si>
    <t>36CVIPP9283K1ZO</t>
  </si>
  <si>
    <t>Marketplace (M3)</t>
  </si>
  <si>
    <t>2026-03-17</t>
  </si>
  <si>
    <t>26/MPPET/INV2335</t>
  </si>
  <si>
    <t>105</t>
  </si>
  <si>
    <t>1494</t>
  </si>
  <si>
    <t>1483</t>
  </si>
  <si>
    <t>1373</t>
  </si>
  <si>
    <t>841</t>
  </si>
  <si>
    <t>827</t>
  </si>
  <si>
    <t>149</t>
  </si>
  <si>
    <t>36/PET/27CN00010</t>
  </si>
  <si>
    <t>36/PET/27CN00011</t>
  </si>
  <si>
    <t>1352</t>
  </si>
  <si>
    <t>1000</t>
  </si>
  <si>
    <t>144</t>
  </si>
  <si>
    <t>97</t>
  </si>
  <si>
    <t>91</t>
  </si>
  <si>
    <t>1497</t>
  </si>
  <si>
    <t>1481</t>
  </si>
  <si>
    <t>1439</t>
  </si>
  <si>
    <t>1366</t>
  </si>
  <si>
    <t>1359</t>
  </si>
  <si>
    <t>993</t>
  </si>
  <si>
    <t>834</t>
  </si>
  <si>
    <t>831</t>
  </si>
  <si>
    <t>829</t>
  </si>
  <si>
    <t>822</t>
  </si>
  <si>
    <t>824</t>
  </si>
  <si>
    <t>112</t>
  </si>
  <si>
    <t>1361</t>
  </si>
  <si>
    <t>1357</t>
  </si>
  <si>
    <t>1053</t>
  </si>
  <si>
    <t>1007</t>
  </si>
  <si>
    <t>151</t>
  </si>
  <si>
    <t>132</t>
  </si>
  <si>
    <t>129</t>
  </si>
  <si>
    <t>117</t>
  </si>
  <si>
    <t>89</t>
  </si>
  <si>
    <t>1504</t>
  </si>
  <si>
    <t>1501</t>
  </si>
  <si>
    <t>1500</t>
  </si>
  <si>
    <t>1488</t>
  </si>
  <si>
    <t>1465</t>
  </si>
  <si>
    <t>1431</t>
  </si>
  <si>
    <t>1415</t>
  </si>
  <si>
    <t>1389</t>
  </si>
  <si>
    <t>1387</t>
  </si>
  <si>
    <t>1362</t>
  </si>
  <si>
    <t>1305</t>
  </si>
  <si>
    <t>1273</t>
  </si>
  <si>
    <t>1253</t>
  </si>
  <si>
    <t>1213</t>
  </si>
  <si>
    <t>1020</t>
  </si>
  <si>
    <t>997</t>
  </si>
  <si>
    <t>848</t>
  </si>
  <si>
    <t>838</t>
  </si>
  <si>
    <t>836</t>
  </si>
  <si>
    <t>830</t>
  </si>
  <si>
    <t>760</t>
  </si>
  <si>
    <t>190</t>
  </si>
  <si>
    <t>181</t>
  </si>
  <si>
    <t>1368</t>
  </si>
  <si>
    <t>1364</t>
  </si>
  <si>
    <t>1360</t>
  </si>
  <si>
    <t>1306</t>
  </si>
  <si>
    <t>1304</t>
  </si>
  <si>
    <t>1302</t>
  </si>
  <si>
    <t>1301</t>
  </si>
  <si>
    <t>1278</t>
  </si>
  <si>
    <t>1276</t>
  </si>
  <si>
    <t>1263</t>
  </si>
  <si>
    <t>1069</t>
  </si>
  <si>
    <t>1060</t>
  </si>
  <si>
    <t>1014</t>
  </si>
  <si>
    <t>826</t>
  </si>
  <si>
    <t>500</t>
  </si>
  <si>
    <t>158</t>
  </si>
  <si>
    <t>139</t>
  </si>
  <si>
    <t>141</t>
  </si>
  <si>
    <t>102</t>
  </si>
  <si>
    <t>108</t>
  </si>
  <si>
    <t>85</t>
  </si>
  <si>
    <t>1533</t>
  </si>
  <si>
    <t>1524</t>
  </si>
  <si>
    <t>1520</t>
  </si>
  <si>
    <t>1516</t>
  </si>
  <si>
    <t>1511</t>
  </si>
  <si>
    <t>1508</t>
  </si>
  <si>
    <t>1507</t>
  </si>
  <si>
    <t>1495</t>
  </si>
  <si>
    <t>1472</t>
  </si>
  <si>
    <t>1470</t>
  </si>
  <si>
    <t>1453</t>
  </si>
  <si>
    <t>1449</t>
  </si>
  <si>
    <t>1443</t>
  </si>
  <si>
    <t>1438</t>
  </si>
  <si>
    <t>1422</t>
  </si>
  <si>
    <t>1423</t>
  </si>
  <si>
    <t>1418</t>
  </si>
  <si>
    <t>1396</t>
  </si>
  <si>
    <t>1399</t>
  </si>
  <si>
    <t>1398</t>
  </si>
  <si>
    <t>1394</t>
  </si>
  <si>
    <t>1369</t>
  </si>
  <si>
    <t>1322</t>
  </si>
  <si>
    <t>1312</t>
  </si>
  <si>
    <t>1280</t>
  </si>
  <si>
    <t>1260</t>
  </si>
  <si>
    <t>1229</t>
  </si>
  <si>
    <t>1220</t>
  </si>
  <si>
    <t>1174</t>
  </si>
  <si>
    <t>1169</t>
  </si>
  <si>
    <t>1130</t>
  </si>
  <si>
    <t>1107</t>
  </si>
  <si>
    <t>1104</t>
  </si>
  <si>
    <t>1027</t>
  </si>
  <si>
    <t>1004</t>
  </si>
  <si>
    <t>988</t>
  </si>
  <si>
    <t>961</t>
  </si>
  <si>
    <t>952</t>
  </si>
  <si>
    <t>940</t>
  </si>
  <si>
    <t>925</t>
  </si>
  <si>
    <t>909</t>
  </si>
  <si>
    <t>866</t>
  </si>
  <si>
    <t>883</t>
  </si>
  <si>
    <t>855</t>
  </si>
  <si>
    <t>845</t>
  </si>
  <si>
    <t>843</t>
  </si>
  <si>
    <t>837</t>
  </si>
  <si>
    <t>803</t>
  </si>
  <si>
    <t>766</t>
  </si>
  <si>
    <t>767</t>
  </si>
  <si>
    <t>756</t>
  </si>
  <si>
    <t>636</t>
  </si>
  <si>
    <t>607</t>
  </si>
  <si>
    <t>606</t>
  </si>
  <si>
    <t>590</t>
  </si>
  <si>
    <t>515</t>
  </si>
  <si>
    <t>301</t>
  </si>
  <si>
    <t>359</t>
  </si>
  <si>
    <t>249</t>
  </si>
  <si>
    <t>188</t>
  </si>
  <si>
    <t>open</t>
  </si>
  <si>
    <t>NO DN</t>
  </si>
  <si>
    <t>1375</t>
  </si>
  <si>
    <t>1372</t>
  </si>
  <si>
    <t>1371</t>
  </si>
  <si>
    <t>1370</t>
  </si>
  <si>
    <t>1367</t>
  </si>
  <si>
    <t>1313</t>
  </si>
  <si>
    <t>1311</t>
  </si>
  <si>
    <t>1310</t>
  </si>
  <si>
    <t>1309</t>
  </si>
  <si>
    <t>1308</t>
  </si>
  <si>
    <t>1307</t>
  </si>
  <si>
    <t>1285</t>
  </si>
  <si>
    <t>1283</t>
  </si>
  <si>
    <t>1282</t>
  </si>
  <si>
    <t>1281</t>
  </si>
  <si>
    <t>1270</t>
  </si>
  <si>
    <t>1171</t>
  </si>
  <si>
    <t>1170</t>
  </si>
  <si>
    <t>1082</t>
  </si>
  <si>
    <t>Net 6 (Days)</t>
  </si>
  <si>
    <t>1076</t>
  </si>
  <si>
    <t>1067</t>
  </si>
  <si>
    <t>1064</t>
  </si>
  <si>
    <t>1021</t>
  </si>
  <si>
    <t>977</t>
  </si>
  <si>
    <t>833</t>
  </si>
  <si>
    <t>832</t>
  </si>
  <si>
    <t>Net 9 (Days)</t>
  </si>
  <si>
    <t>800</t>
  </si>
  <si>
    <t>797</t>
  </si>
  <si>
    <t>507</t>
  </si>
  <si>
    <t>503</t>
  </si>
  <si>
    <t>502</t>
  </si>
  <si>
    <t>270</t>
  </si>
  <si>
    <t>246</t>
  </si>
  <si>
    <t>245</t>
  </si>
  <si>
    <t>234</t>
  </si>
  <si>
    <t>224</t>
  </si>
  <si>
    <t>212</t>
  </si>
  <si>
    <t>176</t>
  </si>
  <si>
    <t>170</t>
  </si>
  <si>
    <t>168</t>
  </si>
  <si>
    <t>159</t>
  </si>
  <si>
    <t>165</t>
  </si>
  <si>
    <t>154</t>
  </si>
  <si>
    <t>146</t>
  </si>
  <si>
    <t>148</t>
  </si>
  <si>
    <t>143</t>
  </si>
  <si>
    <t>131</t>
  </si>
  <si>
    <t>130</t>
  </si>
  <si>
    <t>109</t>
  </si>
  <si>
    <t>120</t>
  </si>
  <si>
    <t>115</t>
  </si>
  <si>
    <t>92</t>
  </si>
  <si>
    <t>59</t>
  </si>
  <si>
    <t>56</t>
  </si>
  <si>
    <t>6</t>
  </si>
  <si>
    <t>2026-06-15</t>
  </si>
  <si>
    <t>36/PET/27DN00005</t>
  </si>
  <si>
    <t>24AAFCA7904F1ZY</t>
  </si>
  <si>
    <t>1540</t>
  </si>
  <si>
    <t>1542</t>
  </si>
  <si>
    <t>1539</t>
  </si>
  <si>
    <t>1531</t>
  </si>
  <si>
    <t>1528</t>
  </si>
  <si>
    <t>1527</t>
  </si>
  <si>
    <t>1523</t>
  </si>
  <si>
    <t>1518</t>
  </si>
  <si>
    <t>1519</t>
  </si>
  <si>
    <t>1515</t>
  </si>
  <si>
    <t>1514</t>
  </si>
  <si>
    <t>1503</t>
  </si>
  <si>
    <t>1502</t>
  </si>
  <si>
    <t>1499</t>
  </si>
  <si>
    <t>1498</t>
  </si>
  <si>
    <t>1489</t>
  </si>
  <si>
    <t>1485</t>
  </si>
  <si>
    <t>1479</t>
  </si>
  <si>
    <t>1477</t>
  </si>
  <si>
    <t>1475</t>
  </si>
  <si>
    <t>1471</t>
  </si>
  <si>
    <t>1462</t>
  </si>
  <si>
    <t>1456</t>
  </si>
  <si>
    <t>1454</t>
  </si>
  <si>
    <t>1451</t>
  </si>
  <si>
    <t>1450</t>
  </si>
  <si>
    <t>1448</t>
  </si>
  <si>
    <t>1445</t>
  </si>
  <si>
    <t>1440</t>
  </si>
  <si>
    <t>1434</t>
  </si>
  <si>
    <t>1429</t>
  </si>
  <si>
    <t>1430</t>
  </si>
  <si>
    <t>1425</t>
  </si>
  <si>
    <t>1426</t>
  </si>
  <si>
    <t>1421</t>
  </si>
  <si>
    <t>1420</t>
  </si>
  <si>
    <t>1403</t>
  </si>
  <si>
    <t>1409</t>
  </si>
  <si>
    <t>1406</t>
  </si>
  <si>
    <t>1405</t>
  </si>
  <si>
    <t>1401</t>
  </si>
  <si>
    <t>1400</t>
  </si>
  <si>
    <t>1390</t>
  </si>
  <si>
    <t>1385</t>
  </si>
  <si>
    <t>1376</t>
  </si>
  <si>
    <t>1329</t>
  </si>
  <si>
    <t>1319</t>
  </si>
  <si>
    <t>1291</t>
  </si>
  <si>
    <t>1287</t>
  </si>
  <si>
    <t>1268</t>
  </si>
  <si>
    <t>1267</t>
  </si>
  <si>
    <t>1252</t>
  </si>
  <si>
    <t>1251</t>
  </si>
  <si>
    <t>1248</t>
  </si>
  <si>
    <t>1247</t>
  </si>
  <si>
    <t>1236</t>
  </si>
  <si>
    <t>1226</t>
  </si>
  <si>
    <t>1225</t>
  </si>
  <si>
    <t>1228</t>
  </si>
  <si>
    <t>1227</t>
  </si>
  <si>
    <t>1224</t>
  </si>
  <si>
    <t>1216</t>
  </si>
  <si>
    <t>1199</t>
  </si>
  <si>
    <t>1185</t>
  </si>
  <si>
    <t>1181</t>
  </si>
  <si>
    <t>1165</t>
  </si>
  <si>
    <t>1176</t>
  </si>
  <si>
    <t>1175</t>
  </si>
  <si>
    <t>1115</t>
  </si>
  <si>
    <t>1159</t>
  </si>
  <si>
    <t>1150</t>
  </si>
  <si>
    <t>1140</t>
  </si>
  <si>
    <t>1136</t>
  </si>
  <si>
    <t>1124</t>
  </si>
  <si>
    <t>1114</t>
  </si>
  <si>
    <t>1111</t>
  </si>
  <si>
    <t>1087</t>
  </si>
  <si>
    <t>1086</t>
  </si>
  <si>
    <t>1084</t>
  </si>
  <si>
    <t>1059</t>
  </si>
  <si>
    <t>1051</t>
  </si>
  <si>
    <t>1038</t>
  </si>
  <si>
    <t>1040</t>
  </si>
  <si>
    <t>1034</t>
  </si>
  <si>
    <t>1032</t>
  </si>
  <si>
    <t>1011</t>
  </si>
  <si>
    <t>1009</t>
  </si>
  <si>
    <t>1008</t>
  </si>
  <si>
    <t>1005</t>
  </si>
  <si>
    <t>999</t>
  </si>
  <si>
    <t>995</t>
  </si>
  <si>
    <t>991</t>
  </si>
  <si>
    <t>985</t>
  </si>
  <si>
    <t>983</t>
  </si>
  <si>
    <t>968</t>
  </si>
  <si>
    <t>965</t>
  </si>
  <si>
    <t>963</t>
  </si>
  <si>
    <t>964</t>
  </si>
  <si>
    <t>960</t>
  </si>
  <si>
    <t>959</t>
  </si>
  <si>
    <t>947</t>
  </si>
  <si>
    <t>951</t>
  </si>
  <si>
    <t>931</t>
  </si>
  <si>
    <t>932</t>
  </si>
  <si>
    <t>930</t>
  </si>
  <si>
    <t>927</t>
  </si>
  <si>
    <t>921</t>
  </si>
  <si>
    <t>916</t>
  </si>
  <si>
    <t>895</t>
  </si>
  <si>
    <t>892</t>
  </si>
  <si>
    <t>873</t>
  </si>
  <si>
    <t>886</t>
  </si>
  <si>
    <t>884</t>
  </si>
  <si>
    <t>890</t>
  </si>
  <si>
    <t>871</t>
  </si>
  <si>
    <t>862</t>
  </si>
  <si>
    <t>860</t>
  </si>
  <si>
    <t>852</t>
  </si>
  <si>
    <t>850</t>
  </si>
  <si>
    <t>846</t>
  </si>
  <si>
    <t>844</t>
  </si>
  <si>
    <t>842</t>
  </si>
  <si>
    <t>821</t>
  </si>
  <si>
    <t>812</t>
  </si>
  <si>
    <t>813</t>
  </si>
  <si>
    <t>811</t>
  </si>
  <si>
    <t>810</t>
  </si>
  <si>
    <t>795</t>
  </si>
  <si>
    <t>794</t>
  </si>
  <si>
    <t>773</t>
  </si>
  <si>
    <t>774</t>
  </si>
  <si>
    <t>763</t>
  </si>
  <si>
    <t>752</t>
  </si>
  <si>
    <t>755</t>
  </si>
  <si>
    <t>751</t>
  </si>
  <si>
    <t>743</t>
  </si>
  <si>
    <t>727</t>
  </si>
  <si>
    <t>712</t>
  </si>
  <si>
    <t>709</t>
  </si>
  <si>
    <t>708</t>
  </si>
  <si>
    <t>680</t>
  </si>
  <si>
    <t>676</t>
  </si>
  <si>
    <t>674</t>
  </si>
  <si>
    <t>666</t>
  </si>
  <si>
    <t>663</t>
  </si>
  <si>
    <t>643</t>
  </si>
  <si>
    <t>648</t>
  </si>
  <si>
    <t>635</t>
  </si>
  <si>
    <t>634</t>
  </si>
  <si>
    <t>614</t>
  </si>
  <si>
    <t>618</t>
  </si>
  <si>
    <t>617</t>
  </si>
  <si>
    <t>613</t>
  </si>
  <si>
    <t>597</t>
  </si>
  <si>
    <t>592</t>
  </si>
  <si>
    <t>576</t>
  </si>
  <si>
    <t>566</t>
  </si>
  <si>
    <t>534</t>
  </si>
  <si>
    <t>523</t>
  </si>
  <si>
    <t>522</t>
  </si>
  <si>
    <t>513</t>
  </si>
  <si>
    <t>470</t>
  </si>
  <si>
    <t>439</t>
  </si>
  <si>
    <t>309</t>
  </si>
  <si>
    <t>308</t>
  </si>
  <si>
    <t>307</t>
  </si>
  <si>
    <t>306</t>
  </si>
  <si>
    <t>305</t>
  </si>
  <si>
    <t>366</t>
  </si>
  <si>
    <t>360</t>
  </si>
  <si>
    <t>347</t>
  </si>
  <si>
    <t>337</t>
  </si>
  <si>
    <t>289</t>
  </si>
  <si>
    <t>262</t>
  </si>
  <si>
    <t>261</t>
  </si>
  <si>
    <t>260</t>
  </si>
  <si>
    <t>259</t>
  </si>
  <si>
    <t>256</t>
  </si>
  <si>
    <t>248</t>
  </si>
  <si>
    <t>204</t>
  </si>
  <si>
    <t>178</t>
  </si>
  <si>
    <t>160</t>
  </si>
  <si>
    <t>135</t>
  </si>
  <si>
    <t>2026-06-16</t>
  </si>
  <si>
    <t>P00049/25-26</t>
  </si>
  <si>
    <t>2026-06-18</t>
  </si>
  <si>
    <t>2026-06-23</t>
  </si>
  <si>
    <t>14093</t>
  </si>
  <si>
    <t>Reimbursement - Asraful Hasan (RT0801)</t>
  </si>
  <si>
    <t>14092</t>
  </si>
  <si>
    <t>14111</t>
  </si>
  <si>
    <t>Reimbursement - Abhishek Sharma (RT0866)</t>
  </si>
  <si>
    <t>14089</t>
  </si>
  <si>
    <t>14088</t>
  </si>
  <si>
    <t>14019</t>
  </si>
  <si>
    <t>Reimbursement - Kadiri Siva Reddy (RT0888)</t>
  </si>
  <si>
    <t>14091</t>
  </si>
  <si>
    <t>2026-06-19</t>
  </si>
  <si>
    <t>2026-06-24</t>
  </si>
  <si>
    <t>14168</t>
  </si>
  <si>
    <t>Reimbursement - Parth Gautam (RT0902)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</si>
</sst>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mbria"/>
      <family val="1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u/>
      <sz val="9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5F5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0" fontId="18" fillId="0" borderId="0"/>
  </cellStyleXfs>
  <cellXfs count="395">
    <xf numFmtId="0" fontId="0" fillId="0" borderId="0" xfId="0"/>
    <xf numFmtId="165" fontId="0" fillId="0" borderId="0" xfId="0" applyNumberFormat="1"/>
    <xf numFmtId="0" fontId="4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2" xfId="0" applyBorder="1"/>
    <xf numFmtId="0" fontId="4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1" fontId="4" fillId="0" borderId="8" xfId="7" applyNumberFormat="1" applyFont="1" applyBorder="1"/>
    <xf numFmtId="3" fontId="0" fillId="0" borderId="9" xfId="0" applyNumberFormat="1" applyBorder="1" applyAlignment="1">
      <alignment horizontal="right"/>
    </xf>
    <xf numFmtId="1" fontId="4" fillId="0" borderId="0" xfId="7" applyNumberFormat="1" applyFont="1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4" fillId="3" borderId="0" xfId="0" applyFont="1" applyFill="1"/>
    <xf numFmtId="165" fontId="4" fillId="3" borderId="0" xfId="7" applyNumberFormat="1" applyFont="1" applyFill="1"/>
    <xf numFmtId="165" fontId="4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3" fontId="4" fillId="0" borderId="8" xfId="0" applyNumberFormat="1" applyFont="1" applyBorder="1"/>
    <xf numFmtId="14" fontId="7" fillId="4" borderId="5" xfId="0" applyNumberFormat="1" applyFont="1" applyFill="1" applyBorder="1" applyAlignment="1">
      <alignment horizontal="center"/>
    </xf>
    <xf numFmtId="3" fontId="7" fillId="4" borderId="8" xfId="0" applyNumberFormat="1" applyFont="1" applyFill="1" applyBorder="1"/>
    <xf numFmtId="3" fontId="6" fillId="0" borderId="9" xfId="0" applyNumberFormat="1" applyFont="1" applyBorder="1"/>
    <xf numFmtId="165" fontId="4" fillId="0" borderId="8" xfId="0" applyNumberFormat="1" applyFont="1" applyBorder="1"/>
    <xf numFmtId="3" fontId="4" fillId="0" borderId="0" xfId="7" applyNumberFormat="1" applyFont="1" applyBorder="1" applyAlignment="1">
      <alignment vertical="center"/>
    </xf>
    <xf numFmtId="3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7" fillId="4" borderId="6" xfId="0" applyFont="1" applyFill="1" applyBorder="1" applyAlignment="1">
      <alignment horizontal="center"/>
    </xf>
    <xf numFmtId="0" fontId="4" fillId="0" borderId="2" xfId="0" applyFont="1" applyBorder="1"/>
    <xf numFmtId="1" fontId="4" fillId="0" borderId="9" xfId="7" applyNumberFormat="1" applyFont="1" applyBorder="1"/>
    <xf numFmtId="3" fontId="4" fillId="0" borderId="6" xfId="7" applyNumberFormat="1" applyFont="1" applyBorder="1"/>
    <xf numFmtId="14" fontId="0" fillId="0" borderId="2" xfId="0" applyNumberFormat="1" applyBorder="1"/>
    <xf numFmtId="0" fontId="9" fillId="0" borderId="13" xfId="0" applyFont="1" applyBorder="1"/>
    <xf numFmtId="0" fontId="4" fillId="0" borderId="5" xfId="0" applyFont="1" applyBorder="1" applyAlignment="1">
      <alignment horizontal="center"/>
    </xf>
    <xf numFmtId="14" fontId="0" fillId="0" borderId="9" xfId="0" applyNumberFormat="1" applyBorder="1"/>
    <xf numFmtId="3" fontId="4" fillId="0" borderId="6" xfId="0" applyNumberFormat="1" applyFont="1" applyBorder="1"/>
    <xf numFmtId="0" fontId="8" fillId="0" borderId="13" xfId="0" applyFont="1" applyBorder="1"/>
    <xf numFmtId="0" fontId="15" fillId="0" borderId="0" xfId="0" applyFont="1"/>
    <xf numFmtId="0" fontId="0" fillId="3" borderId="2" xfId="0" applyFill="1" applyBorder="1"/>
    <xf numFmtId="0" fontId="7" fillId="4" borderId="23" xfId="0" applyFont="1" applyFill="1" applyBorder="1" applyAlignment="1">
      <alignment horizontal="center"/>
    </xf>
    <xf numFmtId="165" fontId="7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4" fillId="3" borderId="6" xfId="7" applyNumberFormat="1" applyFont="1" applyFill="1" applyBorder="1"/>
    <xf numFmtId="0" fontId="4" fillId="3" borderId="2" xfId="0" applyFont="1" applyFill="1" applyBorder="1"/>
    <xf numFmtId="0" fontId="4" fillId="3" borderId="5" xfId="0" applyFont="1" applyFill="1" applyBorder="1" applyAlignment="1">
      <alignment horizontal="center"/>
    </xf>
    <xf numFmtId="165" fontId="4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3" fillId="3" borderId="8" xfId="7" applyNumberFormat="1" applyFont="1" applyFill="1" applyBorder="1"/>
    <xf numFmtId="3" fontId="4" fillId="0" borderId="7" xfId="0" applyNumberFormat="1" applyFont="1" applyBorder="1"/>
    <xf numFmtId="0" fontId="7" fillId="4" borderId="14" xfId="0" applyFont="1" applyFill="1" applyBorder="1" applyAlignment="1">
      <alignment horizontal="center"/>
    </xf>
    <xf numFmtId="0" fontId="13" fillId="0" borderId="0" xfId="0" applyFont="1"/>
    <xf numFmtId="4" fontId="0" fillId="0" borderId="0" xfId="7" applyNumberFormat="1" applyFont="1"/>
    <xf numFmtId="165" fontId="0" fillId="0" borderId="2" xfId="7" applyNumberFormat="1" applyFont="1" applyBorder="1"/>
    <xf numFmtId="165" fontId="0" fillId="0" borderId="0" xfId="7" applyNumberFormat="1" applyFont="1" applyBorder="1"/>
    <xf numFmtId="165" fontId="3" fillId="0" borderId="0" xfId="7" applyNumberFormat="1" applyFont="1"/>
    <xf numFmtId="10" fontId="3" fillId="0" borderId="0" xfId="12" applyNumberFormat="1" applyFont="1"/>
    <xf numFmtId="10" fontId="16" fillId="0" borderId="0" xfId="12" applyNumberFormat="1" applyFont="1" applyBorder="1"/>
    <xf numFmtId="10" fontId="16" fillId="0" borderId="9" xfId="12" applyNumberFormat="1" applyFont="1" applyBorder="1"/>
    <xf numFmtId="165" fontId="7" fillId="6" borderId="5" xfId="7" applyNumberFormat="1" applyFont="1" applyFill="1" applyBorder="1" applyAlignment="1">
      <alignment horizontal="center"/>
    </xf>
    <xf numFmtId="165" fontId="7" fillId="6" borderId="8" xfId="7" applyNumberFormat="1" applyFont="1" applyFill="1" applyBorder="1" applyAlignment="1">
      <alignment horizontal="center"/>
    </xf>
    <xf numFmtId="165" fontId="16" fillId="0" borderId="0" xfId="7" applyNumberFormat="1" applyFont="1"/>
    <xf numFmtId="165" fontId="7" fillId="6" borderId="7" xfId="7" applyNumberFormat="1" applyFont="1" applyFill="1" applyBorder="1" applyAlignment="1">
      <alignment horizontal="center"/>
    </xf>
    <xf numFmtId="4" fontId="16" fillId="0" borderId="0" xfId="7" applyNumberFormat="1" applyFont="1"/>
    <xf numFmtId="165" fontId="7" fillId="6" borderId="11" xfId="7" applyNumberFormat="1" applyFont="1" applyFill="1" applyBorder="1" applyAlignment="1">
      <alignment horizontal="center"/>
    </xf>
    <xf numFmtId="4" fontId="0" fillId="0" borderId="3" xfId="7" applyNumberFormat="1" applyFont="1" applyBorder="1"/>
    <xf numFmtId="165" fontId="7" fillId="6" borderId="23" xfId="7" applyNumberFormat="1" applyFont="1" applyFill="1" applyBorder="1" applyAlignment="1">
      <alignment horizontal="center"/>
    </xf>
    <xf numFmtId="165" fontId="17" fillId="0" borderId="0" xfId="7" applyNumberFormat="1" applyFont="1" applyAlignment="1">
      <alignment horizontal="center"/>
    </xf>
    <xf numFmtId="165" fontId="7" fillId="6" borderId="0" xfId="7" applyNumberFormat="1" applyFont="1" applyFill="1" applyBorder="1" applyAlignment="1">
      <alignment horizontal="center"/>
    </xf>
    <xf numFmtId="4" fontId="0" fillId="0" borderId="0" xfId="7" applyNumberFormat="1" applyFont="1" applyBorder="1"/>
    <xf numFmtId="0" fontId="3" fillId="0" borderId="5" xfId="0" applyFont="1" applyBorder="1" applyAlignment="1">
      <alignment horizontal="center"/>
    </xf>
    <xf numFmtId="165" fontId="3" fillId="0" borderId="0" xfId="7" applyNumberFormat="1" applyFont="1" applyBorder="1"/>
    <xf numFmtId="0" fontId="3" fillId="0" borderId="6" xfId="0" applyFont="1" applyBorder="1" applyAlignment="1">
      <alignment horizontal="center"/>
    </xf>
    <xf numFmtId="165" fontId="19" fillId="0" borderId="0" xfId="7" applyNumberFormat="1" applyFont="1" applyAlignment="1"/>
    <xf numFmtId="165" fontId="20" fillId="0" borderId="0" xfId="7" applyNumberFormat="1" applyFont="1" applyAlignment="1">
      <alignment vertical="center"/>
    </xf>
    <xf numFmtId="165" fontId="19" fillId="0" borderId="0" xfId="7" applyNumberFormat="1" applyFont="1" applyAlignment="1">
      <alignment horizontal="left"/>
    </xf>
    <xf numFmtId="14" fontId="19" fillId="0" borderId="0" xfId="7" applyNumberFormat="1" applyFont="1" applyAlignment="1">
      <alignment horizontal="left"/>
    </xf>
    <xf numFmtId="165" fontId="19" fillId="4" borderId="0" xfId="7" applyNumberFormat="1" applyFont="1" applyFill="1" applyBorder="1" applyAlignment="1">
      <alignment horizontal="center"/>
    </xf>
    <xf numFmtId="165" fontId="19" fillId="0" borderId="0" xfId="7" applyNumberFormat="1" applyFont="1" applyFill="1" applyBorder="1" applyAlignment="1">
      <alignment horizontal="right"/>
    </xf>
    <xf numFmtId="165" fontId="19" fillId="0" borderId="0" xfId="7" applyNumberFormat="1" applyFont="1" applyAlignment="1">
      <alignment horizontal="center" vertical="center"/>
    </xf>
    <xf numFmtId="165" fontId="19" fillId="4" borderId="0" xfId="7" applyNumberFormat="1" applyFont="1" applyFill="1" applyAlignment="1">
      <alignment vertical="center"/>
    </xf>
    <xf numFmtId="165" fontId="19" fillId="0" borderId="0" xfId="7" applyNumberFormat="1" applyFont="1" applyFill="1" applyBorder="1" applyAlignment="1"/>
    <xf numFmtId="165" fontId="19" fillId="5" borderId="0" xfId="7" applyNumberFormat="1" applyFont="1" applyFill="1" applyBorder="1" applyAlignment="1">
      <alignment horizontal="center"/>
    </xf>
    <xf numFmtId="165" fontId="19" fillId="0" borderId="0" xfId="7" applyNumberFormat="1" applyFont="1" applyAlignment="1">
      <alignment horizontal="left" vertical="top"/>
    </xf>
    <xf numFmtId="165" fontId="22" fillId="0" borderId="13" xfId="7" applyNumberFormat="1" applyFont="1" applyBorder="1" applyAlignment="1"/>
    <xf numFmtId="14" fontId="22" fillId="0" borderId="13" xfId="7" applyNumberFormat="1" applyFont="1" applyBorder="1" applyAlignment="1"/>
    <xf numFmtId="165" fontId="20" fillId="0" borderId="0" xfId="7" applyNumberFormat="1" applyFont="1" applyFill="1" applyBorder="1" applyAlignment="1">
      <alignment horizontal="right"/>
    </xf>
    <xf numFmtId="165" fontId="22" fillId="0" borderId="13" xfId="7" applyNumberFormat="1" applyFont="1" applyBorder="1" applyAlignment="1">
      <alignment vertical="center"/>
    </xf>
    <xf numFmtId="165" fontId="19" fillId="0" borderId="0" xfId="7" applyNumberFormat="1" applyFont="1" applyAlignment="1">
      <alignment horizontal="right"/>
    </xf>
    <xf numFmtId="165" fontId="23" fillId="0" borderId="13" xfId="7" applyNumberFormat="1" applyFont="1" applyFill="1" applyBorder="1" applyAlignment="1"/>
    <xf numFmtId="10" fontId="19" fillId="0" borderId="0" xfId="12" applyNumberFormat="1" applyFont="1" applyFill="1" applyBorder="1" applyAlignment="1">
      <alignment horizontal="right"/>
    </xf>
    <xf numFmtId="165" fontId="23" fillId="0" borderId="0" xfId="7" applyNumberFormat="1" applyFont="1" applyBorder="1" applyAlignment="1">
      <alignment horizontal="center" vertical="center"/>
    </xf>
    <xf numFmtId="165" fontId="20" fillId="0" borderId="0" xfId="7" applyNumberFormat="1" applyFont="1" applyBorder="1" applyAlignment="1">
      <alignment horizontal="center"/>
    </xf>
    <xf numFmtId="165" fontId="19" fillId="0" borderId="0" xfId="7" applyNumberFormat="1" applyFont="1" applyAlignment="1">
      <alignment horizontal="left" vertical="center"/>
    </xf>
    <xf numFmtId="165" fontId="19" fillId="0" borderId="0" xfId="7" applyNumberFormat="1" applyFont="1" applyBorder="1" applyAlignment="1">
      <alignment horizontal="right"/>
    </xf>
    <xf numFmtId="165" fontId="19" fillId="0" borderId="0" xfId="7" applyNumberFormat="1" applyFont="1" applyBorder="1" applyAlignment="1"/>
    <xf numFmtId="165" fontId="19" fillId="0" borderId="0" xfId="7" applyNumberFormat="1" applyFont="1" applyAlignment="1">
      <alignment horizontal="center"/>
    </xf>
    <xf numFmtId="165" fontId="20" fillId="0" borderId="0" xfId="7" applyNumberFormat="1" applyFont="1" applyAlignment="1">
      <alignment horizontal="right"/>
    </xf>
    <xf numFmtId="165" fontId="20" fillId="0" borderId="0" xfId="7" applyNumberFormat="1" applyFont="1" applyAlignment="1"/>
    <xf numFmtId="165" fontId="19" fillId="0" borderId="0" xfId="7" applyNumberFormat="1" applyFont="1" applyAlignment="1">
      <alignment horizontal="right" vertical="center"/>
    </xf>
    <xf numFmtId="165" fontId="24" fillId="0" borderId="0" xfId="7" applyNumberFormat="1" applyFont="1" applyBorder="1" applyAlignment="1">
      <alignment horizontal="right"/>
    </xf>
    <xf numFmtId="165" fontId="19" fillId="0" borderId="1" xfId="7" applyNumberFormat="1" applyFont="1" applyBorder="1" applyAlignment="1"/>
    <xf numFmtId="165" fontId="19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25" fillId="6" borderId="5" xfId="7" applyNumberFormat="1" applyFont="1" applyFill="1" applyBorder="1" applyAlignment="1">
      <alignment horizontal="center" vertical="center"/>
    </xf>
    <xf numFmtId="165" fontId="25" fillId="6" borderId="8" xfId="7" applyNumberFormat="1" applyFont="1" applyFill="1" applyBorder="1" applyAlignment="1">
      <alignment horizontal="center" vertical="center"/>
    </xf>
    <xf numFmtId="165" fontId="25" fillId="6" borderId="7" xfId="7" applyNumberFormat="1" applyFont="1" applyFill="1" applyBorder="1" applyAlignment="1">
      <alignment horizontal="center" vertical="center"/>
    </xf>
    <xf numFmtId="14" fontId="25" fillId="6" borderId="8" xfId="7" applyNumberFormat="1" applyFont="1" applyFill="1" applyBorder="1" applyAlignment="1">
      <alignment horizontal="center" vertical="center"/>
    </xf>
    <xf numFmtId="165" fontId="25" fillId="6" borderId="6" xfId="7" applyNumberFormat="1" applyFont="1" applyFill="1" applyBorder="1" applyAlignment="1">
      <alignment horizontal="center" vertical="center"/>
    </xf>
    <xf numFmtId="165" fontId="25" fillId="6" borderId="0" xfId="7" applyNumberFormat="1" applyFont="1" applyFill="1" applyBorder="1" applyAlignment="1">
      <alignment horizontal="center" vertical="center"/>
    </xf>
    <xf numFmtId="165" fontId="25" fillId="6" borderId="19" xfId="7" applyNumberFormat="1" applyFont="1" applyFill="1" applyBorder="1" applyAlignment="1">
      <alignment horizontal="center" vertical="center"/>
    </xf>
    <xf numFmtId="165" fontId="20" fillId="0" borderId="0" xfId="7" applyNumberFormat="1" applyFont="1" applyAlignment="1">
      <alignment horizontal="center" vertical="center"/>
    </xf>
    <xf numFmtId="165" fontId="11" fillId="0" borderId="20" xfId="7" applyNumberFormat="1" applyFont="1" applyBorder="1" applyAlignment="1">
      <alignment horizontal="center"/>
    </xf>
    <xf numFmtId="17" fontId="11" fillId="0" borderId="21" xfId="7" applyNumberFormat="1" applyFont="1" applyBorder="1" applyAlignment="1">
      <alignment horizontal="center"/>
    </xf>
    <xf numFmtId="14" fontId="11" fillId="0" borderId="20" xfId="7" applyNumberFormat="1" applyFont="1" applyBorder="1" applyAlignment="1">
      <alignment horizontal="left"/>
    </xf>
    <xf numFmtId="165" fontId="11" fillId="0" borderId="21" xfId="7" applyNumberFormat="1" applyFont="1" applyBorder="1" applyAlignment="1">
      <alignment horizontal="left"/>
    </xf>
    <xf numFmtId="165" fontId="11" fillId="0" borderId="22" xfId="7" applyNumberFormat="1" applyFont="1" applyBorder="1" applyAlignment="1">
      <alignment horizontal="left"/>
    </xf>
    <xf numFmtId="165" fontId="11" fillId="0" borderId="18" xfId="7" applyNumberFormat="1" applyFont="1" applyFill="1" applyBorder="1" applyAlignment="1"/>
    <xf numFmtId="165" fontId="11" fillId="0" borderId="19" xfId="7" applyNumberFormat="1" applyFont="1" applyFill="1" applyBorder="1" applyAlignment="1"/>
    <xf numFmtId="165" fontId="11" fillId="0" borderId="16" xfId="7" applyNumberFormat="1" applyFont="1" applyFill="1" applyBorder="1" applyAlignment="1"/>
    <xf numFmtId="165" fontId="11" fillId="0" borderId="15" xfId="7" applyNumberFormat="1" applyFont="1" applyFill="1" applyBorder="1" applyAlignment="1"/>
    <xf numFmtId="165" fontId="11" fillId="0" borderId="19" xfId="5" applyNumberFormat="1" applyFont="1" applyFill="1" applyBorder="1" applyAlignment="1"/>
    <xf numFmtId="165" fontId="11" fillId="0" borderId="18" xfId="5" applyNumberFormat="1" applyFont="1" applyFill="1" applyBorder="1" applyAlignment="1"/>
    <xf numFmtId="43" fontId="11" fillId="0" borderId="16" xfId="7" applyFont="1" applyFill="1" applyBorder="1" applyAlignment="1"/>
    <xf numFmtId="165" fontId="11" fillId="0" borderId="18" xfId="7" applyNumberFormat="1" applyFont="1" applyFill="1" applyBorder="1" applyAlignment="1">
      <alignment horizontal="right"/>
    </xf>
    <xf numFmtId="14" fontId="11" fillId="0" borderId="22" xfId="7" applyNumberFormat="1" applyFont="1" applyBorder="1" applyAlignment="1"/>
    <xf numFmtId="165" fontId="11" fillId="0" borderId="21" xfId="7" applyNumberFormat="1" applyFont="1" applyFill="1" applyBorder="1" applyAlignment="1">
      <alignment horizontal="left"/>
    </xf>
    <xf numFmtId="165" fontId="11" fillId="0" borderId="22" xfId="7" applyNumberFormat="1" applyFont="1" applyFill="1" applyBorder="1" applyAlignment="1">
      <alignment horizontal="left"/>
    </xf>
    <xf numFmtId="165" fontId="11" fillId="0" borderId="21" xfId="7" applyNumberFormat="1" applyFont="1" applyFill="1" applyBorder="1" applyAlignment="1"/>
    <xf numFmtId="165" fontId="11" fillId="0" borderId="21" xfId="7" applyNumberFormat="1" applyFont="1" applyBorder="1" applyAlignment="1"/>
    <xf numFmtId="165" fontId="11" fillId="0" borderId="22" xfId="7" applyNumberFormat="1" applyFont="1" applyFill="1" applyBorder="1" applyAlignment="1"/>
    <xf numFmtId="165" fontId="11" fillId="0" borderId="22" xfId="7" applyNumberFormat="1" applyFont="1" applyBorder="1" applyAlignment="1"/>
    <xf numFmtId="165" fontId="11" fillId="0" borderId="19" xfId="7" applyNumberFormat="1" applyFont="1" applyBorder="1" applyAlignment="1"/>
    <xf numFmtId="165" fontId="11" fillId="0" borderId="18" xfId="7" applyNumberFormat="1" applyFont="1" applyBorder="1" applyAlignment="1"/>
    <xf numFmtId="165" fontId="11" fillId="0" borderId="16" xfId="7" applyNumberFormat="1" applyFont="1" applyFill="1" applyBorder="1" applyAlignment="1">
      <alignment horizontal="center"/>
    </xf>
    <xf numFmtId="165" fontId="11" fillId="0" borderId="15" xfId="7" applyNumberFormat="1" applyFont="1" applyBorder="1" applyAlignment="1"/>
    <xf numFmtId="165" fontId="11" fillId="0" borderId="17" xfId="7" applyNumberFormat="1" applyFont="1" applyFill="1" applyBorder="1" applyAlignment="1"/>
    <xf numFmtId="10" fontId="11" fillId="0" borderId="17" xfId="12" applyNumberFormat="1" applyFont="1" applyFill="1" applyBorder="1" applyAlignment="1"/>
    <xf numFmtId="165" fontId="11" fillId="0" borderId="16" xfId="7" applyNumberFormat="1" applyFont="1" applyBorder="1" applyAlignment="1"/>
    <xf numFmtId="165" fontId="11" fillId="0" borderId="21" xfId="5" applyNumberFormat="1" applyFont="1" applyFill="1" applyBorder="1" applyAlignment="1"/>
    <xf numFmtId="165" fontId="11" fillId="0" borderId="0" xfId="7" applyNumberFormat="1" applyFont="1" applyAlignment="1">
      <alignment horizontal="center" vertical="center"/>
    </xf>
    <xf numFmtId="165" fontId="11" fillId="0" borderId="0" xfId="7" applyNumberFormat="1" applyFont="1" applyAlignment="1"/>
    <xf numFmtId="165" fontId="11" fillId="0" borderId="21" xfId="7" applyNumberFormat="1" applyFont="1" applyFill="1" applyBorder="1" applyAlignment="1">
      <alignment horizontal="center"/>
    </xf>
    <xf numFmtId="165" fontId="26" fillId="0" borderId="5" xfId="7" applyNumberFormat="1" applyFont="1" applyFill="1" applyBorder="1" applyAlignment="1"/>
    <xf numFmtId="165" fontId="26" fillId="0" borderId="7" xfId="7" applyNumberFormat="1" applyFont="1" applyFill="1" applyBorder="1" applyAlignment="1"/>
    <xf numFmtId="165" fontId="26" fillId="0" borderId="7" xfId="7" applyNumberFormat="1" applyFont="1" applyBorder="1" applyAlignment="1">
      <alignment horizontal="left"/>
    </xf>
    <xf numFmtId="14" fontId="26" fillId="0" borderId="7" xfId="7" applyNumberFormat="1" applyFont="1" applyFill="1" applyBorder="1" applyAlignment="1"/>
    <xf numFmtId="165" fontId="11" fillId="0" borderId="8" xfId="7" applyNumberFormat="1" applyFont="1" applyBorder="1" applyAlignment="1">
      <alignment horizontal="left"/>
    </xf>
    <xf numFmtId="165" fontId="26" fillId="0" borderId="7" xfId="7" applyNumberFormat="1" applyFont="1" applyBorder="1" applyAlignment="1">
      <alignment horizontal="left" vertical="top"/>
    </xf>
    <xf numFmtId="165" fontId="26" fillId="0" borderId="7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/>
    </xf>
    <xf numFmtId="165" fontId="26" fillId="0" borderId="7" xfId="7" applyNumberFormat="1" applyFont="1" applyBorder="1" applyAlignment="1">
      <alignment horizontal="left" vertical="center"/>
    </xf>
    <xf numFmtId="165" fontId="26" fillId="0" borderId="7" xfId="7" applyNumberFormat="1" applyFont="1" applyBorder="1" applyAlignment="1">
      <alignment horizontal="center" vertical="center"/>
    </xf>
    <xf numFmtId="165" fontId="26" fillId="0" borderId="7" xfId="7" applyNumberFormat="1" applyFont="1" applyBorder="1" applyAlignment="1">
      <alignment horizontal="center"/>
    </xf>
    <xf numFmtId="165" fontId="26" fillId="0" borderId="6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 vertical="center"/>
    </xf>
    <xf numFmtId="165" fontId="26" fillId="0" borderId="0" xfId="7" applyNumberFormat="1" applyFont="1" applyFill="1" applyBorder="1" applyAlignment="1"/>
    <xf numFmtId="165" fontId="11" fillId="0" borderId="0" xfId="7" applyNumberFormat="1" applyFont="1" applyFill="1" applyBorder="1" applyAlignment="1"/>
    <xf numFmtId="165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/>
    </xf>
    <xf numFmtId="14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 vertical="center"/>
    </xf>
    <xf numFmtId="165" fontId="11" fillId="7" borderId="0" xfId="7" applyNumberFormat="1" applyFont="1" applyFill="1" applyBorder="1" applyAlignment="1">
      <alignment horizontal="center"/>
    </xf>
    <xf numFmtId="165" fontId="11" fillId="0" borderId="0" xfId="7" applyNumberFormat="1" applyFont="1" applyBorder="1" applyAlignment="1">
      <alignment horizontal="center"/>
    </xf>
    <xf numFmtId="165" fontId="11" fillId="0" borderId="0" xfId="7" applyNumberFormat="1" applyFont="1" applyBorder="1" applyAlignment="1">
      <alignment horizontal="right"/>
    </xf>
    <xf numFmtId="165" fontId="11" fillId="0" borderId="0" xfId="7" applyNumberFormat="1" applyFont="1" applyBorder="1" applyAlignment="1"/>
    <xf numFmtId="165" fontId="11" fillId="0" borderId="0" xfId="7" applyNumberFormat="1" applyFont="1" applyAlignment="1">
      <alignment horizontal="right"/>
    </xf>
    <xf numFmtId="165" fontId="11" fillId="0" borderId="0" xfId="7" applyNumberFormat="1" applyFont="1" applyAlignment="1">
      <alignment horizontal="center"/>
    </xf>
    <xf numFmtId="165" fontId="26" fillId="0" borderId="13" xfId="7" applyNumberFormat="1" applyFont="1" applyBorder="1" applyAlignment="1">
      <alignment horizontal="left"/>
    </xf>
    <xf numFmtId="10" fontId="11" fillId="0" borderId="0" xfId="12" applyNumberFormat="1" applyFont="1" applyAlignment="1"/>
    <xf numFmtId="10" fontId="11" fillId="0" borderId="0" xfId="12" applyNumberFormat="1" applyFont="1" applyBorder="1" applyAlignment="1"/>
    <xf numFmtId="10" fontId="11" fillId="0" borderId="1" xfId="12" applyNumberFormat="1" applyFont="1" applyBorder="1" applyAlignment="1"/>
    <xf numFmtId="165" fontId="12" fillId="0" borderId="0" xfId="7" applyNumberFormat="1" applyFont="1" applyAlignment="1"/>
    <xf numFmtId="165" fontId="11" fillId="2" borderId="0" xfId="7" applyNumberFormat="1" applyFont="1" applyFill="1" applyAlignment="1"/>
    <xf numFmtId="165" fontId="12" fillId="0" borderId="0" xfId="7" applyNumberFormat="1" applyFont="1" applyBorder="1" applyAlignment="1">
      <alignment horizontal="right"/>
    </xf>
    <xf numFmtId="165" fontId="11" fillId="0" borderId="0" xfId="7" applyNumberFormat="1" applyFont="1" applyAlignment="1">
      <alignment horizontal="right" vertical="center"/>
    </xf>
    <xf numFmtId="165" fontId="26" fillId="0" borderId="0" xfId="7" applyNumberFormat="1" applyFont="1" applyBorder="1" applyAlignment="1"/>
    <xf numFmtId="165" fontId="26" fillId="0" borderId="0" xfId="7" applyNumberFormat="1" applyFont="1" applyBorder="1" applyAlignment="1">
      <alignment horizontal="right"/>
    </xf>
    <xf numFmtId="165" fontId="11" fillId="0" borderId="1" xfId="7" applyNumberFormat="1" applyFont="1" applyBorder="1" applyAlignment="1"/>
    <xf numFmtId="14" fontId="11" fillId="0" borderId="0" xfId="7" applyNumberFormat="1" applyFont="1" applyAlignment="1">
      <alignment horizontal="left"/>
    </xf>
    <xf numFmtId="165" fontId="12" fillId="0" borderId="5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 vertical="center"/>
    </xf>
    <xf numFmtId="165" fontId="27" fillId="0" borderId="0" xfId="7" applyNumberFormat="1" applyFont="1" applyAlignment="1"/>
    <xf numFmtId="165" fontId="12" fillId="0" borderId="6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1" fillId="0" borderId="2" xfId="7" applyNumberFormat="1" applyFont="1" applyBorder="1" applyAlignment="1">
      <alignment horizontal="center"/>
    </xf>
    <xf numFmtId="165" fontId="12" fillId="0" borderId="9" xfId="7" applyNumberFormat="1" applyFont="1" applyBorder="1" applyAlignment="1">
      <alignment horizontal="center"/>
    </xf>
    <xf numFmtId="165" fontId="12" fillId="0" borderId="11" xfId="7" applyNumberFormat="1" applyFont="1" applyFill="1" applyBorder="1" applyAlignment="1"/>
    <xf numFmtId="165" fontId="12" fillId="0" borderId="9" xfId="7" applyNumberFormat="1" applyFont="1" applyBorder="1" applyAlignment="1"/>
    <xf numFmtId="165" fontId="12" fillId="0" borderId="0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2" fillId="2" borderId="3" xfId="7" applyNumberFormat="1" applyFont="1" applyFill="1" applyBorder="1" applyAlignment="1"/>
    <xf numFmtId="165" fontId="12" fillId="0" borderId="9" xfId="7" applyNumberFormat="1" applyFont="1" applyBorder="1" applyAlignment="1">
      <alignment horizontal="right"/>
    </xf>
    <xf numFmtId="165" fontId="26" fillId="0" borderId="9" xfId="7" applyNumberFormat="1" applyFont="1" applyBorder="1" applyAlignment="1"/>
    <xf numFmtId="165" fontId="26" fillId="0" borderId="3" xfId="7" applyNumberFormat="1" applyFont="1" applyBorder="1" applyAlignment="1"/>
    <xf numFmtId="165" fontId="12" fillId="0" borderId="3" xfId="7" applyNumberFormat="1" applyFont="1" applyFill="1" applyBorder="1" applyAlignment="1"/>
    <xf numFmtId="165" fontId="11" fillId="0" borderId="0" xfId="7" applyNumberFormat="1" applyFont="1" applyFill="1" applyAlignment="1"/>
    <xf numFmtId="165" fontId="11" fillId="0" borderId="0" xfId="7" applyNumberFormat="1" applyFont="1" applyFill="1" applyBorder="1" applyAlignment="1">
      <alignment horizontal="right"/>
    </xf>
    <xf numFmtId="165" fontId="12" fillId="0" borderId="3" xfId="7" applyNumberFormat="1" applyFont="1" applyBorder="1" applyAlignment="1"/>
    <xf numFmtId="165" fontId="26" fillId="0" borderId="5" xfId="7" applyNumberFormat="1" applyFont="1" applyBorder="1" applyAlignment="1">
      <alignment horizontal="center"/>
    </xf>
    <xf numFmtId="165" fontId="26" fillId="0" borderId="6" xfId="7" applyNumberFormat="1" applyFont="1" applyBorder="1" applyAlignment="1"/>
    <xf numFmtId="165" fontId="26" fillId="0" borderId="8" xfId="7" applyNumberFormat="1" applyFont="1" applyBorder="1" applyAlignment="1"/>
    <xf numFmtId="10" fontId="12" fillId="0" borderId="0" xfId="12" applyNumberFormat="1" applyFont="1" applyAlignment="1">
      <alignment horizontal="right"/>
    </xf>
    <xf numFmtId="10" fontId="12" fillId="0" borderId="0" xfId="12" applyNumberFormat="1" applyFont="1" applyAlignment="1"/>
    <xf numFmtId="165" fontId="12" fillId="0" borderId="0" xfId="7" applyNumberFormat="1" applyFont="1" applyFill="1" applyBorder="1" applyAlignment="1"/>
    <xf numFmtId="165" fontId="12" fillId="0" borderId="2" xfId="7" applyNumberFormat="1" applyFont="1" applyBorder="1" applyAlignment="1"/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4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7" fillId="4" borderId="31" xfId="0" applyFont="1" applyFill="1" applyBorder="1" applyAlignment="1">
      <alignment horizontal="center" vertical="center"/>
    </xf>
    <xf numFmtId="165" fontId="0" fillId="0" borderId="32" xfId="0" applyNumberFormat="1" applyBorder="1"/>
    <xf numFmtId="165" fontId="0" fillId="0" borderId="33" xfId="7" applyNumberFormat="1" applyFon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3" fillId="0" borderId="6" xfId="7" applyNumberFormat="1" applyFont="1" applyBorder="1" applyAlignment="1">
      <alignment horizontal="center"/>
    </xf>
    <xf numFmtId="14" fontId="9" fillId="0" borderId="0" xfId="7" applyNumberFormat="1" applyFont="1"/>
    <xf numFmtId="0" fontId="28" fillId="0" borderId="0" xfId="1" applyFont="1" applyAlignment="1">
      <alignment horizontal="left" indent="1"/>
    </xf>
    <xf numFmtId="0" fontId="28" fillId="0" borderId="0" xfId="1" applyFont="1"/>
    <xf numFmtId="43" fontId="28" fillId="0" borderId="0" xfId="7" applyFont="1"/>
    <xf numFmtId="17" fontId="29" fillId="0" borderId="0" xfId="1" applyNumberFormat="1" applyFont="1" applyAlignment="1">
      <alignment horizontal="center"/>
    </xf>
    <xf numFmtId="0" fontId="30" fillId="6" borderId="23" xfId="1" applyFont="1" applyFill="1" applyBorder="1" applyAlignment="1">
      <alignment horizontal="center"/>
    </xf>
    <xf numFmtId="17" fontId="30" fillId="6" borderId="14" xfId="1" applyNumberFormat="1" applyFont="1" applyFill="1" applyBorder="1" applyAlignment="1">
      <alignment horizontal="center" vertical="center"/>
    </xf>
    <xf numFmtId="17" fontId="30" fillId="6" borderId="12" xfId="1" applyNumberFormat="1" applyFont="1" applyFill="1" applyBorder="1" applyAlignment="1">
      <alignment horizontal="center" vertical="center"/>
    </xf>
    <xf numFmtId="0" fontId="30" fillId="6" borderId="14" xfId="1" applyFont="1" applyFill="1" applyBorder="1" applyAlignment="1">
      <alignment horizontal="center" vertical="center"/>
    </xf>
    <xf numFmtId="0" fontId="28" fillId="0" borderId="2" xfId="1" applyFont="1" applyBorder="1" applyAlignment="1">
      <alignment horizontal="left" indent="1"/>
    </xf>
    <xf numFmtId="164" fontId="28" fillId="0" borderId="9" xfId="2" applyNumberFormat="1" applyFont="1" applyBorder="1" applyAlignment="1"/>
    <xf numFmtId="164" fontId="28" fillId="0" borderId="2" xfId="2" applyNumberFormat="1" applyFont="1" applyBorder="1" applyAlignment="1"/>
    <xf numFmtId="164" fontId="28" fillId="0" borderId="0" xfId="1" applyNumberFormat="1" applyFont="1"/>
    <xf numFmtId="165" fontId="28" fillId="0" borderId="9" xfId="7" applyNumberFormat="1" applyFont="1" applyBorder="1" applyAlignment="1"/>
    <xf numFmtId="165" fontId="28" fillId="0" borderId="0" xfId="7" applyNumberFormat="1" applyFont="1" applyBorder="1"/>
    <xf numFmtId="164" fontId="28" fillId="0" borderId="0" xfId="2" applyNumberFormat="1" applyFont="1" applyBorder="1" applyAlignment="1"/>
    <xf numFmtId="43" fontId="28" fillId="0" borderId="0" xfId="7" applyFont="1" applyBorder="1"/>
    <xf numFmtId="164" fontId="28" fillId="0" borderId="0" xfId="2" applyNumberFormat="1" applyFont="1" applyBorder="1"/>
    <xf numFmtId="0" fontId="31" fillId="0" borderId="2" xfId="1" applyFont="1" applyBorder="1" applyAlignment="1">
      <alignment horizontal="left" indent="1"/>
    </xf>
    <xf numFmtId="43" fontId="28" fillId="0" borderId="0" xfId="1" applyNumberFormat="1" applyFont="1"/>
    <xf numFmtId="10" fontId="32" fillId="0" borderId="9" xfId="3" applyNumberFormat="1" applyFont="1" applyBorder="1" applyAlignment="1"/>
    <xf numFmtId="10" fontId="32" fillId="0" borderId="0" xfId="3" applyNumberFormat="1" applyFont="1" applyBorder="1" applyAlignment="1"/>
    <xf numFmtId="165" fontId="28" fillId="0" borderId="0" xfId="1" applyNumberFormat="1" applyFont="1"/>
    <xf numFmtId="0" fontId="28" fillId="0" borderId="9" xfId="1" applyFont="1" applyBorder="1"/>
    <xf numFmtId="0" fontId="28" fillId="0" borderId="2" xfId="1" applyFont="1" applyBorder="1"/>
    <xf numFmtId="165" fontId="28" fillId="0" borderId="9" xfId="2" applyNumberFormat="1" applyFont="1" applyBorder="1" applyAlignment="1"/>
    <xf numFmtId="165" fontId="28" fillId="0" borderId="0" xfId="2" applyNumberFormat="1" applyFont="1" applyBorder="1" applyAlignment="1"/>
    <xf numFmtId="165" fontId="31" fillId="0" borderId="9" xfId="2" applyNumberFormat="1" applyFont="1" applyBorder="1" applyAlignment="1"/>
    <xf numFmtId="165" fontId="31" fillId="0" borderId="0" xfId="2" applyNumberFormat="1" applyFont="1" applyBorder="1" applyAlignment="1"/>
    <xf numFmtId="165" fontId="28" fillId="0" borderId="2" xfId="2" applyNumberFormat="1" applyFont="1" applyBorder="1" applyAlignment="1"/>
    <xf numFmtId="10" fontId="32" fillId="0" borderId="9" xfId="3" applyNumberFormat="1" applyFont="1" applyFill="1" applyBorder="1" applyAlignment="1"/>
    <xf numFmtId="0" fontId="31" fillId="0" borderId="4" xfId="1" applyFont="1" applyBorder="1" applyAlignment="1">
      <alignment horizontal="left" indent="1"/>
    </xf>
    <xf numFmtId="10" fontId="32" fillId="0" borderId="10" xfId="3" applyNumberFormat="1" applyFont="1" applyBorder="1" applyAlignment="1"/>
    <xf numFmtId="10" fontId="32" fillId="0" borderId="10" xfId="3" applyNumberFormat="1" applyFont="1" applyFill="1" applyBorder="1" applyAlignment="1"/>
    <xf numFmtId="0" fontId="30" fillId="6" borderId="23" xfId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left" indent="1"/>
    </xf>
    <xf numFmtId="3" fontId="28" fillId="0" borderId="9" xfId="12" applyNumberFormat="1" applyFont="1" applyBorder="1" applyAlignment="1">
      <alignment horizontal="center"/>
    </xf>
    <xf numFmtId="3" fontId="31" fillId="0" borderId="9" xfId="12" applyNumberFormat="1" applyFont="1" applyBorder="1" applyAlignment="1">
      <alignment horizontal="center"/>
    </xf>
    <xf numFmtId="3" fontId="31" fillId="0" borderId="0" xfId="12" applyNumberFormat="1" applyFont="1" applyBorder="1" applyAlignment="1">
      <alignment horizontal="center"/>
    </xf>
    <xf numFmtId="0" fontId="28" fillId="0" borderId="4" xfId="0" applyFont="1" applyBorder="1" applyAlignment="1">
      <alignment horizontal="left" indent="1"/>
    </xf>
    <xf numFmtId="10" fontId="31" fillId="0" borderId="10" xfId="12" applyNumberFormat="1" applyFont="1" applyBorder="1" applyAlignment="1">
      <alignment horizontal="center"/>
    </xf>
    <xf numFmtId="10" fontId="31" fillId="0" borderId="13" xfId="12" applyNumberFormat="1" applyFont="1" applyBorder="1" applyAlignment="1">
      <alignment horizontal="center"/>
    </xf>
    <xf numFmtId="9" fontId="31" fillId="0" borderId="9" xfId="3" applyFont="1" applyBorder="1" applyAlignment="1"/>
    <xf numFmtId="9" fontId="31" fillId="0" borderId="0" xfId="3" applyFont="1" applyBorder="1" applyAlignment="1"/>
    <xf numFmtId="0" fontId="28" fillId="0" borderId="4" xfId="1" applyFont="1" applyBorder="1" applyAlignment="1">
      <alignment horizontal="left" indent="1"/>
    </xf>
    <xf numFmtId="9" fontId="31" fillId="0" borderId="10" xfId="3" applyFont="1" applyBorder="1" applyAlignment="1"/>
    <xf numFmtId="9" fontId="31" fillId="0" borderId="13" xfId="3" applyFont="1" applyBorder="1" applyAlignment="1"/>
    <xf numFmtId="165" fontId="28" fillId="0" borderId="10" xfId="2" applyNumberFormat="1" applyFont="1" applyBorder="1" applyAlignment="1"/>
    <xf numFmtId="164" fontId="28" fillId="0" borderId="9" xfId="2" applyNumberFormat="1" applyFont="1" applyBorder="1"/>
    <xf numFmtId="10" fontId="31" fillId="0" borderId="9" xfId="12" applyNumberFormat="1" applyFont="1" applyBorder="1" applyAlignment="1"/>
    <xf numFmtId="10" fontId="31" fillId="0" borderId="0" xfId="12" applyNumberFormat="1" applyFont="1" applyBorder="1" applyAlignment="1"/>
    <xf numFmtId="165" fontId="28" fillId="0" borderId="13" xfId="2" applyNumberFormat="1" applyFont="1" applyBorder="1" applyAlignment="1"/>
    <xf numFmtId="165" fontId="28" fillId="0" borderId="0" xfId="7" applyNumberFormat="1" applyFont="1"/>
    <xf numFmtId="165" fontId="28" fillId="0" borderId="9" xfId="7" applyNumberFormat="1" applyFont="1" applyBorder="1" applyAlignment="1">
      <alignment horizontal="center"/>
    </xf>
    <xf numFmtId="3" fontId="28" fillId="0" borderId="3" xfId="12" applyNumberFormat="1" applyFont="1" applyBorder="1" applyAlignment="1">
      <alignment horizontal="center"/>
    </xf>
    <xf numFmtId="3" fontId="28" fillId="0" borderId="0" xfId="1" applyNumberFormat="1" applyFont="1"/>
    <xf numFmtId="165" fontId="28" fillId="0" borderId="10" xfId="7" applyNumberFormat="1" applyFont="1" applyBorder="1" applyAlignment="1">
      <alignment horizontal="center"/>
    </xf>
    <xf numFmtId="3" fontId="28" fillId="0" borderId="24" xfId="12" applyNumberFormat="1" applyFont="1" applyBorder="1" applyAlignment="1">
      <alignment horizontal="center"/>
    </xf>
    <xf numFmtId="165" fontId="28" fillId="0" borderId="10" xfId="7" applyNumberFormat="1" applyFont="1" applyBorder="1"/>
    <xf numFmtId="0" fontId="28" fillId="0" borderId="10" xfId="1" applyFont="1" applyBorder="1" applyAlignment="1">
      <alignment horizontal="left" indent="1"/>
    </xf>
    <xf numFmtId="165" fontId="28" fillId="0" borderId="13" xfId="7" applyNumberFormat="1" applyFont="1" applyBorder="1"/>
    <xf numFmtId="165" fontId="28" fillId="0" borderId="24" xfId="1" applyNumberFormat="1" applyFont="1" applyBorder="1"/>
    <xf numFmtId="43" fontId="11" fillId="0" borderId="22" xfId="7" applyFont="1" applyBorder="1" applyAlignment="1">
      <alignment horizontal="left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14" fontId="11" fillId="0" borderId="18" xfId="5" applyNumberFormat="1" applyFont="1" applyFill="1" applyBorder="1" applyAlignment="1"/>
    <xf numFmtId="43" fontId="11" fillId="0" borderId="20" xfId="7" applyFont="1" applyBorder="1" applyAlignment="1">
      <alignment horizontal="left"/>
    </xf>
    <xf numFmtId="43" fontId="11" fillId="0" borderId="21" xfId="7" applyFont="1" applyBorder="1" applyAlignment="1">
      <alignment horizontal="left"/>
    </xf>
    <xf numFmtId="14" fontId="11" fillId="0" borderId="22" xfId="7" applyNumberFormat="1" applyFont="1" applyBorder="1" applyAlignment="1">
      <alignment horizontal="left"/>
    </xf>
    <xf numFmtId="165" fontId="7" fillId="6" borderId="14" xfId="7" applyNumberFormat="1" applyFont="1" applyFill="1" applyBorder="1" applyAlignment="1">
      <alignment horizontal="center"/>
    </xf>
    <xf numFmtId="165" fontId="0" fillId="0" borderId="4" xfId="7" applyNumberFormat="1" applyFont="1" applyBorder="1"/>
    <xf numFmtId="165" fontId="33" fillId="8" borderId="5" xfId="7" applyNumberFormat="1" applyFont="1" applyFill="1" applyBorder="1" applyAlignment="1">
      <alignment horizontal="center"/>
    </xf>
    <xf numFmtId="165" fontId="33" fillId="8" borderId="8" xfId="7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43" fontId="3" fillId="0" borderId="0" xfId="7" applyFont="1"/>
    <xf numFmtId="165" fontId="28" fillId="0" borderId="23" xfId="7" applyNumberFormat="1" applyFont="1" applyBorder="1"/>
    <xf numFmtId="164" fontId="28" fillId="0" borderId="14" xfId="2" applyNumberFormat="1" applyFont="1" applyBorder="1" applyAlignment="1"/>
    <xf numFmtId="165" fontId="28" fillId="0" borderId="2" xfId="7" applyNumberFormat="1" applyFont="1" applyBorder="1"/>
    <xf numFmtId="165" fontId="28" fillId="0" borderId="4" xfId="7" applyNumberFormat="1" applyFont="1" applyBorder="1"/>
    <xf numFmtId="164" fontId="28" fillId="0" borderId="10" xfId="2" applyNumberFormat="1" applyFont="1" applyBorder="1" applyAlignment="1"/>
    <xf numFmtId="17" fontId="30" fillId="6" borderId="23" xfId="1" applyNumberFormat="1" applyFont="1" applyFill="1" applyBorder="1" applyAlignment="1">
      <alignment horizontal="center" vertical="center"/>
    </xf>
    <xf numFmtId="17" fontId="30" fillId="6" borderId="11" xfId="1" applyNumberFormat="1" applyFont="1" applyFill="1" applyBorder="1" applyAlignment="1">
      <alignment horizontal="center" vertical="center"/>
    </xf>
    <xf numFmtId="14" fontId="28" fillId="0" borderId="2" xfId="1" applyNumberFormat="1" applyFont="1" applyBorder="1" applyAlignment="1">
      <alignment horizontal="left" indent="1"/>
    </xf>
    <xf numFmtId="165" fontId="28" fillId="0" borderId="2" xfId="7" applyNumberFormat="1" applyFont="1" applyBorder="1" applyAlignment="1">
      <alignment horizontal="left" indent="1"/>
    </xf>
    <xf numFmtId="165" fontId="28" fillId="0" borderId="4" xfId="7" applyNumberFormat="1" applyFont="1" applyBorder="1" applyAlignment="1">
      <alignment horizontal="left" indent="1"/>
    </xf>
    <xf numFmtId="165" fontId="28" fillId="0" borderId="9" xfId="7" applyNumberFormat="1" applyFont="1" applyBorder="1" applyAlignment="1">
      <alignment horizontal="left" indent="1"/>
    </xf>
    <xf numFmtId="165" fontId="28" fillId="0" borderId="10" xfId="7" applyNumberFormat="1" applyFont="1" applyBorder="1" applyAlignment="1">
      <alignment horizontal="left" indent="1"/>
    </xf>
    <xf numFmtId="43" fontId="19" fillId="0" borderId="0" xfId="7" applyFont="1" applyAlignment="1">
      <alignment horizontal="left"/>
    </xf>
    <xf numFmtId="43" fontId="22" fillId="0" borderId="13" xfId="7" applyFont="1" applyBorder="1" applyAlignment="1"/>
    <xf numFmtId="43" fontId="25" fillId="6" borderId="7" xfId="7" applyFont="1" applyFill="1" applyBorder="1" applyAlignment="1">
      <alignment horizontal="center" vertical="center"/>
    </xf>
    <xf numFmtId="43" fontId="11" fillId="0" borderId="22" xfId="7" applyFont="1" applyFill="1" applyBorder="1" applyAlignment="1"/>
    <xf numFmtId="43" fontId="26" fillId="0" borderId="7" xfId="7" applyFont="1" applyFill="1" applyBorder="1" applyAlignment="1">
      <alignment horizontal="right"/>
    </xf>
    <xf numFmtId="43" fontId="11" fillId="0" borderId="0" xfId="7" applyFont="1" applyAlignment="1"/>
    <xf numFmtId="43" fontId="19" fillId="0" borderId="0" xfId="7" applyFont="1" applyAlignment="1"/>
    <xf numFmtId="165" fontId="0" fillId="0" borderId="10" xfId="7" applyNumberFormat="1" applyFont="1" applyBorder="1"/>
    <xf numFmtId="165" fontId="12" fillId="0" borderId="5" xfId="7" applyNumberFormat="1" applyFont="1" applyBorder="1" applyAlignment="1">
      <alignment horizontal="center"/>
    </xf>
    <xf numFmtId="165" fontId="34" fillId="0" borderId="0" xfId="7" applyNumberFormat="1" applyFont="1" applyAlignment="1">
      <alignment horizontal="center"/>
    </xf>
    <xf numFmtId="165" fontId="12" fillId="0" borderId="14" xfId="7" applyNumberFormat="1" applyFont="1" applyBorder="1" applyAlignment="1">
      <alignment horizontal="center"/>
    </xf>
    <xf numFmtId="165" fontId="11" fillId="0" borderId="9" xfId="7" applyNumberFormat="1" applyFont="1" applyFill="1" applyBorder="1" applyAlignment="1"/>
    <xf numFmtId="165" fontId="35" fillId="0" borderId="0" xfId="7" applyNumberFormat="1" applyFont="1"/>
    <xf numFmtId="14" fontId="19" fillId="0" borderId="0" xfId="7" applyNumberFormat="1" applyFont="1" applyAlignment="1"/>
    <xf numFmtId="14" fontId="19" fillId="4" borderId="0" xfId="7" applyNumberFormat="1" applyFont="1" applyFill="1" applyAlignment="1">
      <alignment vertical="center"/>
    </xf>
    <xf numFmtId="14" fontId="22" fillId="0" borderId="13" xfId="7" applyNumberFormat="1" applyFont="1" applyBorder="1" applyAlignment="1">
      <alignment vertical="center"/>
    </xf>
    <xf numFmtId="14" fontId="26" fillId="0" borderId="7" xfId="7" applyNumberFormat="1" applyFont="1" applyBorder="1" applyAlignment="1">
      <alignment horizontal="right"/>
    </xf>
    <xf numFmtId="14" fontId="11" fillId="0" borderId="0" xfId="7" applyNumberFormat="1" applyFont="1" applyAlignment="1"/>
    <xf numFmtId="14" fontId="11" fillId="0" borderId="0" xfId="7" applyNumberFormat="1" applyFont="1" applyFill="1" applyBorder="1" applyAlignment="1"/>
    <xf numFmtId="14" fontId="20" fillId="0" borderId="0" xfId="7" applyNumberFormat="1" applyFont="1" applyAlignment="1"/>
    <xf numFmtId="14" fontId="24" fillId="0" borderId="0" xfId="7" applyNumberFormat="1" applyFont="1" applyBorder="1" applyAlignment="1">
      <alignment horizontal="right"/>
    </xf>
    <xf numFmtId="14" fontId="19" fillId="0" borderId="0" xfId="7" applyNumberFormat="1" applyFont="1" applyAlignment="1">
      <alignment horizontal="right"/>
    </xf>
    <xf numFmtId="4" fontId="28" fillId="0" borderId="0" xfId="7" applyNumberFormat="1" applyFont="1"/>
    <xf numFmtId="165" fontId="0" fillId="0" borderId="0" xfId="7" applyNumberFormat="1" applyFont="1" applyFill="1" applyBorder="1"/>
    <xf numFmtId="4" fontId="11" fillId="0" borderId="18" xfId="7" applyNumberFormat="1" applyFont="1" applyFill="1" applyBorder="1" applyAlignment="1"/>
    <xf numFmtId="165" fontId="11" fillId="0" borderId="10" xfId="7" applyNumberFormat="1" applyFont="1" applyFill="1" applyBorder="1" applyAlignment="1"/>
    <xf numFmtId="165" fontId="25" fillId="6" borderId="7" xfId="7" applyNumberFormat="1" applyFont="1" applyFill="1" applyBorder="1" applyAlignment="1">
      <alignment vertical="center"/>
    </xf>
    <xf numFmtId="0" fontId="28" fillId="0" borderId="9" xfId="1" applyFont="1" applyBorder="1" applyAlignment="1">
      <alignment horizontal="left" indent="1"/>
    </xf>
    <xf numFmtId="0" fontId="31" fillId="0" borderId="9" xfId="1" applyFont="1" applyBorder="1" applyAlignment="1">
      <alignment horizontal="left" indent="1"/>
    </xf>
    <xf numFmtId="166" fontId="28" fillId="0" borderId="9" xfId="2" applyNumberFormat="1" applyFont="1" applyBorder="1" applyAlignment="1"/>
    <xf numFmtId="166" fontId="28" fillId="0" borderId="0" xfId="2" applyNumberFormat="1" applyFont="1" applyBorder="1" applyAlignment="1"/>
    <xf numFmtId="3" fontId="0" fillId="0" borderId="0" xfId="0" applyNumberFormat="1" applyAlignment="1">
      <alignment horizontal="center"/>
    </xf>
    <xf numFmtId="10" fontId="28" fillId="0" borderId="9" xfId="3" applyNumberFormat="1" applyFont="1" applyBorder="1" applyAlignment="1"/>
    <xf numFmtId="10" fontId="28" fillId="0" borderId="0" xfId="3" applyNumberFormat="1" applyFont="1" applyBorder="1" applyAlignment="1"/>
    <xf numFmtId="165" fontId="36" fillId="0" borderId="0" xfId="7" applyNumberFormat="1" applyFont="1"/>
    <xf numFmtId="4" fontId="3" fillId="0" borderId="0" xfId="7" applyNumberFormat="1" applyFont="1"/>
    <xf numFmtId="165" fontId="37" fillId="0" borderId="13" xfId="7" applyNumberFormat="1" applyFont="1" applyBorder="1" applyAlignment="1"/>
    <xf numFmtId="165" fontId="0" fillId="0" borderId="9" xfId="7" applyNumberFormat="1" applyFont="1" applyBorder="1" applyAlignment="1">
      <alignment horizontal="center"/>
    </xf>
    <xf numFmtId="0" fontId="0" fillId="0" borderId="9" xfId="0" applyBorder="1" applyAlignment="1">
      <alignment horizontal="right"/>
    </xf>
    <xf numFmtId="10" fontId="28" fillId="0" borderId="0" xfId="12" applyNumberFormat="1" applyFont="1"/>
    <xf numFmtId="10" fontId="28" fillId="0" borderId="0" xfId="1" applyNumberFormat="1" applyFont="1" applyAlignment="1">
      <alignment horizontal="left" indent="1"/>
    </xf>
    <xf numFmtId="165" fontId="0" fillId="0" borderId="2" xfId="7" applyNumberFormat="1" applyFont="1" applyBorder="1" applyAlignment="1">
      <alignment horizontal="right"/>
    </xf>
    <xf numFmtId="0" fontId="3" fillId="0" borderId="0" xfId="0" applyFont="1"/>
    <xf numFmtId="0" fontId="9" fillId="0" borderId="0" xfId="0" applyFont="1"/>
    <xf numFmtId="14" fontId="7" fillId="6" borderId="11" xfId="7" applyNumberFormat="1" applyFont="1" applyFill="1" applyBorder="1" applyAlignment="1">
      <alignment horizontal="center"/>
    </xf>
    <xf numFmtId="3" fontId="4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65" fontId="0" fillId="0" borderId="0" xfId="7" applyNumberFormat="1" applyFont="1" applyAlignment="1">
      <alignment horizontal="center"/>
    </xf>
    <xf numFmtId="165" fontId="0" fillId="0" borderId="9" xfId="7" applyNumberFormat="1" applyFont="1" applyBorder="1" applyAlignment="1">
      <alignment horizontal="right"/>
    </xf>
    <xf numFmtId="165" fontId="38" fillId="8" borderId="0" xfId="7" applyNumberFormat="1" applyFont="1" applyFill="1" applyBorder="1"/>
    <xf numFmtId="0" fontId="38" fillId="8" borderId="38" xfId="0" applyFont="1" applyFill="1" applyBorder="1" applyAlignment="1">
      <alignment horizontal="center"/>
    </xf>
    <xf numFmtId="0" fontId="36" fillId="0" borderId="0" xfId="0" applyFont="1"/>
    <xf numFmtId="14" fontId="36" fillId="0" borderId="0" xfId="0" applyNumberFormat="1" applyFont="1"/>
    <xf numFmtId="14" fontId="0" fillId="0" borderId="0" xfId="0" applyNumberFormat="1"/>
    <xf numFmtId="4" fontId="11" fillId="0" borderId="9" xfId="7" applyNumberFormat="1" applyFont="1" applyFill="1" applyBorder="1" applyAlignment="1"/>
    <xf numFmtId="14" fontId="11" fillId="0" borderId="16" xfId="7" applyNumberFormat="1" applyFont="1" applyFill="1" applyBorder="1" applyAlignment="1"/>
    <xf numFmtId="14" fontId="35" fillId="0" borderId="0" xfId="7" applyNumberFormat="1" applyFont="1"/>
    <xf numFmtId="14" fontId="38" fillId="8" borderId="38" xfId="0" applyNumberFormat="1" applyFont="1" applyFill="1" applyBorder="1" applyAlignment="1">
      <alignment horizontal="center"/>
    </xf>
    <xf numFmtId="0" fontId="35" fillId="0" borderId="0" xfId="0" applyFont="1"/>
    <xf numFmtId="165" fontId="21" fillId="0" borderId="13" xfId="7" applyNumberFormat="1" applyFont="1" applyBorder="1" applyAlignment="1">
      <alignment horizontal="center"/>
    </xf>
    <xf numFmtId="165" fontId="23" fillId="0" borderId="13" xfId="7" applyNumberFormat="1" applyFont="1" applyBorder="1" applyAlignment="1">
      <alignment horizontal="center" vertical="center"/>
    </xf>
    <xf numFmtId="165" fontId="19" fillId="5" borderId="0" xfId="7" applyNumberFormat="1" applyFont="1" applyFill="1" applyBorder="1" applyAlignment="1">
      <alignment horizontal="center"/>
    </xf>
    <xf numFmtId="165" fontId="25" fillId="6" borderId="25" xfId="7" applyNumberFormat="1" applyFont="1" applyFill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2" fillId="0" borderId="3" xfId="7" applyNumberFormat="1" applyFont="1" applyBorder="1" applyAlignment="1">
      <alignment horizontal="center"/>
    </xf>
    <xf numFmtId="165" fontId="12" fillId="0" borderId="5" xfId="7" applyNumberFormat="1" applyFont="1" applyBorder="1" applyAlignment="1">
      <alignment horizontal="center" vertical="center"/>
    </xf>
    <xf numFmtId="165" fontId="12" fillId="0" borderId="6" xfId="7" applyNumberFormat="1" applyFont="1" applyBorder="1" applyAlignment="1">
      <alignment horizontal="center" vertical="center"/>
    </xf>
    <xf numFmtId="165" fontId="12" fillId="0" borderId="2" xfId="7" applyNumberFormat="1" applyFont="1" applyBorder="1" applyAlignment="1">
      <alignment horizontal="center" vertical="center"/>
    </xf>
    <xf numFmtId="165" fontId="12" fillId="0" borderId="3" xfId="7" applyNumberFormat="1" applyFont="1" applyBorder="1" applyAlignment="1">
      <alignment horizontal="center" vertical="center"/>
    </xf>
    <xf numFmtId="165" fontId="20" fillId="0" borderId="5" xfId="7" applyNumberFormat="1" applyFont="1" applyBorder="1" applyAlignment="1">
      <alignment horizontal="center"/>
    </xf>
    <xf numFmtId="165" fontId="20" fillId="0" borderId="6" xfId="7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4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Normal" xfId="0" builtinId="0"/>
    <cellStyle name="Normal 2" xfId="1" xr:uid="{00000000-0005-0000-0000-000007000000}"/>
    <cellStyle name="Normal 2 2" xfId="4" xr:uid="{00000000-0005-0000-0000-000008000000}"/>
    <cellStyle name="Normal 3" xfId="11" xr:uid="{00000000-0005-0000-0000-000009000000}"/>
    <cellStyle name="Normal 4" xfId="13" xr:uid="{00000000-0005-0000-0000-00000A000000}"/>
    <cellStyle name="Percent" xfId="12" builtinId="5"/>
    <cellStyle name="Percent 2" xfId="3" xr:uid="{00000000-0005-0000-0000-00000C000000}"/>
    <cellStyle name="Percent 2 2" xfId="6" xr:uid="{00000000-0005-0000-0000-00000D000000}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W77"/>
  <sheetViews>
    <sheetView showGridLines="0" showRowColHeaders="0" tabSelected="1" zoomScale="73" zoomScaleNormal="61" workbookViewId="0">
      <selection activeCell="S23" sqref="S23"/>
    </sheetView>
  </sheetViews>
  <sheetFormatPr defaultColWidth="8.6328125" defaultRowHeight="15.5" x14ac:dyDescent="0.35"/>
  <cols>
    <col min="1" max="1" width="8.6328125" style="235"/>
    <col min="2" max="2" width="2.81640625" style="235" customWidth="1"/>
    <col min="3" max="3" width="31.6328125" style="234" bestFit="1" customWidth="1"/>
    <col min="4" max="5" width="12.54296875" style="235" bestFit="1" customWidth="1"/>
    <col min="6" max="6" width="13.81640625" style="235" bestFit="1" customWidth="1"/>
    <col min="7" max="15" width="8.1796875" style="235" hidden="1" customWidth="1"/>
    <col min="16" max="16" width="13.81640625" style="235" bestFit="1" customWidth="1"/>
    <col min="17" max="17" width="10.90625" style="235" bestFit="1" customWidth="1"/>
    <col min="18" max="18" width="4.1796875" style="236" customWidth="1"/>
    <col min="19" max="19" width="6.26953125" style="236" bestFit="1" customWidth="1"/>
    <col min="20" max="20" width="5" style="236" hidden="1" customWidth="1"/>
    <col min="21" max="21" width="11" style="235" hidden="1" customWidth="1"/>
    <col min="22" max="22" width="13.54296875" style="235" bestFit="1" customWidth="1"/>
    <col min="23" max="23" width="10.90625" style="235" bestFit="1" customWidth="1"/>
    <col min="24" max="24" width="8.6328125" style="235"/>
    <col min="25" max="25" width="11.453125" style="235" bestFit="1" customWidth="1"/>
    <col min="26" max="16384" width="8.6328125" style="235"/>
  </cols>
  <sheetData>
    <row r="2" spans="3:21" x14ac:dyDescent="0.35">
      <c r="D2" s="237" t="str">
        <f>TEXT(D4, "mmm-yy")</f>
        <v>Apr-26</v>
      </c>
      <c r="E2" s="237" t="str">
        <f t="shared" ref="E2:O2" si="0">TEXT(E4, "mmm-yy")</f>
        <v>May-26</v>
      </c>
      <c r="F2" s="237" t="str">
        <f t="shared" si="0"/>
        <v>Jun-26</v>
      </c>
      <c r="G2" s="237" t="str">
        <f t="shared" si="0"/>
        <v>Jul-26</v>
      </c>
      <c r="H2" s="237" t="str">
        <f t="shared" si="0"/>
        <v>Aug-26</v>
      </c>
      <c r="I2" s="237" t="str">
        <f t="shared" si="0"/>
        <v>Sep-26</v>
      </c>
      <c r="J2" s="237" t="str">
        <f t="shared" si="0"/>
        <v>Oct-26</v>
      </c>
      <c r="K2" s="237" t="str">
        <f t="shared" si="0"/>
        <v>Nov-26</v>
      </c>
      <c r="L2" s="237" t="str">
        <f t="shared" si="0"/>
        <v>Dec-26</v>
      </c>
      <c r="M2" s="237" t="str">
        <f t="shared" si="0"/>
        <v>Jan-27</v>
      </c>
      <c r="N2" s="237" t="str">
        <f t="shared" si="0"/>
        <v>Feb-27</v>
      </c>
      <c r="O2" s="237" t="str">
        <f t="shared" si="0"/>
        <v>Mar-27</v>
      </c>
    </row>
    <row r="3" spans="3:21" ht="16" thickBot="1" x14ac:dyDescent="0.4">
      <c r="D3" s="235">
        <v>30</v>
      </c>
      <c r="E3" s="235">
        <v>31</v>
      </c>
      <c r="F3" s="235">
        <v>21</v>
      </c>
      <c r="G3" s="235">
        <v>0</v>
      </c>
      <c r="H3" s="235">
        <v>0</v>
      </c>
      <c r="I3" s="235">
        <v>0</v>
      </c>
      <c r="J3" s="235">
        <v>0</v>
      </c>
      <c r="K3" s="235">
        <v>0</v>
      </c>
      <c r="L3" s="235">
        <v>0</v>
      </c>
      <c r="M3" s="235">
        <v>0</v>
      </c>
      <c r="N3" s="235">
        <v>0</v>
      </c>
      <c r="O3" s="235">
        <v>0</v>
      </c>
      <c r="P3" s="235">
        <f>SUM(D3:O3)</f>
        <v>82</v>
      </c>
    </row>
    <row r="4" spans="3:21" x14ac:dyDescent="0.35">
      <c r="C4" s="238" t="s">
        <v>196</v>
      </c>
      <c r="D4" s="239">
        <v>46113</v>
      </c>
      <c r="E4" s="240">
        <v>46143</v>
      </c>
      <c r="F4" s="239">
        <v>46174</v>
      </c>
      <c r="G4" s="240">
        <v>46204</v>
      </c>
      <c r="H4" s="239">
        <v>46235</v>
      </c>
      <c r="I4" s="240">
        <v>46266</v>
      </c>
      <c r="J4" s="239">
        <v>46296</v>
      </c>
      <c r="K4" s="240">
        <v>46327</v>
      </c>
      <c r="L4" s="239">
        <v>46357</v>
      </c>
      <c r="M4" s="240">
        <v>46388</v>
      </c>
      <c r="N4" s="239">
        <v>46419</v>
      </c>
      <c r="O4" s="240">
        <v>46447</v>
      </c>
      <c r="P4" s="241" t="s">
        <v>812</v>
      </c>
    </row>
    <row r="5" spans="3:21" x14ac:dyDescent="0.35">
      <c r="C5" s="347" t="s">
        <v>0</v>
      </c>
      <c r="D5" s="243">
        <v>36.25</v>
      </c>
      <c r="E5" s="243">
        <f>SUMIFS(Details!$BB$4:$BB$8,Details!$C$4:$C$8,Summary!E$4)/1000</f>
        <v>0</v>
      </c>
      <c r="F5" s="243">
        <f>SUMIFS(Details!$BB$4:$BB$8,Details!$C$4:$C$8,Summary!F$4)/1000</f>
        <v>0</v>
      </c>
      <c r="G5" s="243">
        <f>SUMIFS(Details!$BB$4:$BB$8,Details!$C$4:$C$8,Summary!G$4)/1000</f>
        <v>0</v>
      </c>
      <c r="H5" s="243">
        <f>SUMIFS(Details!$BB$4:$BB$8,Details!$C$4:$C$8,Summary!H$4)/1000</f>
        <v>0</v>
      </c>
      <c r="I5" s="243">
        <f>SUMIFS(Details!$BB$4:$BB$8,Details!$C$4:$C$8,Summary!I$4)/1000</f>
        <v>0</v>
      </c>
      <c r="J5" s="243">
        <f>SUMIFS(Details!$BB$4:$BB$8,Details!$C$4:$C$8,Summary!J$4)/1000</f>
        <v>0</v>
      </c>
      <c r="K5" s="243">
        <f>SUMIFS(Details!$BB$4:$BB$8,Details!$C$4:$C$8,Summary!K$4)/1000</f>
        <v>0</v>
      </c>
      <c r="L5" s="243">
        <f>SUMIFS(Details!$BB$4:$BB$8,Details!$C$4:$C$8,Summary!L$4)/1000</f>
        <v>0</v>
      </c>
      <c r="M5" s="243">
        <f>SUMIFS(Details!$BB$4:$BB$8,Details!$C$4:$C$8,Summary!M$4)/1000</f>
        <v>0</v>
      </c>
      <c r="N5" s="243">
        <f>SUMIFS(Details!$BB$4:$BB$8,Details!$C$4:$C$8,Summary!N$4)/1000</f>
        <v>0</v>
      </c>
      <c r="O5" s="244">
        <f>SUMIFS(Details!$BB$4:$BB$8,Details!$C$4:$C$8,Summary!O$4)/1000</f>
        <v>0</v>
      </c>
      <c r="P5" s="243">
        <f t="shared" ref="P5" si="1">SUM(D5:O5)</f>
        <v>36.25</v>
      </c>
      <c r="Q5" s="245">
        <f>Details!BB9/1000</f>
        <v>36.25</v>
      </c>
      <c r="R5" s="236">
        <f>P5-Q5</f>
        <v>0</v>
      </c>
    </row>
    <row r="6" spans="3:21" x14ac:dyDescent="0.35">
      <c r="C6" s="347" t="s">
        <v>58</v>
      </c>
      <c r="D6" s="243">
        <v>2167276.3125</v>
      </c>
      <c r="E6" s="243">
        <f>SUMIFS(Details!$BL$4:$BL$8,Details!$C$4:$C$8,Summary!E$4)</f>
        <v>0</v>
      </c>
      <c r="F6" s="243">
        <f>SUMIFS(Details!$BL$4:$BL$8,Details!$C$4:$C$8,Summary!F$4)</f>
        <v>0</v>
      </c>
      <c r="G6" s="243">
        <f>SUMIFS(Details!$BL$4:$BL$8,Details!$C$4:$C$8,Summary!G$4)</f>
        <v>0</v>
      </c>
      <c r="H6" s="243">
        <f>SUMIFS(Details!$BL$4:$BL$8,Details!$C$4:$C$8,Summary!H$4)</f>
        <v>0</v>
      </c>
      <c r="I6" s="243">
        <f>SUMIFS(Details!$BL$4:$BL$8,Details!$C$4:$C$8,Summary!I$4)</f>
        <v>0</v>
      </c>
      <c r="J6" s="243">
        <f>SUMIFS(Details!$BL$4:$BL$8,Details!$C$4:$C$8,Summary!J$4)</f>
        <v>0</v>
      </c>
      <c r="K6" s="243">
        <f>SUMIFS(Details!$BL$4:$BL$8,Details!$C$4:$C$8,Summary!K$4)</f>
        <v>0</v>
      </c>
      <c r="L6" s="243">
        <f>SUMIFS(Details!$BL$4:$BL$8,Details!$C$4:$C$8,Summary!L$4)</f>
        <v>0</v>
      </c>
      <c r="M6" s="243">
        <f>SUMIFS(Details!$BL$4:$BL$8,Details!$C$4:$C$8,Summary!M$4)</f>
        <v>0</v>
      </c>
      <c r="N6" s="243">
        <f>SUMIFS(Details!$BL$4:$BL$8,Details!$C$4:$C$8,Summary!N$4)</f>
        <v>0</v>
      </c>
      <c r="O6" s="243">
        <f>SUMIFS(Details!$BL$4:$BL$8,Details!$C$4:$C$8,Summary!O$4)</f>
        <v>0</v>
      </c>
      <c r="P6" s="246">
        <f>SUM(D6:O6)</f>
        <v>2167276.3125</v>
      </c>
      <c r="Q6" s="247">
        <f>Details!BL9</f>
        <v>2185035</v>
      </c>
      <c r="R6" s="236">
        <f>P6-Q6+P75</f>
        <v>-17758.6875</v>
      </c>
      <c r="U6" s="245"/>
    </row>
    <row r="7" spans="3:21" x14ac:dyDescent="0.35">
      <c r="C7" s="347" t="s">
        <v>2</v>
      </c>
      <c r="D7" s="243">
        <v>2130617.4750000001</v>
      </c>
      <c r="E7" s="243">
        <f>SUMIFS(Details!$AM$4:$AM$8,Details!$C$4:$C$8,Summary!E$4)-SUMIFS(Details!$AB$4:$AB$8,Details!$C$4:$C$8,Summary!E$4)</f>
        <v>0</v>
      </c>
      <c r="F7" s="243">
        <f>SUMIFS(Details!$AM$4:$AM$8,Details!$C$4:$C$8,Summary!F$4)-SUMIFS(Details!$AB$4:$AB$8,Details!$C$4:$C$8,Summary!F$4)</f>
        <v>0</v>
      </c>
      <c r="G7" s="243">
        <f>SUMIFS(Details!$AM$4:$AM$8,Details!$C$4:$C$8,Summary!G$4)-SUMIFS(Details!$AB$4:$AB$8,Details!$C$4:$C$8,Summary!G$4)</f>
        <v>0</v>
      </c>
      <c r="H7" s="243">
        <f>SUMIFS(Details!$AM$4:$AM$8,Details!$C$4:$C$8,Summary!H$4)-SUMIFS(Details!$AB$4:$AB$8,Details!$C$4:$C$8,Summary!H$4)</f>
        <v>0</v>
      </c>
      <c r="I7" s="243">
        <f>SUMIFS(Details!$AM$4:$AM$8,Details!$C$4:$C$8,Summary!I$4)-SUMIFS(Details!$AB$4:$AB$8,Details!$C$4:$C$8,Summary!I$4)</f>
        <v>0</v>
      </c>
      <c r="J7" s="243">
        <f>SUMIFS(Details!$AM$4:$AM$8,Details!$C$4:$C$8,Summary!J$4)-SUMIFS(Details!$AB$4:$AB$8,Details!$C$4:$C$8,Summary!J$4)</f>
        <v>0</v>
      </c>
      <c r="K7" s="243">
        <f>SUMIFS(Details!$AM$4:$AM$8,Details!$C$4:$C$8,Summary!K$4)-SUMIFS(Details!$AB$4:$AB$8,Details!$C$4:$C$8,Summary!K$4)</f>
        <v>0</v>
      </c>
      <c r="L7" s="243">
        <f>SUMIFS(Details!$AM$4:$AM$8,Details!$C$4:$C$8,Summary!L$4)-SUMIFS(Details!$AB$4:$AB$8,Details!$C$4:$C$8,Summary!L$4)</f>
        <v>0</v>
      </c>
      <c r="M7" s="243">
        <f>SUMIFS(Details!$AM$4:$AM$8,Details!$C$4:$C$8,Summary!M$4)-SUMIFS(Details!$AB$4:$AB$8,Details!$C$4:$C$8,Summary!M$4)</f>
        <v>0</v>
      </c>
      <c r="N7" s="243">
        <f>SUMIFS(Details!$AM$4:$AM$8,Details!$C$4:$C$8,Summary!N$4)-SUMIFS(Details!$AB$4:$AB$8,Details!$C$4:$C$8,Summary!N$4)</f>
        <v>0</v>
      </c>
      <c r="O7" s="243">
        <f>SUMIFS(Details!$AM$4:$AM$8,Details!$C$4:$C$8,Summary!O$4)-SUMIFS(Details!$AB$4:$AB$8,Details!$C$4:$C$8,Summary!O$4)</f>
        <v>0</v>
      </c>
      <c r="P7" s="246">
        <f>SUM(D7:O7)</f>
        <v>2130617.4750000001</v>
      </c>
      <c r="Q7" s="247">
        <f>Details!P10</f>
        <v>2147861.0249999999</v>
      </c>
      <c r="R7" s="249">
        <f>P7-Q7</f>
        <v>-17243.549999999814</v>
      </c>
      <c r="T7" s="249"/>
      <c r="U7" s="245"/>
    </row>
    <row r="8" spans="3:21" x14ac:dyDescent="0.35">
      <c r="C8" s="347" t="s">
        <v>181</v>
      </c>
      <c r="D8" s="243">
        <f t="shared" ref="D8:O8" si="2">D6-D7</f>
        <v>36658.837499999907</v>
      </c>
      <c r="E8" s="248">
        <f t="shared" si="2"/>
        <v>0</v>
      </c>
      <c r="F8" s="243">
        <f t="shared" si="2"/>
        <v>0</v>
      </c>
      <c r="G8" s="248">
        <f t="shared" si="2"/>
        <v>0</v>
      </c>
      <c r="H8" s="243">
        <f t="shared" si="2"/>
        <v>0</v>
      </c>
      <c r="I8" s="248">
        <f t="shared" si="2"/>
        <v>0</v>
      </c>
      <c r="J8" s="243">
        <f t="shared" si="2"/>
        <v>0</v>
      </c>
      <c r="K8" s="248">
        <f t="shared" si="2"/>
        <v>0</v>
      </c>
      <c r="L8" s="243">
        <f t="shared" si="2"/>
        <v>0</v>
      </c>
      <c r="M8" s="248">
        <f t="shared" si="2"/>
        <v>0</v>
      </c>
      <c r="N8" s="243">
        <f t="shared" si="2"/>
        <v>0</v>
      </c>
      <c r="O8" s="248">
        <f t="shared" si="2"/>
        <v>0</v>
      </c>
      <c r="P8" s="243">
        <f>SUM(D8:O8)</f>
        <v>36658.837499999907</v>
      </c>
      <c r="Q8" s="252"/>
    </row>
    <row r="9" spans="3:21" x14ac:dyDescent="0.35">
      <c r="C9" s="348" t="s">
        <v>330</v>
      </c>
      <c r="D9" s="253">
        <f t="shared" ref="D9:O9" si="3">IFERROR((D8/D6),0)</f>
        <v>1.691470408667603E-2</v>
      </c>
      <c r="E9" s="254">
        <f t="shared" si="3"/>
        <v>0</v>
      </c>
      <c r="F9" s="253">
        <f t="shared" si="3"/>
        <v>0</v>
      </c>
      <c r="G9" s="254">
        <f t="shared" si="3"/>
        <v>0</v>
      </c>
      <c r="H9" s="253">
        <f t="shared" si="3"/>
        <v>0</v>
      </c>
      <c r="I9" s="254">
        <f t="shared" si="3"/>
        <v>0</v>
      </c>
      <c r="J9" s="253">
        <f t="shared" si="3"/>
        <v>0</v>
      </c>
      <c r="K9" s="254">
        <f t="shared" si="3"/>
        <v>0</v>
      </c>
      <c r="L9" s="253">
        <f t="shared" si="3"/>
        <v>0</v>
      </c>
      <c r="M9" s="254">
        <f t="shared" si="3"/>
        <v>0</v>
      </c>
      <c r="N9" s="253">
        <f t="shared" si="3"/>
        <v>0</v>
      </c>
      <c r="O9" s="254">
        <f t="shared" si="3"/>
        <v>0</v>
      </c>
      <c r="P9" s="253">
        <f>IFERROR((P8/P6),0)</f>
        <v>1.691470408667603E-2</v>
      </c>
    </row>
    <row r="10" spans="3:21" hidden="1" x14ac:dyDescent="0.35">
      <c r="C10" s="347" t="s">
        <v>3</v>
      </c>
      <c r="D10" s="243">
        <v>0</v>
      </c>
      <c r="E10" s="248">
        <f>SUMIFS(Details!$AB$4:$AB$8,Details!$C$4:$C$8,Summary!E$4)</f>
        <v>0</v>
      </c>
      <c r="F10" s="243">
        <f>SUMIFS(Details!$AB$4:$AB$8,Details!$C$4:$C$8,Summary!F$4)</f>
        <v>0</v>
      </c>
      <c r="G10" s="248">
        <f>SUMIFS(Details!$AB$4:$AB$8,Details!$C$4:$C$8,Summary!G$4)</f>
        <v>0</v>
      </c>
      <c r="H10" s="243">
        <f>SUMIFS(Details!$AB$4:$AB$8,Details!$C$4:$C$8,Summary!H$4)</f>
        <v>0</v>
      </c>
      <c r="I10" s="248">
        <f>SUMIFS(Details!$AB$4:$AB$8,Details!$C$4:$C$8,Summary!I$4)</f>
        <v>0</v>
      </c>
      <c r="J10" s="243">
        <f>SUMIFS(Details!$AB$4:$AB$8,Details!$C$4:$C$8,Summary!J$4)</f>
        <v>0</v>
      </c>
      <c r="K10" s="248">
        <f>SUMIFS(Details!$AB$4:$AB$8,Details!$C$4:$C$8,Summary!K$4)</f>
        <v>0</v>
      </c>
      <c r="L10" s="243">
        <f>SUMIFS(Details!$AB$4:$AB$8,Details!$C$4:$C$8,Summary!L$4)</f>
        <v>0</v>
      </c>
      <c r="M10" s="248">
        <f>SUMIFS(Details!$AB$4:$AB$8,Details!$C$4:$C$8,Summary!M$4)</f>
        <v>0</v>
      </c>
      <c r="N10" s="243">
        <f>SUMIFS(Details!$AB$4:$AB$8,Details!$C$4:$C$8,Summary!N$4)</f>
        <v>0</v>
      </c>
      <c r="O10" s="248">
        <f>SUMIFS(Details!$AB$4:$AB$8,Details!$C$4:$C$8,Summary!O$4)</f>
        <v>0</v>
      </c>
      <c r="P10" s="243">
        <f>SUM(D10:O10)</f>
        <v>0</v>
      </c>
      <c r="Q10" s="250">
        <f>Details!AB9</f>
        <v>0</v>
      </c>
      <c r="R10" s="249">
        <f>P10-Q10</f>
        <v>0</v>
      </c>
      <c r="S10" s="249"/>
      <c r="T10" s="249"/>
      <c r="U10" s="245"/>
    </row>
    <row r="11" spans="3:21" hidden="1" x14ac:dyDescent="0.35">
      <c r="C11" s="347" t="s">
        <v>329</v>
      </c>
      <c r="D11" s="243">
        <f>SUMIFS(Details!$AC$4:$AC$8,Details!$C$4:$C$8,Summary!D$4)</f>
        <v>0</v>
      </c>
      <c r="E11" s="243">
        <f>SUMIFS(Details!$AC$4:$AC$8,Details!$C$4:$C$8,Summary!E$4)</f>
        <v>0</v>
      </c>
      <c r="F11" s="243">
        <f>SUMIFS(Details!$AC$4:$AC$8,Details!$C$4:$C$8,Summary!F$4)</f>
        <v>0</v>
      </c>
      <c r="G11" s="243">
        <f>SUMIFS(Details!$AC$4:$AC$8,Details!$C$4:$C$8,Summary!G$4)</f>
        <v>0</v>
      </c>
      <c r="H11" s="243">
        <f>SUMIFS(Details!$AC$4:$AC$8,Details!$C$4:$C$8,Summary!H$4)</f>
        <v>0</v>
      </c>
      <c r="I11" s="243">
        <f>SUMIFS(Details!$AC$4:$AC$8,Details!$C$4:$C$8,Summary!I$4)</f>
        <v>0</v>
      </c>
      <c r="J11" s="243">
        <f>SUMIFS(Details!$AC$4:$AC$8,Details!$C$4:$C$8,Summary!J$4)</f>
        <v>0</v>
      </c>
      <c r="K11" s="243">
        <f>SUMIFS(Details!$AC$4:$AC$8,Details!$C$4:$C$8,Summary!K$4)</f>
        <v>0</v>
      </c>
      <c r="L11" s="243">
        <f>SUMIFS(Details!$AC$4:$AC$8,Details!$C$4:$C$8,Summary!L$4)</f>
        <v>0</v>
      </c>
      <c r="M11" s="243">
        <f>SUMIFS(Details!$AC$4:$AC$8,Details!$C$4:$C$8,Summary!M$4)</f>
        <v>0</v>
      </c>
      <c r="N11" s="243">
        <f>SUMIFS(Details!$AC$4:$AC$8,Details!$C$4:$C$8,Summary!N$4)</f>
        <v>0</v>
      </c>
      <c r="O11" s="243">
        <f>SUMIFS(Details!$AC$4:$AC$8,Details!$C$4:$C$8,Summary!O$4)</f>
        <v>0</v>
      </c>
      <c r="P11" s="243">
        <f>SUM(D11:O11)</f>
        <v>0</v>
      </c>
      <c r="Q11" s="250"/>
      <c r="R11" s="249"/>
      <c r="S11" s="249"/>
      <c r="T11" s="249"/>
      <c r="U11" s="245"/>
    </row>
    <row r="12" spans="3:21" x14ac:dyDescent="0.35">
      <c r="C12" s="347" t="s">
        <v>183</v>
      </c>
      <c r="D12" s="243">
        <f t="shared" ref="D12:O12" si="4">D6-D7-D10-D11</f>
        <v>36658.837499999907</v>
      </c>
      <c r="E12" s="243">
        <f t="shared" si="4"/>
        <v>0</v>
      </c>
      <c r="F12" s="243">
        <f t="shared" si="4"/>
        <v>0</v>
      </c>
      <c r="G12" s="243">
        <f t="shared" si="4"/>
        <v>0</v>
      </c>
      <c r="H12" s="243">
        <f t="shared" si="4"/>
        <v>0</v>
      </c>
      <c r="I12" s="243">
        <f t="shared" si="4"/>
        <v>0</v>
      </c>
      <c r="J12" s="243">
        <f t="shared" si="4"/>
        <v>0</v>
      </c>
      <c r="K12" s="243">
        <f t="shared" si="4"/>
        <v>0</v>
      </c>
      <c r="L12" s="243">
        <f t="shared" si="4"/>
        <v>0</v>
      </c>
      <c r="M12" s="243">
        <f t="shared" si="4"/>
        <v>0</v>
      </c>
      <c r="N12" s="243">
        <f t="shared" si="4"/>
        <v>0</v>
      </c>
      <c r="O12" s="243">
        <f t="shared" si="4"/>
        <v>0</v>
      </c>
      <c r="P12" s="243">
        <f>SUM(D12:O12)</f>
        <v>36658.837499999907</v>
      </c>
      <c r="Q12" s="245" t="s">
        <v>119</v>
      </c>
    </row>
    <row r="13" spans="3:21" x14ac:dyDescent="0.35">
      <c r="C13" s="348" t="s">
        <v>331</v>
      </c>
      <c r="D13" s="253">
        <f t="shared" ref="D13:O13" si="5">IFERROR((D12/D6),0)</f>
        <v>1.691470408667603E-2</v>
      </c>
      <c r="E13" s="254">
        <f t="shared" si="5"/>
        <v>0</v>
      </c>
      <c r="F13" s="253">
        <f t="shared" si="5"/>
        <v>0</v>
      </c>
      <c r="G13" s="254">
        <f t="shared" si="5"/>
        <v>0</v>
      </c>
      <c r="H13" s="253">
        <f t="shared" si="5"/>
        <v>0</v>
      </c>
      <c r="I13" s="254">
        <f t="shared" si="5"/>
        <v>0</v>
      </c>
      <c r="J13" s="253">
        <f t="shared" si="5"/>
        <v>0</v>
      </c>
      <c r="K13" s="254">
        <f t="shared" si="5"/>
        <v>0</v>
      </c>
      <c r="L13" s="253">
        <f t="shared" si="5"/>
        <v>0</v>
      </c>
      <c r="M13" s="254">
        <f t="shared" si="5"/>
        <v>0</v>
      </c>
      <c r="N13" s="253">
        <f t="shared" si="5"/>
        <v>0</v>
      </c>
      <c r="O13" s="254">
        <f t="shared" si="5"/>
        <v>0</v>
      </c>
      <c r="P13" s="253">
        <f>IFERROR((P12/P6),0)</f>
        <v>1.691470408667603E-2</v>
      </c>
    </row>
    <row r="14" spans="3:21" x14ac:dyDescent="0.35">
      <c r="C14" s="347" t="s">
        <v>390</v>
      </c>
      <c r="D14" s="246">
        <f>SUMIFS(Details!$BL$13:$BL$17,Details!$C$13:$C$17,Summary!D$4)</f>
        <v>1363676.03</v>
      </c>
      <c r="E14" s="246">
        <f>SUMIFS(Details!$BL$13:$BL$17,Details!$C$13:$C$17,Summary!E$4)</f>
        <v>0</v>
      </c>
      <c r="F14" s="246">
        <f>SUMIFS(Details!$BL$13:$BL$17,Details!$C$13:$C$17,Summary!F$4)</f>
        <v>0</v>
      </c>
      <c r="G14" s="246">
        <f>SUMIFS(Details!$BL$13:$BL$17,Details!$C$13:$C$17,Summary!G$4)</f>
        <v>0</v>
      </c>
      <c r="H14" s="246">
        <f>SUMIFS(Details!$BL$13:$BL$17,Details!$C$13:$C$17,Summary!H$4)</f>
        <v>0</v>
      </c>
      <c r="I14" s="246">
        <f>SUMIFS(Details!$BL$13:$BL$17,Details!$C$13:$C$17,Summary!I$4)</f>
        <v>0</v>
      </c>
      <c r="J14" s="246">
        <f>SUMIFS(Details!$BL$13:$BL$17,Details!$C$13:$C$17,Summary!J$4)</f>
        <v>0</v>
      </c>
      <c r="K14" s="246">
        <f>SUMIFS(Details!$BL$13:$BL$17,Details!$C$13:$C$17,Summary!K$4)</f>
        <v>0</v>
      </c>
      <c r="L14" s="246">
        <f>SUMIFS(Details!$BL$13:$BL$17,Details!$C$13:$C$17,Summary!L$4)</f>
        <v>0</v>
      </c>
      <c r="M14" s="246">
        <f>SUMIFS(Details!$BL$13:$BL$17,Details!$C$13:$C$17,Summary!M$4)</f>
        <v>0</v>
      </c>
      <c r="N14" s="246">
        <f>SUMIFS(Details!$BL$13:$BL$17,Details!$C$13:$C$17,Summary!N$4)</f>
        <v>0</v>
      </c>
      <c r="O14" s="246">
        <f>SUMIFS(Details!$BL$13:$BL$17,Details!$C$13:$C$17,Summary!O$4)</f>
        <v>0</v>
      </c>
      <c r="P14" s="243">
        <f>SUM(D14:O14)</f>
        <v>1363676.03</v>
      </c>
      <c r="Q14" s="255"/>
    </row>
    <row r="15" spans="3:21" x14ac:dyDescent="0.35">
      <c r="C15" s="347" t="s">
        <v>4</v>
      </c>
      <c r="D15" s="352">
        <f t="shared" ref="D15:P15" si="6">IFERROR((D10/D6),0)</f>
        <v>0</v>
      </c>
      <c r="E15" s="353">
        <f t="shared" si="6"/>
        <v>0</v>
      </c>
      <c r="F15" s="352">
        <f t="shared" si="6"/>
        <v>0</v>
      </c>
      <c r="G15" s="353">
        <f t="shared" si="6"/>
        <v>0</v>
      </c>
      <c r="H15" s="352">
        <f t="shared" si="6"/>
        <v>0</v>
      </c>
      <c r="I15" s="353">
        <f t="shared" si="6"/>
        <v>0</v>
      </c>
      <c r="J15" s="352">
        <f t="shared" si="6"/>
        <v>0</v>
      </c>
      <c r="K15" s="353">
        <f t="shared" si="6"/>
        <v>0</v>
      </c>
      <c r="L15" s="352">
        <f t="shared" si="6"/>
        <v>0</v>
      </c>
      <c r="M15" s="353">
        <f t="shared" si="6"/>
        <v>0</v>
      </c>
      <c r="N15" s="352">
        <f t="shared" si="6"/>
        <v>0</v>
      </c>
      <c r="O15" s="353">
        <f t="shared" si="6"/>
        <v>0</v>
      </c>
      <c r="P15" s="352">
        <f t="shared" si="6"/>
        <v>0</v>
      </c>
      <c r="Q15" s="255"/>
    </row>
    <row r="16" spans="3:21" x14ac:dyDescent="0.35">
      <c r="C16" s="347" t="s">
        <v>8</v>
      </c>
      <c r="D16" s="349">
        <f>IFERROR(D6/(D5*1000),0)</f>
        <v>59.786932758620686</v>
      </c>
      <c r="E16" s="349">
        <f t="shared" ref="E16:O16" si="7">IFERROR(E6/(E5*1000),0)</f>
        <v>0</v>
      </c>
      <c r="F16" s="349">
        <f t="shared" si="7"/>
        <v>0</v>
      </c>
      <c r="G16" s="349">
        <f t="shared" si="7"/>
        <v>0</v>
      </c>
      <c r="H16" s="349">
        <f t="shared" si="7"/>
        <v>0</v>
      </c>
      <c r="I16" s="349">
        <f t="shared" si="7"/>
        <v>0</v>
      </c>
      <c r="J16" s="349">
        <f t="shared" si="7"/>
        <v>0</v>
      </c>
      <c r="K16" s="349">
        <f t="shared" si="7"/>
        <v>0</v>
      </c>
      <c r="L16" s="349">
        <f t="shared" si="7"/>
        <v>0</v>
      </c>
      <c r="M16" s="349">
        <f t="shared" si="7"/>
        <v>0</v>
      </c>
      <c r="N16" s="349">
        <f t="shared" si="7"/>
        <v>0</v>
      </c>
      <c r="O16" s="349">
        <f t="shared" si="7"/>
        <v>0</v>
      </c>
      <c r="P16" s="349">
        <f t="shared" ref="P16" si="8">+P6/(P5*1000)</f>
        <v>59.786932758620686</v>
      </c>
      <c r="R16" s="249"/>
      <c r="S16" s="249"/>
      <c r="T16" s="249"/>
    </row>
    <row r="17" spans="3:23" x14ac:dyDescent="0.35">
      <c r="C17" s="347" t="s">
        <v>9</v>
      </c>
      <c r="D17" s="349">
        <f>IFERROR(D7/(D5*1000),0)</f>
        <v>58.775654482758625</v>
      </c>
      <c r="E17" s="349">
        <f t="shared" ref="E17:O17" si="9">IFERROR(E7/(E5*1000),0)</f>
        <v>0</v>
      </c>
      <c r="F17" s="349">
        <f t="shared" si="9"/>
        <v>0</v>
      </c>
      <c r="G17" s="349">
        <f t="shared" si="9"/>
        <v>0</v>
      </c>
      <c r="H17" s="349">
        <f t="shared" si="9"/>
        <v>0</v>
      </c>
      <c r="I17" s="349">
        <f t="shared" si="9"/>
        <v>0</v>
      </c>
      <c r="J17" s="349">
        <f t="shared" si="9"/>
        <v>0</v>
      </c>
      <c r="K17" s="349">
        <f t="shared" si="9"/>
        <v>0</v>
      </c>
      <c r="L17" s="349">
        <f t="shared" si="9"/>
        <v>0</v>
      </c>
      <c r="M17" s="349">
        <f t="shared" si="9"/>
        <v>0</v>
      </c>
      <c r="N17" s="349">
        <f t="shared" si="9"/>
        <v>0</v>
      </c>
      <c r="O17" s="349">
        <f t="shared" si="9"/>
        <v>0</v>
      </c>
      <c r="P17" s="349">
        <f t="shared" ref="P17" si="10">+P7/(P5*1000)</f>
        <v>58.775654482758625</v>
      </c>
    </row>
    <row r="18" spans="3:23" hidden="1" x14ac:dyDescent="0.35">
      <c r="C18" s="347" t="s">
        <v>10</v>
      </c>
      <c r="D18" s="349">
        <f t="shared" ref="D18:P18" si="11">D10/(D5*1000)</f>
        <v>0</v>
      </c>
      <c r="E18" s="350" t="e">
        <f t="shared" si="11"/>
        <v>#DIV/0!</v>
      </c>
      <c r="F18" s="349" t="e">
        <f t="shared" si="11"/>
        <v>#DIV/0!</v>
      </c>
      <c r="G18" s="350" t="e">
        <f t="shared" si="11"/>
        <v>#DIV/0!</v>
      </c>
      <c r="H18" s="349" t="e">
        <f t="shared" si="11"/>
        <v>#DIV/0!</v>
      </c>
      <c r="I18" s="350" t="e">
        <f t="shared" si="11"/>
        <v>#DIV/0!</v>
      </c>
      <c r="J18" s="349" t="e">
        <f t="shared" si="11"/>
        <v>#DIV/0!</v>
      </c>
      <c r="K18" s="350" t="e">
        <f t="shared" si="11"/>
        <v>#DIV/0!</v>
      </c>
      <c r="L18" s="349" t="e">
        <f t="shared" si="11"/>
        <v>#DIV/0!</v>
      </c>
      <c r="M18" s="350" t="e">
        <f t="shared" si="11"/>
        <v>#DIV/0!</v>
      </c>
      <c r="N18" s="349" t="e">
        <f t="shared" si="11"/>
        <v>#DIV/0!</v>
      </c>
      <c r="O18" s="350" t="e">
        <f t="shared" si="11"/>
        <v>#DIV/0!</v>
      </c>
      <c r="P18" s="349">
        <f t="shared" si="11"/>
        <v>0</v>
      </c>
    </row>
    <row r="19" spans="3:23" x14ac:dyDescent="0.35">
      <c r="C19" s="347" t="s">
        <v>11</v>
      </c>
      <c r="D19" s="256" cm="1">
        <f t="array" ref="D19">IFERROR(ROWS(_xlfn.UNIQUE(_xlfn._xlws.FILTER(Details!$AO$5:$AO$8, (Details!$C$5:$C$8)=Summary!D$2))),0)</f>
        <v>3</v>
      </c>
      <c r="E19" s="235" cm="1">
        <f t="array" ref="E19">IFERROR(ROWS(_xlfn.UNIQUE(_xlfn._xlws.FILTER(Details!$AO$5:$AO$8, (Details!$C$5:$C$8)=Summary!E$2))),0)</f>
        <v>0</v>
      </c>
      <c r="F19" s="256" cm="1">
        <f t="array" ref="F19">IFERROR(ROWS(_xlfn.UNIQUE(_xlfn._xlws.FILTER(Details!$AO$5:$AO$8, (Details!$C$5:$C$8)=Summary!F$2))),0)</f>
        <v>0</v>
      </c>
      <c r="G19" s="235" cm="1">
        <f t="array" ref="G19">IFERROR(ROWS(_xlfn.UNIQUE(_xlfn._xlws.FILTER(Details!$AO$5:$AO$8, (Details!$C$5:$C$8)=Summary!G$2))),0)</f>
        <v>0</v>
      </c>
      <c r="H19" s="256" cm="1">
        <f t="array" ref="H19">IFERROR(ROWS(_xlfn.UNIQUE(_xlfn._xlws.FILTER(Details!$AO$5:$AO$8, (Details!$C$5:$C$8)=Summary!H$2))),0)</f>
        <v>0</v>
      </c>
      <c r="I19" s="235" cm="1">
        <f t="array" ref="I19">IFERROR(ROWS(_xlfn.UNIQUE(_xlfn._xlws.FILTER(Details!$AO$5:$AO$8, (Details!$C$5:$C$8)=Summary!I$2))),0)</f>
        <v>0</v>
      </c>
      <c r="J19" s="256" cm="1">
        <f t="array" ref="J19">IFERROR(ROWS(_xlfn.UNIQUE(_xlfn._xlws.FILTER(Details!$AO$5:$AO$8, (Details!$C$5:$C$8)=Summary!J$2))),0)</f>
        <v>0</v>
      </c>
      <c r="K19" s="235" cm="1">
        <f t="array" ref="K19">IFERROR(ROWS(_xlfn.UNIQUE(_xlfn._xlws.FILTER(Details!$AO$5:$AO$8, (Details!$C$5:$C$8)=Summary!K$2))),0)</f>
        <v>0</v>
      </c>
      <c r="L19" s="256" cm="1">
        <f t="array" ref="L19">IFERROR(ROWS(_xlfn.UNIQUE(_xlfn._xlws.FILTER(Details!$AO$5:$AO$8, (Details!$C$5:$C$8)=Summary!L$2))),0)</f>
        <v>0</v>
      </c>
      <c r="M19" s="235" cm="1">
        <f t="array" ref="M19">IFERROR(ROWS(_xlfn.UNIQUE(_xlfn._xlws.FILTER(Details!$AO$5:$AO$8, (Details!$C$5:$C$8)=Summary!M$2))),0)</f>
        <v>0</v>
      </c>
      <c r="N19" s="256" cm="1">
        <f t="array" ref="N19">IFERROR(ROWS(_xlfn.UNIQUE(_xlfn._xlws.FILTER(Details!$AO$5:$AO$8, (Details!$C$5:$C$8)=Summary!N$2))),0)</f>
        <v>0</v>
      </c>
      <c r="O19" s="235" cm="1">
        <f t="array" ref="O19">IFERROR(ROWS(_xlfn.UNIQUE(_xlfn._xlws.FILTER(Details!$AO$5:$AO$8, (Details!$C$5:$C$8)=Summary!O$2))),0)</f>
        <v>0</v>
      </c>
      <c r="P19" s="243">
        <f>SUM(D19:O19)</f>
        <v>3</v>
      </c>
      <c r="Q19" s="245"/>
    </row>
    <row r="20" spans="3:23" x14ac:dyDescent="0.35">
      <c r="C20" s="347" t="s">
        <v>12</v>
      </c>
      <c r="D20" s="256" cm="1">
        <f t="array" ref="D20">IFERROR(ROWS(_xlfn.UNIQUE(_xlfn._xlws.FILTER(MID(Details!$G$5:$G$8,3,10), (Details!$C$5:$C$8)=Summary!D$2))),0)-1</f>
        <v>2</v>
      </c>
      <c r="E20" s="256" cm="1">
        <f t="array" ref="E20">IFERROR(ROWS(_xlfn.UNIQUE(_xlfn._xlws.FILTER(MID(Details!$G$5:$G$8,3,10), (Details!$C$5:$C$8)=Summary!E$2))),0)</f>
        <v>0</v>
      </c>
      <c r="F20" s="256" cm="1">
        <f t="array" ref="F20">IFERROR(ROWS(_xlfn.UNIQUE(_xlfn._xlws.FILTER(MID(Details!$G$5:$G$8,3,10), (Details!$C$5:$C$8)=Summary!F$2))),0)</f>
        <v>0</v>
      </c>
      <c r="G20" s="256" cm="1">
        <f t="array" ref="G20">IFERROR(ROWS(_xlfn.UNIQUE(_xlfn._xlws.FILTER(MID(Details!$G$5:$G$8,3,10), (Details!$C$5:$C$8)=Summary!G$2))),0)</f>
        <v>0</v>
      </c>
      <c r="H20" s="256" cm="1">
        <f t="array" ref="H20">IFERROR(ROWS(_xlfn.UNIQUE(_xlfn._xlws.FILTER(MID(Details!$G$5:$G$8,3,10), (Details!$C$5:$C$8)=Summary!H$2))),0)</f>
        <v>0</v>
      </c>
      <c r="I20" s="256" cm="1">
        <f t="array" ref="I20">IFERROR(ROWS(_xlfn.UNIQUE(_xlfn._xlws.FILTER(MID(Details!$G$5:$G$8,3,10), (Details!$C$5:$C$8)=Summary!I$2))),0)</f>
        <v>0</v>
      </c>
      <c r="J20" s="256" cm="1">
        <f t="array" ref="J20">IFERROR(ROWS(_xlfn.UNIQUE(_xlfn._xlws.FILTER(MID(Details!$G$5:$G$8,3,10), (Details!$C$5:$C$8)=Summary!J$2))),0)</f>
        <v>0</v>
      </c>
      <c r="K20" s="256" cm="1">
        <f t="array" ref="K20">IFERROR(ROWS(_xlfn.UNIQUE(_xlfn._xlws.FILTER(MID(Details!$G$5:$G$8,3,10), (Details!$C$5:$C$8)=Summary!K$2))),0)</f>
        <v>0</v>
      </c>
      <c r="L20" s="256" cm="1">
        <f t="array" ref="L20">IFERROR(ROWS(_xlfn.UNIQUE(_xlfn._xlws.FILTER(MID(Details!$G$5:$G$8,3,10), (Details!$C$5:$C$8)=Summary!L$2))),0)</f>
        <v>0</v>
      </c>
      <c r="M20" s="256" cm="1">
        <f t="array" ref="M20">IFERROR(ROWS(_xlfn.UNIQUE(_xlfn._xlws.FILTER(MID(Details!$G$5:$G$8,3,10), (Details!$C$5:$C$8)=Summary!M$2))),0)</f>
        <v>0</v>
      </c>
      <c r="N20" s="256" cm="1">
        <f t="array" ref="N20">IFERROR(ROWS(_xlfn.UNIQUE(_xlfn._xlws.FILTER(MID(Details!$G$5:$G$8,3,10), (Details!$C$5:$C$8)=Summary!N$2))),0)</f>
        <v>0</v>
      </c>
      <c r="O20" s="257" cm="1">
        <f t="array" ref="O20">IFERROR(ROWS(_xlfn.UNIQUE(_xlfn._xlws.FILTER(MID(Details!$G$5:$G$8,3,10), (Details!$C$5:$C$8)=Summary!O$2))),0)</f>
        <v>0</v>
      </c>
      <c r="P20" s="243">
        <f>'Supplier Metrics'!E2-1</f>
        <v>2</v>
      </c>
    </row>
    <row r="21" spans="3:23" x14ac:dyDescent="0.35">
      <c r="C21" s="347" t="s">
        <v>13</v>
      </c>
      <c r="D21" s="256" cm="1">
        <f t="array" ref="D21">IFERROR(ROWS(_xlfn.UNIQUE(_xlfn._xlws.FILTER(MID(Details!$AR$5:$AR$8,3,10), (Details!$C$5:$C$8)=Summary!D$2))),0)-1</f>
        <v>2</v>
      </c>
      <c r="E21" s="256" cm="1">
        <f t="array" ref="E21">IFERROR(ROWS(_xlfn.UNIQUE(_xlfn._xlws.FILTER(MID(Details!$AR$5:$AR$8,3,10), (Details!$C$5:$C$8)=Summary!E$2))),0)</f>
        <v>0</v>
      </c>
      <c r="F21" s="256" cm="1">
        <f t="array" ref="F21">IFERROR(ROWS(_xlfn.UNIQUE(_xlfn._xlws.FILTER(MID(Details!$AR$5:$AR$8,3,10), (Details!$C$5:$C$8)=Summary!F$2))),0)</f>
        <v>0</v>
      </c>
      <c r="G21" s="256" cm="1">
        <f t="array" ref="G21">IFERROR(ROWS(_xlfn.UNIQUE(_xlfn._xlws.FILTER(MID(Details!$AR$5:$AR$8,3,10), (Details!$C$5:$C$8)=Summary!G$2))),0)</f>
        <v>0</v>
      </c>
      <c r="H21" s="256" cm="1">
        <f t="array" ref="H21">IFERROR(ROWS(_xlfn.UNIQUE(_xlfn._xlws.FILTER(MID(Details!$AR$5:$AR$8,3,10), (Details!$C$5:$C$8)=Summary!H$2))),0)</f>
        <v>0</v>
      </c>
      <c r="I21" s="256" cm="1">
        <f t="array" ref="I21">IFERROR(ROWS(_xlfn.UNIQUE(_xlfn._xlws.FILTER(MID(Details!$AR$5:$AR$8,3,10), (Details!$C$5:$C$8)=Summary!I$2))),0)</f>
        <v>0</v>
      </c>
      <c r="J21" s="256" cm="1">
        <f t="array" ref="J21">IFERROR(ROWS(_xlfn.UNIQUE(_xlfn._xlws.FILTER(MID(Details!$AR$5:$AR$8,3,10), (Details!$C$5:$C$8)=Summary!J$2))),0)</f>
        <v>0</v>
      </c>
      <c r="K21" s="256" cm="1">
        <f t="array" ref="K21">IFERROR(ROWS(_xlfn.UNIQUE(_xlfn._xlws.FILTER(MID(Details!$AR$5:$AR$8,3,10), (Details!$C$5:$C$8)=Summary!K$2))),0)</f>
        <v>0</v>
      </c>
      <c r="L21" s="256" cm="1">
        <f t="array" ref="L21">IFERROR(ROWS(_xlfn.UNIQUE(_xlfn._xlws.FILTER(MID(Details!$AR$5:$AR$8,3,10), (Details!$C$5:$C$8)=Summary!L$2))),0)</f>
        <v>0</v>
      </c>
      <c r="M21" s="256" cm="1">
        <f t="array" ref="M21">IFERROR(ROWS(_xlfn.UNIQUE(_xlfn._xlws.FILTER(MID(Details!$AR$5:$AR$8,3,10), (Details!$C$5:$C$8)=Summary!M$2))),0)</f>
        <v>0</v>
      </c>
      <c r="N21" s="256" cm="1">
        <f t="array" ref="N21">IFERROR(ROWS(_xlfn.UNIQUE(_xlfn._xlws.FILTER(MID(Details!$AR$5:$AR$8,3,10), (Details!$C$5:$C$8)=Summary!N$2))),0)</f>
        <v>0</v>
      </c>
      <c r="O21" s="257" cm="1">
        <f t="array" ref="O21">IFERROR(ROWS(_xlfn.UNIQUE(_xlfn._xlws.FILTER(MID(Details!$AR$5:$AR$8,3,10), (Details!$C$5:$C$8)=Summary!O$2))),0)</f>
        <v>0</v>
      </c>
      <c r="P21" s="243">
        <f>'Buyer Metrics'!B3-1</f>
        <v>2</v>
      </c>
    </row>
    <row r="22" spans="3:23" x14ac:dyDescent="0.35">
      <c r="C22" s="347" t="s">
        <v>286</v>
      </c>
      <c r="D22" s="258" cm="1">
        <f t="array" ref="D22">IFERROR(ROWS(_xlfn.UNIQUE(_xlfn._xlws.FILTER(Details!$E$5:$E$8,(Details!$C$5:$C$8=Summary!D$2)*(Details!$BO$5:$BO$8=Summary!$C$22)))),0)</f>
        <v>0</v>
      </c>
      <c r="E22" s="258" cm="1">
        <f t="array" ref="E22">IFERROR(ROWS(_xlfn.UNIQUE(_xlfn._xlws.FILTER(Details!$E$5:$E$8,(Details!$C$5:$C$8=Summary!E$2)*(Details!$BO$5:$BO$8=Summary!$C$22)))),0)</f>
        <v>0</v>
      </c>
      <c r="F22" s="258" cm="1">
        <f t="array" ref="F22">IFERROR(ROWS(_xlfn.UNIQUE(_xlfn._xlws.FILTER(Details!$E$5:$E$8,(Details!$C$5:$C$8=Summary!F$2)*(Details!$BO$5:$BO$8=Summary!$C$22)))),0)</f>
        <v>0</v>
      </c>
      <c r="G22" s="258" cm="1">
        <f t="array" ref="G22">IFERROR(ROWS(_xlfn.UNIQUE(_xlfn._xlws.FILTER(Details!$E$5:$E$8,(Details!$C$5:$C$8=Summary!G$2)*(Details!$BO$5:$BO$8=Summary!$C$22)))),0)</f>
        <v>0</v>
      </c>
      <c r="H22" s="258" cm="1">
        <f t="array" ref="H22">IFERROR(ROWS(_xlfn.UNIQUE(_xlfn._xlws.FILTER(Details!$E$5:$E$8,(Details!$C$5:$C$8=Summary!H$2)*(Details!$BO$5:$BO$8=Summary!$C$22)))),0)</f>
        <v>0</v>
      </c>
      <c r="I22" s="258" cm="1">
        <f t="array" ref="I22">IFERROR(ROWS(_xlfn.UNIQUE(_xlfn._xlws.FILTER(Details!$E$5:$E$8,(Details!$C$5:$C$8=Summary!I$2)*(Details!$BO$5:$BO$8=Summary!$C$22)))),0)</f>
        <v>0</v>
      </c>
      <c r="J22" s="258" cm="1">
        <f t="array" ref="J22">IFERROR(ROWS(_xlfn.UNIQUE(_xlfn._xlws.FILTER(Details!$E$5:$E$8,(Details!$C$5:$C$8=Summary!J$2)*(Details!$BO$5:$BO$8=Summary!$C$22)))),0)</f>
        <v>0</v>
      </c>
      <c r="K22" s="258" cm="1">
        <f t="array" ref="K22">IFERROR(ROWS(_xlfn.UNIQUE(_xlfn._xlws.FILTER(Details!$E$5:$E$8,(Details!$C$5:$C$8=Summary!K$2)*(Details!$BO$5:$BO$8=Summary!$C$22)))),0)</f>
        <v>0</v>
      </c>
      <c r="L22" s="258" cm="1">
        <f t="array" ref="L22">IFERROR(ROWS(_xlfn.UNIQUE(_xlfn._xlws.FILTER(Details!$E$5:$E$8,(Details!$C$5:$C$8=Summary!L$2)*(Details!$BO$5:$BO$8=Summary!$C$22)))),0)</f>
        <v>0</v>
      </c>
      <c r="M22" s="258" cm="1">
        <f t="array" ref="M22">IFERROR(ROWS(_xlfn.UNIQUE(_xlfn._xlws.FILTER(Details!$E$5:$E$8,(Details!$C$5:$C$8=Summary!M$2)*(Details!$BO$5:$BO$8=Summary!$C$22)))),0)</f>
        <v>0</v>
      </c>
      <c r="N22" s="258" cm="1">
        <f t="array" ref="N22">IFERROR(ROWS(_xlfn.UNIQUE(_xlfn._xlws.FILTER(Details!$E$5:$E$8,(Details!$C$5:$C$8=Summary!N$2)*(Details!$BO$5:$BO$8=Summary!$C$22)))),0)</f>
        <v>0</v>
      </c>
      <c r="O22" s="258" cm="1">
        <f t="array" ref="O22">IFERROR(ROWS(_xlfn.UNIQUE(_xlfn._xlws.FILTER(Details!$E$5:$E$8,(Details!$C$5:$C$8=Summary!O$2)*(Details!$BO$5:$BO$8=Summary!$C$22)))),0)</f>
        <v>0</v>
      </c>
      <c r="P22" s="243">
        <f>SUM(D22:O22)</f>
        <v>0</v>
      </c>
    </row>
    <row r="23" spans="3:23" x14ac:dyDescent="0.35">
      <c r="C23" s="347" t="s">
        <v>6</v>
      </c>
      <c r="D23" s="258">
        <v>72181240.849999979</v>
      </c>
      <c r="E23" s="258">
        <v>60130029.200000003</v>
      </c>
      <c r="F23" s="258">
        <v>54302521.650000006</v>
      </c>
      <c r="G23" s="258">
        <v>0</v>
      </c>
      <c r="H23" s="258">
        <v>0</v>
      </c>
      <c r="I23" s="258">
        <v>0</v>
      </c>
      <c r="J23" s="258">
        <v>0</v>
      </c>
      <c r="K23" s="258">
        <v>0</v>
      </c>
      <c r="L23" s="258">
        <v>0</v>
      </c>
      <c r="M23" s="258">
        <v>0</v>
      </c>
      <c r="N23" s="258">
        <v>0</v>
      </c>
      <c r="O23" s="258">
        <v>0</v>
      </c>
      <c r="P23" s="258">
        <f>F23</f>
        <v>54302521.650000006</v>
      </c>
      <c r="U23" s="252"/>
    </row>
    <row r="24" spans="3:23" x14ac:dyDescent="0.35">
      <c r="C24" s="348" t="s">
        <v>7</v>
      </c>
      <c r="D24" s="260">
        <f t="shared" ref="D24:O24" si="12">IFERROR(((D23/(D6*1.18))*D3),0)</f>
        <v>846.73849947622193</v>
      </c>
      <c r="E24" s="261">
        <f t="shared" si="12"/>
        <v>0</v>
      </c>
      <c r="F24" s="260">
        <f t="shared" si="12"/>
        <v>0</v>
      </c>
      <c r="G24" s="261">
        <f t="shared" si="12"/>
        <v>0</v>
      </c>
      <c r="H24" s="260">
        <f t="shared" si="12"/>
        <v>0</v>
      </c>
      <c r="I24" s="261">
        <f t="shared" si="12"/>
        <v>0</v>
      </c>
      <c r="J24" s="260">
        <f t="shared" si="12"/>
        <v>0</v>
      </c>
      <c r="K24" s="261">
        <f t="shared" si="12"/>
        <v>0</v>
      </c>
      <c r="L24" s="260">
        <f>IFERROR(((L23/(L6*1.18))*L3),0)</f>
        <v>0</v>
      </c>
      <c r="M24" s="261">
        <f t="shared" si="12"/>
        <v>0</v>
      </c>
      <c r="N24" s="260">
        <f t="shared" si="12"/>
        <v>0</v>
      </c>
      <c r="O24" s="261">
        <f t="shared" si="12"/>
        <v>0</v>
      </c>
      <c r="P24" s="260">
        <f>IFERROR(((P23)/(P6*1.18)*P3),0)</f>
        <v>1741.1554964399859</v>
      </c>
    </row>
    <row r="25" spans="3:23" x14ac:dyDescent="0.35">
      <c r="C25" s="347" t="s">
        <v>332</v>
      </c>
      <c r="D25" s="258">
        <v>23789533.759999994</v>
      </c>
      <c r="E25" s="258">
        <v>21485725.940000001</v>
      </c>
      <c r="F25" s="258">
        <v>19968208.349999983</v>
      </c>
      <c r="G25" s="258">
        <v>0</v>
      </c>
      <c r="H25" s="258">
        <v>0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0</v>
      </c>
      <c r="O25" s="258">
        <v>0</v>
      </c>
      <c r="P25" s="258">
        <f>F25</f>
        <v>19968208.349999983</v>
      </c>
      <c r="W25" s="255"/>
    </row>
    <row r="26" spans="3:23" x14ac:dyDescent="0.35">
      <c r="C26" s="348" t="s">
        <v>333</v>
      </c>
      <c r="D26" s="260">
        <f t="shared" ref="D26:P26" si="13">IFERROR(((D25/(D7*1.18))*D3),0)</f>
        <v>283.87012779722653</v>
      </c>
      <c r="E26" s="261">
        <f t="shared" si="13"/>
        <v>0</v>
      </c>
      <c r="F26" s="260">
        <f t="shared" si="13"/>
        <v>0</v>
      </c>
      <c r="G26" s="261">
        <f t="shared" si="13"/>
        <v>0</v>
      </c>
      <c r="H26" s="260">
        <f t="shared" si="13"/>
        <v>0</v>
      </c>
      <c r="I26" s="261">
        <f t="shared" si="13"/>
        <v>0</v>
      </c>
      <c r="J26" s="260">
        <f t="shared" si="13"/>
        <v>0</v>
      </c>
      <c r="K26" s="261">
        <f t="shared" si="13"/>
        <v>0</v>
      </c>
      <c r="L26" s="260">
        <f t="shared" si="13"/>
        <v>0</v>
      </c>
      <c r="M26" s="261">
        <f t="shared" si="13"/>
        <v>0</v>
      </c>
      <c r="N26" s="260">
        <f t="shared" si="13"/>
        <v>0</v>
      </c>
      <c r="O26" s="261">
        <f t="shared" si="13"/>
        <v>0</v>
      </c>
      <c r="P26" s="260">
        <f t="shared" si="13"/>
        <v>651.27657803535931</v>
      </c>
    </row>
    <row r="27" spans="3:23" x14ac:dyDescent="0.35">
      <c r="C27" s="251" t="s">
        <v>420</v>
      </c>
      <c r="D27" s="260">
        <f>D24-D26</f>
        <v>562.86837167899535</v>
      </c>
      <c r="E27" s="260">
        <f t="shared" ref="E27:P27" si="14">E24-E26</f>
        <v>0</v>
      </c>
      <c r="F27" s="260">
        <f t="shared" si="14"/>
        <v>0</v>
      </c>
      <c r="G27" s="260">
        <f t="shared" si="14"/>
        <v>0</v>
      </c>
      <c r="H27" s="260">
        <f t="shared" si="14"/>
        <v>0</v>
      </c>
      <c r="I27" s="260">
        <f t="shared" si="14"/>
        <v>0</v>
      </c>
      <c r="J27" s="260">
        <f t="shared" si="14"/>
        <v>0</v>
      </c>
      <c r="K27" s="260">
        <f t="shared" si="14"/>
        <v>0</v>
      </c>
      <c r="L27" s="260">
        <f t="shared" si="14"/>
        <v>0</v>
      </c>
      <c r="M27" s="260">
        <f t="shared" si="14"/>
        <v>0</v>
      </c>
      <c r="N27" s="260">
        <f t="shared" si="14"/>
        <v>0</v>
      </c>
      <c r="O27" s="260">
        <f t="shared" si="14"/>
        <v>0</v>
      </c>
      <c r="P27" s="260">
        <f t="shared" si="14"/>
        <v>1089.8789184046266</v>
      </c>
    </row>
    <row r="28" spans="3:23" x14ac:dyDescent="0.35">
      <c r="C28" s="242" t="s">
        <v>14</v>
      </c>
      <c r="D28" s="258">
        <v>55571.1875</v>
      </c>
      <c r="E28" s="259">
        <f>-SUMIFS(Details!$BT$4:$BT$8,Details!$C$4:$C$8,Summary!E4)</f>
        <v>0</v>
      </c>
      <c r="F28" s="258">
        <f>-SUMIFS(Details!$BT$4:$BT$8,Details!$C$4:$C$8,Summary!F4)</f>
        <v>0</v>
      </c>
      <c r="G28" s="259">
        <f>-SUMIFS(Details!$BT$4:$BT$8,Details!$C$4:$C$8,Summary!G4)</f>
        <v>0</v>
      </c>
      <c r="H28" s="258">
        <f>-SUMIFS(Details!$BT$4:$BT$8,Details!$C$4:$C$8,Summary!H4)</f>
        <v>0</v>
      </c>
      <c r="I28" s="258">
        <f>-SUMIFS(Details!$BT$4:$BT$8,Details!$C$4:$C$8,Summary!I4)</f>
        <v>0</v>
      </c>
      <c r="J28" s="258">
        <f>-SUMIFS(Details!$BT$4:$BT$8,Details!$C$4:$C$8,Summary!J4)</f>
        <v>0</v>
      </c>
      <c r="K28" s="258">
        <f>-SUMIFS(Details!$BT$4:$BT$8,Details!$C$4:$C$8,Summary!K4)</f>
        <v>0</v>
      </c>
      <c r="L28" s="258">
        <f>-SUMIFS(Details!$BT$4:$BT$8,Details!$C$4:$C$8,Summary!L4)</f>
        <v>0</v>
      </c>
      <c r="M28" s="258">
        <f>-SUMIFS(Details!$BT$4:$BT$8,Details!$C$4:$C$8,Summary!M4)</f>
        <v>0</v>
      </c>
      <c r="N28" s="258">
        <f>-SUMIFS(Details!$BT$4:$BT$8,Details!$C$4:$C$8,Summary!N4)</f>
        <v>0</v>
      </c>
      <c r="O28" s="262">
        <f>-SUMIFS(Details!$BT$4:$BT$8,Details!$C$4:$C$8,Summary!O4)</f>
        <v>0</v>
      </c>
      <c r="P28" s="243">
        <f>SUM(D28:O28)</f>
        <v>55571.1875</v>
      </c>
      <c r="Q28" s="255">
        <f>(-Details!BJ9-Details!BK9)</f>
        <v>37812.5</v>
      </c>
      <c r="R28" s="236">
        <f>P28-Q28</f>
        <v>17758.6875</v>
      </c>
    </row>
    <row r="29" spans="3:23" x14ac:dyDescent="0.35">
      <c r="C29" s="251" t="s">
        <v>15</v>
      </c>
      <c r="D29" s="253">
        <f>IFERROR((D28/D6),0)</f>
        <v>2.564102564102564E-2</v>
      </c>
      <c r="E29" s="253">
        <f t="shared" ref="E29:O29" si="15">IFERROR((E28/E6),0)</f>
        <v>0</v>
      </c>
      <c r="F29" s="253">
        <f t="shared" si="15"/>
        <v>0</v>
      </c>
      <c r="G29" s="253">
        <f t="shared" si="15"/>
        <v>0</v>
      </c>
      <c r="H29" s="253">
        <f t="shared" si="15"/>
        <v>0</v>
      </c>
      <c r="I29" s="253">
        <f t="shared" si="15"/>
        <v>0</v>
      </c>
      <c r="J29" s="253">
        <f t="shared" si="15"/>
        <v>0</v>
      </c>
      <c r="K29" s="253">
        <f t="shared" si="15"/>
        <v>0</v>
      </c>
      <c r="L29" s="253">
        <f t="shared" si="15"/>
        <v>0</v>
      </c>
      <c r="M29" s="253">
        <f t="shared" si="15"/>
        <v>0</v>
      </c>
      <c r="N29" s="253">
        <f t="shared" si="15"/>
        <v>0</v>
      </c>
      <c r="O29" s="253">
        <f t="shared" si="15"/>
        <v>0</v>
      </c>
      <c r="P29" s="263">
        <f t="shared" ref="P29" si="16">+P28/P6</f>
        <v>2.564102564102564E-2</v>
      </c>
      <c r="Q29" s="255"/>
    </row>
    <row r="30" spans="3:23" x14ac:dyDescent="0.35">
      <c r="C30" s="242" t="s">
        <v>16</v>
      </c>
      <c r="D30" s="258">
        <v>50677.025000000001</v>
      </c>
      <c r="E30" s="259">
        <f>-SUMIFS(Details!$BU$4:$BU$8,Details!$C$4:$C$8,Summary!E4)</f>
        <v>0</v>
      </c>
      <c r="F30" s="258">
        <f>-SUMIFS(Details!$BU$4:$BU$8,Details!$C$4:$C$8,Summary!F4)</f>
        <v>0</v>
      </c>
      <c r="G30" s="259">
        <f>-SUMIFS(Details!$BU$4:$BU$8,Details!$C$4:$C$8,Summary!G4)</f>
        <v>0</v>
      </c>
      <c r="H30" s="258">
        <f>-SUMIFS(Details!$BU$4:$BU$8,Details!$C$4:$C$8,Summary!H4)</f>
        <v>0</v>
      </c>
      <c r="I30" s="258">
        <f>-SUMIFS(Details!$BU$4:$BU$8,Details!$C$4:$C$8,Summary!I4)</f>
        <v>0</v>
      </c>
      <c r="J30" s="258">
        <f>-SUMIFS(Details!$BU$4:$BU$8,Details!$C$4:$C$8,Summary!J4)</f>
        <v>0</v>
      </c>
      <c r="K30" s="258">
        <f>-SUMIFS(Details!$BU$4:$BU$8,Details!$C$4:$C$8,Summary!K4)</f>
        <v>0</v>
      </c>
      <c r="L30" s="258">
        <f>-SUMIFS(Details!$BU$4:$BU$8,Details!$C$4:$C$8,Summary!L4)</f>
        <v>0</v>
      </c>
      <c r="M30" s="258">
        <f>-SUMIFS(Details!$BU$4:$BU$8,Details!$C$4:$C$8,Summary!M4)</f>
        <v>0</v>
      </c>
      <c r="N30" s="258">
        <f>-SUMIFS(Details!$BU$4:$BU$8,Details!$C$4:$C$8,Summary!N4)</f>
        <v>0</v>
      </c>
      <c r="O30" s="262">
        <f>-SUMIFS(Details!$BU$4:$BU$8,Details!$C$4:$C$8,Summary!O4)</f>
        <v>0</v>
      </c>
      <c r="P30" s="243">
        <f>SUM(D30:O30)</f>
        <v>50677.025000000001</v>
      </c>
      <c r="Q30" s="255">
        <f>(-Details!AK9-Details!AL9)</f>
        <v>33433.474999999999</v>
      </c>
      <c r="R30" s="236">
        <f>P30-Q30</f>
        <v>17243.550000000003</v>
      </c>
    </row>
    <row r="31" spans="3:23" ht="16" thickBot="1" x14ac:dyDescent="0.4">
      <c r="C31" s="264" t="s">
        <v>17</v>
      </c>
      <c r="D31" s="265">
        <f>IFERROR((D30/D7),0)</f>
        <v>2.378513533969771E-2</v>
      </c>
      <c r="E31" s="265">
        <f t="shared" ref="E31:O31" si="17">IFERROR((E30/E7),0)</f>
        <v>0</v>
      </c>
      <c r="F31" s="265">
        <f t="shared" si="17"/>
        <v>0</v>
      </c>
      <c r="G31" s="265">
        <f t="shared" si="17"/>
        <v>0</v>
      </c>
      <c r="H31" s="265">
        <f t="shared" si="17"/>
        <v>0</v>
      </c>
      <c r="I31" s="265">
        <f t="shared" si="17"/>
        <v>0</v>
      </c>
      <c r="J31" s="265">
        <f t="shared" si="17"/>
        <v>0</v>
      </c>
      <c r="K31" s="265">
        <f t="shared" si="17"/>
        <v>0</v>
      </c>
      <c r="L31" s="265">
        <f t="shared" si="17"/>
        <v>0</v>
      </c>
      <c r="M31" s="265">
        <f t="shared" si="17"/>
        <v>0</v>
      </c>
      <c r="N31" s="265">
        <f t="shared" si="17"/>
        <v>0</v>
      </c>
      <c r="O31" s="265">
        <f t="shared" si="17"/>
        <v>0</v>
      </c>
      <c r="P31" s="266">
        <f t="shared" ref="P31" si="18">(P30/(P7+P10))</f>
        <v>2.378513533969771E-2</v>
      </c>
      <c r="Q31" s="255"/>
    </row>
    <row r="32" spans="3:23" ht="16" thickBot="1" x14ac:dyDescent="0.4">
      <c r="C32" s="360"/>
      <c r="D32" s="359"/>
      <c r="E32" s="359"/>
      <c r="F32" s="359"/>
      <c r="G32" s="359"/>
      <c r="H32" s="359"/>
      <c r="I32" s="359"/>
      <c r="J32" s="359"/>
      <c r="K32" s="359"/>
      <c r="L32" s="359"/>
      <c r="M32" s="359"/>
      <c r="N32" s="359"/>
      <c r="O32" s="359"/>
      <c r="P32" s="359"/>
      <c r="Q32" s="255"/>
    </row>
    <row r="33" spans="3:17" x14ac:dyDescent="0.35">
      <c r="C33" s="267" t="s">
        <v>137</v>
      </c>
      <c r="D33" s="239">
        <f t="shared" ref="D33:P33" si="19">D4</f>
        <v>46113</v>
      </c>
      <c r="E33" s="239">
        <f t="shared" si="19"/>
        <v>46143</v>
      </c>
      <c r="F33" s="239">
        <f t="shared" si="19"/>
        <v>46174</v>
      </c>
      <c r="G33" s="239">
        <f t="shared" si="19"/>
        <v>46204</v>
      </c>
      <c r="H33" s="239">
        <f t="shared" si="19"/>
        <v>46235</v>
      </c>
      <c r="I33" s="239">
        <f t="shared" si="19"/>
        <v>46266</v>
      </c>
      <c r="J33" s="239">
        <f t="shared" si="19"/>
        <v>46296</v>
      </c>
      <c r="K33" s="239">
        <f t="shared" si="19"/>
        <v>46327</v>
      </c>
      <c r="L33" s="239">
        <f t="shared" si="19"/>
        <v>46357</v>
      </c>
      <c r="M33" s="239">
        <f t="shared" si="19"/>
        <v>46388</v>
      </c>
      <c r="N33" s="239">
        <f t="shared" si="19"/>
        <v>46419</v>
      </c>
      <c r="O33" s="239">
        <f t="shared" si="19"/>
        <v>46447</v>
      </c>
      <c r="P33" s="239" t="str">
        <f t="shared" si="19"/>
        <v>FY 2026-27</v>
      </c>
    </row>
    <row r="34" spans="3:17" x14ac:dyDescent="0.35">
      <c r="C34" s="268" t="s">
        <v>110</v>
      </c>
      <c r="D34" s="269">
        <f t="shared" ref="D34:O34" si="20">D6+D53</f>
        <v>2205088.8125</v>
      </c>
      <c r="E34" s="269">
        <f t="shared" si="20"/>
        <v>0</v>
      </c>
      <c r="F34" s="269">
        <f t="shared" si="20"/>
        <v>0</v>
      </c>
      <c r="G34" s="269">
        <f t="shared" si="20"/>
        <v>0</v>
      </c>
      <c r="H34" s="269">
        <f t="shared" si="20"/>
        <v>0</v>
      </c>
      <c r="I34" s="269">
        <f t="shared" si="20"/>
        <v>0</v>
      </c>
      <c r="J34" s="269">
        <f t="shared" si="20"/>
        <v>0</v>
      </c>
      <c r="K34" s="269">
        <f t="shared" si="20"/>
        <v>0</v>
      </c>
      <c r="L34" s="269">
        <f t="shared" si="20"/>
        <v>0</v>
      </c>
      <c r="M34" s="269">
        <f t="shared" si="20"/>
        <v>0</v>
      </c>
      <c r="N34" s="269">
        <f t="shared" si="20"/>
        <v>0</v>
      </c>
      <c r="O34" s="269">
        <f t="shared" si="20"/>
        <v>0</v>
      </c>
      <c r="P34" s="269">
        <f>SUM(D34:O34)</f>
        <v>2205088.8125</v>
      </c>
    </row>
    <row r="35" spans="3:17" x14ac:dyDescent="0.35">
      <c r="C35" s="268" t="s">
        <v>111</v>
      </c>
      <c r="D35" s="269">
        <f t="shared" ref="D35:O35" si="21">D7+D10+D52</f>
        <v>2153085.1</v>
      </c>
      <c r="E35" s="269">
        <f t="shared" si="21"/>
        <v>0</v>
      </c>
      <c r="F35" s="269">
        <f t="shared" si="21"/>
        <v>0</v>
      </c>
      <c r="G35" s="269">
        <f t="shared" si="21"/>
        <v>0</v>
      </c>
      <c r="H35" s="269">
        <f t="shared" si="21"/>
        <v>0</v>
      </c>
      <c r="I35" s="269">
        <f t="shared" si="21"/>
        <v>0</v>
      </c>
      <c r="J35" s="269">
        <f t="shared" si="21"/>
        <v>0</v>
      </c>
      <c r="K35" s="269">
        <f t="shared" si="21"/>
        <v>0</v>
      </c>
      <c r="L35" s="269">
        <f t="shared" si="21"/>
        <v>0</v>
      </c>
      <c r="M35" s="269">
        <f t="shared" si="21"/>
        <v>0</v>
      </c>
      <c r="N35" s="269">
        <f t="shared" si="21"/>
        <v>0</v>
      </c>
      <c r="O35" s="269">
        <f t="shared" si="21"/>
        <v>0</v>
      </c>
      <c r="P35" s="269">
        <f>SUM(D35:O35)</f>
        <v>2153085.1</v>
      </c>
    </row>
    <row r="36" spans="3:17" x14ac:dyDescent="0.35">
      <c r="C36" s="268" t="s">
        <v>112</v>
      </c>
      <c r="D36" s="270">
        <f>D34-D35</f>
        <v>52003.712499999907</v>
      </c>
      <c r="E36" s="271">
        <f>E34-E35</f>
        <v>0</v>
      </c>
      <c r="F36" s="270">
        <f t="shared" ref="F36:O36" si="22">F34-F35</f>
        <v>0</v>
      </c>
      <c r="G36" s="270">
        <f t="shared" si="22"/>
        <v>0</v>
      </c>
      <c r="H36" s="270">
        <f t="shared" si="22"/>
        <v>0</v>
      </c>
      <c r="I36" s="270">
        <f t="shared" si="22"/>
        <v>0</v>
      </c>
      <c r="J36" s="271">
        <f>J34-J35</f>
        <v>0</v>
      </c>
      <c r="K36" s="270">
        <f t="shared" si="22"/>
        <v>0</v>
      </c>
      <c r="L36" s="270">
        <f t="shared" si="22"/>
        <v>0</v>
      </c>
      <c r="M36" s="270">
        <f t="shared" si="22"/>
        <v>0</v>
      </c>
      <c r="N36" s="271">
        <f t="shared" si="22"/>
        <v>0</v>
      </c>
      <c r="O36" s="270">
        <f t="shared" si="22"/>
        <v>0</v>
      </c>
      <c r="P36" s="270">
        <f>P34-P35</f>
        <v>52003.712499999907</v>
      </c>
    </row>
    <row r="37" spans="3:17" ht="16" thickBot="1" x14ac:dyDescent="0.4">
      <c r="C37" s="272" t="s">
        <v>5</v>
      </c>
      <c r="D37" s="273">
        <f>D36/D34</f>
        <v>2.3583500222397462E-2</v>
      </c>
      <c r="E37" s="274" t="e">
        <f>E36/E34</f>
        <v>#DIV/0!</v>
      </c>
      <c r="F37" s="273" t="e">
        <f t="shared" ref="F37:N37" si="23">F36/F34</f>
        <v>#DIV/0!</v>
      </c>
      <c r="G37" s="273" t="e">
        <f t="shared" si="23"/>
        <v>#DIV/0!</v>
      </c>
      <c r="H37" s="273" t="e">
        <f t="shared" si="23"/>
        <v>#DIV/0!</v>
      </c>
      <c r="I37" s="273" t="e">
        <f t="shared" si="23"/>
        <v>#DIV/0!</v>
      </c>
      <c r="J37" s="274" t="e">
        <f t="shared" si="23"/>
        <v>#DIV/0!</v>
      </c>
      <c r="K37" s="273" t="e">
        <f t="shared" si="23"/>
        <v>#DIV/0!</v>
      </c>
      <c r="L37" s="273" t="e">
        <f t="shared" si="23"/>
        <v>#DIV/0!</v>
      </c>
      <c r="M37" s="273" t="e">
        <f t="shared" si="23"/>
        <v>#DIV/0!</v>
      </c>
      <c r="N37" s="274" t="e">
        <f t="shared" si="23"/>
        <v>#DIV/0!</v>
      </c>
      <c r="O37" s="273" t="e">
        <f>O36/O34</f>
        <v>#DIV/0!</v>
      </c>
      <c r="P37" s="273">
        <f>P36/P34</f>
        <v>2.3583500222397462E-2</v>
      </c>
    </row>
    <row r="38" spans="3:17" ht="16" thickBot="1" x14ac:dyDescent="0.4"/>
    <row r="39" spans="3:17" x14ac:dyDescent="0.35">
      <c r="C39" s="238" t="s">
        <v>138</v>
      </c>
      <c r="D39" s="239">
        <f t="shared" ref="D39:P39" si="24">D4</f>
        <v>46113</v>
      </c>
      <c r="E39" s="239">
        <f t="shared" si="24"/>
        <v>46143</v>
      </c>
      <c r="F39" s="239">
        <f t="shared" si="24"/>
        <v>46174</v>
      </c>
      <c r="G39" s="239">
        <f t="shared" si="24"/>
        <v>46204</v>
      </c>
      <c r="H39" s="239">
        <f t="shared" si="24"/>
        <v>46235</v>
      </c>
      <c r="I39" s="239">
        <f t="shared" si="24"/>
        <v>46266</v>
      </c>
      <c r="J39" s="239">
        <f t="shared" si="24"/>
        <v>46296</v>
      </c>
      <c r="K39" s="239">
        <f t="shared" si="24"/>
        <v>46327</v>
      </c>
      <c r="L39" s="239">
        <f t="shared" si="24"/>
        <v>46357</v>
      </c>
      <c r="M39" s="239">
        <f t="shared" si="24"/>
        <v>46388</v>
      </c>
      <c r="N39" s="239">
        <f t="shared" si="24"/>
        <v>46419</v>
      </c>
      <c r="O39" s="239">
        <f t="shared" si="24"/>
        <v>46447</v>
      </c>
      <c r="P39" s="239" t="str">
        <f t="shared" si="24"/>
        <v>FY 2026-27</v>
      </c>
      <c r="Q39" s="255"/>
    </row>
    <row r="40" spans="3:17" x14ac:dyDescent="0.35">
      <c r="C40" s="242" t="s">
        <v>303</v>
      </c>
      <c r="D40" s="275">
        <f t="shared" ref="D40:O40" si="25">IFERROR(((D6/C6)-1),0)</f>
        <v>0</v>
      </c>
      <c r="E40" s="276">
        <f t="shared" si="25"/>
        <v>-1</v>
      </c>
      <c r="F40" s="275">
        <f t="shared" si="25"/>
        <v>0</v>
      </c>
      <c r="G40" s="275">
        <f t="shared" si="25"/>
        <v>0</v>
      </c>
      <c r="H40" s="276">
        <f t="shared" si="25"/>
        <v>0</v>
      </c>
      <c r="I40" s="275">
        <f t="shared" si="25"/>
        <v>0</v>
      </c>
      <c r="J40" s="275">
        <f t="shared" si="25"/>
        <v>0</v>
      </c>
      <c r="K40" s="276">
        <f t="shared" si="25"/>
        <v>0</v>
      </c>
      <c r="L40" s="275">
        <f t="shared" si="25"/>
        <v>0</v>
      </c>
      <c r="M40" s="276">
        <f t="shared" si="25"/>
        <v>0</v>
      </c>
      <c r="N40" s="275">
        <f t="shared" si="25"/>
        <v>0</v>
      </c>
      <c r="O40" s="276">
        <f t="shared" si="25"/>
        <v>0</v>
      </c>
      <c r="P40" s="258">
        <v>0</v>
      </c>
      <c r="Q40" s="255"/>
    </row>
    <row r="41" spans="3:17" x14ac:dyDescent="0.35">
      <c r="C41" s="242" t="s">
        <v>304</v>
      </c>
      <c r="D41" s="275">
        <f t="shared" ref="D41:O41" si="26">IFERROR(((D5/C5)-1),0)</f>
        <v>0</v>
      </c>
      <c r="E41" s="276">
        <f t="shared" si="26"/>
        <v>-1</v>
      </c>
      <c r="F41" s="275">
        <f t="shared" si="26"/>
        <v>0</v>
      </c>
      <c r="G41" s="275">
        <f t="shared" si="26"/>
        <v>0</v>
      </c>
      <c r="H41" s="276">
        <f t="shared" si="26"/>
        <v>0</v>
      </c>
      <c r="I41" s="275">
        <f t="shared" si="26"/>
        <v>0</v>
      </c>
      <c r="J41" s="275">
        <f t="shared" si="26"/>
        <v>0</v>
      </c>
      <c r="K41" s="276">
        <f t="shared" si="26"/>
        <v>0</v>
      </c>
      <c r="L41" s="275">
        <f t="shared" si="26"/>
        <v>0</v>
      </c>
      <c r="M41" s="276">
        <f t="shared" si="26"/>
        <v>0</v>
      </c>
      <c r="N41" s="275">
        <f t="shared" si="26"/>
        <v>0</v>
      </c>
      <c r="O41" s="276">
        <f t="shared" si="26"/>
        <v>0</v>
      </c>
      <c r="P41" s="258">
        <v>0</v>
      </c>
    </row>
    <row r="42" spans="3:17" ht="16" thickBot="1" x14ac:dyDescent="0.4">
      <c r="C42" s="277" t="s">
        <v>305</v>
      </c>
      <c r="D42" s="278">
        <f t="shared" ref="D42:O42" si="27">IFERROR(((D19/C19)-1),0)</f>
        <v>0</v>
      </c>
      <c r="E42" s="279">
        <f>IFERROR(((E19/D19)-1),0)</f>
        <v>-1</v>
      </c>
      <c r="F42" s="278">
        <f t="shared" si="27"/>
        <v>0</v>
      </c>
      <c r="G42" s="278">
        <f t="shared" si="27"/>
        <v>0</v>
      </c>
      <c r="H42" s="279">
        <f>IFERROR(((#REF!/G19)-1),0)</f>
        <v>0</v>
      </c>
      <c r="I42" s="278">
        <f>IFERROR(((I19/#REF!)-1),0)</f>
        <v>0</v>
      </c>
      <c r="J42" s="278">
        <f t="shared" si="27"/>
        <v>0</v>
      </c>
      <c r="K42" s="279">
        <f t="shared" si="27"/>
        <v>0</v>
      </c>
      <c r="L42" s="278">
        <f t="shared" si="27"/>
        <v>0</v>
      </c>
      <c r="M42" s="279">
        <f t="shared" si="27"/>
        <v>0</v>
      </c>
      <c r="N42" s="278">
        <f t="shared" si="27"/>
        <v>0</v>
      </c>
      <c r="O42" s="279">
        <f t="shared" si="27"/>
        <v>0</v>
      </c>
      <c r="P42" s="280">
        <v>0</v>
      </c>
    </row>
    <row r="43" spans="3:17" ht="16" thickBot="1" x14ac:dyDescent="0.4">
      <c r="C43" s="235"/>
    </row>
    <row r="44" spans="3:17" x14ac:dyDescent="0.35">
      <c r="C44" s="238" t="s">
        <v>139</v>
      </c>
      <c r="D44" s="239">
        <f>D39</f>
        <v>46113</v>
      </c>
      <c r="E44" s="239">
        <f t="shared" ref="E44:P44" si="28">E39</f>
        <v>46143</v>
      </c>
      <c r="F44" s="239">
        <f t="shared" si="28"/>
        <v>46174</v>
      </c>
      <c r="G44" s="239">
        <f t="shared" si="28"/>
        <v>46204</v>
      </c>
      <c r="H44" s="239">
        <f t="shared" si="28"/>
        <v>46235</v>
      </c>
      <c r="I44" s="239">
        <f t="shared" si="28"/>
        <v>46266</v>
      </c>
      <c r="J44" s="239">
        <f t="shared" si="28"/>
        <v>46296</v>
      </c>
      <c r="K44" s="239">
        <f t="shared" si="28"/>
        <v>46327</v>
      </c>
      <c r="L44" s="239">
        <f t="shared" si="28"/>
        <v>46357</v>
      </c>
      <c r="M44" s="239">
        <f t="shared" si="28"/>
        <v>46388</v>
      </c>
      <c r="N44" s="239">
        <f t="shared" si="28"/>
        <v>46419</v>
      </c>
      <c r="O44" s="239">
        <f t="shared" si="28"/>
        <v>46447</v>
      </c>
      <c r="P44" s="239" t="str">
        <f t="shared" si="28"/>
        <v>FY 2026-27</v>
      </c>
    </row>
    <row r="45" spans="3:17" x14ac:dyDescent="0.35">
      <c r="C45" s="242" t="s">
        <v>306</v>
      </c>
      <c r="D45" s="258">
        <v>0</v>
      </c>
      <c r="E45" s="259">
        <v>0</v>
      </c>
      <c r="F45" s="258">
        <v>0</v>
      </c>
      <c r="G45" s="258">
        <v>0</v>
      </c>
      <c r="H45" s="259">
        <v>0</v>
      </c>
      <c r="I45" s="258">
        <v>0</v>
      </c>
      <c r="J45" s="258">
        <v>0</v>
      </c>
      <c r="K45" s="259">
        <v>0</v>
      </c>
      <c r="L45" s="258">
        <v>0</v>
      </c>
      <c r="M45" s="258">
        <v>0</v>
      </c>
      <c r="N45" s="259">
        <v>0</v>
      </c>
      <c r="O45" s="258">
        <v>0</v>
      </c>
      <c r="P45" s="281">
        <f>SUM(D45:O45)</f>
        <v>0</v>
      </c>
    </row>
    <row r="46" spans="3:17" x14ac:dyDescent="0.35">
      <c r="C46" s="242" t="s">
        <v>307</v>
      </c>
      <c r="D46" s="258">
        <v>0</v>
      </c>
      <c r="E46" s="259">
        <v>0</v>
      </c>
      <c r="F46" s="258">
        <v>0</v>
      </c>
      <c r="G46" s="258">
        <v>0</v>
      </c>
      <c r="H46" s="259">
        <v>0</v>
      </c>
      <c r="I46" s="258">
        <v>0</v>
      </c>
      <c r="J46" s="258">
        <v>0</v>
      </c>
      <c r="K46" s="259">
        <v>0</v>
      </c>
      <c r="L46" s="258">
        <v>0</v>
      </c>
      <c r="M46" s="258">
        <v>0</v>
      </c>
      <c r="N46" s="259">
        <v>0</v>
      </c>
      <c r="O46" s="258">
        <v>0</v>
      </c>
      <c r="P46" s="258">
        <f>SUM(D46:O46)</f>
        <v>0</v>
      </c>
    </row>
    <row r="47" spans="3:17" x14ac:dyDescent="0.35">
      <c r="C47" s="242" t="s">
        <v>67</v>
      </c>
      <c r="D47" s="258">
        <v>0</v>
      </c>
      <c r="E47" s="259">
        <v>0</v>
      </c>
      <c r="F47" s="258">
        <v>0</v>
      </c>
      <c r="G47" s="258">
        <v>0</v>
      </c>
      <c r="H47" s="259">
        <v>0</v>
      </c>
      <c r="I47" s="258">
        <v>0</v>
      </c>
      <c r="J47" s="258">
        <v>0</v>
      </c>
      <c r="K47" s="259">
        <v>0</v>
      </c>
      <c r="L47" s="258">
        <v>0</v>
      </c>
      <c r="M47" s="258">
        <v>0</v>
      </c>
      <c r="N47" s="259">
        <v>0</v>
      </c>
      <c r="O47" s="258">
        <v>0</v>
      </c>
      <c r="P47" s="258">
        <f>SUM(D47:O47)</f>
        <v>0</v>
      </c>
    </row>
    <row r="48" spans="3:17" x14ac:dyDescent="0.35">
      <c r="C48" s="242" t="s">
        <v>68</v>
      </c>
      <c r="D48" s="282">
        <f t="shared" ref="D48:P48" si="29">IFERROR(D47/D19,0)</f>
        <v>0</v>
      </c>
      <c r="E48" s="283">
        <f t="shared" si="29"/>
        <v>0</v>
      </c>
      <c r="F48" s="282">
        <f t="shared" si="29"/>
        <v>0</v>
      </c>
      <c r="G48" s="282">
        <f t="shared" si="29"/>
        <v>0</v>
      </c>
      <c r="H48" s="283">
        <f>IFERROR(H47/#REF!,0)</f>
        <v>0</v>
      </c>
      <c r="I48" s="282">
        <f t="shared" si="29"/>
        <v>0</v>
      </c>
      <c r="J48" s="282">
        <f t="shared" si="29"/>
        <v>0</v>
      </c>
      <c r="K48" s="283">
        <f t="shared" si="29"/>
        <v>0</v>
      </c>
      <c r="L48" s="282">
        <f t="shared" si="29"/>
        <v>0</v>
      </c>
      <c r="M48" s="282">
        <f t="shared" si="29"/>
        <v>0</v>
      </c>
      <c r="N48" s="283">
        <f t="shared" si="29"/>
        <v>0</v>
      </c>
      <c r="O48" s="282">
        <f t="shared" si="29"/>
        <v>0</v>
      </c>
      <c r="P48" s="282">
        <f t="shared" si="29"/>
        <v>0</v>
      </c>
    </row>
    <row r="49" spans="3:18" ht="16" thickBot="1" x14ac:dyDescent="0.4">
      <c r="C49" s="277" t="s">
        <v>70</v>
      </c>
      <c r="D49" s="280">
        <v>0</v>
      </c>
      <c r="E49" s="284">
        <v>0</v>
      </c>
      <c r="F49" s="280">
        <v>0</v>
      </c>
      <c r="G49" s="280">
        <v>0</v>
      </c>
      <c r="H49" s="284">
        <v>0</v>
      </c>
      <c r="I49" s="280">
        <v>0</v>
      </c>
      <c r="J49" s="280">
        <v>0</v>
      </c>
      <c r="K49" s="284">
        <v>0</v>
      </c>
      <c r="L49" s="280">
        <v>0</v>
      </c>
      <c r="M49" s="280">
        <v>0</v>
      </c>
      <c r="N49" s="284">
        <v>0</v>
      </c>
      <c r="O49" s="280">
        <v>0</v>
      </c>
      <c r="P49" s="280">
        <f>SUM(D49:O49)</f>
        <v>0</v>
      </c>
      <c r="Q49" s="252"/>
    </row>
    <row r="50" spans="3:18" ht="16" thickBot="1" x14ac:dyDescent="0.4">
      <c r="C50" s="235"/>
      <c r="Q50" s="285"/>
    </row>
    <row r="51" spans="3:18" x14ac:dyDescent="0.35">
      <c r="C51" s="267" t="s">
        <v>136</v>
      </c>
      <c r="D51" s="239">
        <f>D44</f>
        <v>46113</v>
      </c>
      <c r="E51" s="239">
        <f t="shared" ref="E51:P51" si="30">E44</f>
        <v>46143</v>
      </c>
      <c r="F51" s="239">
        <f t="shared" si="30"/>
        <v>46174</v>
      </c>
      <c r="G51" s="239">
        <f t="shared" si="30"/>
        <v>46204</v>
      </c>
      <c r="H51" s="239">
        <f t="shared" si="30"/>
        <v>46235</v>
      </c>
      <c r="I51" s="239">
        <f t="shared" si="30"/>
        <v>46266</v>
      </c>
      <c r="J51" s="239">
        <f t="shared" si="30"/>
        <v>46296</v>
      </c>
      <c r="K51" s="239">
        <f t="shared" si="30"/>
        <v>46327</v>
      </c>
      <c r="L51" s="239">
        <f t="shared" si="30"/>
        <v>46357</v>
      </c>
      <c r="M51" s="239">
        <f t="shared" si="30"/>
        <v>46388</v>
      </c>
      <c r="N51" s="239">
        <f t="shared" si="30"/>
        <v>46419</v>
      </c>
      <c r="O51" s="239">
        <f t="shared" si="30"/>
        <v>46447</v>
      </c>
      <c r="P51" s="239" t="str">
        <f t="shared" si="30"/>
        <v>FY 2026-27</v>
      </c>
      <c r="Q51" s="342">
        <f>ROUND(Q52-Q53,2)-ROUND(P36-P12,2)</f>
        <v>0</v>
      </c>
    </row>
    <row r="52" spans="3:18" x14ac:dyDescent="0.35">
      <c r="C52" s="268" t="s">
        <v>108</v>
      </c>
      <c r="D52" s="286">
        <f>-SUMIFS(Details!$AL$4:$AL$8,Details!$C$4:$C$8,Summary!D51)</f>
        <v>22467.625</v>
      </c>
      <c r="E52" s="286">
        <f>-SUMIFS(Details!$AL$4:$AL$8,Details!$C$4:$C$8,Summary!E51)</f>
        <v>0</v>
      </c>
      <c r="F52" s="286">
        <f>-SUMIFS(Details!$AL$4:$AL$8,Details!$C$4:$C$8,Summary!F51)</f>
        <v>0</v>
      </c>
      <c r="G52" s="286">
        <f>-SUMIFS(Details!$AL$4:$AL$8,Details!$C$4:$C$8,Summary!G51)</f>
        <v>0</v>
      </c>
      <c r="H52" s="286">
        <f>-SUMIFS(Details!$AL$4:$AL$8,Details!$C$4:$C$8,Summary!H51)</f>
        <v>0</v>
      </c>
      <c r="I52" s="286">
        <f>-SUMIFS(Details!$AL$4:$AL$8,Details!$C$4:$C$8,Summary!I51)</f>
        <v>0</v>
      </c>
      <c r="J52" s="286">
        <f>-SUMIFS(Details!$AL$4:$AL$8,Details!$C$4:$C$8,Summary!J51)</f>
        <v>0</v>
      </c>
      <c r="K52" s="286">
        <f>-SUMIFS(Details!$AL$4:$AL$8,Details!$C$4:$C$8,Summary!K51)</f>
        <v>0</v>
      </c>
      <c r="L52" s="286">
        <f>-SUMIFS(Details!$AL$4:$AL$8,Details!$C$4:$C$8,Summary!L51)</f>
        <v>0</v>
      </c>
      <c r="M52" s="286">
        <f>-SUMIFS(Details!$AL$4:$AL$8,Details!$C$4:$C$8,Summary!M51)</f>
        <v>0</v>
      </c>
      <c r="N52" s="286">
        <f>-SUMIFS(Details!$AL$4:$AL$8,Details!$C$4:$C$8,Summary!N51)</f>
        <v>0</v>
      </c>
      <c r="O52" s="286">
        <f>-SUMIFS(Details!$AL$4:$AL$8,Details!$C$4:$C$8,Summary!O51)</f>
        <v>0</v>
      </c>
      <c r="P52" s="287">
        <f>SUM(D52:O52)</f>
        <v>22467.625</v>
      </c>
      <c r="Q52" s="288">
        <f>Details!AL9</f>
        <v>-22467.625</v>
      </c>
      <c r="R52" s="236">
        <f>Q52+P52</f>
        <v>0</v>
      </c>
    </row>
    <row r="53" spans="3:18" ht="16" thickBot="1" x14ac:dyDescent="0.4">
      <c r="C53" s="272" t="s">
        <v>109</v>
      </c>
      <c r="D53" s="289">
        <f>-SUMIFS(Details!$BK$4:$BK$8,Details!$C$4:$C$8,Summary!D51)</f>
        <v>37812.5</v>
      </c>
      <c r="E53" s="289">
        <f>-SUMIFS(Details!$BK$4:$BK$8,Details!$C$4:$C$8,Summary!E51)</f>
        <v>0</v>
      </c>
      <c r="F53" s="289">
        <f>-SUMIFS(Details!$BK$4:$BK$8,Details!$C$4:$C$8,Summary!F51)</f>
        <v>0</v>
      </c>
      <c r="G53" s="289">
        <f>-SUMIFS(Details!$BK$4:$BK$8,Details!$C$4:$C$8,Summary!G51)</f>
        <v>0</v>
      </c>
      <c r="H53" s="289">
        <f>-SUMIFS(Details!$BK$4:$BK$8,Details!$C$4:$C$8,Summary!H51)</f>
        <v>0</v>
      </c>
      <c r="I53" s="289">
        <f>-SUMIFS(Details!$BK$4:$BK$8,Details!$C$4:$C$8,Summary!I51)</f>
        <v>0</v>
      </c>
      <c r="J53" s="289">
        <f>-SUMIFS(Details!$BK$4:$BK$8,Details!$C$4:$C$8,Summary!J51)</f>
        <v>0</v>
      </c>
      <c r="K53" s="289">
        <f>-SUMIFS(Details!$BK$4:$BK$8,Details!$C$4:$C$8,Summary!K51)</f>
        <v>0</v>
      </c>
      <c r="L53" s="289">
        <f>-SUMIFS(Details!$BK$4:$BK$8,Details!$C$4:$C$8,Summary!L51)</f>
        <v>0</v>
      </c>
      <c r="M53" s="289">
        <f>-SUMIFS(Details!$BK$4:$BK$8,Details!$C$4:$C$8,Summary!M51)</f>
        <v>0</v>
      </c>
      <c r="N53" s="289">
        <f>-SUMIFS(Details!$BK$4:$BK$8,Details!$C$4:$C$8,Summary!N51)</f>
        <v>0</v>
      </c>
      <c r="O53" s="289">
        <f>-SUMIFS(Details!$BK$4:$BK$8,Details!$C$4:$C$8,Summary!O51)</f>
        <v>0</v>
      </c>
      <c r="P53" s="290">
        <f>SUM(D53:O53)</f>
        <v>37812.5</v>
      </c>
      <c r="Q53" s="288">
        <f>Details!BK9</f>
        <v>-37812.5</v>
      </c>
      <c r="R53" s="236">
        <f>Q53+P53</f>
        <v>0</v>
      </c>
    </row>
    <row r="54" spans="3:18" ht="16" thickBot="1" x14ac:dyDescent="0.4">
      <c r="C54" s="235"/>
      <c r="D54" s="285"/>
      <c r="E54" s="285"/>
    </row>
    <row r="55" spans="3:18" x14ac:dyDescent="0.35">
      <c r="C55" s="240" t="s">
        <v>165</v>
      </c>
      <c r="D55" s="240">
        <f t="shared" ref="D55:P55" si="31">D51</f>
        <v>46113</v>
      </c>
      <c r="E55" s="240">
        <f t="shared" si="31"/>
        <v>46143</v>
      </c>
      <c r="F55" s="240">
        <f t="shared" si="31"/>
        <v>46174</v>
      </c>
      <c r="G55" s="240">
        <f t="shared" si="31"/>
        <v>46204</v>
      </c>
      <c r="H55" s="240">
        <f t="shared" si="31"/>
        <v>46235</v>
      </c>
      <c r="I55" s="240">
        <f t="shared" si="31"/>
        <v>46266</v>
      </c>
      <c r="J55" s="240">
        <f t="shared" si="31"/>
        <v>46296</v>
      </c>
      <c r="K55" s="240">
        <f t="shared" si="31"/>
        <v>46327</v>
      </c>
      <c r="L55" s="240">
        <f t="shared" si="31"/>
        <v>46357</v>
      </c>
      <c r="M55" s="240">
        <f t="shared" si="31"/>
        <v>46388</v>
      </c>
      <c r="N55" s="240">
        <f t="shared" si="31"/>
        <v>46419</v>
      </c>
      <c r="O55" s="240">
        <f t="shared" si="31"/>
        <v>46447</v>
      </c>
      <c r="P55" s="240" t="str">
        <f t="shared" si="31"/>
        <v>FY 2026-27</v>
      </c>
    </row>
    <row r="56" spans="3:18" ht="16" thickBot="1" x14ac:dyDescent="0.4">
      <c r="C56" s="292"/>
      <c r="D56" s="293">
        <f>SUMIFS(Details!$R$5:$R$8,Details!$C$5:$C$8,Summary!D55)/1000</f>
        <v>0</v>
      </c>
      <c r="E56" s="291">
        <f>SUMIFS(Details!$R$5:$R$8,Details!$C$5:$C$8,Summary!E55)/1000</f>
        <v>0</v>
      </c>
      <c r="F56" s="293">
        <f>SUMIFS(Details!$R$5:$R$8,Details!$C$5:$C$8,Summary!F55)/1000</f>
        <v>0</v>
      </c>
      <c r="G56" s="291">
        <f>SUMIFS(Details!$R$5:$R$8,Details!$C$5:$C$8,Summary!G55)/1000</f>
        <v>0</v>
      </c>
      <c r="H56" s="293">
        <f>SUMIFS(Details!$R$5:$R$8,Details!$C$5:$C$8,Summary!H55)/1000</f>
        <v>0</v>
      </c>
      <c r="I56" s="291">
        <f>SUMIFS(Details!$R$5:$R$8,Details!$C$5:$C$8,Summary!I55)/1000</f>
        <v>0</v>
      </c>
      <c r="J56" s="293">
        <f>SUMIFS(Details!$R$5:$R$8,Details!$C$5:$C$8,Summary!J55)/1000</f>
        <v>0</v>
      </c>
      <c r="K56" s="291">
        <f>SUMIFS(Details!$R$5:$R$8,Details!$C$5:$C$8,Summary!K55)/1000</f>
        <v>0</v>
      </c>
      <c r="L56" s="293">
        <f>SUMIFS(Details!$R$5:$R$8,Details!$C$5:$C$8,Summary!L55)/1000</f>
        <v>0</v>
      </c>
      <c r="M56" s="291">
        <f>SUMIFS(Details!$R$5:$R$8,Details!$C$5:$C$8,Summary!M55)/1000</f>
        <v>0</v>
      </c>
      <c r="N56" s="293">
        <f>SUMIFS(Details!$R$5:$R$8,Details!$C$5:$C$8,Summary!N55)/1000</f>
        <v>0</v>
      </c>
      <c r="O56" s="291">
        <f>SUMIFS(Details!$R$5:$R$8,Details!$C$5:$C$8,Summary!O55)/1000</f>
        <v>0</v>
      </c>
      <c r="P56" s="294">
        <f>SUM(D56:O56)</f>
        <v>0</v>
      </c>
    </row>
    <row r="57" spans="3:18" ht="16" thickBot="1" x14ac:dyDescent="0.4">
      <c r="C57" s="235"/>
      <c r="R57" s="235"/>
    </row>
    <row r="58" spans="3:18" ht="16" thickBot="1" x14ac:dyDescent="0.4">
      <c r="C58" s="241" t="s">
        <v>300</v>
      </c>
      <c r="D58" s="239">
        <v>45748</v>
      </c>
      <c r="E58" s="239">
        <v>45778</v>
      </c>
      <c r="F58" s="239">
        <v>45809</v>
      </c>
      <c r="G58" s="239">
        <v>45839</v>
      </c>
      <c r="H58" s="239">
        <v>45870</v>
      </c>
      <c r="I58" s="239">
        <v>45901</v>
      </c>
      <c r="J58" s="239">
        <v>45931</v>
      </c>
      <c r="K58" s="239">
        <v>45962</v>
      </c>
      <c r="L58" s="239">
        <v>45992</v>
      </c>
      <c r="M58" s="239">
        <v>46023</v>
      </c>
      <c r="N58" s="239">
        <v>46054</v>
      </c>
      <c r="O58" s="239">
        <v>46082</v>
      </c>
      <c r="P58" s="239" t="s">
        <v>174</v>
      </c>
    </row>
    <row r="59" spans="3:18" x14ac:dyDescent="0.35">
      <c r="C59" s="308" t="s">
        <v>181</v>
      </c>
      <c r="D59" s="308">
        <f>SUMIFS(Details!$CI$5:$CI$8,Details!$C$5:$C$8,Summary!D$58)</f>
        <v>0</v>
      </c>
      <c r="E59" s="308">
        <f>SUMIFS(Details!$CI$5:$CI$8,Details!$C$5:$C$8,Summary!E$58)</f>
        <v>0</v>
      </c>
      <c r="F59" s="308">
        <f>SUMIFS(Details!$CI$5:$CI$8,Details!$C$5:$C$8,Summary!F$58)</f>
        <v>0</v>
      </c>
      <c r="G59" s="308">
        <f>SUMIFS(Details!$CI$5:$CI$8,Details!$C$5:$C$8,Summary!G$58)</f>
        <v>0</v>
      </c>
      <c r="H59" s="308">
        <f>SUMIFS(Details!$CI$5:$CI$8,Details!$C$5:$C$8,Summary!H$58)</f>
        <v>0</v>
      </c>
      <c r="I59" s="308">
        <f>SUMIFS(Details!$CI$5:$CI$8,Details!$C$5:$C$8,Summary!I$58)</f>
        <v>0</v>
      </c>
      <c r="J59" s="308">
        <f>SUMIFS(Details!$CI$5:$CI$8,Details!$C$5:$C$8,Summary!J$58)</f>
        <v>0</v>
      </c>
      <c r="K59" s="308">
        <f>SUMIFS(Details!$CI$5:$CI$8,Details!$C$5:$C$8,Summary!K$58)</f>
        <v>0</v>
      </c>
      <c r="L59" s="308">
        <f>SUMIFS(Details!$CI$5:$CI$8,Details!$C$5:$C$8,Summary!L$58)</f>
        <v>0</v>
      </c>
      <c r="M59" s="308">
        <f>SUMIFS(Details!$CI$5:$CI$8,Details!$C$5:$C$8,Summary!M$58)</f>
        <v>0</v>
      </c>
      <c r="N59" s="308">
        <f>SUMIFS(Details!$CI$5:$CI$8,Details!$C$5:$C$8,Summary!N$58)</f>
        <v>0</v>
      </c>
      <c r="O59" s="308">
        <f>SUMIFS(Details!$CI$5:$CI$8,Details!$C$5:$C$8,Summary!O$58)</f>
        <v>0</v>
      </c>
      <c r="P59" s="309">
        <f>SUM(D59:O59)</f>
        <v>0</v>
      </c>
    </row>
    <row r="60" spans="3:18" x14ac:dyDescent="0.35">
      <c r="C60" s="310" t="s">
        <v>182</v>
      </c>
      <c r="D60" s="310">
        <f>SUMIFS(Details!$CJ$5:$CJ$8,Details!$C$5:$C$8,Summary!D$58)</f>
        <v>0</v>
      </c>
      <c r="E60" s="310">
        <f>SUMIFS(Details!$CJ$5:$CJ$8,Details!$C$5:$C$8,Summary!E$58)</f>
        <v>0</v>
      </c>
      <c r="F60" s="310">
        <f>SUMIFS(Details!$CJ$5:$CJ$8,Details!$C$5:$C$8,Summary!F$58)</f>
        <v>0</v>
      </c>
      <c r="G60" s="310">
        <f>SUMIFS(Details!$CJ$5:$CJ$8,Details!$C$5:$C$8,Summary!G$58)</f>
        <v>0</v>
      </c>
      <c r="H60" s="310">
        <f>SUMIFS(Details!$CJ$5:$CJ$8,Details!$C$5:$C$8,Summary!H$58)</f>
        <v>0</v>
      </c>
      <c r="I60" s="310">
        <f>SUMIFS(Details!$CJ$5:$CJ$8,Details!$C$5:$C$8,Summary!I$58)</f>
        <v>0</v>
      </c>
      <c r="J60" s="310">
        <f>SUMIFS(Details!$CJ$5:$CJ$8,Details!$C$5:$C$8,Summary!J$58)</f>
        <v>0</v>
      </c>
      <c r="K60" s="310">
        <f>SUMIFS(Details!$CJ$5:$CJ$8,Details!$C$5:$C$8,Summary!K$58)</f>
        <v>0</v>
      </c>
      <c r="L60" s="310">
        <f>SUMIFS(Details!$CJ$5:$CJ$8,Details!$C$5:$C$8,Summary!L$58)</f>
        <v>0</v>
      </c>
      <c r="M60" s="310">
        <f>SUMIFS(Details!$CJ$5:$CJ$8,Details!$C$5:$C$8,Summary!M$58)</f>
        <v>0</v>
      </c>
      <c r="N60" s="310">
        <f>SUMIFS(Details!$CJ$5:$CJ$8,Details!$C$5:$C$8,Summary!N$58)</f>
        <v>0</v>
      </c>
      <c r="O60" s="310">
        <f>SUMIFS(Details!$CJ$5:$CJ$8,Details!$C$5:$C$8,Summary!O$58)</f>
        <v>0</v>
      </c>
      <c r="P60" s="243">
        <f t="shared" ref="P60:P61" si="32">SUM(D60:O60)</f>
        <v>0</v>
      </c>
    </row>
    <row r="61" spans="3:18" ht="16" thickBot="1" x14ac:dyDescent="0.4">
      <c r="C61" s="311" t="s">
        <v>183</v>
      </c>
      <c r="D61" s="311">
        <f>SUMIFS(Details!$CK$5:$CK$8,Details!$C$5:$C$8,Summary!D$58)</f>
        <v>0</v>
      </c>
      <c r="E61" s="311">
        <f>SUMIFS(Details!$CK$5:$CK$8,Details!$C$5:$C$8,Summary!E$58)</f>
        <v>0</v>
      </c>
      <c r="F61" s="311">
        <f>SUMIFS(Details!$CK$5:$CK$8,Details!$C$5:$C$8,Summary!F$58)</f>
        <v>0</v>
      </c>
      <c r="G61" s="311">
        <f>SUMIFS(Details!$CK$5:$CK$8,Details!$C$5:$C$8,Summary!G$58)</f>
        <v>0</v>
      </c>
      <c r="H61" s="311">
        <f>SUMIFS(Details!$CK$5:$CK$8,Details!$C$5:$C$8,Summary!H$58)</f>
        <v>0</v>
      </c>
      <c r="I61" s="311">
        <f>SUMIFS(Details!$CK$5:$CK$8,Details!$C$5:$C$8,Summary!I$58)</f>
        <v>0</v>
      </c>
      <c r="J61" s="311">
        <f>SUMIFS(Details!$CK$5:$CK$8,Details!$C$5:$C$8,Summary!J$58)</f>
        <v>0</v>
      </c>
      <c r="K61" s="311">
        <f>SUMIFS(Details!$CK$5:$CK$8,Details!$C$5:$C$8,Summary!K$58)</f>
        <v>0</v>
      </c>
      <c r="L61" s="311">
        <f>SUMIFS(Details!$CK$5:$CK$8,Details!$C$5:$C$8,Summary!L$58)</f>
        <v>0</v>
      </c>
      <c r="M61" s="311">
        <f>SUMIFS(Details!$CK$5:$CK$8,Details!$C$5:$C$8,Summary!M$58)</f>
        <v>0</v>
      </c>
      <c r="N61" s="311">
        <f>SUMIFS(Details!$CK$5:$CK$8,Details!$C$5:$C$8,Summary!N$58)</f>
        <v>0</v>
      </c>
      <c r="O61" s="311">
        <f>SUMIFS(Details!$CK$5:$CK$8,Details!$C$5:$C$8,Summary!O$58)</f>
        <v>0</v>
      </c>
      <c r="P61" s="312">
        <f t="shared" si="32"/>
        <v>0</v>
      </c>
    </row>
    <row r="62" spans="3:18" ht="16" thickBot="1" x14ac:dyDescent="0.4">
      <c r="C62" s="235"/>
      <c r="D62" s="285"/>
      <c r="E62" s="285"/>
    </row>
    <row r="63" spans="3:18" x14ac:dyDescent="0.35">
      <c r="C63" s="313" t="s">
        <v>301</v>
      </c>
      <c r="D63" s="240" t="s">
        <v>1</v>
      </c>
      <c r="E63" s="314" t="s">
        <v>2</v>
      </c>
      <c r="G63" s="236"/>
    </row>
    <row r="64" spans="3:18" x14ac:dyDescent="0.35">
      <c r="C64" s="315">
        <f>Details!P22</f>
        <v>46194</v>
      </c>
      <c r="D64" s="316">
        <f>SUMIFS(Details!$BL$5:$BL$8,Details!$D$5:$D$8,Summary!C64)*118%</f>
        <v>0</v>
      </c>
      <c r="E64" s="318">
        <f>SUMIFS(Details!$AM$5:$AM$8,Details!$D$5:$D$8,Summary!C64)*118%</f>
        <v>0</v>
      </c>
      <c r="G64" s="236"/>
    </row>
    <row r="65" spans="3:7" x14ac:dyDescent="0.35">
      <c r="C65" s="242" t="str">
        <f>TEXT(C64,"mmm-yy")</f>
        <v>Jun-26</v>
      </c>
      <c r="D65" s="316">
        <f>SUMIFS(Details!$BL$5:$BL$8,Details!$C$5:$C$8,Summary!C65)*118%</f>
        <v>0</v>
      </c>
      <c r="E65" s="318">
        <f>SUMIFS(Details!$AM$5:$AM$8,Details!$C$5:$C$8,Summary!C65)*118%</f>
        <v>0</v>
      </c>
      <c r="G65" s="236"/>
    </row>
    <row r="66" spans="3:7" ht="16" thickBot="1" x14ac:dyDescent="0.4">
      <c r="C66" s="277" t="s">
        <v>302</v>
      </c>
      <c r="D66" s="317">
        <f>Details!BL9*118%</f>
        <v>2578341.2999999998</v>
      </c>
      <c r="E66" s="319">
        <f>Details!AM9*118%</f>
        <v>2534476.0094999997</v>
      </c>
      <c r="G66" s="236"/>
    </row>
    <row r="67" spans="3:7" x14ac:dyDescent="0.35">
      <c r="D67" s="285"/>
      <c r="E67" s="285"/>
    </row>
    <row r="68" spans="3:7" x14ac:dyDescent="0.35">
      <c r="D68" s="285"/>
      <c r="E68" s="285"/>
    </row>
    <row r="69" spans="3:7" x14ac:dyDescent="0.35">
      <c r="D69" s="285"/>
      <c r="E69" s="285"/>
    </row>
    <row r="70" spans="3:7" x14ac:dyDescent="0.35">
      <c r="D70" s="285"/>
      <c r="E70" s="285"/>
    </row>
    <row r="71" spans="3:7" x14ac:dyDescent="0.35">
      <c r="D71" s="285"/>
      <c r="E71" s="285"/>
    </row>
    <row r="72" spans="3:7" x14ac:dyDescent="0.35">
      <c r="D72" s="285"/>
      <c r="E72" s="285"/>
    </row>
    <row r="73" spans="3:7" x14ac:dyDescent="0.35">
      <c r="D73" s="285"/>
      <c r="E73" s="285"/>
    </row>
    <row r="74" spans="3:7" x14ac:dyDescent="0.35">
      <c r="D74" s="285"/>
      <c r="E74" s="285"/>
    </row>
    <row r="75" spans="3:7" x14ac:dyDescent="0.35">
      <c r="D75" s="285"/>
      <c r="E75" s="285"/>
    </row>
    <row r="76" spans="3:7" x14ac:dyDescent="0.35">
      <c r="D76" s="285"/>
      <c r="E76" s="285"/>
    </row>
    <row r="77" spans="3:7" x14ac:dyDescent="0.35">
      <c r="D77" s="285"/>
      <c r="E77" s="285"/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2:CY51"/>
  <sheetViews>
    <sheetView showGridLines="0" zoomScale="93" zoomScaleNormal="100" workbookViewId="0">
      <pane xSplit="5" ySplit="4" topLeftCell="AG5" activePane="bottomRight" state="frozen"/>
      <selection pane="topRight" activeCell="F1" sqref="F1"/>
      <selection pane="bottomLeft" activeCell="A5" sqref="A5"/>
      <selection pane="bottomRight" activeCell="AK22" sqref="AK22"/>
    </sheetView>
  </sheetViews>
  <sheetFormatPr defaultColWidth="7.90625" defaultRowHeight="10.5" x14ac:dyDescent="0.25"/>
  <cols>
    <col min="1" max="1" width="2.90625" style="87" customWidth="1"/>
    <col min="2" max="2" width="7.81640625" style="87" bestFit="1" customWidth="1"/>
    <col min="3" max="3" width="6.90625" style="87" bestFit="1" customWidth="1"/>
    <col min="4" max="4" width="8.90625" style="87" bestFit="1" customWidth="1"/>
    <col min="5" max="5" width="11.453125" style="97" bestFit="1" customWidth="1"/>
    <col min="6" max="6" width="29.453125" style="89" bestFit="1" customWidth="1"/>
    <col min="7" max="7" width="16.1796875" style="87" bestFit="1" customWidth="1"/>
    <col min="8" max="8" width="16.54296875" style="89" bestFit="1" customWidth="1"/>
    <col min="9" max="9" width="16.7265625" style="90" bestFit="1" customWidth="1"/>
    <col min="10" max="10" width="15.26953125" style="102" bestFit="1" customWidth="1"/>
    <col min="11" max="11" width="8.90625" style="90" bestFit="1" customWidth="1"/>
    <col min="12" max="12" width="12.08984375" style="107" bestFit="1" customWidth="1"/>
    <col min="13" max="13" width="11.36328125" style="89" bestFit="1" customWidth="1"/>
    <col min="14" max="14" width="30.1796875" style="110" bestFit="1" customWidth="1"/>
    <col min="15" max="15" width="8.6328125" style="110" bestFit="1" customWidth="1"/>
    <col min="16" max="16" width="8.90625" style="102" bestFit="1" customWidth="1"/>
    <col min="17" max="17" width="13" style="87" bestFit="1" customWidth="1"/>
    <col min="18" max="18" width="10.26953125" style="87" bestFit="1" customWidth="1"/>
    <col min="19" max="19" width="7.81640625" style="87" bestFit="1" customWidth="1"/>
    <col min="20" max="20" width="16.90625" style="87" bestFit="1" customWidth="1"/>
    <col min="21" max="21" width="22.36328125" style="107" bestFit="1" customWidth="1"/>
    <col min="22" max="22" width="13.26953125" style="93" bestFit="1" customWidth="1"/>
    <col min="23" max="23" width="7" style="93" bestFit="1" customWidth="1"/>
    <col min="24" max="24" width="7.54296875" style="89" bestFit="1" customWidth="1"/>
    <col min="25" max="25" width="11.90625" style="87" bestFit="1" customWidth="1"/>
    <col min="26" max="26" width="22.08984375" style="87" bestFit="1" customWidth="1"/>
    <col min="27" max="27" width="16" style="87" bestFit="1" customWidth="1"/>
    <col min="28" max="28" width="16.54296875" style="87" bestFit="1" customWidth="1"/>
    <col min="29" max="29" width="14.81640625" style="87" bestFit="1" customWidth="1"/>
    <col min="30" max="30" width="8.90625" style="102" bestFit="1" customWidth="1"/>
    <col min="31" max="31" width="16" style="102" bestFit="1" customWidth="1"/>
    <col min="32" max="32" width="16.6328125" style="110" bestFit="1" customWidth="1"/>
    <col min="33" max="33" width="14.90625" style="110" bestFit="1" customWidth="1"/>
    <col min="34" max="34" width="14.81640625" style="89" bestFit="1" customWidth="1"/>
    <col min="35" max="35" width="17.7265625" style="87" bestFit="1" customWidth="1"/>
    <col min="36" max="36" width="13.453125" style="87" bestFit="1" customWidth="1"/>
    <col min="37" max="37" width="15.7265625" style="87" bestFit="1" customWidth="1"/>
    <col min="38" max="38" width="14.453125" style="87" bestFit="1" customWidth="1"/>
    <col min="39" max="39" width="9.453125" style="102" bestFit="1" customWidth="1"/>
    <col min="40" max="40" width="8.90625" style="87" bestFit="1" customWidth="1"/>
    <col min="41" max="41" width="15.54296875" style="87" bestFit="1" customWidth="1"/>
    <col min="42" max="42" width="17.54296875" style="87" bestFit="1" customWidth="1"/>
    <col min="43" max="43" width="30.26953125" style="87" bestFit="1" customWidth="1"/>
    <col min="44" max="44" width="16.81640625" style="113" bestFit="1" customWidth="1"/>
    <col min="45" max="45" width="22.453125" style="87" bestFit="1" customWidth="1"/>
    <col min="46" max="46" width="19.08984375" style="87" bestFit="1" customWidth="1"/>
    <col min="47" max="47" width="16.54296875" style="87" bestFit="1" customWidth="1"/>
    <col min="48" max="48" width="15.90625" style="87" bestFit="1" customWidth="1"/>
    <col min="49" max="49" width="7.54296875" style="326" bestFit="1" customWidth="1"/>
    <col min="50" max="50" width="33.81640625" style="87" bestFit="1" customWidth="1"/>
    <col min="51" max="51" width="8.6328125" style="87" bestFit="1" customWidth="1"/>
    <col min="52" max="52" width="9.453125" style="87" bestFit="1" customWidth="1"/>
    <col min="53" max="53" width="10.26953125" style="87" bestFit="1" customWidth="1"/>
    <col min="54" max="54" width="7.81640625" style="87" bestFit="1" customWidth="1"/>
    <col min="55" max="55" width="16" style="87" bestFit="1" customWidth="1"/>
    <col min="56" max="56" width="11.26953125" style="87" bestFit="1" customWidth="1"/>
    <col min="57" max="57" width="18.7265625" style="333" bestFit="1" customWidth="1"/>
    <col min="58" max="58" width="11.81640625" style="87" bestFit="1" customWidth="1"/>
    <col min="59" max="59" width="14.90625" style="87" bestFit="1" customWidth="1"/>
    <col min="60" max="60" width="12.6328125" style="87" bestFit="1" customWidth="1"/>
    <col min="61" max="61" width="14.81640625" style="110" bestFit="1" customWidth="1"/>
    <col min="62" max="62" width="16.1796875" style="87" bestFit="1" customWidth="1"/>
    <col min="63" max="63" width="14.26953125" style="87" bestFit="1" customWidth="1"/>
    <col min="64" max="64" width="11.81640625" style="87" bestFit="1" customWidth="1"/>
    <col min="65" max="65" width="8.6328125" style="87" bestFit="1" customWidth="1"/>
    <col min="66" max="66" width="15.453125" style="89" bestFit="1" customWidth="1"/>
    <col min="67" max="67" width="15.08984375" style="115" bestFit="1" customWidth="1"/>
    <col min="68" max="68" width="14.453125" style="87" bestFit="1" customWidth="1"/>
    <col min="69" max="69" width="21" style="87" bestFit="1" customWidth="1"/>
    <col min="70" max="70" width="10.1796875" style="87" bestFit="1" customWidth="1"/>
    <col min="71" max="71" width="13" style="87" bestFit="1" customWidth="1"/>
    <col min="72" max="72" width="20.36328125" style="87" bestFit="1" customWidth="1"/>
    <col min="73" max="73" width="20.54296875" style="89" bestFit="1" customWidth="1"/>
    <col min="74" max="74" width="7.7265625" style="87" bestFit="1" customWidth="1"/>
    <col min="75" max="75" width="9.26953125" style="87" bestFit="1" customWidth="1"/>
    <col min="76" max="76" width="9.453125" style="87" bestFit="1" customWidth="1"/>
    <col min="77" max="77" width="6.26953125" style="97" bestFit="1" customWidth="1"/>
    <col min="78" max="78" width="20.81640625" style="87" bestFit="1" customWidth="1"/>
    <col min="79" max="79" width="12.1796875" style="87" bestFit="1" customWidth="1"/>
    <col min="80" max="81" width="8.6328125" style="87" bestFit="1" customWidth="1"/>
    <col min="82" max="82" width="8.453125" style="87" bestFit="1" customWidth="1"/>
    <col min="83" max="83" width="9.26953125" style="89" bestFit="1" customWidth="1"/>
    <col min="84" max="84" width="17" style="87" bestFit="1" customWidth="1"/>
    <col min="85" max="85" width="13.54296875" style="87" bestFit="1" customWidth="1"/>
    <col min="86" max="86" width="10.453125" style="87" bestFit="1" customWidth="1"/>
    <col min="87" max="87" width="12" style="87" bestFit="1" customWidth="1"/>
    <col min="88" max="88" width="13.54296875" style="87" bestFit="1" customWidth="1"/>
    <col min="89" max="89" width="10.54296875" style="87" bestFit="1" customWidth="1"/>
    <col min="90" max="90" width="8.6328125" style="87" bestFit="1" customWidth="1"/>
    <col min="91" max="91" width="9.453125" style="87" bestFit="1" customWidth="1"/>
    <col min="92" max="92" width="10.7265625" style="87" bestFit="1" customWidth="1"/>
    <col min="93" max="93" width="10.26953125" style="87" bestFit="1" customWidth="1"/>
    <col min="94" max="94" width="7.7265625" style="87" bestFit="1" customWidth="1"/>
    <col min="95" max="96" width="11.90625" style="87" bestFit="1" customWidth="1"/>
    <col min="97" max="97" width="13.90625" style="87" bestFit="1" customWidth="1"/>
    <col min="98" max="98" width="15.7265625" style="87" bestFit="1" customWidth="1"/>
    <col min="99" max="99" width="18.26953125" style="87" bestFit="1" customWidth="1"/>
    <col min="100" max="100" width="21.08984375" style="87" bestFit="1" customWidth="1"/>
    <col min="101" max="101" width="12.54296875" style="87" bestFit="1" customWidth="1"/>
    <col min="102" max="102" width="15.7265625" style="87" bestFit="1" customWidth="1"/>
    <col min="103" max="103" width="8" style="87" bestFit="1" customWidth="1"/>
    <col min="104" max="104" width="4.36328125" style="87" bestFit="1" customWidth="1"/>
    <col min="105" max="16384" width="7.90625" style="87"/>
  </cols>
  <sheetData>
    <row r="2" spans="2:103" ht="11" thickBot="1" x14ac:dyDescent="0.3">
      <c r="D2" s="88"/>
      <c r="E2" s="89"/>
      <c r="G2" s="89"/>
      <c r="J2" s="89"/>
      <c r="L2" s="89"/>
      <c r="N2" s="89"/>
      <c r="O2" s="89"/>
      <c r="P2" s="89"/>
      <c r="Q2" s="89"/>
      <c r="R2" s="89"/>
      <c r="S2" s="89"/>
      <c r="T2" s="89"/>
      <c r="U2" s="89"/>
      <c r="V2" s="89"/>
      <c r="W2" s="89"/>
      <c r="Y2" s="89"/>
      <c r="Z2" s="89"/>
      <c r="AA2" s="89"/>
      <c r="AB2" s="89"/>
      <c r="AC2" s="89"/>
      <c r="AD2" s="89"/>
      <c r="AE2" s="89"/>
      <c r="AF2" s="89"/>
      <c r="AG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320"/>
      <c r="AX2" s="89"/>
      <c r="AY2" s="89"/>
      <c r="AZ2" s="91"/>
      <c r="BA2" s="91"/>
      <c r="BB2" s="91"/>
      <c r="BC2" s="92"/>
      <c r="BD2" s="91"/>
      <c r="BE2" s="334"/>
      <c r="BF2" s="94"/>
      <c r="BG2" s="94"/>
      <c r="BH2" s="94"/>
      <c r="BI2" s="94"/>
      <c r="BJ2" s="94"/>
      <c r="BK2" s="95"/>
      <c r="BL2" s="95"/>
      <c r="BO2" s="87"/>
      <c r="BP2" s="95"/>
      <c r="BS2" s="382"/>
      <c r="BT2" s="382"/>
      <c r="BU2" s="382"/>
      <c r="BV2" s="382"/>
      <c r="BW2" s="382"/>
      <c r="BX2" s="382"/>
      <c r="BY2" s="89"/>
      <c r="BZ2" s="96"/>
      <c r="CA2" s="96"/>
    </row>
    <row r="3" spans="2:103" ht="14.5" thickBot="1" x14ac:dyDescent="0.45">
      <c r="B3" s="380" t="s">
        <v>208</v>
      </c>
      <c r="C3" s="380"/>
      <c r="D3" s="380"/>
      <c r="F3" s="356" t="s">
        <v>145</v>
      </c>
      <c r="G3" s="98"/>
      <c r="H3" s="98"/>
      <c r="I3" s="99"/>
      <c r="J3" s="98"/>
      <c r="K3" s="99"/>
      <c r="L3" s="98"/>
      <c r="M3" s="98"/>
      <c r="N3" s="98"/>
      <c r="O3" s="98"/>
      <c r="P3" s="98"/>
      <c r="Q3" s="98"/>
      <c r="R3" s="98"/>
      <c r="S3" s="98"/>
      <c r="T3" s="100"/>
      <c r="U3" s="101" t="s">
        <v>144</v>
      </c>
      <c r="V3" s="101"/>
      <c r="W3" s="101"/>
      <c r="X3" s="101"/>
      <c r="Y3" s="101"/>
      <c r="Z3" s="101"/>
      <c r="AA3" s="101"/>
      <c r="AB3" s="101"/>
      <c r="AC3" s="101"/>
      <c r="AF3" s="98" t="s">
        <v>143</v>
      </c>
      <c r="AG3" s="98"/>
      <c r="AH3" s="98"/>
      <c r="AI3" s="98"/>
      <c r="AJ3" s="98"/>
      <c r="AK3" s="98"/>
      <c r="AM3" s="98" t="s">
        <v>142</v>
      </c>
      <c r="AN3" s="98"/>
      <c r="AO3" s="98"/>
      <c r="AP3" s="98"/>
      <c r="AQ3" s="98"/>
      <c r="AR3" s="98"/>
      <c r="AS3" s="98"/>
      <c r="AT3" s="98"/>
      <c r="AU3" s="98"/>
      <c r="AV3" s="98"/>
      <c r="AW3" s="321"/>
      <c r="AX3" s="98"/>
      <c r="AY3" s="98"/>
      <c r="AZ3" s="98"/>
      <c r="BA3" s="98"/>
      <c r="BB3" s="98"/>
      <c r="BC3" s="92"/>
      <c r="BD3" s="103" t="s">
        <v>140</v>
      </c>
      <c r="BE3" s="335" t="s">
        <v>141</v>
      </c>
      <c r="BF3" s="101"/>
      <c r="BG3" s="101"/>
      <c r="BH3" s="101"/>
      <c r="BI3" s="101"/>
      <c r="BJ3" s="104">
        <v>-2.5000000000000001E-2</v>
      </c>
      <c r="BK3" s="92"/>
      <c r="BL3" s="100"/>
      <c r="BO3" s="87"/>
      <c r="BP3" s="92"/>
      <c r="BS3" s="381" t="s">
        <v>125</v>
      </c>
      <c r="BT3" s="381"/>
      <c r="BU3" s="381"/>
      <c r="BV3" s="381"/>
      <c r="BW3" s="381"/>
      <c r="BX3" s="381"/>
      <c r="BY3" s="98"/>
      <c r="BZ3" s="105"/>
      <c r="CA3" s="105"/>
      <c r="CB3" s="390" t="s">
        <v>161</v>
      </c>
      <c r="CC3" s="391"/>
      <c r="CD3" s="106"/>
      <c r="CE3" s="98"/>
      <c r="CF3" s="106"/>
      <c r="CG3" s="106"/>
      <c r="CH3" s="383" t="s">
        <v>184</v>
      </c>
      <c r="CI3" s="383"/>
      <c r="CJ3" s="383"/>
      <c r="CK3" s="383" t="s">
        <v>195</v>
      </c>
      <c r="CL3" s="383"/>
      <c r="CM3" s="383"/>
      <c r="CN3" s="383"/>
      <c r="CO3" s="383"/>
    </row>
    <row r="4" spans="2:103" s="126" customFormat="1" ht="13.5" thickBot="1" x14ac:dyDescent="0.4">
      <c r="B4" s="119" t="s">
        <v>20</v>
      </c>
      <c r="C4" s="120" t="s">
        <v>19</v>
      </c>
      <c r="D4" s="119" t="s">
        <v>18</v>
      </c>
      <c r="E4" s="120" t="s">
        <v>166</v>
      </c>
      <c r="F4" s="120" t="s">
        <v>30</v>
      </c>
      <c r="G4" s="120" t="s">
        <v>21</v>
      </c>
      <c r="H4" s="121" t="s">
        <v>24</v>
      </c>
      <c r="I4" s="122" t="s">
        <v>25</v>
      </c>
      <c r="J4" s="120" t="s">
        <v>22</v>
      </c>
      <c r="K4" s="122" t="s">
        <v>23</v>
      </c>
      <c r="L4" s="120" t="s">
        <v>32</v>
      </c>
      <c r="M4" s="120" t="s">
        <v>34</v>
      </c>
      <c r="N4" s="121" t="s">
        <v>38</v>
      </c>
      <c r="O4" s="120" t="s">
        <v>40</v>
      </c>
      <c r="P4" s="121" t="s">
        <v>41</v>
      </c>
      <c r="Q4" s="120" t="s">
        <v>42</v>
      </c>
      <c r="R4" s="121" t="s">
        <v>113</v>
      </c>
      <c r="S4" s="120" t="s">
        <v>114</v>
      </c>
      <c r="T4" s="121" t="s">
        <v>107</v>
      </c>
      <c r="U4" s="120" t="s">
        <v>33</v>
      </c>
      <c r="V4" s="121" t="s">
        <v>35</v>
      </c>
      <c r="W4" s="120" t="s">
        <v>36</v>
      </c>
      <c r="X4" s="121" t="s">
        <v>37</v>
      </c>
      <c r="Y4" s="120" t="s">
        <v>43</v>
      </c>
      <c r="Z4" s="120" t="s">
        <v>69</v>
      </c>
      <c r="AA4" s="121" t="s">
        <v>44</v>
      </c>
      <c r="AB4" s="120" t="s">
        <v>45</v>
      </c>
      <c r="AC4" s="346" t="s">
        <v>329</v>
      </c>
      <c r="AD4" s="120" t="s">
        <v>46</v>
      </c>
      <c r="AE4" s="121" t="s">
        <v>115</v>
      </c>
      <c r="AF4" s="120" t="s">
        <v>26</v>
      </c>
      <c r="AG4" s="121" t="s">
        <v>27</v>
      </c>
      <c r="AH4" s="120" t="s">
        <v>28</v>
      </c>
      <c r="AI4" s="121" t="s">
        <v>29</v>
      </c>
      <c r="AJ4" s="120" t="s">
        <v>47</v>
      </c>
      <c r="AK4" s="120" t="s">
        <v>186</v>
      </c>
      <c r="AL4" s="120" t="s">
        <v>188</v>
      </c>
      <c r="AM4" s="120" t="s">
        <v>48</v>
      </c>
      <c r="AN4" s="121" t="s">
        <v>50</v>
      </c>
      <c r="AO4" s="120" t="s">
        <v>49</v>
      </c>
      <c r="AP4" s="121" t="s">
        <v>175</v>
      </c>
      <c r="AQ4" s="121" t="s">
        <v>51</v>
      </c>
      <c r="AR4" s="120" t="s">
        <v>146</v>
      </c>
      <c r="AS4" s="120" t="s">
        <v>31</v>
      </c>
      <c r="AT4" s="120" t="s">
        <v>52</v>
      </c>
      <c r="AU4" s="120" t="s">
        <v>53</v>
      </c>
      <c r="AV4" s="121" t="s">
        <v>829</v>
      </c>
      <c r="AW4" s="120" t="s">
        <v>54</v>
      </c>
      <c r="AX4" s="322" t="s">
        <v>55</v>
      </c>
      <c r="AY4" s="120" t="s">
        <v>56</v>
      </c>
      <c r="AZ4" s="121" t="s">
        <v>57</v>
      </c>
      <c r="BA4" s="120" t="s">
        <v>113</v>
      </c>
      <c r="BB4" s="121" t="s">
        <v>114</v>
      </c>
      <c r="BC4" s="120" t="s">
        <v>115</v>
      </c>
      <c r="BD4" s="121" t="s">
        <v>116</v>
      </c>
      <c r="BE4" s="120" t="s">
        <v>128</v>
      </c>
      <c r="BF4" s="122" t="s">
        <v>129</v>
      </c>
      <c r="BG4" s="120" t="s">
        <v>130</v>
      </c>
      <c r="BH4" s="120" t="s">
        <v>131</v>
      </c>
      <c r="BI4" s="120" t="s">
        <v>133</v>
      </c>
      <c r="BJ4" s="120" t="s">
        <v>185</v>
      </c>
      <c r="BK4" s="120" t="s">
        <v>187</v>
      </c>
      <c r="BL4" s="121" t="s">
        <v>58</v>
      </c>
      <c r="BM4" s="120" t="s">
        <v>59</v>
      </c>
      <c r="BN4" s="120" t="s">
        <v>71</v>
      </c>
      <c r="BO4" s="121" t="s">
        <v>61</v>
      </c>
      <c r="BP4" s="120" t="s">
        <v>180</v>
      </c>
      <c r="BQ4" s="123" t="s">
        <v>132</v>
      </c>
      <c r="BR4" s="120" t="s">
        <v>105</v>
      </c>
      <c r="BS4" s="120" t="s">
        <v>106</v>
      </c>
      <c r="BT4" s="120" t="s">
        <v>178</v>
      </c>
      <c r="BU4" s="120" t="s">
        <v>179</v>
      </c>
      <c r="BV4" s="120" t="s">
        <v>60</v>
      </c>
      <c r="BW4" s="120" t="s">
        <v>126</v>
      </c>
      <c r="BX4" s="120" t="s">
        <v>127</v>
      </c>
      <c r="BY4" s="120" t="s">
        <v>60</v>
      </c>
      <c r="BZ4" s="120" t="s">
        <v>39</v>
      </c>
      <c r="CA4" s="120" t="s">
        <v>156</v>
      </c>
      <c r="CB4" s="120" t="s">
        <v>19</v>
      </c>
      <c r="CC4" s="120" t="s">
        <v>160</v>
      </c>
      <c r="CD4" s="120" t="s">
        <v>148</v>
      </c>
      <c r="CE4" s="120" t="s">
        <v>171</v>
      </c>
      <c r="CF4" s="120" t="s">
        <v>154</v>
      </c>
      <c r="CG4" s="120" t="s">
        <v>172</v>
      </c>
      <c r="CH4" s="124" t="s">
        <v>173</v>
      </c>
      <c r="CI4" s="125" t="s">
        <v>181</v>
      </c>
      <c r="CJ4" s="124" t="s">
        <v>182</v>
      </c>
      <c r="CK4" s="124" t="s">
        <v>183</v>
      </c>
      <c r="CL4" s="124" t="s">
        <v>192</v>
      </c>
      <c r="CM4" s="124" t="s">
        <v>2</v>
      </c>
      <c r="CN4" s="124" t="s">
        <v>193</v>
      </c>
      <c r="CO4" s="124" t="s">
        <v>194</v>
      </c>
      <c r="CP4" s="124" t="s">
        <v>59</v>
      </c>
      <c r="CQ4" s="124" t="s">
        <v>320</v>
      </c>
      <c r="CR4" s="124" t="s">
        <v>321</v>
      </c>
      <c r="CS4" s="124" t="s">
        <v>163</v>
      </c>
      <c r="CT4" s="124" t="s">
        <v>164</v>
      </c>
      <c r="CU4" s="124" t="s">
        <v>357</v>
      </c>
      <c r="CV4" s="124" t="s">
        <v>360</v>
      </c>
      <c r="CW4" s="124" t="s">
        <v>361</v>
      </c>
      <c r="CX4" s="124" t="s">
        <v>358</v>
      </c>
      <c r="CY4" s="124" t="s">
        <v>359</v>
      </c>
    </row>
    <row r="5" spans="2:103" s="156" customFormat="1" ht="11.9" customHeight="1" x14ac:dyDescent="0.3">
      <c r="B5" s="127" t="str">
        <f t="shared" ref="B5" si="0">"Q" &amp; IF(ROUNDUP(MONTH(D5)/3,0)-1=0,4,ROUNDUP(MONTH(D5)/3,0)-1)</f>
        <v>Q1</v>
      </c>
      <c r="C5" s="128" t="str">
        <f t="shared" ref="C5" si="1">TEXT(AN5,"mmm-yy")</f>
        <v>Apr-26</v>
      </c>
      <c r="D5" s="129">
        <v>46114</v>
      </c>
      <c r="E5" s="130" t="s">
        <v>786</v>
      </c>
      <c r="F5" s="130" t="s">
        <v>287</v>
      </c>
      <c r="G5" s="130" t="s">
        <v>288</v>
      </c>
      <c r="H5" s="131" t="s">
        <v>787</v>
      </c>
      <c r="I5" s="129">
        <v>46114</v>
      </c>
      <c r="J5" s="130" t="s">
        <v>788</v>
      </c>
      <c r="K5" s="129">
        <v>46115</v>
      </c>
      <c r="L5" s="130" t="s">
        <v>147</v>
      </c>
      <c r="M5" s="130" t="s">
        <v>413</v>
      </c>
      <c r="N5" s="131" t="s">
        <v>198</v>
      </c>
      <c r="O5" s="130">
        <v>10845</v>
      </c>
      <c r="P5" s="295">
        <v>63.6</v>
      </c>
      <c r="Q5" s="132">
        <f t="shared" ref="Q5" si="2">O5*P5</f>
        <v>689742</v>
      </c>
      <c r="R5" s="133">
        <v>0</v>
      </c>
      <c r="S5" s="132">
        <f t="shared" ref="S5" si="3">O5-R5</f>
        <v>10845</v>
      </c>
      <c r="T5" s="133">
        <v>0</v>
      </c>
      <c r="U5" s="134">
        <v>0</v>
      </c>
      <c r="V5" s="135">
        <v>0</v>
      </c>
      <c r="W5" s="134">
        <v>0</v>
      </c>
      <c r="X5" s="136">
        <v>0</v>
      </c>
      <c r="Y5" s="134">
        <v>0</v>
      </c>
      <c r="Z5" s="134">
        <v>0</v>
      </c>
      <c r="AA5" s="133">
        <v>0</v>
      </c>
      <c r="AB5" s="137">
        <f t="shared" ref="AB5" si="4">Y5+AA5+Z5</f>
        <v>0</v>
      </c>
      <c r="AC5" s="136">
        <v>0</v>
      </c>
      <c r="AD5" s="344">
        <f t="shared" ref="AD5" si="5">IFERROR((Q5+AB5)/S5,0)</f>
        <v>63.6</v>
      </c>
      <c r="AE5" s="151">
        <v>0</v>
      </c>
      <c r="AF5" s="134">
        <v>0</v>
      </c>
      <c r="AG5" s="134">
        <v>0</v>
      </c>
      <c r="AH5" s="134">
        <v>0</v>
      </c>
      <c r="AI5" s="135">
        <v>0</v>
      </c>
      <c r="AJ5" s="134">
        <v>0</v>
      </c>
      <c r="AK5" s="134">
        <v>0</v>
      </c>
      <c r="AL5" s="134">
        <v>0</v>
      </c>
      <c r="AM5" s="139">
        <f t="shared" ref="AM5" si="6">Q5+AB5+AL5+AK5+AJ5+T5+AE5</f>
        <v>689742</v>
      </c>
      <c r="AN5" s="140">
        <v>46115</v>
      </c>
      <c r="AO5" s="141" t="s">
        <v>789</v>
      </c>
      <c r="AP5" s="142" t="s">
        <v>385</v>
      </c>
      <c r="AQ5" s="143" t="s">
        <v>236</v>
      </c>
      <c r="AR5" s="143" t="s">
        <v>386</v>
      </c>
      <c r="AS5" s="130" t="s">
        <v>317</v>
      </c>
      <c r="AT5" s="144" t="s">
        <v>387</v>
      </c>
      <c r="AU5" s="144" t="s">
        <v>207</v>
      </c>
      <c r="AV5" s="145"/>
      <c r="AW5" s="143">
        <v>10845</v>
      </c>
      <c r="AX5" s="323">
        <v>65.5</v>
      </c>
      <c r="AY5" s="143">
        <f t="shared" ref="AY5" si="7">AW5*AX5</f>
        <v>710347.5</v>
      </c>
      <c r="AZ5" s="146" t="b">
        <f t="shared" ref="AZ5" si="8">AW5=O5</f>
        <v>1</v>
      </c>
      <c r="BA5" s="132">
        <v>0</v>
      </c>
      <c r="BB5" s="147">
        <f t="shared" ref="BB5" si="9">AW5-BA5</f>
        <v>10845</v>
      </c>
      <c r="BC5" s="148">
        <v>0</v>
      </c>
      <c r="BD5" s="147" t="s">
        <v>117</v>
      </c>
      <c r="BE5" s="134">
        <v>0</v>
      </c>
      <c r="BF5" s="135">
        <v>0</v>
      </c>
      <c r="BG5" s="132">
        <v>0</v>
      </c>
      <c r="BH5" s="132">
        <v>0</v>
      </c>
      <c r="BI5" s="143">
        <v>0</v>
      </c>
      <c r="BJ5" s="134">
        <v>0</v>
      </c>
      <c r="BK5" s="149">
        <v>0</v>
      </c>
      <c r="BL5" s="133">
        <f>AY5+BI5+BJ5+BK5+BC5</f>
        <v>710347.5</v>
      </c>
      <c r="BM5" s="139">
        <f>BL5-AM5</f>
        <v>20605.5</v>
      </c>
      <c r="BN5" s="148" t="str">
        <f t="shared" ref="BN5" si="10">IF(BM5&gt;=0,"Positive Margin","Negative Margin")</f>
        <v>Positive Margin</v>
      </c>
      <c r="BO5" s="150" t="s">
        <v>2234</v>
      </c>
      <c r="BP5" s="132">
        <f>AY5-Y5-Q5-AA5-T5+BC5</f>
        <v>20605.5</v>
      </c>
      <c r="BQ5" s="151" t="str">
        <f t="shared" ref="BQ5" si="11">IF(BP5&lt;0, "Negative Margin at Inception", "Positive Margin at Inception")</f>
        <v>Positive Margin at Inception</v>
      </c>
      <c r="BR5" s="152">
        <f t="shared" ref="BR5" si="12">IFERROR(BM5/BL5,"0")</f>
        <v>2.9007633587786259E-2</v>
      </c>
      <c r="BS5" s="151" t="str">
        <f t="shared" ref="BS5" si="13">IF(BR5&lt;1%,"Less Than 1%",IF(BR5&gt;2%,"More than 2%",IF(BR5&gt;=1%,"1% - 2%")))</f>
        <v>More than 2%</v>
      </c>
      <c r="BT5" s="132">
        <f t="shared" ref="BT5" si="14">BJ5+BK5</f>
        <v>0</v>
      </c>
      <c r="BU5" s="133">
        <f>AL5+AK5</f>
        <v>0</v>
      </c>
      <c r="BV5" s="132">
        <f t="shared" ref="BV5" si="15">BT5-BU5</f>
        <v>0</v>
      </c>
      <c r="BW5" s="153">
        <f>BJ5</f>
        <v>0</v>
      </c>
      <c r="BX5" s="153">
        <f>AK5</f>
        <v>0</v>
      </c>
      <c r="BY5" s="134">
        <f t="shared" ref="BY5" si="16">BW5-BX5</f>
        <v>0</v>
      </c>
      <c r="BZ5" s="153" t="s">
        <v>266</v>
      </c>
      <c r="CA5" s="134">
        <v>0</v>
      </c>
      <c r="CB5" s="134" t="str">
        <f>TEXT(AN5,"mmm-yy")</f>
        <v>Apr-26</v>
      </c>
      <c r="CC5" s="134">
        <f>AM5-AL5-AA5</f>
        <v>689742</v>
      </c>
      <c r="CD5" s="134">
        <f t="shared" ref="CD5" si="17">BL5-BK5</f>
        <v>710347.5</v>
      </c>
      <c r="CE5" s="134">
        <f>INT((D5- IF(MONTH(D5) &gt;= 4, DATE(YEAR(D5), 4, 1), DATE(YEAR(D5)-1, 4, 1))) / 7) + 1</f>
        <v>1</v>
      </c>
      <c r="CF5" s="154" t="s">
        <v>262</v>
      </c>
      <c r="CG5" s="134" t="s">
        <v>262</v>
      </c>
      <c r="CH5" s="134" t="str">
        <f>_xlfn.XLOOKUP(AR5,receivables!B:B,receivables!D:D)</f>
        <v>Neelesh Dixit</v>
      </c>
      <c r="CI5" s="134">
        <f>AY5-Q5</f>
        <v>20605.5</v>
      </c>
      <c r="CJ5" s="134">
        <f>CI5-Y5+Z5</f>
        <v>20605.5</v>
      </c>
      <c r="CK5" s="134">
        <f>BL5-AM5</f>
        <v>20605.5</v>
      </c>
      <c r="CL5" s="134">
        <f>AY5*118%</f>
        <v>838210.04999999993</v>
      </c>
      <c r="CM5" s="134">
        <f>-Q5*118%</f>
        <v>-813895.55999999994</v>
      </c>
      <c r="CN5" s="134">
        <f t="shared" ref="CN5" si="18">-BW5*118%</f>
        <v>0</v>
      </c>
      <c r="CO5" s="134">
        <f t="shared" ref="CO5" si="19">-BX5*118%</f>
        <v>0</v>
      </c>
      <c r="CP5" s="134">
        <f t="shared" ref="CP5" si="20">SUM(CL5:CO5)</f>
        <v>24314.489999999991</v>
      </c>
      <c r="CQ5" s="134" t="s">
        <v>322</v>
      </c>
      <c r="CR5" s="134" t="s">
        <v>322</v>
      </c>
      <c r="CS5" s="149" t="str">
        <f>MID(G5,3,10)</f>
        <v>AALCB0491L</v>
      </c>
      <c r="CT5" s="149" t="str">
        <f>MID(AR5,3,10)</f>
        <v>AEJFS8446P</v>
      </c>
      <c r="CU5" s="149">
        <v>0</v>
      </c>
      <c r="CV5" s="149">
        <v>0</v>
      </c>
      <c r="CW5" s="149">
        <v>0</v>
      </c>
      <c r="CX5" s="149">
        <v>0</v>
      </c>
      <c r="CY5" s="149">
        <v>0</v>
      </c>
    </row>
    <row r="6" spans="2:103" s="156" customFormat="1" ht="11.9" customHeight="1" x14ac:dyDescent="0.3">
      <c r="B6" s="127" t="str">
        <f t="shared" ref="B6" si="21">"Q" &amp; IF(ROUNDUP(MONTH(D6)/3,0)-1=0,4,ROUNDUP(MONTH(D6)/3,0)-1)</f>
        <v>Q1</v>
      </c>
      <c r="C6" s="128" t="str">
        <f t="shared" ref="C6" si="22">TEXT(AN6,"mmm-yy")</f>
        <v>Apr-26</v>
      </c>
      <c r="D6" s="301">
        <v>46116</v>
      </c>
      <c r="E6" s="130" t="s">
        <v>813</v>
      </c>
      <c r="F6" s="130" t="s">
        <v>814</v>
      </c>
      <c r="G6" s="130" t="s">
        <v>815</v>
      </c>
      <c r="H6" s="131" t="s">
        <v>816</v>
      </c>
      <c r="I6" s="129">
        <v>46116</v>
      </c>
      <c r="J6" s="130" t="s">
        <v>817</v>
      </c>
      <c r="K6" s="129">
        <v>46122</v>
      </c>
      <c r="L6" s="130" t="s">
        <v>818</v>
      </c>
      <c r="M6" s="130" t="s">
        <v>819</v>
      </c>
      <c r="N6" s="131" t="s">
        <v>820</v>
      </c>
      <c r="O6" s="130">
        <v>16490</v>
      </c>
      <c r="P6" s="295">
        <v>54.5</v>
      </c>
      <c r="Q6" s="132">
        <f t="shared" ref="Q6" si="23">O6*P6</f>
        <v>898705</v>
      </c>
      <c r="R6" s="133">
        <v>0</v>
      </c>
      <c r="S6" s="132">
        <f t="shared" ref="S6" si="24">O6-R6</f>
        <v>16490</v>
      </c>
      <c r="T6" s="133">
        <v>0</v>
      </c>
      <c r="U6" s="134">
        <v>0</v>
      </c>
      <c r="V6" s="135">
        <v>0</v>
      </c>
      <c r="W6" s="134">
        <v>0</v>
      </c>
      <c r="X6" s="136">
        <v>0</v>
      </c>
      <c r="Y6" s="134">
        <v>0</v>
      </c>
      <c r="Z6" s="134">
        <v>0</v>
      </c>
      <c r="AA6" s="133">
        <v>0</v>
      </c>
      <c r="AB6" s="137">
        <f t="shared" ref="AB6" si="25">Y6+AA6+Z6</f>
        <v>0</v>
      </c>
      <c r="AC6" s="136">
        <v>0</v>
      </c>
      <c r="AD6" s="344">
        <f t="shared" ref="AD6" si="26">IFERROR((Q6+AB6)/S6,0)</f>
        <v>54.5</v>
      </c>
      <c r="AE6" s="151">
        <v>0</v>
      </c>
      <c r="AF6" s="134" t="s">
        <v>853</v>
      </c>
      <c r="AG6" s="376">
        <v>46129</v>
      </c>
      <c r="AH6" s="134">
        <v>0</v>
      </c>
      <c r="AI6" s="135">
        <v>0</v>
      </c>
      <c r="AJ6" s="134">
        <v>0</v>
      </c>
      <c r="AK6" s="134">
        <v>-10965.85</v>
      </c>
      <c r="AL6" s="134">
        <f>(BK6*P6/AX6)+AB6/O6*(BK6/AX6)</f>
        <v>-22467.625</v>
      </c>
      <c r="AM6" s="139">
        <f t="shared" ref="AM6" si="27">Q6+AB6+AL6+AK6+AJ6+T6+AE6</f>
        <v>865271.52500000002</v>
      </c>
      <c r="AN6" s="140">
        <v>46122</v>
      </c>
      <c r="AO6" s="141" t="s">
        <v>823</v>
      </c>
      <c r="AP6" s="142" t="s">
        <v>824</v>
      </c>
      <c r="AQ6" s="143" t="s">
        <v>213</v>
      </c>
      <c r="AR6" s="143" t="s">
        <v>214</v>
      </c>
      <c r="AS6" s="130" t="s">
        <v>825</v>
      </c>
      <c r="AT6" s="144" t="s">
        <v>826</v>
      </c>
      <c r="AU6" s="144" t="s">
        <v>827</v>
      </c>
      <c r="AV6" s="145" t="s">
        <v>828</v>
      </c>
      <c r="AW6" s="143">
        <v>16490</v>
      </c>
      <c r="AX6" s="323">
        <v>55.5</v>
      </c>
      <c r="AY6" s="143">
        <f t="shared" ref="AY6" si="28">AW6*AX6</f>
        <v>915195</v>
      </c>
      <c r="AZ6" s="146" t="b">
        <f t="shared" ref="AZ6" si="29">AW6=O6</f>
        <v>1</v>
      </c>
      <c r="BA6" s="132">
        <v>0</v>
      </c>
      <c r="BB6" s="147">
        <f t="shared" ref="BB6" si="30">AW6-BA6</f>
        <v>16490</v>
      </c>
      <c r="BC6" s="148">
        <v>0</v>
      </c>
      <c r="BD6" s="147" t="s">
        <v>117</v>
      </c>
      <c r="BE6" s="134">
        <v>0</v>
      </c>
      <c r="BF6" s="135">
        <v>0</v>
      </c>
      <c r="BG6" s="132">
        <v>0</v>
      </c>
      <c r="BH6" s="132">
        <v>0</v>
      </c>
      <c r="BI6" s="143">
        <v>0</v>
      </c>
      <c r="BJ6" s="134">
        <v>0</v>
      </c>
      <c r="BK6" s="149">
        <f>AY6*$BJ$3</f>
        <v>-22879.875</v>
      </c>
      <c r="BL6" s="133">
        <f t="shared" ref="BL6" si="31">AY6+BI6+BJ6+BK6+BC6</f>
        <v>892315.125</v>
      </c>
      <c r="BM6" s="139">
        <f>BL6-AM6</f>
        <v>27043.599999999977</v>
      </c>
      <c r="BN6" s="148" t="str">
        <f t="shared" ref="BN6" si="32">IF(BM6&gt;=0,"Positive Margin","Negative Margin")</f>
        <v>Positive Margin</v>
      </c>
      <c r="BO6" s="150" t="s">
        <v>830</v>
      </c>
      <c r="BP6" s="132">
        <f>AY6-Y6-Q6-AA6-T6+BC6</f>
        <v>16490</v>
      </c>
      <c r="BQ6" s="151" t="str">
        <f t="shared" ref="BQ6" si="33">IF(BP6&lt;0, "Negative Margin at Inception", "Positive Margin at Inception")</f>
        <v>Positive Margin at Inception</v>
      </c>
      <c r="BR6" s="152">
        <f t="shared" ref="BR6" si="34">IFERROR(BM6/BL6,"0")</f>
        <v>3.030723030723028E-2</v>
      </c>
      <c r="BS6" s="151" t="str">
        <f t="shared" ref="BS6" si="35">IF(BR6&lt;1%,"Less Than 1%",IF(BR6&gt;2%,"More than 2%",IF(BR6&gt;=1%,"1% - 2%")))</f>
        <v>More than 2%</v>
      </c>
      <c r="BT6" s="132">
        <f t="shared" ref="BT6" si="36">BJ6+BK6</f>
        <v>-22879.875</v>
      </c>
      <c r="BU6" s="133">
        <f>AL6+AK6</f>
        <v>-33433.474999999999</v>
      </c>
      <c r="BV6" s="132">
        <f t="shared" ref="BV6" si="37">BT6-BU6</f>
        <v>10553.599999999999</v>
      </c>
      <c r="BW6" s="153">
        <f t="shared" ref="BW6" si="38">BJ6</f>
        <v>0</v>
      </c>
      <c r="BX6" s="153">
        <f>AK6</f>
        <v>-10965.85</v>
      </c>
      <c r="BY6" s="134">
        <f t="shared" ref="BY6" si="39">BW6-BX6</f>
        <v>10965.85</v>
      </c>
      <c r="BZ6" s="153" t="s">
        <v>266</v>
      </c>
      <c r="CA6" s="134">
        <v>0</v>
      </c>
      <c r="CB6" s="134" t="str">
        <f>TEXT(AN6,"mmm-yy")</f>
        <v>Apr-26</v>
      </c>
      <c r="CC6" s="134">
        <f>AM6-AL6-AA6</f>
        <v>887739.15</v>
      </c>
      <c r="CD6" s="134">
        <f t="shared" ref="CD6" si="40">BL6-BK6</f>
        <v>915195</v>
      </c>
      <c r="CE6" s="134">
        <f>INT((D6- IF(MONTH(D6) &gt;= 4, DATE(YEAR(D6), 4, 1), DATE(YEAR(D6)-1, 4, 1))) / 7) + 1</f>
        <v>1</v>
      </c>
      <c r="CF6" s="154" t="s">
        <v>262</v>
      </c>
      <c r="CG6" s="134" t="s">
        <v>262</v>
      </c>
      <c r="CH6" s="134" t="str">
        <f>_xlfn.XLOOKUP(AR6,receivables!B:B,receivables!D:D)</f>
        <v>Neelesh Dixit</v>
      </c>
      <c r="CI6" s="134">
        <f>AY6-Q6</f>
        <v>16490</v>
      </c>
      <c r="CJ6" s="134">
        <f>CI6-Y6+Z6</f>
        <v>16490</v>
      </c>
      <c r="CK6" s="134">
        <f>BL6-AM6</f>
        <v>27043.599999999977</v>
      </c>
      <c r="CL6" s="134">
        <f>AY6*118%</f>
        <v>1079930.0999999999</v>
      </c>
      <c r="CM6" s="134">
        <f>-Q6*118%</f>
        <v>-1060471.8999999999</v>
      </c>
      <c r="CN6" s="134">
        <f t="shared" ref="CN6" si="41">-BW6*118%</f>
        <v>0</v>
      </c>
      <c r="CO6" s="134">
        <f t="shared" ref="CO6" si="42">-BX6*118%</f>
        <v>12939.703</v>
      </c>
      <c r="CP6" s="134">
        <f t="shared" ref="CP6" si="43">SUM(CL6:CO6)</f>
        <v>32397.902999999955</v>
      </c>
      <c r="CQ6" s="134" t="s">
        <v>322</v>
      </c>
      <c r="CR6" s="134" t="s">
        <v>322</v>
      </c>
      <c r="CS6" s="149" t="str">
        <f>MID(G6,3,10)</f>
        <v>AAQCM8215Q</v>
      </c>
      <c r="CT6" s="149" t="str">
        <f>MID(AR6,3,10)</f>
        <v>AAFCJ3332A</v>
      </c>
      <c r="CU6" s="149">
        <v>0</v>
      </c>
      <c r="CV6" s="149">
        <v>0</v>
      </c>
      <c r="CW6" s="149">
        <v>0</v>
      </c>
      <c r="CX6" s="149">
        <v>0</v>
      </c>
      <c r="CY6" s="149">
        <v>0</v>
      </c>
    </row>
    <row r="7" spans="2:103" s="156" customFormat="1" ht="11.9" customHeight="1" x14ac:dyDescent="0.3">
      <c r="B7" s="127" t="str">
        <f t="shared" ref="B7" si="44">"Q" &amp; IF(ROUNDUP(MONTH(D7)/3,0)-1=0,4,ROUNDUP(MONTH(D7)/3,0)-1)</f>
        <v>Q1</v>
      </c>
      <c r="C7" s="128" t="str">
        <f t="shared" ref="C7" si="45">TEXT(AN7,"mmm-yy")</f>
        <v>Apr-26</v>
      </c>
      <c r="D7" s="301">
        <v>46135</v>
      </c>
      <c r="E7" s="130" t="s">
        <v>887</v>
      </c>
      <c r="F7" s="130" t="s">
        <v>315</v>
      </c>
      <c r="G7" s="130" t="s">
        <v>316</v>
      </c>
      <c r="H7" s="131" t="s">
        <v>888</v>
      </c>
      <c r="I7" s="129">
        <v>46135</v>
      </c>
      <c r="J7" s="130" t="s">
        <v>889</v>
      </c>
      <c r="K7" s="129">
        <v>46136</v>
      </c>
      <c r="L7" s="130" t="s">
        <v>822</v>
      </c>
      <c r="M7" s="130" t="s">
        <v>890</v>
      </c>
      <c r="N7" s="131" t="s">
        <v>891</v>
      </c>
      <c r="O7" s="130">
        <v>8915</v>
      </c>
      <c r="P7" s="295">
        <v>66.5</v>
      </c>
      <c r="Q7" s="132">
        <f t="shared" ref="Q7" si="46">O7*P7</f>
        <v>592847.5</v>
      </c>
      <c r="R7" s="133">
        <v>0</v>
      </c>
      <c r="S7" s="132">
        <f t="shared" ref="S7" si="47">O7-R7</f>
        <v>8915</v>
      </c>
      <c r="T7" s="133">
        <v>0</v>
      </c>
      <c r="U7" s="134">
        <v>0</v>
      </c>
      <c r="V7" s="135">
        <v>0</v>
      </c>
      <c r="W7" s="134">
        <v>0</v>
      </c>
      <c r="X7" s="136">
        <v>0</v>
      </c>
      <c r="Y7" s="134">
        <v>0</v>
      </c>
      <c r="Z7" s="134">
        <v>0</v>
      </c>
      <c r="AA7" s="133">
        <v>0</v>
      </c>
      <c r="AB7" s="137">
        <f t="shared" ref="AB7" si="48">Y7+AA7+Z7</f>
        <v>0</v>
      </c>
      <c r="AC7" s="136">
        <v>0</v>
      </c>
      <c r="AD7" s="344">
        <f t="shared" ref="AD7" si="49">IFERROR((Q7+AB7)/S7,0)</f>
        <v>66.5</v>
      </c>
      <c r="AE7" s="151">
        <v>0</v>
      </c>
      <c r="AF7" s="134">
        <v>0</v>
      </c>
      <c r="AG7" s="134">
        <v>0</v>
      </c>
      <c r="AH7" s="134">
        <v>0</v>
      </c>
      <c r="AI7" s="135">
        <v>0</v>
      </c>
      <c r="AJ7" s="134">
        <v>0</v>
      </c>
      <c r="AK7" s="134">
        <v>0</v>
      </c>
      <c r="AL7" s="134">
        <v>0</v>
      </c>
      <c r="AM7" s="139">
        <f t="shared" ref="AM7" si="50">Q7+AB7+AL7+AK7+AJ7+T7+AE7</f>
        <v>592847.5</v>
      </c>
      <c r="AN7" s="140">
        <v>46136</v>
      </c>
      <c r="AO7" s="141" t="s">
        <v>892</v>
      </c>
      <c r="AP7" s="142" t="s">
        <v>893</v>
      </c>
      <c r="AQ7" s="143" t="s">
        <v>894</v>
      </c>
      <c r="AR7" s="143" t="s">
        <v>215</v>
      </c>
      <c r="AS7" s="130" t="s">
        <v>895</v>
      </c>
      <c r="AT7" s="144" t="s">
        <v>896</v>
      </c>
      <c r="AU7" s="144" t="s">
        <v>897</v>
      </c>
      <c r="AV7" s="145">
        <v>0</v>
      </c>
      <c r="AW7" s="143">
        <v>8915</v>
      </c>
      <c r="AX7" s="323">
        <v>67</v>
      </c>
      <c r="AY7" s="143">
        <f t="shared" ref="AY7" si="51">AW7*AX7</f>
        <v>597305</v>
      </c>
      <c r="AZ7" s="146" t="b">
        <f t="shared" ref="AZ7" si="52">AW7=O7</f>
        <v>1</v>
      </c>
      <c r="BA7" s="132">
        <v>0</v>
      </c>
      <c r="BB7" s="147">
        <f t="shared" ref="BB7" si="53">AW7-BA7</f>
        <v>8915</v>
      </c>
      <c r="BC7" s="148">
        <v>0</v>
      </c>
      <c r="BD7" s="147" t="s">
        <v>117</v>
      </c>
      <c r="BE7" s="134">
        <v>0</v>
      </c>
      <c r="BF7" s="135">
        <v>0</v>
      </c>
      <c r="BG7" s="132">
        <v>0</v>
      </c>
      <c r="BH7" s="132">
        <v>0</v>
      </c>
      <c r="BI7" s="143">
        <v>0</v>
      </c>
      <c r="BJ7" s="134">
        <v>0</v>
      </c>
      <c r="BK7" s="149">
        <f>AY7*$BJ$3</f>
        <v>-14932.625</v>
      </c>
      <c r="BL7" s="133">
        <f t="shared" ref="BL7" si="54">AY7+BI7+BJ7+BK7+BC7</f>
        <v>582372.375</v>
      </c>
      <c r="BM7" s="139">
        <f>BL7-AM7</f>
        <v>-10475.125</v>
      </c>
      <c r="BN7" s="148" t="str">
        <f t="shared" ref="BN7" si="55">IF(BM7&gt;=0,"Positive Margin","Negative Margin")</f>
        <v>Negative Margin</v>
      </c>
      <c r="BO7" s="150" t="s">
        <v>841</v>
      </c>
      <c r="BP7" s="132">
        <f>AY7-Y7-Q7-AA7-T7+BC7</f>
        <v>4457.5</v>
      </c>
      <c r="BQ7" s="151" t="str">
        <f t="shared" ref="BQ7" si="56">IF(BP7&lt;0, "Negative Margin at Inception", "Positive Margin at Inception")</f>
        <v>Positive Margin at Inception</v>
      </c>
      <c r="BR7" s="152">
        <f t="shared" ref="BR7" si="57">IFERROR(BM7/BL7,"0")</f>
        <v>-1.7986988136241867E-2</v>
      </c>
      <c r="BS7" s="151" t="str">
        <f t="shared" ref="BS7" si="58">IF(BR7&lt;1%,"Less Than 1%",IF(BR7&gt;2%,"More than 2%",IF(BR7&gt;=1%,"1% - 2%")))</f>
        <v>Less Than 1%</v>
      </c>
      <c r="BT7" s="132">
        <f t="shared" ref="BT7" si="59">BJ7+BK7</f>
        <v>-14932.625</v>
      </c>
      <c r="BU7" s="133">
        <f>AL7+AK7</f>
        <v>0</v>
      </c>
      <c r="BV7" s="132">
        <f t="shared" ref="BV7" si="60">BT7-BU7</f>
        <v>-14932.625</v>
      </c>
      <c r="BW7" s="153">
        <f t="shared" ref="BW7" si="61">BJ7</f>
        <v>0</v>
      </c>
      <c r="BX7" s="153">
        <f>AK7</f>
        <v>0</v>
      </c>
      <c r="BY7" s="134">
        <f t="shared" ref="BY7" si="62">BW7-BX7</f>
        <v>0</v>
      </c>
      <c r="BZ7" s="153" t="s">
        <v>266</v>
      </c>
      <c r="CA7" s="134">
        <v>0</v>
      </c>
      <c r="CB7" s="134" t="str">
        <f>TEXT(AN7,"mmm-yy")</f>
        <v>Apr-26</v>
      </c>
      <c r="CC7" s="134">
        <f>AM7-AL7-AA7</f>
        <v>592847.5</v>
      </c>
      <c r="CD7" s="134">
        <f t="shared" ref="CD7" si="63">BL7-BK7</f>
        <v>597305</v>
      </c>
      <c r="CE7" s="134">
        <f>INT((D7- IF(MONTH(D7) &gt;= 4, DATE(YEAR(D7), 4, 1), DATE(YEAR(D7)-1, 4, 1))) / 7) + 1</f>
        <v>4</v>
      </c>
      <c r="CF7" s="154" t="s">
        <v>262</v>
      </c>
      <c r="CG7" s="134" t="s">
        <v>262</v>
      </c>
      <c r="CH7" s="134" t="str">
        <f>_xlfn.XLOOKUP(AR7,receivables!B:B,receivables!D:D)</f>
        <v>Neelesh Dixit</v>
      </c>
      <c r="CI7" s="134">
        <f>AY7-Q7</f>
        <v>4457.5</v>
      </c>
      <c r="CJ7" s="134">
        <f>CI7-Y7+Z7</f>
        <v>4457.5</v>
      </c>
      <c r="CK7" s="134">
        <f>BL7-AM7</f>
        <v>-10475.125</v>
      </c>
      <c r="CL7" s="134">
        <f>AY7*118%</f>
        <v>704819.89999999991</v>
      </c>
      <c r="CM7" s="134">
        <f>-Q7*118%</f>
        <v>-699560.04999999993</v>
      </c>
      <c r="CN7" s="134">
        <f t="shared" ref="CN7" si="64">-BW7*118%</f>
        <v>0</v>
      </c>
      <c r="CO7" s="134">
        <f t="shared" ref="CO7" si="65">-BX7*118%</f>
        <v>0</v>
      </c>
      <c r="CP7" s="134">
        <f t="shared" ref="CP7" si="66">SUM(CL7:CO7)</f>
        <v>5259.8499999999767</v>
      </c>
      <c r="CQ7" s="134" t="s">
        <v>322</v>
      </c>
      <c r="CR7" s="134" t="s">
        <v>322</v>
      </c>
      <c r="CS7" s="149" t="str">
        <f>MID(G7,3,10)</f>
        <v>AAPFH5775E</v>
      </c>
      <c r="CT7" s="149" t="str">
        <f>MID(AR7,3,10)</f>
        <v>AAICB1747Q</v>
      </c>
      <c r="CU7" s="149">
        <v>0</v>
      </c>
      <c r="CV7" s="149">
        <v>0</v>
      </c>
      <c r="CW7" s="149">
        <v>0</v>
      </c>
      <c r="CX7" s="149">
        <v>0</v>
      </c>
      <c r="CY7" s="149">
        <v>0</v>
      </c>
    </row>
    <row r="8" spans="2:103" s="156" customFormat="1" ht="12.5" thickBot="1" x14ac:dyDescent="0.35">
      <c r="B8" s="127"/>
      <c r="C8" s="128"/>
      <c r="D8" s="301"/>
      <c r="E8" s="130"/>
      <c r="F8" s="130"/>
      <c r="G8" s="130"/>
      <c r="H8" s="131"/>
      <c r="I8" s="129"/>
      <c r="J8" s="130"/>
      <c r="K8" s="129"/>
      <c r="L8" s="130"/>
      <c r="M8" s="130"/>
      <c r="N8" s="131"/>
      <c r="O8" s="130"/>
      <c r="P8" s="295"/>
      <c r="Q8" s="132"/>
      <c r="R8" s="133"/>
      <c r="S8" s="132"/>
      <c r="T8" s="133"/>
      <c r="U8" s="134"/>
      <c r="V8" s="135"/>
      <c r="W8" s="134"/>
      <c r="X8" s="136"/>
      <c r="Y8" s="134"/>
      <c r="Z8" s="134"/>
      <c r="AA8" s="133"/>
      <c r="AB8" s="137"/>
      <c r="AC8" s="136"/>
      <c r="AD8" s="345"/>
      <c r="AE8" s="151"/>
      <c r="AF8" s="134"/>
      <c r="AG8" s="138"/>
      <c r="AH8" s="134"/>
      <c r="AI8" s="135"/>
      <c r="AJ8" s="134"/>
      <c r="AK8" s="134"/>
      <c r="AL8" s="134"/>
      <c r="AM8" s="139"/>
      <c r="AN8" s="140"/>
      <c r="AO8" s="141"/>
      <c r="AP8" s="142"/>
      <c r="AQ8" s="143"/>
      <c r="AR8" s="143"/>
      <c r="AS8" s="130"/>
      <c r="AT8" s="144"/>
      <c r="AU8" s="144"/>
      <c r="AV8" s="145"/>
      <c r="AW8" s="143"/>
      <c r="AX8" s="323"/>
      <c r="AY8" s="143"/>
      <c r="AZ8" s="146"/>
      <c r="BA8" s="132"/>
      <c r="BB8" s="147"/>
      <c r="BC8" s="148"/>
      <c r="BD8" s="147"/>
      <c r="BE8" s="134"/>
      <c r="BF8" s="298"/>
      <c r="BG8" s="132"/>
      <c r="BH8" s="132"/>
      <c r="BI8" s="143"/>
      <c r="BJ8" s="143"/>
      <c r="BK8" s="157"/>
      <c r="BL8" s="133"/>
      <c r="BM8" s="139"/>
      <c r="BN8" s="148"/>
      <c r="BO8" s="150"/>
      <c r="BP8" s="132"/>
      <c r="BQ8" s="151"/>
      <c r="BR8" s="152"/>
      <c r="BS8" s="151"/>
      <c r="BT8" s="132"/>
      <c r="BU8" s="133"/>
      <c r="BV8" s="132"/>
      <c r="BW8" s="153"/>
      <c r="BX8" s="153"/>
      <c r="BY8" s="134"/>
      <c r="BZ8" s="153"/>
      <c r="CA8" s="134"/>
      <c r="CB8" s="134"/>
      <c r="CC8" s="134"/>
      <c r="CD8" s="134"/>
      <c r="CE8" s="134"/>
      <c r="CF8" s="154"/>
      <c r="CG8" s="134"/>
      <c r="CH8" s="134"/>
      <c r="CI8" s="134"/>
      <c r="CJ8" s="134"/>
      <c r="CK8" s="134"/>
      <c r="CL8" s="134"/>
      <c r="CM8" s="134"/>
      <c r="CN8" s="134"/>
      <c r="CO8" s="134"/>
      <c r="CP8" s="134"/>
      <c r="CQ8" s="134"/>
      <c r="CR8" s="134"/>
      <c r="CS8" s="149"/>
      <c r="CT8" s="149"/>
      <c r="CU8" s="149"/>
      <c r="CV8" s="149"/>
      <c r="CW8" s="149"/>
      <c r="CX8" s="149"/>
      <c r="CY8" s="149"/>
    </row>
    <row r="9" spans="2:103" s="171" customFormat="1" ht="12.5" thickBot="1" x14ac:dyDescent="0.35">
      <c r="B9" s="158"/>
      <c r="C9" s="159"/>
      <c r="D9" s="159"/>
      <c r="E9" s="159"/>
      <c r="F9" s="160" t="s">
        <v>62</v>
      </c>
      <c r="G9" s="159"/>
      <c r="H9" s="159"/>
      <c r="I9" s="161"/>
      <c r="J9" s="159"/>
      <c r="K9" s="161"/>
      <c r="L9" s="160"/>
      <c r="M9" s="162"/>
      <c r="N9" s="163"/>
      <c r="O9" s="164">
        <f>SUBTOTAL(9,O5:O8)</f>
        <v>36250</v>
      </c>
      <c r="P9" s="165"/>
      <c r="Q9" s="164">
        <f>SUBTOTAL(9,Q5:Q8)</f>
        <v>2181294.5</v>
      </c>
      <c r="R9" s="164"/>
      <c r="S9" s="164">
        <f>SUBTOTAL(9,S5:S8)</f>
        <v>36250</v>
      </c>
      <c r="T9" s="164">
        <f>SUBTOTAL(9,T5:T8)</f>
        <v>0</v>
      </c>
      <c r="U9" s="166"/>
      <c r="V9" s="166"/>
      <c r="W9" s="167"/>
      <c r="X9" s="167"/>
      <c r="Y9" s="164">
        <f>SUBTOTAL(9,Y5:Y8)</f>
        <v>0</v>
      </c>
      <c r="Z9" s="164">
        <f>SUBTOTAL(9,Z5:Z8)</f>
        <v>0</v>
      </c>
      <c r="AA9" s="164">
        <f>SUBTOTAL(9,AA5:AA8)</f>
        <v>0</v>
      </c>
      <c r="AB9" s="164">
        <f>SUBTOTAL(9,AB5:AB8)</f>
        <v>0</v>
      </c>
      <c r="AC9" s="164">
        <f>SUBTOTAL(9,AC5:AC8)</f>
        <v>0</v>
      </c>
      <c r="AD9" s="164">
        <f>SUBTOTAL(1,AD5:AD8)</f>
        <v>61.533333333333331</v>
      </c>
      <c r="AE9" s="164">
        <f>SUBTOTAL(9,AE5:AE8)</f>
        <v>0</v>
      </c>
      <c r="AF9" s="159"/>
      <c r="AG9" s="159"/>
      <c r="AH9" s="168"/>
      <c r="AI9" s="168"/>
      <c r="AJ9" s="164">
        <f>SUBTOTAL(9,AJ5:AJ8)</f>
        <v>0</v>
      </c>
      <c r="AK9" s="164">
        <f>SUBTOTAL(9,AK5:AK8)</f>
        <v>-10965.85</v>
      </c>
      <c r="AL9" s="164">
        <f>SUBTOTAL(9,AL5:AL8)</f>
        <v>-22467.625</v>
      </c>
      <c r="AM9" s="164">
        <f>SUBTOTAL(9,AM5:AM8)</f>
        <v>2147861.0249999999</v>
      </c>
      <c r="AN9" s="165"/>
      <c r="AO9" s="165"/>
      <c r="AP9" s="165"/>
      <c r="AQ9" s="164"/>
      <c r="AR9" s="164"/>
      <c r="AS9" s="162"/>
      <c r="AT9" s="164"/>
      <c r="AU9" s="165"/>
      <c r="AV9" s="165"/>
      <c r="AW9" s="164">
        <f>SUBTOTAL(9,AW5:AW8)</f>
        <v>36250</v>
      </c>
      <c r="AX9" s="324">
        <f>SUBTOTAL(101,AX5:AX8)</f>
        <v>62.666666666666664</v>
      </c>
      <c r="AY9" s="164">
        <f>SUBTOTAL(9,AY5:AY8)</f>
        <v>2222847.5</v>
      </c>
      <c r="AZ9" s="164"/>
      <c r="BA9" s="164">
        <f>SUBTOTAL(9,BA5:BA8)</f>
        <v>0</v>
      </c>
      <c r="BB9" s="164">
        <f>SUBTOTAL(9,BB5:BB8)</f>
        <v>36250</v>
      </c>
      <c r="BC9" s="164">
        <f>SUBTOTAL(9,BC5:BC8)</f>
        <v>0</v>
      </c>
      <c r="BD9" s="164"/>
      <c r="BE9" s="165"/>
      <c r="BF9" s="336"/>
      <c r="BG9" s="165"/>
      <c r="BH9" s="165"/>
      <c r="BI9" s="164">
        <f>SUBTOTAL(9,BI5:BI8)</f>
        <v>0</v>
      </c>
      <c r="BJ9" s="164">
        <f>SUBTOTAL(9,BJ5:BJ8)</f>
        <v>0</v>
      </c>
      <c r="BK9" s="164">
        <f>SUBTOTAL(9,BK5:BK8)</f>
        <v>-37812.5</v>
      </c>
      <c r="BL9" s="164">
        <f>SUBTOTAL(9,BL5:BL8)</f>
        <v>2185035</v>
      </c>
      <c r="BM9" s="164">
        <f>SUBTOTAL(9,BM5:BM8)</f>
        <v>37173.974999999977</v>
      </c>
      <c r="BN9" s="164"/>
      <c r="BO9" s="164"/>
      <c r="BP9" s="164">
        <f>SUBTOTAL(9,BP5:BP8)</f>
        <v>41553</v>
      </c>
      <c r="BQ9" s="164"/>
      <c r="BR9" s="164"/>
      <c r="BS9" s="159"/>
      <c r="BT9" s="164">
        <f>SUBTOTAL(9,BT5:BT8)</f>
        <v>-37812.5</v>
      </c>
      <c r="BU9" s="164">
        <f>SUBTOTAL(9,BU5:BU8)</f>
        <v>-33433.474999999999</v>
      </c>
      <c r="BV9" s="164">
        <f>SUBTOTAL(9,BV5:BV8)</f>
        <v>-4379.0250000000015</v>
      </c>
      <c r="BW9" s="164">
        <f>SUBTOTAL(9,BW5:BW8)</f>
        <v>0</v>
      </c>
      <c r="BX9" s="164">
        <f>SUBTOTAL(9,BX5:BX8)</f>
        <v>-10965.85</v>
      </c>
      <c r="BY9" s="164">
        <f>SUBTOTAL(9,BY5:BY8)</f>
        <v>10965.85</v>
      </c>
      <c r="BZ9" s="160"/>
      <c r="CA9" s="169"/>
      <c r="CB9" s="169"/>
      <c r="CC9" s="164">
        <f>SUBTOTAL(9,CC5:CC8)</f>
        <v>2170328.65</v>
      </c>
      <c r="CD9" s="164">
        <f>SUBTOTAL(9,CD5:CD8)</f>
        <v>2222847.5</v>
      </c>
      <c r="CE9" s="169"/>
      <c r="CF9" s="170"/>
      <c r="CG9" s="169"/>
      <c r="CH9" s="169"/>
      <c r="CI9" s="164">
        <f>SUBTOTAL(9,CI5:CI8)</f>
        <v>41553</v>
      </c>
      <c r="CJ9" s="164">
        <f>SUBTOTAL(9,CJ5:CJ8)</f>
        <v>41553</v>
      </c>
      <c r="CK9" s="164">
        <f>SUBTOTAL(9,CK5:CK8)</f>
        <v>37173.974999999977</v>
      </c>
      <c r="CL9" s="164">
        <f>SUBTOTAL(9,CL5:CL8)</f>
        <v>2622960.0499999998</v>
      </c>
      <c r="CM9" s="164">
        <f>SUBTOTAL(9,CM5:CM8)</f>
        <v>-2573927.5099999998</v>
      </c>
      <c r="CN9" s="164">
        <f>SUBTOTAL(9,CN5:CN8)</f>
        <v>0</v>
      </c>
      <c r="CO9" s="164">
        <f>SUBTOTAL(9,CO5:CO8)</f>
        <v>12939.703</v>
      </c>
      <c r="CP9" s="164">
        <f>SUBTOTAL(9,CP5:CP8)</f>
        <v>61972.242999999922</v>
      </c>
      <c r="CQ9" s="169"/>
      <c r="CR9" s="169"/>
      <c r="CS9" s="169"/>
      <c r="CT9" s="169"/>
      <c r="CU9" s="169"/>
      <c r="CV9" s="169"/>
      <c r="CW9" s="169"/>
      <c r="CX9" s="169"/>
      <c r="CY9" s="169"/>
    </row>
    <row r="10" spans="2:103" s="172" customFormat="1" ht="12.5" thickBot="1" x14ac:dyDescent="0.35">
      <c r="D10" s="156"/>
      <c r="E10" s="173"/>
      <c r="F10" s="174"/>
      <c r="G10" s="173"/>
      <c r="H10" s="173"/>
      <c r="I10" s="175"/>
      <c r="J10" s="156"/>
      <c r="K10" s="175"/>
      <c r="L10" s="176"/>
      <c r="M10" s="176"/>
      <c r="N10" s="177">
        <f>O9-AW9+'Recon Items'!R31</f>
        <v>0</v>
      </c>
      <c r="O10" s="178"/>
      <c r="P10" s="179">
        <f>Q9+AK9+AJ9+AL9+T9+AE9</f>
        <v>2147861.0249999999</v>
      </c>
      <c r="Q10" s="180">
        <f>Q9*18%</f>
        <v>392633.01</v>
      </c>
      <c r="R10" s="180">
        <f>Q10*25%</f>
        <v>98158.252500000002</v>
      </c>
      <c r="S10" s="180"/>
      <c r="T10" s="180"/>
      <c r="U10" s="176"/>
      <c r="V10" s="155"/>
      <c r="W10" s="155"/>
      <c r="X10" s="174"/>
      <c r="Y10" s="180"/>
      <c r="Z10" s="180"/>
      <c r="AA10" s="180">
        <f>AB9/AY9</f>
        <v>0</v>
      </c>
      <c r="AB10" s="180"/>
      <c r="AC10" s="188">
        <f>+AL9+AK9</f>
        <v>-33433.474999999999</v>
      </c>
      <c r="AD10" s="181"/>
      <c r="AE10" s="181"/>
      <c r="AF10" s="182"/>
      <c r="AG10" s="182"/>
      <c r="AH10" s="174"/>
      <c r="AI10" s="187" t="s">
        <v>310</v>
      </c>
      <c r="AJ10" s="156">
        <f>AK9+AJ9+AE9</f>
        <v>-10965.85</v>
      </c>
      <c r="AK10" s="180"/>
      <c r="AL10" s="156"/>
      <c r="AM10" s="181">
        <f>AM9*18%</f>
        <v>386614.98449999996</v>
      </c>
      <c r="AN10" s="156"/>
      <c r="AO10" s="156"/>
      <c r="AP10" s="156"/>
      <c r="AQ10" s="156"/>
      <c r="AR10" s="183"/>
      <c r="AS10" s="156"/>
      <c r="AT10" s="156"/>
      <c r="AU10" s="156"/>
      <c r="AV10" s="156"/>
      <c r="AW10" s="325"/>
      <c r="AX10" s="156"/>
      <c r="AY10" s="156"/>
      <c r="AZ10" s="156"/>
      <c r="BA10" s="156"/>
      <c r="BB10" s="156"/>
      <c r="BC10" s="156"/>
      <c r="BD10" s="156"/>
      <c r="BE10" s="187" t="s">
        <v>189</v>
      </c>
      <c r="BF10" s="187">
        <f>BI9+BJ9+BC9+BJ18</f>
        <v>0</v>
      </c>
      <c r="BG10" s="156"/>
      <c r="BH10" s="184">
        <f>BF10/AY9</f>
        <v>0</v>
      </c>
      <c r="BI10" s="184"/>
      <c r="BJ10" s="156"/>
      <c r="BK10" s="185">
        <f>BM9/BL9</f>
        <v>1.7012988350301014E-2</v>
      </c>
      <c r="BL10" s="180"/>
      <c r="BM10" s="156"/>
      <c r="BN10" s="174"/>
      <c r="BO10" s="186">
        <f>BP9/AY9</f>
        <v>1.8693590091088119E-2</v>
      </c>
      <c r="BP10" s="180"/>
      <c r="BS10" s="156"/>
      <c r="BT10" s="180"/>
      <c r="BU10" s="218">
        <f>BU9/BT9</f>
        <v>0.8841910743801652</v>
      </c>
      <c r="BV10" s="156"/>
      <c r="BW10" s="156"/>
      <c r="BX10" s="219">
        <f>IFERROR(BX9/BW9,0)</f>
        <v>0</v>
      </c>
      <c r="BY10" s="173"/>
      <c r="BZ10" s="187"/>
      <c r="CA10" s="187" t="s">
        <v>162</v>
      </c>
      <c r="CB10" s="220">
        <f>CC9*118%</f>
        <v>2560987.8069999996</v>
      </c>
      <c r="CC10" s="220">
        <f>CD9*118%</f>
        <v>2622960.0499999998</v>
      </c>
      <c r="CE10" s="174"/>
    </row>
    <row r="11" spans="2:103" s="172" customFormat="1" ht="12.5" thickBot="1" x14ac:dyDescent="0.35">
      <c r="D11" s="173"/>
      <c r="E11" s="173"/>
      <c r="F11" s="174"/>
      <c r="G11" s="173"/>
      <c r="H11" s="173"/>
      <c r="I11" s="175"/>
      <c r="J11" s="156"/>
      <c r="K11" s="175"/>
      <c r="L11" s="176"/>
      <c r="M11" s="174"/>
      <c r="N11" s="178"/>
      <c r="O11" s="178"/>
      <c r="P11" s="179"/>
      <c r="Q11" s="180"/>
      <c r="R11" s="180"/>
      <c r="S11" s="180"/>
      <c r="T11" s="180"/>
      <c r="U11" s="176"/>
      <c r="V11" s="155"/>
      <c r="W11" s="155"/>
      <c r="X11" s="174"/>
      <c r="Y11" s="180"/>
      <c r="Z11" s="180"/>
      <c r="AA11" s="156"/>
      <c r="AB11" s="156"/>
      <c r="AD11" s="181"/>
      <c r="AE11" s="181"/>
      <c r="AF11" s="182"/>
      <c r="AG11" s="182"/>
      <c r="AH11" s="174"/>
      <c r="AI11" s="187" t="s">
        <v>311</v>
      </c>
      <c r="AJ11" s="181">
        <f>-'Last year''s'!F30</f>
        <v>-718187.35</v>
      </c>
      <c r="AK11" s="189"/>
      <c r="AL11" s="156"/>
      <c r="AM11" s="181"/>
      <c r="AN11" s="156"/>
      <c r="AO11" s="156"/>
      <c r="AP11" s="156"/>
      <c r="AQ11" s="156"/>
      <c r="AR11" s="190"/>
      <c r="AS11" s="156"/>
      <c r="AT11" s="156"/>
      <c r="AU11" s="156"/>
      <c r="AV11" s="156"/>
      <c r="AW11" s="325"/>
      <c r="AX11" s="156"/>
      <c r="AY11" s="156"/>
      <c r="AZ11" s="156"/>
      <c r="BA11" s="156"/>
      <c r="BB11" s="156"/>
      <c r="BC11" s="156"/>
      <c r="BD11" s="156"/>
      <c r="BE11" s="187" t="s">
        <v>190</v>
      </c>
      <c r="BF11" s="156">
        <f>-'Last year''s'!L30</f>
        <v>-729139.49</v>
      </c>
      <c r="BI11" s="191"/>
      <c r="BJ11" s="192"/>
      <c r="BK11" s="180"/>
      <c r="BL11" s="180"/>
      <c r="BM11" s="156"/>
      <c r="BN11" s="174"/>
      <c r="BO11" s="193"/>
      <c r="BP11" s="180"/>
      <c r="BS11" s="156"/>
      <c r="BT11" s="180"/>
      <c r="BU11" s="174"/>
      <c r="BV11" s="156"/>
      <c r="BW11" s="156"/>
      <c r="BX11" s="156"/>
      <c r="BY11" s="173"/>
      <c r="BZ11" s="156"/>
      <c r="CA11" s="156"/>
      <c r="CE11" s="174"/>
    </row>
    <row r="12" spans="2:103" s="172" customFormat="1" ht="13.5" thickBot="1" x14ac:dyDescent="0.35">
      <c r="B12" s="119" t="s">
        <v>20</v>
      </c>
      <c r="C12" s="120" t="s">
        <v>19</v>
      </c>
      <c r="D12" s="119" t="s">
        <v>18</v>
      </c>
      <c r="E12" s="120" t="s">
        <v>166</v>
      </c>
      <c r="F12" s="120" t="s">
        <v>30</v>
      </c>
      <c r="G12" s="120" t="s">
        <v>21</v>
      </c>
      <c r="H12" s="121" t="s">
        <v>24</v>
      </c>
      <c r="I12" s="122" t="s">
        <v>25</v>
      </c>
      <c r="J12" s="120" t="s">
        <v>22</v>
      </c>
      <c r="K12" s="122" t="s">
        <v>23</v>
      </c>
      <c r="L12" s="120" t="s">
        <v>32</v>
      </c>
      <c r="M12" s="120" t="s">
        <v>34</v>
      </c>
      <c r="N12" s="121" t="s">
        <v>38</v>
      </c>
      <c r="O12" s="120" t="s">
        <v>40</v>
      </c>
      <c r="P12" s="121" t="s">
        <v>41</v>
      </c>
      <c r="Q12" s="120" t="s">
        <v>42</v>
      </c>
      <c r="R12" s="121" t="s">
        <v>113</v>
      </c>
      <c r="S12" s="120" t="s">
        <v>114</v>
      </c>
      <c r="T12" s="121" t="s">
        <v>107</v>
      </c>
      <c r="U12" s="120" t="s">
        <v>33</v>
      </c>
      <c r="V12" s="121" t="s">
        <v>35</v>
      </c>
      <c r="W12" s="120" t="s">
        <v>36</v>
      </c>
      <c r="X12" s="121" t="s">
        <v>37</v>
      </c>
      <c r="Y12" s="120" t="s">
        <v>43</v>
      </c>
      <c r="Z12" s="120" t="s">
        <v>69</v>
      </c>
      <c r="AA12" s="121" t="s">
        <v>44</v>
      </c>
      <c r="AB12" s="120" t="s">
        <v>45</v>
      </c>
      <c r="AC12" s="346" t="s">
        <v>329</v>
      </c>
      <c r="AD12" s="120" t="s">
        <v>46</v>
      </c>
      <c r="AE12" s="121" t="s">
        <v>115</v>
      </c>
      <c r="AF12" s="120" t="s">
        <v>26</v>
      </c>
      <c r="AG12" s="121" t="s">
        <v>27</v>
      </c>
      <c r="AH12" s="120" t="s">
        <v>28</v>
      </c>
      <c r="AI12" s="121" t="s">
        <v>29</v>
      </c>
      <c r="AJ12" s="120" t="s">
        <v>47</v>
      </c>
      <c r="AK12" s="120" t="s">
        <v>186</v>
      </c>
      <c r="AL12" s="120" t="s">
        <v>188</v>
      </c>
      <c r="AM12" s="120" t="s">
        <v>48</v>
      </c>
      <c r="AN12" s="121" t="s">
        <v>50</v>
      </c>
      <c r="AO12" s="120" t="s">
        <v>49</v>
      </c>
      <c r="AP12" s="121" t="s">
        <v>175</v>
      </c>
      <c r="AQ12" s="121" t="s">
        <v>51</v>
      </c>
      <c r="AR12" s="120" t="s">
        <v>146</v>
      </c>
      <c r="AS12" s="120" t="s">
        <v>31</v>
      </c>
      <c r="AT12" s="120" t="s">
        <v>52</v>
      </c>
      <c r="AU12" s="121" t="s">
        <v>53</v>
      </c>
      <c r="AV12" s="121" t="s">
        <v>829</v>
      </c>
      <c r="AW12" s="120" t="s">
        <v>54</v>
      </c>
      <c r="AX12" s="322" t="s">
        <v>55</v>
      </c>
      <c r="AY12" s="120" t="s">
        <v>56</v>
      </c>
      <c r="AZ12" s="121" t="s">
        <v>57</v>
      </c>
      <c r="BA12" s="120" t="s">
        <v>113</v>
      </c>
      <c r="BB12" s="121" t="s">
        <v>114</v>
      </c>
      <c r="BC12" s="120" t="s">
        <v>115</v>
      </c>
      <c r="BD12" s="121" t="s">
        <v>116</v>
      </c>
      <c r="BE12" s="120" t="s">
        <v>128</v>
      </c>
      <c r="BF12" s="122" t="s">
        <v>129</v>
      </c>
      <c r="BG12" s="120" t="s">
        <v>130</v>
      </c>
      <c r="BH12" s="120" t="s">
        <v>131</v>
      </c>
      <c r="BI12" s="120" t="s">
        <v>133</v>
      </c>
      <c r="BJ12" s="120" t="s">
        <v>185</v>
      </c>
      <c r="BK12" s="120" t="s">
        <v>187</v>
      </c>
      <c r="BL12" s="121" t="s">
        <v>58</v>
      </c>
      <c r="BM12" s="120" t="s">
        <v>59</v>
      </c>
      <c r="BN12" s="120" t="s">
        <v>71</v>
      </c>
      <c r="BO12" s="121" t="s">
        <v>61</v>
      </c>
      <c r="BP12" s="120" t="s">
        <v>180</v>
      </c>
      <c r="BQ12" s="123" t="s">
        <v>132</v>
      </c>
      <c r="BR12" s="120" t="s">
        <v>105</v>
      </c>
      <c r="BS12" s="120" t="s">
        <v>106</v>
      </c>
      <c r="BT12" s="120" t="s">
        <v>178</v>
      </c>
      <c r="BU12" s="120" t="s">
        <v>179</v>
      </c>
      <c r="BV12" s="120" t="s">
        <v>60</v>
      </c>
      <c r="BW12" s="120" t="s">
        <v>126</v>
      </c>
      <c r="BX12" s="120" t="s">
        <v>127</v>
      </c>
      <c r="BY12" s="120" t="s">
        <v>60</v>
      </c>
      <c r="BZ12" s="120" t="s">
        <v>39</v>
      </c>
      <c r="CA12" s="120" t="s">
        <v>156</v>
      </c>
      <c r="CB12" s="120" t="s">
        <v>19</v>
      </c>
      <c r="CC12" s="120" t="s">
        <v>160</v>
      </c>
      <c r="CD12" s="120" t="s">
        <v>148</v>
      </c>
      <c r="CE12" s="120" t="s">
        <v>171</v>
      </c>
      <c r="CF12" s="120" t="s">
        <v>154</v>
      </c>
      <c r="CG12" s="120" t="s">
        <v>172</v>
      </c>
      <c r="CH12" s="124" t="s">
        <v>173</v>
      </c>
      <c r="CI12" s="125" t="s">
        <v>181</v>
      </c>
      <c r="CJ12" s="124" t="s">
        <v>182</v>
      </c>
      <c r="CK12" s="124" t="s">
        <v>183</v>
      </c>
      <c r="CL12" s="124" t="s">
        <v>192</v>
      </c>
      <c r="CM12" s="124" t="s">
        <v>2</v>
      </c>
      <c r="CN12" s="124" t="s">
        <v>193</v>
      </c>
      <c r="CO12" s="124" t="s">
        <v>194</v>
      </c>
      <c r="CP12" s="124" t="s">
        <v>59</v>
      </c>
      <c r="CQ12" s="124" t="s">
        <v>320</v>
      </c>
      <c r="CR12" s="124" t="s">
        <v>321</v>
      </c>
      <c r="CS12" s="124" t="s">
        <v>163</v>
      </c>
      <c r="CT12" s="124" t="s">
        <v>164</v>
      </c>
      <c r="CU12" s="124" t="s">
        <v>357</v>
      </c>
      <c r="CV12" s="124" t="s">
        <v>360</v>
      </c>
      <c r="CW12" s="124" t="s">
        <v>361</v>
      </c>
      <c r="CX12" s="124" t="s">
        <v>358</v>
      </c>
      <c r="CY12" s="124" t="s">
        <v>359</v>
      </c>
    </row>
    <row r="13" spans="2:103" s="172" customFormat="1" ht="12" x14ac:dyDescent="0.3">
      <c r="B13" s="127" t="s">
        <v>344</v>
      </c>
      <c r="C13" s="128" t="str">
        <f>TEXT(AN13,"mmm-yy")</f>
        <v>Apr-26</v>
      </c>
      <c r="D13" s="301">
        <f>AN13</f>
        <v>46122</v>
      </c>
      <c r="E13" s="130">
        <v>0</v>
      </c>
      <c r="F13" s="130">
        <v>0</v>
      </c>
      <c r="G13" s="130">
        <v>0</v>
      </c>
      <c r="H13" s="131">
        <v>0</v>
      </c>
      <c r="I13" s="299">
        <v>0</v>
      </c>
      <c r="J13" s="300">
        <v>0</v>
      </c>
      <c r="K13" s="299">
        <v>0</v>
      </c>
      <c r="L13" s="130">
        <v>0</v>
      </c>
      <c r="M13" s="130">
        <v>0</v>
      </c>
      <c r="N13" s="131">
        <v>0</v>
      </c>
      <c r="O13" s="130">
        <v>0</v>
      </c>
      <c r="P13" s="295">
        <v>0</v>
      </c>
      <c r="Q13" s="132">
        <f t="shared" ref="Q13" si="67">O13*P13</f>
        <v>0</v>
      </c>
      <c r="R13" s="133">
        <v>0</v>
      </c>
      <c r="S13" s="132">
        <f t="shared" ref="S13" si="68">O13-R13</f>
        <v>0</v>
      </c>
      <c r="T13" s="133">
        <v>0</v>
      </c>
      <c r="U13" s="134">
        <v>0</v>
      </c>
      <c r="V13" s="135">
        <v>0</v>
      </c>
      <c r="W13" s="134">
        <v>0</v>
      </c>
      <c r="X13" s="136">
        <v>0</v>
      </c>
      <c r="Y13" s="134">
        <v>0</v>
      </c>
      <c r="Z13" s="134">
        <v>0</v>
      </c>
      <c r="AA13" s="133">
        <v>0</v>
      </c>
      <c r="AB13" s="137">
        <f t="shared" ref="AB13" si="69">Y13+AA13+Z13</f>
        <v>0</v>
      </c>
      <c r="AC13" s="136">
        <v>0</v>
      </c>
      <c r="AD13" s="344">
        <f t="shared" ref="AD13" si="70">IFERROR((Q13+AB13)/S13,0)</f>
        <v>0</v>
      </c>
      <c r="AE13" s="151">
        <v>0</v>
      </c>
      <c r="AF13" s="134">
        <v>0</v>
      </c>
      <c r="AG13" s="134">
        <v>0</v>
      </c>
      <c r="AH13" s="134">
        <v>0</v>
      </c>
      <c r="AI13" s="135">
        <v>0</v>
      </c>
      <c r="AJ13" s="134">
        <v>0</v>
      </c>
      <c r="AK13" s="134">
        <v>0</v>
      </c>
      <c r="AL13" s="134">
        <v>0</v>
      </c>
      <c r="AM13" s="139">
        <f t="shared" ref="AM13" si="71">Q13+AB13+AL13+AK13+AJ13+T13+AE13</f>
        <v>0</v>
      </c>
      <c r="AN13" s="140">
        <v>46122</v>
      </c>
      <c r="AO13" s="141" t="s">
        <v>831</v>
      </c>
      <c r="AP13" s="142" t="s">
        <v>832</v>
      </c>
      <c r="AQ13" s="141" t="s">
        <v>222</v>
      </c>
      <c r="AR13" s="141" t="s">
        <v>833</v>
      </c>
      <c r="AS13" s="141" t="s">
        <v>323</v>
      </c>
      <c r="AT13" s="141" t="s">
        <v>834</v>
      </c>
      <c r="AU13" s="142" t="s">
        <v>835</v>
      </c>
      <c r="AV13" s="142">
        <v>0</v>
      </c>
      <c r="AW13" s="141">
        <v>1</v>
      </c>
      <c r="AX13" s="142">
        <v>303019</v>
      </c>
      <c r="AY13" s="143">
        <f t="shared" ref="AY13" si="72">AW13*AX13</f>
        <v>303019</v>
      </c>
      <c r="AZ13" s="146" t="b">
        <f>AW13=O13</f>
        <v>0</v>
      </c>
      <c r="BA13" s="132">
        <v>0</v>
      </c>
      <c r="BB13" s="147">
        <f t="shared" ref="BB13" si="73">AW13-BA13</f>
        <v>1</v>
      </c>
      <c r="BC13" s="148">
        <v>0</v>
      </c>
      <c r="BD13" s="147" t="s">
        <v>117</v>
      </c>
      <c r="BE13" s="376" t="s">
        <v>2101</v>
      </c>
      <c r="BF13" s="376">
        <v>46167</v>
      </c>
      <c r="BG13" s="135">
        <v>0</v>
      </c>
      <c r="BH13" s="132">
        <v>0</v>
      </c>
      <c r="BI13" s="143">
        <v>-303019</v>
      </c>
      <c r="BJ13" s="134">
        <v>0</v>
      </c>
      <c r="BK13" s="149">
        <v>0</v>
      </c>
      <c r="BL13" s="133">
        <f>AY13+BI13+BJ13+BK13+BC13</f>
        <v>0</v>
      </c>
      <c r="BM13" s="139">
        <f>BL13-AM13</f>
        <v>0</v>
      </c>
      <c r="BN13" s="148" t="str">
        <f t="shared" ref="BN13" si="74">IF(BM13&gt;=0,"Positive Margin","Negative Margin")</f>
        <v>Positive Margin</v>
      </c>
      <c r="BO13" s="150" t="s">
        <v>391</v>
      </c>
      <c r="BP13" s="132">
        <f>AY13-Y13-Q13-AA13-T13+BC13</f>
        <v>303019</v>
      </c>
      <c r="BQ13" s="151" t="str">
        <f t="shared" ref="BQ13" si="75">IF(BP13&lt;0, "Negative Margin at Inception", "Positive Margin at Inception")</f>
        <v>Positive Margin at Inception</v>
      </c>
      <c r="BR13" s="152" t="str">
        <f t="shared" ref="BR13" si="76">IFERROR(BM13/BL13,"0")</f>
        <v>0</v>
      </c>
      <c r="BS13" s="151" t="str">
        <f t="shared" ref="BS13" si="77">IF(BR13&lt;1%,"Less Than 1%",IF(BR13&gt;2%,"More than 2%",IF(BR13&gt;=1%,"1% - 2%")))</f>
        <v>More than 2%</v>
      </c>
      <c r="BT13" s="132">
        <f t="shared" ref="BT13" si="78">BJ13+BK13</f>
        <v>0</v>
      </c>
      <c r="BU13" s="133">
        <f>AL13+AK13</f>
        <v>0</v>
      </c>
      <c r="BV13" s="132">
        <f t="shared" ref="BV13" si="79">BT13-BU13</f>
        <v>0</v>
      </c>
      <c r="BW13" s="153">
        <f t="shared" ref="BW13" si="80">BJ13</f>
        <v>0</v>
      </c>
      <c r="BX13" s="153">
        <f>AK13</f>
        <v>0</v>
      </c>
      <c r="BY13" s="134">
        <f t="shared" ref="BY13" si="81">BW13-BX13</f>
        <v>0</v>
      </c>
      <c r="BZ13" s="153" t="s">
        <v>266</v>
      </c>
      <c r="CA13" s="134">
        <v>0</v>
      </c>
      <c r="CB13" s="134" t="str">
        <f>TEXT(AN13,"mmm-yy")</f>
        <v>Apr-26</v>
      </c>
      <c r="CC13" s="134">
        <f>AM13-AL13-AA13</f>
        <v>0</v>
      </c>
      <c r="CD13" s="134">
        <f t="shared" ref="CD13" si="82">BL13-BK13</f>
        <v>0</v>
      </c>
      <c r="CE13" s="134">
        <f>INT((D13- IF(MONTH(D13) &gt;= 4, DATE(YEAR(D13), 4, 1), DATE(YEAR(D13)-1, 4, 1))) / 7) + 1</f>
        <v>2</v>
      </c>
      <c r="CF13" s="154" t="s">
        <v>262</v>
      </c>
      <c r="CG13" s="134" t="s">
        <v>262</v>
      </c>
      <c r="CH13" s="134" t="e">
        <f>_xlfn.XLOOKUP(AR13,receivables!B:B,receivables!D:D)</f>
        <v>#N/A</v>
      </c>
      <c r="CI13" s="134">
        <f>AY13-Q13</f>
        <v>303019</v>
      </c>
      <c r="CJ13" s="134">
        <f>CI13-Y13+Z13</f>
        <v>303019</v>
      </c>
      <c r="CK13" s="134">
        <f>BL13-AM13</f>
        <v>0</v>
      </c>
      <c r="CL13" s="134">
        <f>AY13*118%</f>
        <v>357562.42</v>
      </c>
      <c r="CM13" s="134">
        <f>-Q13*118%</f>
        <v>0</v>
      </c>
      <c r="CN13" s="134">
        <f t="shared" ref="CN13" si="83">-BW13*118%</f>
        <v>0</v>
      </c>
      <c r="CO13" s="134">
        <f t="shared" ref="CO13" si="84">-BX13*118%</f>
        <v>0</v>
      </c>
      <c r="CP13" s="134">
        <f t="shared" ref="CP13" si="85">SUM(CL13:CO13)</f>
        <v>357562.42</v>
      </c>
      <c r="CQ13" s="134" t="s">
        <v>322</v>
      </c>
      <c r="CR13" s="134" t="s">
        <v>322</v>
      </c>
      <c r="CS13" s="149" t="str">
        <f>MID(G13,3,10)</f>
        <v/>
      </c>
      <c r="CT13" s="149" t="str">
        <f>MID(AR13,3,10)</f>
        <v>AAOCS6150Q</v>
      </c>
      <c r="CU13" s="149">
        <v>0</v>
      </c>
      <c r="CV13" s="149">
        <v>0</v>
      </c>
      <c r="CW13" s="149">
        <v>0</v>
      </c>
      <c r="CX13" s="149">
        <v>0</v>
      </c>
      <c r="CY13" s="149">
        <v>0</v>
      </c>
    </row>
    <row r="14" spans="2:103" s="172" customFormat="1" ht="12" x14ac:dyDescent="0.3">
      <c r="B14" s="127" t="s">
        <v>344</v>
      </c>
      <c r="C14" s="128" t="str">
        <f t="shared" ref="C14:C15" si="86">TEXT(AN14,"mmm-yy")</f>
        <v>Apr-26</v>
      </c>
      <c r="D14" s="301">
        <f t="shared" ref="D14:D15" si="87">AN14</f>
        <v>46125</v>
      </c>
      <c r="E14" s="130">
        <v>0</v>
      </c>
      <c r="F14" s="130">
        <v>0</v>
      </c>
      <c r="G14" s="130">
        <v>0</v>
      </c>
      <c r="H14" s="131">
        <v>0</v>
      </c>
      <c r="I14" s="299">
        <v>0</v>
      </c>
      <c r="J14" s="300">
        <v>0</v>
      </c>
      <c r="K14" s="299">
        <v>0</v>
      </c>
      <c r="L14" s="130">
        <v>0</v>
      </c>
      <c r="M14" s="130">
        <v>0</v>
      </c>
      <c r="N14" s="131">
        <v>0</v>
      </c>
      <c r="O14" s="130">
        <v>0</v>
      </c>
      <c r="P14" s="295">
        <v>0</v>
      </c>
      <c r="Q14" s="132">
        <f t="shared" ref="Q14:Q15" si="88">O14*P14</f>
        <v>0</v>
      </c>
      <c r="R14" s="133">
        <v>0</v>
      </c>
      <c r="S14" s="132">
        <f t="shared" ref="S14:S15" si="89">O14-R14</f>
        <v>0</v>
      </c>
      <c r="T14" s="133">
        <v>0</v>
      </c>
      <c r="U14" s="134">
        <v>0</v>
      </c>
      <c r="V14" s="135">
        <v>0</v>
      </c>
      <c r="W14" s="134">
        <v>0</v>
      </c>
      <c r="X14" s="136">
        <v>0</v>
      </c>
      <c r="Y14" s="134">
        <v>0</v>
      </c>
      <c r="Z14" s="134">
        <v>0</v>
      </c>
      <c r="AA14" s="133">
        <v>0</v>
      </c>
      <c r="AB14" s="137">
        <f t="shared" ref="AB14:AB15" si="90">Y14+AA14+Z14</f>
        <v>0</v>
      </c>
      <c r="AC14" s="136">
        <v>0</v>
      </c>
      <c r="AD14" s="344">
        <f t="shared" ref="AD14:AD15" si="91">IFERROR((Q14+AB14)/S14,0)</f>
        <v>0</v>
      </c>
      <c r="AE14" s="151">
        <v>0</v>
      </c>
      <c r="AF14" s="134">
        <v>0</v>
      </c>
      <c r="AG14" s="134">
        <v>0</v>
      </c>
      <c r="AH14" s="134">
        <v>0</v>
      </c>
      <c r="AI14" s="135">
        <v>0</v>
      </c>
      <c r="AJ14" s="134">
        <v>0</v>
      </c>
      <c r="AK14" s="134">
        <v>0</v>
      </c>
      <c r="AL14" s="134">
        <v>0</v>
      </c>
      <c r="AM14" s="139">
        <f t="shared" ref="AM14:AM15" si="92">Q14+AB14+AL14+AK14+AJ14+T14+AE14</f>
        <v>0</v>
      </c>
      <c r="AN14" s="140">
        <v>46125</v>
      </c>
      <c r="AO14" s="141" t="s">
        <v>844</v>
      </c>
      <c r="AP14" s="142" t="s">
        <v>845</v>
      </c>
      <c r="AQ14" s="141" t="s">
        <v>255</v>
      </c>
      <c r="AR14" s="141" t="s">
        <v>267</v>
      </c>
      <c r="AS14" s="141" t="s">
        <v>323</v>
      </c>
      <c r="AT14" s="141" t="s">
        <v>846</v>
      </c>
      <c r="AU14" s="142" t="s">
        <v>847</v>
      </c>
      <c r="AV14" s="142">
        <v>0</v>
      </c>
      <c r="AW14" s="141">
        <v>1</v>
      </c>
      <c r="AX14" s="142">
        <v>608652.03</v>
      </c>
      <c r="AY14" s="143">
        <f t="shared" ref="AY14:AY15" si="93">AW14*AX14</f>
        <v>608652.03</v>
      </c>
      <c r="AZ14" s="146" t="b">
        <f t="shared" ref="AZ14:AZ15" si="94">AW14=O14</f>
        <v>0</v>
      </c>
      <c r="BA14" s="132">
        <v>0</v>
      </c>
      <c r="BB14" s="147">
        <f t="shared" ref="BB14:BB15" si="95">AW14-BA14</f>
        <v>1</v>
      </c>
      <c r="BC14" s="148">
        <v>0</v>
      </c>
      <c r="BD14" s="147" t="s">
        <v>117</v>
      </c>
      <c r="BE14" s="134">
        <v>0</v>
      </c>
      <c r="BF14" s="137">
        <v>0</v>
      </c>
      <c r="BG14" s="135">
        <v>0</v>
      </c>
      <c r="BH14" s="132">
        <v>0</v>
      </c>
      <c r="BI14" s="143">
        <v>0</v>
      </c>
      <c r="BJ14" s="134">
        <v>0</v>
      </c>
      <c r="BK14" s="149">
        <v>0</v>
      </c>
      <c r="BL14" s="133">
        <f t="shared" ref="BL14:BL15" si="96">AY14+BI14+BJ14+BK14+BC14</f>
        <v>608652.03</v>
      </c>
      <c r="BM14" s="139">
        <f t="shared" ref="BM14:BM15" si="97">BL14-AM14</f>
        <v>608652.03</v>
      </c>
      <c r="BN14" s="148" t="str">
        <f t="shared" ref="BN14:BN15" si="98">IF(BM14&gt;=0,"Positive Margin","Negative Margin")</f>
        <v>Positive Margin</v>
      </c>
      <c r="BO14" s="150" t="s">
        <v>391</v>
      </c>
      <c r="BP14" s="132">
        <f t="shared" ref="BP14:BP15" si="99">AY14-Y14-Q14-AA14-T14+BC14</f>
        <v>608652.03</v>
      </c>
      <c r="BQ14" s="151" t="str">
        <f t="shared" ref="BQ14:BQ15" si="100">IF(BP14&lt;0, "Negative Margin at Inception", "Positive Margin at Inception")</f>
        <v>Positive Margin at Inception</v>
      </c>
      <c r="BR14" s="152">
        <f t="shared" ref="BR14:BR15" si="101">IFERROR(BM14/BL14,"0")</f>
        <v>1</v>
      </c>
      <c r="BS14" s="151" t="str">
        <f t="shared" ref="BS14:BS15" si="102">IF(BR14&lt;1%,"Less Than 1%",IF(BR14&gt;2%,"More than 2%",IF(BR14&gt;=1%,"1% - 2%")))</f>
        <v>More than 2%</v>
      </c>
      <c r="BT14" s="132">
        <f t="shared" ref="BT14:BT15" si="103">BJ14+BK14</f>
        <v>0</v>
      </c>
      <c r="BU14" s="133">
        <f t="shared" ref="BU14:BU15" si="104">AL14+AK14</f>
        <v>0</v>
      </c>
      <c r="BV14" s="132">
        <f t="shared" ref="BV14:BV15" si="105">BT14-BU14</f>
        <v>0</v>
      </c>
      <c r="BW14" s="153">
        <f t="shared" ref="BW14:BW15" si="106">BJ14</f>
        <v>0</v>
      </c>
      <c r="BX14" s="153">
        <f t="shared" ref="BX14:BX15" si="107">AK14</f>
        <v>0</v>
      </c>
      <c r="BY14" s="134">
        <f t="shared" ref="BY14:BY15" si="108">BW14-BX14</f>
        <v>0</v>
      </c>
      <c r="BZ14" s="153" t="s">
        <v>266</v>
      </c>
      <c r="CA14" s="134">
        <v>0</v>
      </c>
      <c r="CB14" s="134" t="str">
        <f t="shared" ref="CB14:CB15" si="109">TEXT(AN14,"mmm-yy")</f>
        <v>Apr-26</v>
      </c>
      <c r="CC14" s="134">
        <f t="shared" ref="CC14:CC15" si="110">AM14-AL14-AA14</f>
        <v>0</v>
      </c>
      <c r="CD14" s="134">
        <f t="shared" ref="CD14:CD15" si="111">BL14-BK14</f>
        <v>608652.03</v>
      </c>
      <c r="CE14" s="134">
        <f t="shared" ref="CE14:CE15" si="112">INT((D14- IF(MONTH(D14) &gt;= 4, DATE(YEAR(D14), 4, 1), DATE(YEAR(D14)-1, 4, 1))) / 7) + 1</f>
        <v>2</v>
      </c>
      <c r="CF14" s="154" t="s">
        <v>262</v>
      </c>
      <c r="CG14" s="134" t="s">
        <v>262</v>
      </c>
      <c r="CH14" s="134" t="e">
        <f>_xlfn.XLOOKUP(AR14,receivables!B:B,receivables!D:D)</f>
        <v>#N/A</v>
      </c>
      <c r="CI14" s="134">
        <f t="shared" ref="CI14:CI15" si="113">AY14-Q14</f>
        <v>608652.03</v>
      </c>
      <c r="CJ14" s="134">
        <f t="shared" ref="CJ14:CJ15" si="114">CI14-Y14+Z14</f>
        <v>608652.03</v>
      </c>
      <c r="CK14" s="134">
        <f t="shared" ref="CK14:CK15" si="115">BL14-AM14</f>
        <v>608652.03</v>
      </c>
      <c r="CL14" s="134">
        <f t="shared" ref="CL14:CL15" si="116">AY14*118%</f>
        <v>718209.39540000004</v>
      </c>
      <c r="CM14" s="134">
        <f t="shared" ref="CM14:CM15" si="117">-Q14*118%</f>
        <v>0</v>
      </c>
      <c r="CN14" s="134">
        <f t="shared" ref="CN14:CN15" si="118">-BW14*118%</f>
        <v>0</v>
      </c>
      <c r="CO14" s="134">
        <f t="shared" ref="CO14:CO15" si="119">-BX14*118%</f>
        <v>0</v>
      </c>
      <c r="CP14" s="134">
        <f t="shared" ref="CP14:CP15" si="120">SUM(CL14:CO14)</f>
        <v>718209.39540000004</v>
      </c>
      <c r="CQ14" s="134" t="s">
        <v>322</v>
      </c>
      <c r="CR14" s="134" t="s">
        <v>322</v>
      </c>
      <c r="CS14" s="149" t="str">
        <f t="shared" ref="CS14:CS15" si="121">MID(G14,3,10)</f>
        <v/>
      </c>
      <c r="CT14" s="149" t="str">
        <f t="shared" ref="CT14:CT15" si="122">MID(AR14,3,10)</f>
        <v>AAQFA3937J</v>
      </c>
      <c r="CU14" s="149">
        <v>0</v>
      </c>
      <c r="CV14" s="149">
        <v>0</v>
      </c>
      <c r="CW14" s="149">
        <v>0</v>
      </c>
      <c r="CX14" s="149">
        <v>0</v>
      </c>
      <c r="CY14" s="149">
        <v>0</v>
      </c>
    </row>
    <row r="15" spans="2:103" s="172" customFormat="1" ht="12" x14ac:dyDescent="0.3">
      <c r="B15" s="127" t="s">
        <v>344</v>
      </c>
      <c r="C15" s="128" t="str">
        <f t="shared" si="86"/>
        <v>Apr-26</v>
      </c>
      <c r="D15" s="301">
        <f t="shared" si="87"/>
        <v>46125</v>
      </c>
      <c r="E15" s="130">
        <v>0</v>
      </c>
      <c r="F15" s="130">
        <v>0</v>
      </c>
      <c r="G15" s="130">
        <v>0</v>
      </c>
      <c r="H15" s="131">
        <v>0</v>
      </c>
      <c r="I15" s="299">
        <v>0</v>
      </c>
      <c r="J15" s="300">
        <v>0</v>
      </c>
      <c r="K15" s="299">
        <v>0</v>
      </c>
      <c r="L15" s="130">
        <v>0</v>
      </c>
      <c r="M15" s="130">
        <v>0</v>
      </c>
      <c r="N15" s="131">
        <v>0</v>
      </c>
      <c r="O15" s="130">
        <v>0</v>
      </c>
      <c r="P15" s="295">
        <v>0</v>
      </c>
      <c r="Q15" s="132">
        <f t="shared" si="88"/>
        <v>0</v>
      </c>
      <c r="R15" s="133">
        <v>0</v>
      </c>
      <c r="S15" s="132">
        <f t="shared" si="89"/>
        <v>0</v>
      </c>
      <c r="T15" s="133">
        <v>0</v>
      </c>
      <c r="U15" s="134">
        <v>0</v>
      </c>
      <c r="V15" s="135">
        <v>0</v>
      </c>
      <c r="W15" s="134">
        <v>0</v>
      </c>
      <c r="X15" s="136">
        <v>0</v>
      </c>
      <c r="Y15" s="134">
        <v>0</v>
      </c>
      <c r="Z15" s="134">
        <v>0</v>
      </c>
      <c r="AA15" s="133">
        <v>0</v>
      </c>
      <c r="AB15" s="137">
        <f t="shared" si="90"/>
        <v>0</v>
      </c>
      <c r="AC15" s="136">
        <v>0</v>
      </c>
      <c r="AD15" s="344">
        <f t="shared" si="91"/>
        <v>0</v>
      </c>
      <c r="AE15" s="151">
        <v>0</v>
      </c>
      <c r="AF15" s="134">
        <v>0</v>
      </c>
      <c r="AG15" s="134">
        <v>0</v>
      </c>
      <c r="AH15" s="134">
        <v>0</v>
      </c>
      <c r="AI15" s="135">
        <v>0</v>
      </c>
      <c r="AJ15" s="134">
        <v>0</v>
      </c>
      <c r="AK15" s="134">
        <v>0</v>
      </c>
      <c r="AL15" s="134">
        <v>0</v>
      </c>
      <c r="AM15" s="139">
        <f t="shared" si="92"/>
        <v>0</v>
      </c>
      <c r="AN15" s="140">
        <v>46125</v>
      </c>
      <c r="AO15" s="141" t="s">
        <v>848</v>
      </c>
      <c r="AP15" s="142" t="s">
        <v>849</v>
      </c>
      <c r="AQ15" s="141" t="s">
        <v>334</v>
      </c>
      <c r="AR15" s="141" t="s">
        <v>335</v>
      </c>
      <c r="AS15" s="141" t="s">
        <v>323</v>
      </c>
      <c r="AT15" s="141" t="s">
        <v>850</v>
      </c>
      <c r="AU15" s="142" t="s">
        <v>207</v>
      </c>
      <c r="AV15" s="142">
        <v>0</v>
      </c>
      <c r="AW15" s="141">
        <v>1</v>
      </c>
      <c r="AX15" s="142">
        <v>755024</v>
      </c>
      <c r="AY15" s="143">
        <f t="shared" si="93"/>
        <v>755024</v>
      </c>
      <c r="AZ15" s="146" t="b">
        <f t="shared" si="94"/>
        <v>0</v>
      </c>
      <c r="BA15" s="132">
        <v>0</v>
      </c>
      <c r="BB15" s="147">
        <f t="shared" si="95"/>
        <v>1</v>
      </c>
      <c r="BC15" s="148">
        <v>0</v>
      </c>
      <c r="BD15" s="147" t="s">
        <v>117</v>
      </c>
      <c r="BE15" s="134">
        <v>0</v>
      </c>
      <c r="BF15" s="137">
        <v>0</v>
      </c>
      <c r="BG15" s="135">
        <v>0</v>
      </c>
      <c r="BH15" s="132">
        <v>0</v>
      </c>
      <c r="BI15" s="143">
        <v>0</v>
      </c>
      <c r="BJ15" s="134">
        <v>0</v>
      </c>
      <c r="BK15" s="149">
        <v>0</v>
      </c>
      <c r="BL15" s="133">
        <f t="shared" si="96"/>
        <v>755024</v>
      </c>
      <c r="BM15" s="139">
        <f t="shared" si="97"/>
        <v>755024</v>
      </c>
      <c r="BN15" s="148" t="str">
        <f t="shared" si="98"/>
        <v>Positive Margin</v>
      </c>
      <c r="BO15" s="150" t="s">
        <v>391</v>
      </c>
      <c r="BP15" s="132">
        <f t="shared" si="99"/>
        <v>755024</v>
      </c>
      <c r="BQ15" s="151" t="str">
        <f t="shared" si="100"/>
        <v>Positive Margin at Inception</v>
      </c>
      <c r="BR15" s="152">
        <f t="shared" si="101"/>
        <v>1</v>
      </c>
      <c r="BS15" s="151" t="str">
        <f t="shared" si="102"/>
        <v>More than 2%</v>
      </c>
      <c r="BT15" s="132">
        <f t="shared" si="103"/>
        <v>0</v>
      </c>
      <c r="BU15" s="133">
        <f t="shared" si="104"/>
        <v>0</v>
      </c>
      <c r="BV15" s="132">
        <f t="shared" si="105"/>
        <v>0</v>
      </c>
      <c r="BW15" s="153">
        <f t="shared" si="106"/>
        <v>0</v>
      </c>
      <c r="BX15" s="153">
        <f t="shared" si="107"/>
        <v>0</v>
      </c>
      <c r="BY15" s="134">
        <f t="shared" si="108"/>
        <v>0</v>
      </c>
      <c r="BZ15" s="153" t="s">
        <v>266</v>
      </c>
      <c r="CA15" s="134">
        <v>0</v>
      </c>
      <c r="CB15" s="134" t="str">
        <f t="shared" si="109"/>
        <v>Apr-26</v>
      </c>
      <c r="CC15" s="134">
        <f t="shared" si="110"/>
        <v>0</v>
      </c>
      <c r="CD15" s="134">
        <f t="shared" si="111"/>
        <v>755024</v>
      </c>
      <c r="CE15" s="134">
        <f t="shared" si="112"/>
        <v>2</v>
      </c>
      <c r="CF15" s="154" t="s">
        <v>262</v>
      </c>
      <c r="CG15" s="134" t="s">
        <v>262</v>
      </c>
      <c r="CH15" s="134" t="e">
        <f>_xlfn.XLOOKUP(AR15,receivables!B:B,receivables!D:D)</f>
        <v>#N/A</v>
      </c>
      <c r="CI15" s="134">
        <f t="shared" si="113"/>
        <v>755024</v>
      </c>
      <c r="CJ15" s="134">
        <f t="shared" si="114"/>
        <v>755024</v>
      </c>
      <c r="CK15" s="134">
        <f t="shared" si="115"/>
        <v>755024</v>
      </c>
      <c r="CL15" s="134">
        <f t="shared" si="116"/>
        <v>890928.32</v>
      </c>
      <c r="CM15" s="134">
        <f t="shared" si="117"/>
        <v>0</v>
      </c>
      <c r="CN15" s="134">
        <f t="shared" si="118"/>
        <v>0</v>
      </c>
      <c r="CO15" s="134">
        <f t="shared" si="119"/>
        <v>0</v>
      </c>
      <c r="CP15" s="134">
        <f t="shared" si="120"/>
        <v>890928.32</v>
      </c>
      <c r="CQ15" s="134" t="s">
        <v>322</v>
      </c>
      <c r="CR15" s="134" t="s">
        <v>322</v>
      </c>
      <c r="CS15" s="149" t="str">
        <f t="shared" si="121"/>
        <v/>
      </c>
      <c r="CT15" s="149" t="str">
        <f t="shared" si="122"/>
        <v>AADCJ2313B</v>
      </c>
      <c r="CU15" s="149">
        <v>0</v>
      </c>
      <c r="CV15" s="149">
        <v>0</v>
      </c>
      <c r="CW15" s="149">
        <v>0</v>
      </c>
      <c r="CX15" s="149">
        <v>0</v>
      </c>
      <c r="CY15" s="149">
        <v>0</v>
      </c>
    </row>
    <row r="16" spans="2:103" s="172" customFormat="1" ht="12" x14ac:dyDescent="0.3">
      <c r="B16" s="127" t="s">
        <v>344</v>
      </c>
      <c r="C16" s="128" t="str">
        <f t="shared" ref="C16" si="123">TEXT(AN16,"mmm-yy")</f>
        <v>Apr-26</v>
      </c>
      <c r="D16" s="301">
        <f t="shared" ref="D16" si="124">AN16</f>
        <v>46132</v>
      </c>
      <c r="E16" s="130">
        <v>0</v>
      </c>
      <c r="F16" s="130">
        <v>0</v>
      </c>
      <c r="G16" s="130">
        <v>0</v>
      </c>
      <c r="H16" s="131">
        <v>0</v>
      </c>
      <c r="I16" s="299">
        <v>0</v>
      </c>
      <c r="J16" s="300">
        <v>0</v>
      </c>
      <c r="K16" s="299">
        <v>0</v>
      </c>
      <c r="L16" s="130">
        <v>0</v>
      </c>
      <c r="M16" s="130">
        <v>0</v>
      </c>
      <c r="N16" s="131">
        <v>0</v>
      </c>
      <c r="O16" s="130">
        <v>0</v>
      </c>
      <c r="P16" s="295">
        <v>0</v>
      </c>
      <c r="Q16" s="132">
        <f t="shared" ref="Q16" si="125">O16*P16</f>
        <v>0</v>
      </c>
      <c r="R16" s="133">
        <v>0</v>
      </c>
      <c r="S16" s="132">
        <f t="shared" ref="S16" si="126">O16-R16</f>
        <v>0</v>
      </c>
      <c r="T16" s="133">
        <v>0</v>
      </c>
      <c r="U16" s="134">
        <v>0</v>
      </c>
      <c r="V16" s="135">
        <v>0</v>
      </c>
      <c r="W16" s="134">
        <v>0</v>
      </c>
      <c r="X16" s="136">
        <v>0</v>
      </c>
      <c r="Y16" s="134">
        <v>0</v>
      </c>
      <c r="Z16" s="134">
        <v>0</v>
      </c>
      <c r="AA16" s="133">
        <v>0</v>
      </c>
      <c r="AB16" s="137">
        <f t="shared" ref="AB16" si="127">Y16+AA16+Z16</f>
        <v>0</v>
      </c>
      <c r="AC16" s="136">
        <v>0</v>
      </c>
      <c r="AD16" s="344">
        <f t="shared" ref="AD16" si="128">IFERROR((Q16+AB16)/S16,0)</f>
        <v>0</v>
      </c>
      <c r="AE16" s="151">
        <v>0</v>
      </c>
      <c r="AF16" s="134">
        <v>0</v>
      </c>
      <c r="AG16" s="134">
        <v>0</v>
      </c>
      <c r="AH16" s="134">
        <v>0</v>
      </c>
      <c r="AI16" s="135">
        <v>0</v>
      </c>
      <c r="AJ16" s="134">
        <v>0</v>
      </c>
      <c r="AK16" s="134">
        <v>0</v>
      </c>
      <c r="AL16" s="134">
        <v>0</v>
      </c>
      <c r="AM16" s="139">
        <f t="shared" ref="AM16" si="129">Q16+AB16+AL16+AK16+AJ16+T16+AE16</f>
        <v>0</v>
      </c>
      <c r="AN16" s="140">
        <v>46132</v>
      </c>
      <c r="AO16" s="141" t="s">
        <v>881</v>
      </c>
      <c r="AP16" s="142" t="s">
        <v>882</v>
      </c>
      <c r="AQ16" s="141" t="s">
        <v>383</v>
      </c>
      <c r="AR16" s="141" t="s">
        <v>384</v>
      </c>
      <c r="AS16" s="141" t="s">
        <v>323</v>
      </c>
      <c r="AT16" s="141" t="s">
        <v>883</v>
      </c>
      <c r="AU16" s="142" t="s">
        <v>884</v>
      </c>
      <c r="AV16" s="142">
        <v>0</v>
      </c>
      <c r="AW16" s="141">
        <v>1</v>
      </c>
      <c r="AX16" s="142">
        <v>395165.28</v>
      </c>
      <c r="AY16" s="143">
        <f t="shared" ref="AY16" si="130">AW16*AX16</f>
        <v>395165.28</v>
      </c>
      <c r="AZ16" s="146" t="b">
        <f t="shared" ref="AZ16" si="131">AW16=O16</f>
        <v>0</v>
      </c>
      <c r="BA16" s="132">
        <v>0</v>
      </c>
      <c r="BB16" s="147">
        <f t="shared" ref="BB16" si="132">AW16-BA16</f>
        <v>1</v>
      </c>
      <c r="BC16" s="148">
        <v>0</v>
      </c>
      <c r="BD16" s="147" t="s">
        <v>117</v>
      </c>
      <c r="BE16" s="134" t="s">
        <v>2102</v>
      </c>
      <c r="BF16" s="298">
        <v>46168</v>
      </c>
      <c r="BG16" s="135">
        <v>0</v>
      </c>
      <c r="BH16" s="132">
        <v>0</v>
      </c>
      <c r="BI16" s="143">
        <v>-395165.28</v>
      </c>
      <c r="BJ16" s="134">
        <v>0</v>
      </c>
      <c r="BK16" s="149">
        <v>0</v>
      </c>
      <c r="BL16" s="133">
        <f t="shared" ref="BL16" si="133">AY16+BI16+BJ16+BK16+BC16</f>
        <v>0</v>
      </c>
      <c r="BM16" s="139">
        <f t="shared" ref="BM16" si="134">BL16-AM16</f>
        <v>0</v>
      </c>
      <c r="BN16" s="148" t="str">
        <f t="shared" ref="BN16" si="135">IF(BM16&gt;=0,"Positive Margin","Negative Margin")</f>
        <v>Positive Margin</v>
      </c>
      <c r="BO16" s="150" t="s">
        <v>391</v>
      </c>
      <c r="BP16" s="132">
        <f t="shared" ref="BP16" si="136">AY16-Y16-Q16-AA16-T16+BC16</f>
        <v>395165.28</v>
      </c>
      <c r="BQ16" s="151" t="str">
        <f t="shared" ref="BQ16" si="137">IF(BP16&lt;0, "Negative Margin at Inception", "Positive Margin at Inception")</f>
        <v>Positive Margin at Inception</v>
      </c>
      <c r="BR16" s="152" t="str">
        <f t="shared" ref="BR16" si="138">IFERROR(BM16/BL16,"0")</f>
        <v>0</v>
      </c>
      <c r="BS16" s="151" t="str">
        <f t="shared" ref="BS16" si="139">IF(BR16&lt;1%,"Less Than 1%",IF(BR16&gt;2%,"More than 2%",IF(BR16&gt;=1%,"1% - 2%")))</f>
        <v>More than 2%</v>
      </c>
      <c r="BT16" s="132">
        <f t="shared" ref="BT16" si="140">BJ16+BK16</f>
        <v>0</v>
      </c>
      <c r="BU16" s="133">
        <f t="shared" ref="BU16" si="141">AL16+AK16</f>
        <v>0</v>
      </c>
      <c r="BV16" s="132">
        <f t="shared" ref="BV16" si="142">BT16-BU16</f>
        <v>0</v>
      </c>
      <c r="BW16" s="153">
        <f t="shared" ref="BW16" si="143">BJ16</f>
        <v>0</v>
      </c>
      <c r="BX16" s="153">
        <f t="shared" ref="BX16" si="144">AK16</f>
        <v>0</v>
      </c>
      <c r="BY16" s="134">
        <f t="shared" ref="BY16" si="145">BW16-BX16</f>
        <v>0</v>
      </c>
      <c r="BZ16" s="153" t="s">
        <v>266</v>
      </c>
      <c r="CA16" s="134">
        <v>0</v>
      </c>
      <c r="CB16" s="134" t="str">
        <f t="shared" ref="CB16" si="146">TEXT(AN16,"mmm-yy")</f>
        <v>Apr-26</v>
      </c>
      <c r="CC16" s="134">
        <f t="shared" ref="CC16" si="147">AM16-AL16-AA16</f>
        <v>0</v>
      </c>
      <c r="CD16" s="134">
        <f t="shared" ref="CD16" si="148">BL16-BK16</f>
        <v>0</v>
      </c>
      <c r="CE16" s="134">
        <f t="shared" ref="CE16" si="149">INT((D16- IF(MONTH(D16) &gt;= 4, DATE(YEAR(D16), 4, 1), DATE(YEAR(D16)-1, 4, 1))) / 7) + 1</f>
        <v>3</v>
      </c>
      <c r="CF16" s="154" t="s">
        <v>262</v>
      </c>
      <c r="CG16" s="134" t="s">
        <v>262</v>
      </c>
      <c r="CH16" s="134" t="e">
        <f>_xlfn.XLOOKUP(AR16,receivables!B:B,receivables!D:D)</f>
        <v>#N/A</v>
      </c>
      <c r="CI16" s="134">
        <f t="shared" ref="CI16" si="150">AY16-Q16</f>
        <v>395165.28</v>
      </c>
      <c r="CJ16" s="134">
        <f t="shared" ref="CJ16" si="151">CI16-Y16+Z16</f>
        <v>395165.28</v>
      </c>
      <c r="CK16" s="134">
        <f t="shared" ref="CK16" si="152">BL16-AM16</f>
        <v>0</v>
      </c>
      <c r="CL16" s="134">
        <f t="shared" ref="CL16" si="153">AY16*118%</f>
        <v>466295.03039999999</v>
      </c>
      <c r="CM16" s="134">
        <f t="shared" ref="CM16" si="154">-Q16*118%</f>
        <v>0</v>
      </c>
      <c r="CN16" s="134">
        <f t="shared" ref="CN16" si="155">-BW16*118%</f>
        <v>0</v>
      </c>
      <c r="CO16" s="134">
        <f t="shared" ref="CO16" si="156">-BX16*118%</f>
        <v>0</v>
      </c>
      <c r="CP16" s="134">
        <f t="shared" ref="CP16" si="157">SUM(CL16:CO16)</f>
        <v>466295.03039999999</v>
      </c>
      <c r="CQ16" s="134" t="s">
        <v>322</v>
      </c>
      <c r="CR16" s="134" t="s">
        <v>322</v>
      </c>
      <c r="CS16" s="149" t="str">
        <f t="shared" ref="CS16" si="158">MID(G16,3,10)</f>
        <v/>
      </c>
      <c r="CT16" s="149" t="str">
        <f t="shared" ref="CT16" si="159">MID(AR16,3,10)</f>
        <v>AAICN2675D</v>
      </c>
      <c r="CU16" s="149">
        <v>0</v>
      </c>
      <c r="CV16" s="149">
        <v>0</v>
      </c>
      <c r="CW16" s="149">
        <v>0</v>
      </c>
      <c r="CX16" s="149">
        <v>0</v>
      </c>
      <c r="CY16" s="149">
        <v>0</v>
      </c>
    </row>
    <row r="17" spans="2:103" s="172" customFormat="1" ht="12.5" thickBot="1" x14ac:dyDescent="0.35">
      <c r="B17" s="127"/>
      <c r="C17" s="128"/>
      <c r="D17" s="301"/>
      <c r="E17" s="130"/>
      <c r="F17" s="130"/>
      <c r="G17" s="130"/>
      <c r="H17" s="131"/>
      <c r="I17" s="299"/>
      <c r="J17" s="300"/>
      <c r="K17" s="299"/>
      <c r="L17" s="130"/>
      <c r="M17" s="130"/>
      <c r="N17" s="131"/>
      <c r="O17" s="130"/>
      <c r="P17" s="295"/>
      <c r="Q17" s="132"/>
      <c r="R17" s="133"/>
      <c r="S17" s="132"/>
      <c r="T17" s="133"/>
      <c r="U17" s="134"/>
      <c r="V17" s="135"/>
      <c r="W17" s="134"/>
      <c r="X17" s="136"/>
      <c r="Y17" s="134"/>
      <c r="Z17" s="134"/>
      <c r="AA17" s="133"/>
      <c r="AB17" s="137"/>
      <c r="AC17" s="136"/>
      <c r="AD17" s="375"/>
      <c r="AE17" s="151"/>
      <c r="AF17" s="134"/>
      <c r="AG17" s="138"/>
      <c r="AH17" s="134"/>
      <c r="AI17" s="135"/>
      <c r="AJ17" s="134"/>
      <c r="AK17" s="134"/>
      <c r="AL17" s="134"/>
      <c r="AM17" s="139"/>
      <c r="AN17" s="140"/>
      <c r="AO17" s="141"/>
      <c r="AP17" s="142"/>
      <c r="AQ17" s="141"/>
      <c r="AR17" s="141"/>
      <c r="AS17" s="141"/>
      <c r="AT17" s="141"/>
      <c r="AU17" s="142"/>
      <c r="AV17" s="142"/>
      <c r="AW17" s="141"/>
      <c r="AX17" s="142"/>
      <c r="AY17" s="143"/>
      <c r="AZ17" s="146"/>
      <c r="BA17" s="132"/>
      <c r="BB17" s="147"/>
      <c r="BC17" s="148"/>
      <c r="BD17" s="147"/>
      <c r="BE17" s="134"/>
      <c r="BF17" s="137"/>
      <c r="BG17" s="135"/>
      <c r="BH17" s="132"/>
      <c r="BI17" s="143"/>
      <c r="BJ17" s="143"/>
      <c r="BK17" s="157"/>
      <c r="BL17" s="133"/>
      <c r="BM17" s="139"/>
      <c r="BN17" s="148"/>
      <c r="BO17" s="150"/>
      <c r="BP17" s="132"/>
      <c r="BQ17" s="151"/>
      <c r="BR17" s="152"/>
      <c r="BS17" s="151"/>
      <c r="BT17" s="132"/>
      <c r="BU17" s="133"/>
      <c r="BV17" s="132"/>
      <c r="BW17" s="153"/>
      <c r="BX17" s="153"/>
      <c r="BY17" s="134"/>
      <c r="BZ17" s="153"/>
      <c r="CA17" s="134"/>
      <c r="CB17" s="134"/>
      <c r="CC17" s="134"/>
      <c r="CD17" s="134"/>
      <c r="CE17" s="134"/>
      <c r="CF17" s="154"/>
      <c r="CG17" s="134"/>
      <c r="CH17" s="134"/>
      <c r="CI17" s="134"/>
      <c r="CJ17" s="134"/>
      <c r="CK17" s="134"/>
      <c r="CL17" s="134"/>
      <c r="CM17" s="134"/>
      <c r="CN17" s="134"/>
      <c r="CO17" s="134"/>
      <c r="CP17" s="134"/>
      <c r="CQ17" s="134"/>
      <c r="CR17" s="134"/>
      <c r="CS17" s="149"/>
      <c r="CT17" s="149"/>
      <c r="CU17" s="149"/>
      <c r="CV17" s="149"/>
      <c r="CW17" s="149"/>
      <c r="CX17" s="149"/>
      <c r="CY17" s="149"/>
    </row>
    <row r="18" spans="2:103" s="172" customFormat="1" ht="12.5" thickBot="1" x14ac:dyDescent="0.35">
      <c r="B18" s="158"/>
      <c r="C18" s="159"/>
      <c r="D18" s="159"/>
      <c r="E18" s="159"/>
      <c r="F18" s="160" t="s">
        <v>62</v>
      </c>
      <c r="G18" s="159"/>
      <c r="H18" s="159"/>
      <c r="I18" s="161"/>
      <c r="J18" s="159"/>
      <c r="K18" s="161"/>
      <c r="L18" s="160"/>
      <c r="M18" s="162"/>
      <c r="N18" s="163"/>
      <c r="O18" s="164">
        <f>SUBTOTAL(9,O13:O17)</f>
        <v>0</v>
      </c>
      <c r="P18" s="165"/>
      <c r="Q18" s="164">
        <f>SUBTOTAL(9,Q13:Q17)</f>
        <v>0</v>
      </c>
      <c r="R18" s="164">
        <f>SUBTOTAL(9,R13:R17)</f>
        <v>0</v>
      </c>
      <c r="S18" s="164">
        <f>SUBTOTAL(9,S13:S17)</f>
        <v>0</v>
      </c>
      <c r="T18" s="164">
        <f>SUBTOTAL(9,T13:T17)</f>
        <v>0</v>
      </c>
      <c r="U18" s="166"/>
      <c r="V18" s="166"/>
      <c r="W18" s="167"/>
      <c r="X18" s="167"/>
      <c r="Y18" s="164">
        <f t="shared" ref="Y18:AG18" si="160">SUBTOTAL(9,Y13:Y17)</f>
        <v>0</v>
      </c>
      <c r="Z18" s="164">
        <f t="shared" si="160"/>
        <v>0</v>
      </c>
      <c r="AA18" s="164">
        <f t="shared" si="160"/>
        <v>0</v>
      </c>
      <c r="AB18" s="164">
        <f t="shared" si="160"/>
        <v>0</v>
      </c>
      <c r="AC18" s="164">
        <f t="shared" si="160"/>
        <v>0</v>
      </c>
      <c r="AD18" s="164">
        <f t="shared" si="160"/>
        <v>0</v>
      </c>
      <c r="AE18" s="164">
        <f t="shared" si="160"/>
        <v>0</v>
      </c>
      <c r="AF18" s="164">
        <f t="shared" si="160"/>
        <v>0</v>
      </c>
      <c r="AG18" s="164">
        <f t="shared" si="160"/>
        <v>0</v>
      </c>
      <c r="AH18" s="168"/>
      <c r="AI18" s="168"/>
      <c r="AJ18" s="164">
        <f>SUBTOTAL(9,AJ13:AJ17)</f>
        <v>0</v>
      </c>
      <c r="AK18" s="164">
        <f>SUBTOTAL(9,AK13:AK17)</f>
        <v>0</v>
      </c>
      <c r="AL18" s="164">
        <f>SUBTOTAL(9,AL13:AL17)</f>
        <v>0</v>
      </c>
      <c r="AM18" s="164">
        <f>SUBTOTAL(9,AM13:AM17)</f>
        <v>0</v>
      </c>
      <c r="AN18" s="165"/>
      <c r="AO18" s="165"/>
      <c r="AP18" s="165"/>
      <c r="AQ18" s="164"/>
      <c r="AR18" s="164"/>
      <c r="AS18" s="162"/>
      <c r="AT18" s="164"/>
      <c r="AU18" s="165"/>
      <c r="AV18" s="165"/>
      <c r="AW18" s="164">
        <f>SUBTOTAL(9,AW13:AW17)</f>
        <v>4</v>
      </c>
      <c r="AX18" s="324"/>
      <c r="AY18" s="164">
        <f>SUBTOTAL(9,AY13:AY17)</f>
        <v>2061860.31</v>
      </c>
      <c r="AZ18" s="164"/>
      <c r="BA18" s="164">
        <f>SUBTOTAL(9,BA13:BA17)</f>
        <v>0</v>
      </c>
      <c r="BB18" s="164">
        <f>SUBTOTAL(9,BB13:BB17)</f>
        <v>4</v>
      </c>
      <c r="BC18" s="164">
        <f>SUBTOTAL(9,BC13:BC17)</f>
        <v>0</v>
      </c>
      <c r="BD18" s="164"/>
      <c r="BE18" s="165"/>
      <c r="BF18" s="336"/>
      <c r="BG18" s="165"/>
      <c r="BH18" s="165"/>
      <c r="BI18" s="164">
        <f>SUBTOTAL(9,BI13:BI17)</f>
        <v>-698184.28</v>
      </c>
      <c r="BJ18" s="164">
        <f>SUBTOTAL(9,BJ13:BJ17)</f>
        <v>0</v>
      </c>
      <c r="BK18" s="164">
        <f>SUBTOTAL(9,BK13:BK17)</f>
        <v>0</v>
      </c>
      <c r="BL18" s="164">
        <f>SUBTOTAL(9,BL13:BL17)</f>
        <v>1363676.03</v>
      </c>
      <c r="BM18" s="164">
        <f>SUBTOTAL(9,BM13:BM17)</f>
        <v>1363676.03</v>
      </c>
      <c r="BN18" s="164"/>
      <c r="BO18" s="164"/>
      <c r="BP18" s="164">
        <f>SUBTOTAL(9,BP13:BP17)</f>
        <v>2061860.31</v>
      </c>
      <c r="BQ18" s="164"/>
      <c r="BR18" s="164"/>
      <c r="BS18" s="159"/>
      <c r="BT18" s="164">
        <f t="shared" ref="BT18:BY18" si="161">SUBTOTAL(9,BT13:BT17)</f>
        <v>0</v>
      </c>
      <c r="BU18" s="164">
        <f t="shared" si="161"/>
        <v>0</v>
      </c>
      <c r="BV18" s="164">
        <f t="shared" si="161"/>
        <v>0</v>
      </c>
      <c r="BW18" s="164">
        <f t="shared" si="161"/>
        <v>0</v>
      </c>
      <c r="BX18" s="164">
        <f t="shared" si="161"/>
        <v>0</v>
      </c>
      <c r="BY18" s="164">
        <f t="shared" si="161"/>
        <v>0</v>
      </c>
      <c r="BZ18" s="160"/>
      <c r="CA18" s="169"/>
      <c r="CB18" s="169"/>
      <c r="CC18" s="164">
        <f>SUBTOTAL(9,CC13:CC17)</f>
        <v>0</v>
      </c>
      <c r="CD18" s="164">
        <f>SUBTOTAL(9,CD13:CD17)</f>
        <v>1363676.03</v>
      </c>
      <c r="CE18" s="169"/>
      <c r="CF18" s="170"/>
      <c r="CG18" s="169"/>
      <c r="CH18" s="169"/>
      <c r="CI18" s="164">
        <f t="shared" ref="CI18:CP18" si="162">SUBTOTAL(9,CI13:CI17)</f>
        <v>2061860.31</v>
      </c>
      <c r="CJ18" s="164">
        <f t="shared" si="162"/>
        <v>2061860.31</v>
      </c>
      <c r="CK18" s="164">
        <f t="shared" si="162"/>
        <v>1363676.03</v>
      </c>
      <c r="CL18" s="164">
        <f t="shared" si="162"/>
        <v>2432995.1658000001</v>
      </c>
      <c r="CM18" s="164">
        <f t="shared" si="162"/>
        <v>0</v>
      </c>
      <c r="CN18" s="164">
        <f t="shared" si="162"/>
        <v>0</v>
      </c>
      <c r="CO18" s="164">
        <f t="shared" si="162"/>
        <v>0</v>
      </c>
      <c r="CP18" s="164">
        <f t="shared" si="162"/>
        <v>2432995.1658000001</v>
      </c>
      <c r="CQ18" s="164"/>
      <c r="CR18" s="169"/>
      <c r="CS18" s="169"/>
      <c r="CT18" s="169"/>
      <c r="CU18" s="169"/>
      <c r="CV18" s="169"/>
      <c r="CW18" s="169"/>
      <c r="CX18" s="169"/>
      <c r="CY18" s="169"/>
    </row>
    <row r="19" spans="2:103" s="156" customFormat="1" ht="12.5" thickBot="1" x14ac:dyDescent="0.35">
      <c r="E19" s="173"/>
      <c r="F19" s="174"/>
      <c r="H19" s="174"/>
      <c r="I19" s="194"/>
      <c r="J19" s="181"/>
      <c r="K19" s="194"/>
      <c r="L19" s="176"/>
      <c r="M19" s="174"/>
      <c r="N19" s="182"/>
      <c r="O19" s="182"/>
      <c r="P19" s="181"/>
      <c r="Q19" s="180"/>
      <c r="R19" s="180"/>
      <c r="S19" s="180"/>
      <c r="T19" s="180"/>
      <c r="U19" s="176"/>
      <c r="V19" s="155"/>
      <c r="W19" s="155"/>
      <c r="X19" s="174"/>
      <c r="AD19" s="181"/>
      <c r="AE19" s="181"/>
      <c r="AF19" s="182"/>
      <c r="AG19" s="182"/>
      <c r="AH19" s="174"/>
      <c r="AM19" s="181"/>
      <c r="AR19" s="190"/>
      <c r="AW19" s="325"/>
      <c r="BE19" s="337"/>
      <c r="BI19" s="182"/>
      <c r="BL19" s="184"/>
      <c r="BN19" s="174"/>
      <c r="BO19" s="193"/>
      <c r="BU19" s="174"/>
      <c r="BY19" s="173"/>
      <c r="CE19" s="174"/>
    </row>
    <row r="20" spans="2:103" s="172" customFormat="1" ht="12.5" thickBot="1" x14ac:dyDescent="0.35">
      <c r="N20" s="195" t="s">
        <v>90</v>
      </c>
      <c r="O20" s="196" t="s">
        <v>56</v>
      </c>
      <c r="P20" s="197"/>
      <c r="Q20" s="180"/>
      <c r="R20" s="180"/>
      <c r="S20" s="180"/>
      <c r="T20" s="180"/>
      <c r="U20" s="176"/>
      <c r="V20" s="155"/>
      <c r="W20" s="155"/>
      <c r="AA20" s="386" t="s">
        <v>90</v>
      </c>
      <c r="AB20" s="387"/>
      <c r="AC20" s="198" t="s">
        <v>56</v>
      </c>
      <c r="AD20" s="156"/>
      <c r="AE20" s="156"/>
      <c r="AF20" s="182"/>
      <c r="AG20" s="182"/>
      <c r="AH20" s="174"/>
      <c r="AI20" s="156"/>
      <c r="AL20" s="156"/>
      <c r="AM20" s="156"/>
      <c r="AN20" s="156"/>
      <c r="AO20" s="156"/>
      <c r="AP20" s="156"/>
      <c r="AQ20" s="156"/>
      <c r="AX20" s="328" t="s">
        <v>90</v>
      </c>
      <c r="AY20" s="199" t="s">
        <v>56</v>
      </c>
      <c r="AZ20" s="200"/>
      <c r="BE20" s="338"/>
      <c r="BJ20" s="156"/>
    </row>
    <row r="21" spans="2:103" s="172" customFormat="1" ht="12" x14ac:dyDescent="0.3">
      <c r="N21" s="201" t="s">
        <v>64</v>
      </c>
      <c r="O21" s="330">
        <f>Q9+AJ9+AK9+AE9+Q18+AK18</f>
        <v>2170328.65</v>
      </c>
      <c r="P21" s="156"/>
      <c r="Q21" s="180"/>
      <c r="R21" s="180"/>
      <c r="S21" s="180"/>
      <c r="T21" s="180"/>
      <c r="U21" s="176"/>
      <c r="V21" s="155"/>
      <c r="W21" s="155"/>
      <c r="AA21" s="388" t="s">
        <v>89</v>
      </c>
      <c r="AB21" s="389"/>
      <c r="AC21" s="203">
        <f>Y9+Z9</f>
        <v>0</v>
      </c>
      <c r="AD21" s="197"/>
      <c r="AE21" s="197"/>
      <c r="AF21" s="182"/>
      <c r="AG21" s="182"/>
      <c r="AH21" s="174"/>
      <c r="AI21" s="156"/>
      <c r="AJ21" s="181"/>
      <c r="AK21" s="189"/>
      <c r="AL21" s="156"/>
      <c r="AM21" s="156"/>
      <c r="AN21" s="156"/>
      <c r="AO21" s="156"/>
      <c r="AP21" s="156"/>
      <c r="AQ21" s="156"/>
      <c r="AX21" s="221" t="s">
        <v>63</v>
      </c>
      <c r="AY21" s="204">
        <f>+AY9+BI9+BJ9+BC9+AY18+BJ18+BI18+BC18</f>
        <v>3586523.5300000003</v>
      </c>
      <c r="AZ21" s="205"/>
      <c r="BE21" s="338"/>
      <c r="BJ21" s="156"/>
    </row>
    <row r="22" spans="2:103" s="172" customFormat="1" ht="12" x14ac:dyDescent="0.3">
      <c r="N22" s="201" t="s">
        <v>91</v>
      </c>
      <c r="O22" s="202">
        <v>1778946.32</v>
      </c>
      <c r="P22" s="206">
        <v>46194</v>
      </c>
      <c r="Q22" s="180"/>
      <c r="S22" s="180"/>
      <c r="T22" s="180"/>
      <c r="U22" s="176"/>
      <c r="V22" s="155"/>
      <c r="W22" s="155"/>
      <c r="AA22" s="388" t="s">
        <v>65</v>
      </c>
      <c r="AB22" s="389"/>
      <c r="AC22" s="207">
        <v>0</v>
      </c>
      <c r="AD22" s="206">
        <f>P22</f>
        <v>46194</v>
      </c>
      <c r="AF22" s="182"/>
      <c r="AG22" s="182"/>
      <c r="AH22" s="174"/>
      <c r="AI22" s="156"/>
      <c r="AJ22" s="181"/>
      <c r="AK22" s="189"/>
      <c r="AL22" s="156"/>
      <c r="AM22" s="156"/>
      <c r="AN22" s="156"/>
      <c r="AO22" s="156"/>
      <c r="AP22" s="156"/>
      <c r="AQ22" s="156"/>
      <c r="AX22" s="221" t="s">
        <v>65</v>
      </c>
      <c r="AY22" s="208">
        <v>3173161.95</v>
      </c>
      <c r="AZ22" s="206">
        <f>P22</f>
        <v>46194</v>
      </c>
      <c r="BE22" s="338"/>
    </row>
    <row r="23" spans="2:103" s="172" customFormat="1" ht="12" x14ac:dyDescent="0.3">
      <c r="N23" s="201" t="s">
        <v>66</v>
      </c>
      <c r="O23" s="209">
        <f>O22-O21</f>
        <v>-391382.32999999984</v>
      </c>
      <c r="P23" s="156"/>
      <c r="Q23" s="180"/>
      <c r="S23" s="180"/>
      <c r="T23" s="180"/>
      <c r="U23" s="176"/>
      <c r="V23" s="155"/>
      <c r="W23" s="155"/>
      <c r="AA23" s="388" t="s">
        <v>66</v>
      </c>
      <c r="AB23" s="389"/>
      <c r="AC23" s="210">
        <f>-(AC22-AC21)</f>
        <v>0</v>
      </c>
      <c r="AD23" s="197"/>
      <c r="AE23" s="197"/>
      <c r="AF23" s="182"/>
      <c r="AG23" s="182"/>
      <c r="AH23" s="174"/>
      <c r="AI23" s="156"/>
      <c r="AJ23" s="181"/>
      <c r="AK23" s="156"/>
      <c r="AL23" s="156"/>
      <c r="AM23" s="156"/>
      <c r="AN23" s="156"/>
      <c r="AO23" s="156"/>
      <c r="AP23" s="156"/>
      <c r="AQ23" s="156"/>
      <c r="AX23" s="221" t="s">
        <v>66</v>
      </c>
      <c r="AY23" s="209">
        <f>AY21-AY22</f>
        <v>413361.58000000007</v>
      </c>
      <c r="AZ23" s="191"/>
      <c r="BE23" s="338"/>
    </row>
    <row r="24" spans="2:103" s="172" customFormat="1" ht="12" x14ac:dyDescent="0.3">
      <c r="N24" s="201" t="s">
        <v>313</v>
      </c>
      <c r="O24" s="204">
        <f>'Last year''s'!F3</f>
        <v>309308</v>
      </c>
      <c r="P24" s="156"/>
      <c r="Q24" s="180"/>
      <c r="S24" s="180"/>
      <c r="T24" s="180"/>
      <c r="U24" s="176"/>
      <c r="V24" s="155"/>
      <c r="W24" s="155"/>
      <c r="AA24" s="388" t="s">
        <v>177</v>
      </c>
      <c r="AB24" s="389"/>
      <c r="AC24" s="211">
        <v>0</v>
      </c>
      <c r="AD24" s="197"/>
      <c r="AE24" s="197"/>
      <c r="AF24" s="182"/>
      <c r="AG24" s="182"/>
      <c r="AH24" s="174"/>
      <c r="AI24" s="156"/>
      <c r="AJ24" s="181"/>
      <c r="AK24" s="156"/>
      <c r="AL24" s="156"/>
      <c r="AM24" s="156"/>
      <c r="AN24" s="156"/>
      <c r="AO24" s="156"/>
      <c r="AP24" s="156"/>
      <c r="AQ24" s="156"/>
      <c r="AX24" s="221" t="s">
        <v>793</v>
      </c>
      <c r="AY24" s="204">
        <f>'Last year''s'!L3</f>
        <v>315777.90999999997</v>
      </c>
      <c r="AZ24" s="191"/>
      <c r="BE24" s="338"/>
    </row>
    <row r="25" spans="2:103" s="172" customFormat="1" ht="12" x14ac:dyDescent="0.3">
      <c r="N25" s="201" t="s">
        <v>167</v>
      </c>
      <c r="O25" s="331">
        <v>0</v>
      </c>
      <c r="P25" s="212"/>
      <c r="Q25" s="180"/>
      <c r="S25" s="180"/>
      <c r="T25" s="180"/>
      <c r="U25" s="176"/>
      <c r="V25" s="155"/>
      <c r="W25" s="155"/>
      <c r="AA25" s="388" t="s">
        <v>791</v>
      </c>
      <c r="AB25" s="389"/>
      <c r="AC25" s="211">
        <v>0</v>
      </c>
      <c r="AD25" s="197"/>
      <c r="AE25" s="197"/>
      <c r="AF25" s="182"/>
      <c r="AG25" s="182"/>
      <c r="AH25" s="156"/>
      <c r="AI25" s="156"/>
      <c r="AJ25" s="213"/>
      <c r="AK25" s="156"/>
      <c r="AL25" s="156"/>
      <c r="AM25" s="156"/>
      <c r="AN25" s="156"/>
      <c r="AO25" s="156"/>
      <c r="AP25" s="156"/>
      <c r="AQ25" s="156"/>
      <c r="AX25" s="221" t="s">
        <v>794</v>
      </c>
      <c r="AY25" s="204">
        <f>-'Last year''s'!L30</f>
        <v>-729139.49</v>
      </c>
      <c r="AZ25" s="205"/>
      <c r="BE25" s="338"/>
    </row>
    <row r="26" spans="2:103" s="172" customFormat="1" ht="12" x14ac:dyDescent="0.3">
      <c r="N26" s="201" t="s">
        <v>790</v>
      </c>
      <c r="O26" s="204">
        <f>'Last year''s'!F30</f>
        <v>718187.35</v>
      </c>
      <c r="P26" s="187"/>
      <c r="Q26" s="180"/>
      <c r="S26" s="180"/>
      <c r="T26" s="180"/>
      <c r="U26" s="176"/>
      <c r="V26" s="155"/>
      <c r="W26" s="155"/>
      <c r="AA26" s="388" t="s">
        <v>792</v>
      </c>
      <c r="AB26" s="389"/>
      <c r="AC26" s="211">
        <v>0</v>
      </c>
      <c r="AD26" s="205"/>
      <c r="AE26" s="205"/>
      <c r="AF26" s="182"/>
      <c r="AG26" s="182"/>
      <c r="AH26" s="156"/>
      <c r="AI26" s="156"/>
      <c r="AJ26" s="213"/>
      <c r="AK26" s="156"/>
      <c r="AL26" s="156"/>
      <c r="AM26" s="156"/>
      <c r="AN26" s="156"/>
      <c r="AO26" s="156"/>
      <c r="AP26" s="156"/>
      <c r="AQ26" s="156"/>
      <c r="AX26" s="221" t="s">
        <v>795</v>
      </c>
      <c r="AY26" s="204">
        <v>0</v>
      </c>
      <c r="AZ26" s="205"/>
      <c r="BE26" s="338"/>
    </row>
    <row r="27" spans="2:103" s="172" customFormat="1" ht="12" x14ac:dyDescent="0.3">
      <c r="N27" s="201" t="s">
        <v>412</v>
      </c>
      <c r="O27" s="204">
        <f>-'Recon Items'!C46</f>
        <v>0</v>
      </c>
      <c r="P27" s="187"/>
      <c r="Q27" s="180"/>
      <c r="S27" s="180"/>
      <c r="T27" s="180"/>
      <c r="U27" s="176"/>
      <c r="V27" s="155"/>
      <c r="W27" s="155"/>
      <c r="AA27" s="388" t="s">
        <v>412</v>
      </c>
      <c r="AB27" s="389"/>
      <c r="AC27" s="211">
        <f>-'Recon Items'!K56</f>
        <v>0</v>
      </c>
      <c r="AD27" s="205"/>
      <c r="AE27" s="205"/>
      <c r="AF27" s="182"/>
      <c r="AG27" s="182"/>
      <c r="AH27" s="156"/>
      <c r="AI27" s="156"/>
      <c r="AJ27" s="213"/>
      <c r="AK27" s="156"/>
      <c r="AL27" s="156"/>
      <c r="AM27" s="156"/>
      <c r="AN27" s="156"/>
      <c r="AO27" s="156"/>
      <c r="AP27" s="156"/>
      <c r="AQ27" s="156"/>
      <c r="AX27" s="221" t="s">
        <v>412</v>
      </c>
      <c r="AY27" s="204">
        <f>'Recon Items'!G46</f>
        <v>0</v>
      </c>
      <c r="AZ27" s="205"/>
      <c r="BE27" s="338"/>
    </row>
    <row r="28" spans="2:103" s="172" customFormat="1" ht="12.5" thickBot="1" x14ac:dyDescent="0.35">
      <c r="N28" s="201" t="s">
        <v>86</v>
      </c>
      <c r="O28" s="204">
        <f>'Recon Items'!G18-'Recon Items'!C18-'Recon Items'!N18+'Recon Items'!C43</f>
        <v>17497.02</v>
      </c>
      <c r="P28" s="192"/>
      <c r="Q28" s="180"/>
      <c r="S28" s="180"/>
      <c r="T28" s="180"/>
      <c r="U28" s="176"/>
      <c r="V28" s="155"/>
      <c r="W28" s="155"/>
      <c r="AA28" s="384" t="s">
        <v>86</v>
      </c>
      <c r="AB28" s="385"/>
      <c r="AC28" s="214">
        <f>'Recon Items'!K42</f>
        <v>0</v>
      </c>
      <c r="AD28" s="180"/>
      <c r="AE28" s="180"/>
      <c r="AF28" s="182"/>
      <c r="AG28" s="182"/>
      <c r="AH28" s="156"/>
      <c r="AI28" s="156"/>
      <c r="AJ28" s="213"/>
      <c r="AK28" s="156"/>
      <c r="AL28" s="156"/>
      <c r="AM28" s="156"/>
      <c r="AN28" s="156"/>
      <c r="AO28" s="156"/>
      <c r="AP28" s="156"/>
      <c r="AQ28" s="156"/>
      <c r="AX28" s="221" t="s">
        <v>86</v>
      </c>
      <c r="AY28" s="204">
        <f>-'Recon Items'!C29+'Recon Items'!G29+'Recon Items'!R24+'Recon Items'!H43</f>
        <v>0</v>
      </c>
      <c r="AZ28" s="191"/>
      <c r="BE28" s="338"/>
    </row>
    <row r="29" spans="2:103" s="172" customFormat="1" ht="12.5" thickBot="1" x14ac:dyDescent="0.35">
      <c r="N29" s="215" t="s">
        <v>66</v>
      </c>
      <c r="O29" s="216">
        <f>O23+O26-O28-O25-O24-O27</f>
        <v>1.1641532182693481E-10</v>
      </c>
      <c r="Q29" s="180"/>
      <c r="S29" s="180"/>
      <c r="T29" s="180"/>
      <c r="U29" s="176"/>
      <c r="V29" s="155"/>
      <c r="W29" s="155"/>
      <c r="AA29" s="215" t="s">
        <v>66</v>
      </c>
      <c r="AB29" s="160"/>
      <c r="AC29" s="216">
        <f>SUM(AC23:AC28)</f>
        <v>0</v>
      </c>
      <c r="AD29" s="192"/>
      <c r="AE29" s="192"/>
      <c r="AF29" s="182"/>
      <c r="AG29" s="182"/>
      <c r="AH29" s="156"/>
      <c r="AI29" s="156"/>
      <c r="AJ29" s="179"/>
      <c r="AK29" s="156"/>
      <c r="AL29" s="156"/>
      <c r="AM29" s="156"/>
      <c r="AN29" s="156"/>
      <c r="AO29" s="156"/>
      <c r="AP29" s="156"/>
      <c r="AQ29" s="156"/>
      <c r="AX29" s="215" t="s">
        <v>80</v>
      </c>
      <c r="AY29" s="217">
        <f>AY23+AY25+AY28+AY24-AY26-AY27</f>
        <v>5.8207660913467407E-11</v>
      </c>
      <c r="AZ29" s="156"/>
      <c r="BE29" s="338"/>
    </row>
    <row r="30" spans="2:103" s="156" customFormat="1" ht="12" x14ac:dyDescent="0.3">
      <c r="E30" s="173"/>
      <c r="F30" s="174"/>
      <c r="H30" s="174"/>
      <c r="I30" s="194"/>
      <c r="J30" s="181"/>
      <c r="K30" s="194"/>
      <c r="L30" s="176"/>
      <c r="M30" s="174"/>
      <c r="N30" s="182"/>
      <c r="O30" s="182"/>
      <c r="P30" s="181"/>
      <c r="Q30" s="180"/>
      <c r="U30" s="176"/>
      <c r="V30" s="155"/>
      <c r="W30" s="155"/>
      <c r="X30" s="174"/>
      <c r="AD30" s="181"/>
      <c r="AE30" s="181"/>
      <c r="AF30" s="182"/>
      <c r="AG30" s="182"/>
      <c r="AH30" s="174"/>
      <c r="AM30" s="181"/>
      <c r="AW30" s="325"/>
      <c r="BE30" s="337"/>
      <c r="BI30" s="182"/>
      <c r="BN30" s="174"/>
      <c r="BO30" s="193"/>
      <c r="BU30" s="174"/>
      <c r="BY30" s="173"/>
      <c r="CE30" s="174"/>
    </row>
    <row r="31" spans="2:103" s="156" customFormat="1" ht="12" x14ac:dyDescent="0.3">
      <c r="E31" s="173"/>
      <c r="F31" s="174"/>
      <c r="H31" s="174"/>
      <c r="I31" s="194"/>
      <c r="J31" s="181"/>
      <c r="K31" s="194"/>
      <c r="L31" s="176"/>
      <c r="M31" s="174"/>
      <c r="N31" s="182"/>
      <c r="O31" s="182"/>
      <c r="P31" s="181"/>
      <c r="Q31" s="180"/>
      <c r="U31" s="176"/>
      <c r="V31" s="155"/>
      <c r="W31" s="155"/>
      <c r="X31" s="174"/>
      <c r="AD31" s="181"/>
      <c r="AE31" s="181"/>
      <c r="AF31" s="182"/>
      <c r="AG31" s="182"/>
      <c r="AH31" s="174"/>
      <c r="AM31" s="181"/>
      <c r="AR31" s="190"/>
      <c r="AW31" s="325"/>
      <c r="BE31" s="337"/>
      <c r="BI31" s="182"/>
      <c r="BN31" s="174"/>
      <c r="BO31" s="193"/>
      <c r="BU31" s="174"/>
      <c r="BY31" s="173"/>
      <c r="CE31" s="174"/>
    </row>
    <row r="32" spans="2:103" s="156" customFormat="1" ht="12" x14ac:dyDescent="0.3">
      <c r="E32" s="173"/>
      <c r="F32" s="174"/>
      <c r="H32" s="174"/>
      <c r="I32" s="194"/>
      <c r="J32" s="181"/>
      <c r="K32" s="194"/>
      <c r="L32" s="176"/>
      <c r="M32" s="174"/>
      <c r="N32" s="182"/>
      <c r="O32" s="182"/>
      <c r="P32" s="181"/>
      <c r="Q32" s="180"/>
      <c r="U32" s="176"/>
      <c r="V32" s="155"/>
      <c r="W32" s="155"/>
      <c r="X32" s="174"/>
      <c r="AD32" s="181"/>
      <c r="AE32" s="181"/>
      <c r="AF32" s="182"/>
      <c r="AG32" s="182"/>
      <c r="AH32" s="174"/>
      <c r="AM32" s="181"/>
      <c r="AR32" s="190"/>
      <c r="AW32" s="325"/>
      <c r="BE32" s="337"/>
      <c r="BI32" s="182"/>
      <c r="BN32" s="174"/>
      <c r="BO32" s="193"/>
      <c r="BU32" s="174"/>
      <c r="BY32" s="173"/>
      <c r="CE32" s="174"/>
    </row>
    <row r="33" spans="5:83" s="156" customFormat="1" ht="12" x14ac:dyDescent="0.3">
      <c r="E33" s="173"/>
      <c r="F33" s="174"/>
      <c r="H33" s="174"/>
      <c r="I33" s="194"/>
      <c r="J33" s="181"/>
      <c r="K33" s="194"/>
      <c r="L33" s="176"/>
      <c r="M33" s="174"/>
      <c r="N33" s="182"/>
      <c r="O33" s="182"/>
      <c r="P33" s="181"/>
      <c r="Q33" s="180"/>
      <c r="U33" s="176"/>
      <c r="V33" s="155"/>
      <c r="W33" s="155"/>
      <c r="X33" s="174"/>
      <c r="AD33" s="181"/>
      <c r="AE33" s="181"/>
      <c r="AF33" s="182"/>
      <c r="AG33" s="182"/>
      <c r="AH33" s="174"/>
      <c r="AM33" s="181"/>
      <c r="AR33" s="190"/>
      <c r="AW33" s="325"/>
      <c r="BE33" s="337"/>
      <c r="BI33" s="182"/>
      <c r="BN33" s="174"/>
      <c r="BO33" s="193"/>
      <c r="BU33" s="174"/>
      <c r="BY33" s="173"/>
      <c r="CE33" s="174"/>
    </row>
    <row r="34" spans="5:83" s="156" customFormat="1" ht="12" x14ac:dyDescent="0.3">
      <c r="E34" s="173"/>
      <c r="F34" s="174"/>
      <c r="H34" s="174"/>
      <c r="I34" s="194"/>
      <c r="J34" s="181"/>
      <c r="K34" s="194"/>
      <c r="L34" s="176"/>
      <c r="M34" s="174"/>
      <c r="N34" s="182"/>
      <c r="O34" s="182"/>
      <c r="P34" s="181"/>
      <c r="Q34" s="180"/>
      <c r="U34" s="176"/>
      <c r="V34" s="155"/>
      <c r="W34" s="155"/>
      <c r="X34" s="174"/>
      <c r="AD34" s="181"/>
      <c r="AE34" s="181"/>
      <c r="AF34" s="182"/>
      <c r="AG34" s="182"/>
      <c r="AH34" s="174"/>
      <c r="AM34" s="181"/>
      <c r="AR34" s="190"/>
      <c r="AW34" s="325"/>
      <c r="BE34" s="337"/>
      <c r="BI34" s="182"/>
      <c r="BN34" s="174"/>
      <c r="BO34" s="193"/>
      <c r="BU34" s="174"/>
      <c r="BY34" s="173"/>
      <c r="CE34" s="174"/>
    </row>
    <row r="35" spans="5:83" s="156" customFormat="1" ht="12" x14ac:dyDescent="0.3">
      <c r="E35" s="173"/>
      <c r="F35" s="174"/>
      <c r="H35" s="174"/>
      <c r="I35" s="194"/>
      <c r="J35" s="181"/>
      <c r="K35" s="194"/>
      <c r="L35" s="176"/>
      <c r="M35" s="174"/>
      <c r="N35" s="182"/>
      <c r="O35" s="182"/>
      <c r="P35" s="181"/>
      <c r="Q35" s="180"/>
      <c r="U35" s="176"/>
      <c r="V35" s="155"/>
      <c r="W35" s="155"/>
      <c r="X35" s="174"/>
      <c r="AD35" s="181"/>
      <c r="AE35" s="181"/>
      <c r="AF35" s="182"/>
      <c r="AG35" s="182"/>
      <c r="AH35" s="174"/>
      <c r="AM35" s="181"/>
      <c r="AR35" s="190"/>
      <c r="AW35" s="325"/>
      <c r="BE35" s="337"/>
      <c r="BI35" s="182"/>
      <c r="BN35" s="174"/>
      <c r="BO35" s="193"/>
      <c r="BU35" s="174"/>
      <c r="BY35" s="173"/>
      <c r="CE35" s="174"/>
    </row>
    <row r="36" spans="5:83" s="156" customFormat="1" ht="12" x14ac:dyDescent="0.3">
      <c r="E36" s="173"/>
      <c r="F36" s="174"/>
      <c r="H36" s="174"/>
      <c r="I36" s="194"/>
      <c r="J36" s="181"/>
      <c r="K36" s="194"/>
      <c r="L36" s="176"/>
      <c r="M36" s="174"/>
      <c r="N36" s="110"/>
      <c r="O36" s="110"/>
      <c r="P36" s="181"/>
      <c r="Q36" s="180"/>
      <c r="U36" s="176"/>
      <c r="V36" s="155"/>
      <c r="W36" s="155"/>
      <c r="X36" s="174"/>
      <c r="AD36" s="181"/>
      <c r="AE36" s="181"/>
      <c r="AF36" s="182"/>
      <c r="AG36" s="182"/>
      <c r="AH36" s="174"/>
      <c r="AM36" s="181"/>
      <c r="AR36" s="190"/>
      <c r="AU36" s="87"/>
      <c r="AV36" s="87"/>
      <c r="AW36" s="326"/>
      <c r="BE36" s="337"/>
      <c r="BI36" s="182"/>
      <c r="BN36" s="174"/>
      <c r="BO36" s="193"/>
      <c r="BU36" s="174"/>
      <c r="BY36" s="173"/>
      <c r="CE36" s="174"/>
    </row>
    <row r="37" spans="5:83" ht="12" x14ac:dyDescent="0.3">
      <c r="Q37" s="109"/>
      <c r="AR37" s="190"/>
      <c r="AS37" s="156"/>
    </row>
    <row r="38" spans="5:83" x14ac:dyDescent="0.25">
      <c r="Q38" s="109"/>
    </row>
    <row r="39" spans="5:83" x14ac:dyDescent="0.25">
      <c r="Q39" s="109"/>
    </row>
    <row r="40" spans="5:83" x14ac:dyDescent="0.25">
      <c r="Q40" s="109"/>
    </row>
    <row r="41" spans="5:83" x14ac:dyDescent="0.25">
      <c r="Q41" s="109"/>
    </row>
    <row r="42" spans="5:83" s="95" customFormat="1" ht="14.5" x14ac:dyDescent="0.35">
      <c r="Q42" s="109"/>
      <c r="R42" s="87"/>
      <c r="S42" s="87"/>
      <c r="T42" s="87"/>
      <c r="U42" s="107"/>
      <c r="V42" s="93"/>
      <c r="W42" s="116"/>
      <c r="X42" s="108"/>
      <c r="Y42" s="87"/>
      <c r="Z42" s="117"/>
      <c r="AD42" s="102"/>
      <c r="AE42" s="102"/>
      <c r="AF42" s="110"/>
      <c r="AG42" s="110"/>
      <c r="AH42" s="117"/>
      <c r="AI42" s="87"/>
      <c r="AJ42" s="112"/>
      <c r="AK42" s="87"/>
      <c r="AL42" s="87"/>
      <c r="AM42" s="118"/>
      <c r="AN42" s="117"/>
      <c r="AO42" s="117"/>
      <c r="AP42" s="87"/>
      <c r="AQ42" s="87"/>
      <c r="AR42" s="113"/>
      <c r="AS42" s="87"/>
      <c r="AT42" s="87"/>
      <c r="AU42" s="87"/>
      <c r="AV42" s="87"/>
      <c r="AW42" s="326"/>
      <c r="AX42" s="87"/>
      <c r="AY42" s="87"/>
      <c r="AZ42" s="87"/>
      <c r="BA42" s="87"/>
      <c r="BB42" s="87"/>
      <c r="BC42" s="87"/>
      <c r="BD42" s="87"/>
      <c r="BE42" s="339"/>
      <c r="BF42" s="112"/>
      <c r="BG42" s="111">
        <f>SUM(BG36:BG41)</f>
        <v>0</v>
      </c>
    </row>
    <row r="43" spans="5:83" s="95" customFormat="1" ht="14.5" x14ac:dyDescent="0.35">
      <c r="Q43" s="109"/>
      <c r="R43" s="87"/>
      <c r="S43" s="87"/>
      <c r="T43" s="87"/>
      <c r="U43" s="107"/>
      <c r="V43" s="93"/>
      <c r="W43" s="116"/>
      <c r="X43" s="108"/>
      <c r="Y43" s="87"/>
      <c r="Z43" s="109"/>
      <c r="AA43" s="109"/>
      <c r="AB43" s="109"/>
      <c r="AD43" s="102"/>
      <c r="AE43" s="102"/>
      <c r="AF43" s="110"/>
      <c r="AG43" s="110"/>
      <c r="AH43" s="117"/>
      <c r="AI43" s="87"/>
      <c r="AJ43" s="87"/>
      <c r="AK43" s="87"/>
      <c r="AL43" s="87"/>
      <c r="AM43" s="118"/>
      <c r="AN43" s="117"/>
      <c r="AO43" s="117"/>
      <c r="AP43" s="87"/>
      <c r="AQ43" s="87"/>
      <c r="AR43" s="113"/>
      <c r="AS43" s="87"/>
      <c r="AT43" s="87"/>
      <c r="AU43" s="87"/>
      <c r="AV43" s="87"/>
      <c r="AW43" s="326"/>
      <c r="AX43" s="87"/>
      <c r="AY43" s="87"/>
      <c r="AZ43" s="87"/>
      <c r="BA43" s="87"/>
      <c r="BB43" s="87"/>
      <c r="BC43" s="87"/>
      <c r="BD43" s="87"/>
      <c r="BE43" s="340"/>
      <c r="BF43" s="114"/>
      <c r="BG43" s="114">
        <f>BG35-BG42</f>
        <v>0</v>
      </c>
    </row>
    <row r="44" spans="5:83" s="95" customFormat="1" ht="14.5" x14ac:dyDescent="0.35">
      <c r="Q44" s="109"/>
      <c r="R44" s="87"/>
      <c r="S44" s="87"/>
      <c r="T44" s="87"/>
      <c r="U44" s="107"/>
      <c r="V44" s="93"/>
      <c r="W44" s="116"/>
      <c r="X44" s="108"/>
      <c r="Y44" s="87"/>
      <c r="Z44" s="87"/>
      <c r="AA44" s="109"/>
      <c r="AB44" s="109"/>
      <c r="AC44" s="109"/>
      <c r="AD44" s="102"/>
      <c r="AE44" s="102"/>
      <c r="AF44" s="110"/>
      <c r="AG44" s="110"/>
      <c r="AH44" s="117"/>
      <c r="AI44" s="87"/>
      <c r="AJ44" s="87"/>
      <c r="AK44" s="87"/>
      <c r="AL44" s="87"/>
      <c r="AM44" s="118"/>
      <c r="AN44" s="117"/>
      <c r="AO44" s="117"/>
      <c r="AP44" s="87"/>
      <c r="AQ44" s="87"/>
      <c r="AR44" s="113"/>
      <c r="AS44" s="87"/>
      <c r="AT44" s="87"/>
      <c r="AU44" s="87"/>
      <c r="AV44" s="87"/>
      <c r="AW44" s="326"/>
      <c r="AX44" s="87"/>
      <c r="AY44" s="87"/>
      <c r="AZ44" s="87"/>
      <c r="BA44" s="87"/>
      <c r="BB44" s="87"/>
      <c r="BC44" s="87"/>
      <c r="BD44" s="87"/>
      <c r="BE44" s="333"/>
      <c r="BF44" s="87"/>
      <c r="BG44" s="87"/>
    </row>
    <row r="45" spans="5:83" s="95" customFormat="1" ht="14.5" x14ac:dyDescent="0.35">
      <c r="Q45" s="109"/>
      <c r="R45" s="87"/>
      <c r="S45" s="87"/>
      <c r="T45" s="87"/>
      <c r="U45" s="107"/>
      <c r="V45" s="93"/>
      <c r="W45" s="116"/>
      <c r="X45" s="108"/>
      <c r="Y45" s="87"/>
      <c r="Z45" s="87"/>
      <c r="AA45" s="109"/>
      <c r="AB45" s="87"/>
      <c r="AC45" s="109"/>
      <c r="AD45" s="102"/>
      <c r="AE45" s="102"/>
      <c r="AF45" s="110"/>
      <c r="AG45" s="110"/>
      <c r="AH45" s="117"/>
      <c r="AI45" s="87"/>
      <c r="AJ45" s="87"/>
      <c r="AK45" s="87"/>
      <c r="AL45" s="87"/>
      <c r="AM45" s="102"/>
      <c r="AN45" s="117"/>
      <c r="AO45" s="117"/>
      <c r="AP45" s="87"/>
      <c r="AQ45" s="87"/>
      <c r="AR45" s="113"/>
      <c r="AS45" s="87"/>
      <c r="AT45" s="87"/>
      <c r="AU45" s="87"/>
      <c r="AV45" s="87"/>
      <c r="AW45" s="326"/>
      <c r="AX45" s="87"/>
      <c r="AY45" s="87"/>
      <c r="AZ45" s="87"/>
      <c r="BA45" s="87"/>
      <c r="BB45" s="87"/>
      <c r="BC45" s="87"/>
      <c r="BD45" s="87"/>
      <c r="BE45" s="341"/>
      <c r="BF45" s="102"/>
      <c r="BG45" s="87"/>
    </row>
    <row r="46" spans="5:83" s="95" customFormat="1" ht="14.5" x14ac:dyDescent="0.35">
      <c r="Q46" s="109"/>
      <c r="R46" s="87"/>
      <c r="S46" s="87"/>
      <c r="T46" s="87"/>
      <c r="U46" s="107"/>
      <c r="V46" s="93"/>
      <c r="W46" s="116"/>
      <c r="X46" s="108"/>
      <c r="Y46" s="87"/>
      <c r="Z46" s="87"/>
      <c r="AA46" s="109"/>
      <c r="AB46" s="87"/>
      <c r="AD46" s="102"/>
      <c r="AE46" s="102"/>
      <c r="AF46" s="110"/>
      <c r="AG46" s="110"/>
      <c r="AH46" s="117"/>
      <c r="AI46" s="87"/>
      <c r="AJ46" s="87"/>
      <c r="AK46" s="87"/>
      <c r="AL46" s="87"/>
      <c r="AM46" s="102"/>
      <c r="AN46" s="117"/>
      <c r="AO46" s="117"/>
      <c r="AP46" s="87"/>
      <c r="AQ46" s="87"/>
      <c r="AR46" s="113"/>
      <c r="AS46" s="87"/>
      <c r="AT46" s="87"/>
      <c r="AU46" s="87"/>
      <c r="AV46" s="87"/>
      <c r="AW46" s="326"/>
      <c r="AX46" s="87"/>
      <c r="AY46" s="87"/>
      <c r="AZ46" s="87"/>
      <c r="BA46" s="87"/>
      <c r="BB46" s="87"/>
      <c r="BC46" s="87"/>
      <c r="BD46" s="87"/>
      <c r="BE46" s="341"/>
      <c r="BF46" s="102"/>
      <c r="BG46" s="87"/>
    </row>
    <row r="47" spans="5:83" s="95" customFormat="1" ht="14.5" x14ac:dyDescent="0.35">
      <c r="Q47" s="109"/>
      <c r="R47" s="87"/>
      <c r="S47" s="87"/>
      <c r="T47" s="87"/>
      <c r="U47" s="107"/>
      <c r="V47" s="93"/>
      <c r="W47" s="116"/>
      <c r="X47" s="108"/>
      <c r="Y47" s="87"/>
      <c r="Z47" s="87"/>
      <c r="AA47" s="109"/>
      <c r="AB47" s="87"/>
      <c r="AD47" s="102"/>
      <c r="AE47" s="102"/>
      <c r="AF47" s="110"/>
      <c r="AG47" s="110"/>
      <c r="AH47" s="117"/>
      <c r="AI47" s="87"/>
      <c r="AJ47" s="87"/>
      <c r="AK47" s="87"/>
      <c r="AL47" s="87"/>
      <c r="AM47" s="102"/>
      <c r="AN47" s="117"/>
      <c r="AO47" s="117"/>
      <c r="AP47" s="87"/>
      <c r="AQ47" s="87"/>
      <c r="AR47" s="113"/>
      <c r="AS47" s="87"/>
      <c r="AT47" s="87"/>
      <c r="AU47" s="87"/>
      <c r="AV47" s="87"/>
      <c r="AW47" s="326"/>
      <c r="AX47" s="87"/>
      <c r="AY47" s="87"/>
      <c r="AZ47" s="87"/>
      <c r="BA47" s="87"/>
      <c r="BB47" s="87"/>
      <c r="BC47" s="87"/>
      <c r="BD47" s="87"/>
      <c r="BE47" s="333"/>
      <c r="BF47" s="87"/>
      <c r="BG47" s="87"/>
    </row>
    <row r="48" spans="5:83" s="95" customFormat="1" ht="14.5" x14ac:dyDescent="0.35">
      <c r="Q48" s="109"/>
      <c r="R48" s="87"/>
      <c r="S48" s="87"/>
      <c r="T48" s="87"/>
      <c r="U48" s="107"/>
      <c r="V48" s="93"/>
      <c r="W48" s="116"/>
      <c r="X48" s="108"/>
      <c r="Y48" s="87"/>
      <c r="Z48" s="87"/>
      <c r="AA48" s="109"/>
      <c r="AB48" s="87"/>
      <c r="AD48" s="102"/>
      <c r="AE48" s="102"/>
      <c r="AF48" s="110"/>
      <c r="AG48" s="110"/>
      <c r="AH48" s="117"/>
      <c r="AI48" s="87"/>
      <c r="AJ48" s="87"/>
      <c r="AK48" s="87"/>
      <c r="AL48" s="87"/>
      <c r="AM48" s="118"/>
      <c r="AN48" s="117"/>
      <c r="AO48" s="117"/>
      <c r="AP48" s="87"/>
      <c r="AQ48" s="87"/>
      <c r="AR48" s="113"/>
      <c r="AS48" s="87"/>
      <c r="AT48" s="87"/>
      <c r="AU48" s="87"/>
      <c r="AV48" s="87"/>
      <c r="AW48" s="326"/>
      <c r="AX48" s="87"/>
      <c r="AY48" s="87"/>
      <c r="AZ48" s="87"/>
      <c r="BA48" s="87"/>
      <c r="BB48" s="87"/>
      <c r="BC48" s="87"/>
      <c r="BD48" s="87"/>
      <c r="BE48" s="333"/>
      <c r="BF48" s="87"/>
      <c r="BG48" s="87"/>
    </row>
    <row r="49" spans="17:59" s="95" customFormat="1" ht="14.5" x14ac:dyDescent="0.35">
      <c r="Q49" s="109"/>
      <c r="R49" s="87"/>
      <c r="S49" s="87"/>
      <c r="T49" s="87"/>
      <c r="U49" s="107"/>
      <c r="V49" s="93"/>
      <c r="W49" s="116"/>
      <c r="X49" s="108"/>
      <c r="Y49" s="87"/>
      <c r="Z49" s="87"/>
      <c r="AA49" s="109"/>
      <c r="AB49" s="87"/>
      <c r="AD49" s="102"/>
      <c r="AE49" s="102"/>
      <c r="AF49" s="110"/>
      <c r="AG49" s="110"/>
      <c r="AH49" s="117"/>
      <c r="AI49" s="87"/>
      <c r="AJ49" s="87"/>
      <c r="AK49" s="87">
        <f>AK50-AK51</f>
        <v>0</v>
      </c>
      <c r="AL49" s="87"/>
      <c r="AM49" s="102"/>
      <c r="AN49" s="117"/>
      <c r="AO49" s="117"/>
      <c r="AP49" s="87"/>
      <c r="AQ49" s="87"/>
      <c r="AR49" s="113"/>
      <c r="AS49" s="87"/>
      <c r="AT49" s="87"/>
      <c r="AU49" s="87"/>
      <c r="AV49" s="87"/>
      <c r="AW49" s="326"/>
      <c r="AX49" s="87"/>
      <c r="AY49" s="87"/>
      <c r="AZ49" s="87"/>
      <c r="BA49" s="87"/>
      <c r="BB49" s="87"/>
      <c r="BC49" s="87"/>
      <c r="BD49" s="87"/>
      <c r="BE49" s="333"/>
      <c r="BF49" s="87"/>
      <c r="BG49" s="87"/>
    </row>
    <row r="50" spans="17:59" s="95" customFormat="1" ht="14.5" x14ac:dyDescent="0.35">
      <c r="Q50" s="109"/>
      <c r="R50" s="87"/>
      <c r="S50" s="87"/>
      <c r="T50" s="87"/>
      <c r="U50" s="107"/>
      <c r="V50" s="93"/>
      <c r="W50" s="116"/>
      <c r="X50" s="108"/>
      <c r="Y50" s="87"/>
      <c r="Z50" s="87"/>
      <c r="AA50" s="109"/>
      <c r="AB50" s="87"/>
      <c r="AD50" s="102"/>
      <c r="AE50" s="102"/>
      <c r="AF50" s="110"/>
      <c r="AG50" s="110"/>
      <c r="AH50" s="117"/>
      <c r="AJ50" s="87"/>
      <c r="AK50" s="87"/>
      <c r="AL50" s="87"/>
      <c r="AM50" s="102"/>
      <c r="AN50" s="117"/>
      <c r="AO50" s="117"/>
      <c r="AP50" s="87"/>
      <c r="AQ50" s="87"/>
      <c r="AR50" s="113"/>
      <c r="AS50" s="87"/>
      <c r="AT50" s="87"/>
      <c r="AU50" s="87"/>
      <c r="AV50" s="87"/>
      <c r="AW50" s="326"/>
      <c r="AX50" s="87"/>
      <c r="AY50" s="87"/>
      <c r="AZ50" s="87"/>
      <c r="BA50" s="87"/>
      <c r="BB50" s="87"/>
      <c r="BC50" s="87"/>
      <c r="BD50" s="87"/>
      <c r="BE50" s="333"/>
      <c r="BF50" s="87"/>
      <c r="BG50" s="87"/>
    </row>
    <row r="51" spans="17:59" s="95" customFormat="1" ht="14.5" x14ac:dyDescent="0.35">
      <c r="Q51" s="109"/>
      <c r="R51" s="87"/>
      <c r="S51" s="87"/>
      <c r="T51" s="87"/>
      <c r="U51" s="107"/>
      <c r="V51" s="93"/>
      <c r="W51" s="116"/>
      <c r="X51" s="108"/>
      <c r="Y51" s="112"/>
      <c r="Z51" s="87"/>
      <c r="AA51" s="87"/>
      <c r="AB51" s="87"/>
      <c r="AC51" s="87"/>
      <c r="AD51" s="102"/>
      <c r="AE51" s="102"/>
      <c r="AF51" s="110"/>
      <c r="AG51" s="110"/>
      <c r="AH51" s="117"/>
      <c r="AI51" s="87"/>
      <c r="AJ51" s="87"/>
      <c r="AK51" s="87"/>
      <c r="AL51" s="87"/>
      <c r="AM51" s="102"/>
      <c r="AN51" s="117"/>
      <c r="AO51" s="117"/>
      <c r="AP51" s="87"/>
      <c r="AQ51" s="87"/>
      <c r="AR51" s="113"/>
      <c r="AS51" s="87"/>
      <c r="AT51" s="87"/>
      <c r="AU51" s="87"/>
      <c r="AV51" s="87"/>
      <c r="AW51" s="326"/>
      <c r="AX51" s="87"/>
      <c r="AY51" s="87"/>
      <c r="AZ51" s="87"/>
      <c r="BA51" s="87"/>
      <c r="BB51" s="87"/>
      <c r="BC51" s="87"/>
      <c r="BD51" s="87"/>
      <c r="BE51" s="333"/>
      <c r="BF51" s="87"/>
      <c r="BG51" s="87"/>
    </row>
  </sheetData>
  <dataConsolidate link="1">
    <dataRefs count="1">
      <dataRef name="s"/>
    </dataRefs>
  </dataConsolidate>
  <mergeCells count="15">
    <mergeCell ref="B3:D3"/>
    <mergeCell ref="BS3:BX3"/>
    <mergeCell ref="BS2:BX2"/>
    <mergeCell ref="CK3:CO3"/>
    <mergeCell ref="AA28:AB28"/>
    <mergeCell ref="AA20:AB20"/>
    <mergeCell ref="AA21:AB21"/>
    <mergeCell ref="AA22:AB22"/>
    <mergeCell ref="AA23:AB23"/>
    <mergeCell ref="AA24:AB24"/>
    <mergeCell ref="AA25:AB25"/>
    <mergeCell ref="AA26:AB26"/>
    <mergeCell ref="CH3:CJ3"/>
    <mergeCell ref="CB3:CC3"/>
    <mergeCell ref="AA27:AB27"/>
  </mergeCells>
  <conditionalFormatting sqref="E3">
    <cfRule type="duplicateValues" dxfId="96" priority="15899"/>
  </conditionalFormatting>
  <conditionalFormatting sqref="E4">
    <cfRule type="duplicateValues" dxfId="95" priority="15633"/>
  </conditionalFormatting>
  <conditionalFormatting sqref="E12">
    <cfRule type="duplicateValues" dxfId="94" priority="7"/>
    <cfRule type="duplicateValues" dxfId="93" priority="8"/>
    <cfRule type="duplicateValues" dxfId="92" priority="9"/>
    <cfRule type="duplicateValues" dxfId="91" priority="10"/>
    <cfRule type="duplicateValues" dxfId="90" priority="11"/>
    <cfRule type="duplicateValues" dxfId="89" priority="12"/>
    <cfRule type="duplicateValues" dxfId="88" priority="13"/>
    <cfRule type="duplicateValues" dxfId="87" priority="14"/>
  </conditionalFormatting>
  <conditionalFormatting sqref="E13:E17">
    <cfRule type="duplicateValues" dxfId="86" priority="24225"/>
  </conditionalFormatting>
  <conditionalFormatting sqref="I19:I1048576 CE2 I10:I11 E4 I1 E2:AY2 BY2">
    <cfRule type="duplicateValues" dxfId="85" priority="19827"/>
    <cfRule type="duplicateValues" dxfId="84" priority="19828"/>
    <cfRule type="duplicateValues" dxfId="83" priority="19829"/>
    <cfRule type="duplicateValues" dxfId="82" priority="19830"/>
    <cfRule type="duplicateValues" dxfId="81" priority="19831"/>
  </conditionalFormatting>
  <conditionalFormatting sqref="I33:I1048576 CE2 E26:E32 I1 E4 I10:I11 E2:AY2 BY2 I19:I25">
    <cfRule type="duplicateValues" dxfId="80" priority="19857"/>
  </conditionalFormatting>
  <conditionalFormatting sqref="AM30:AM1048576 AO9:AP9 AJ29 AM10:AM11 AM1 AO4:AP4 AM3 AJ21:AJ24 AJ11 AM19">
    <cfRule type="duplicateValues" dxfId="79" priority="22294"/>
  </conditionalFormatting>
  <conditionalFormatting sqref="AM42">
    <cfRule type="duplicateValues" dxfId="78" priority="162"/>
  </conditionalFormatting>
  <conditionalFormatting sqref="AN50:AO50">
    <cfRule type="duplicateValues" dxfId="77" priority="173"/>
  </conditionalFormatting>
  <conditionalFormatting sqref="AO12:AP12">
    <cfRule type="duplicateValues" dxfId="76" priority="15"/>
  </conditionalFormatting>
  <conditionalFormatting sqref="AO18:AP18">
    <cfRule type="duplicateValues" dxfId="75" priority="5"/>
  </conditionalFormatting>
  <conditionalFormatting sqref="AZ4:BF4 BG4:BH6 BB5:BF6 AZ12:BH12 AZ13:AZ17 BB13:BH17 AZ5:AZ8 BB7:BH8">
    <cfRule type="containsText" dxfId="74" priority="3" operator="containsText" text="FALSE">
      <formula>NOT(ISERROR(SEARCH("FALSE",AZ4)))</formula>
    </cfRule>
  </conditionalFormatting>
  <conditionalFormatting sqref="BL42">
    <cfRule type="duplicateValues" dxfId="73" priority="157"/>
    <cfRule type="duplicateValues" dxfId="72" priority="158"/>
  </conditionalFormatting>
  <conditionalFormatting sqref="BL43">
    <cfRule type="duplicateValues" dxfId="71" priority="153"/>
    <cfRule type="duplicateValues" dxfId="70" priority="154"/>
  </conditionalFormatting>
  <conditionalFormatting sqref="BS35">
    <cfRule type="duplicateValues" dxfId="69" priority="168"/>
    <cfRule type="duplicateValues" dxfId="68" priority="169"/>
  </conditionalFormatting>
  <conditionalFormatting sqref="BS40">
    <cfRule type="duplicateValues" dxfId="67" priority="164"/>
    <cfRule type="duplicateValues" dxfId="66" priority="165"/>
  </conditionalFormatting>
  <conditionalFormatting sqref="BT37">
    <cfRule type="duplicateValues" dxfId="65" priority="170"/>
    <cfRule type="duplicateValues" dxfId="64" priority="171"/>
  </conditionalFormatting>
  <conditionalFormatting sqref="E4:E8">
    <cfRule type="duplicateValues" dxfId="63" priority="2424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3:AB701"/>
  <sheetViews>
    <sheetView showGridLines="0" showRowColHeaders="0" zoomScale="90" zoomScaleNormal="90" workbookViewId="0">
      <selection activeCell="F5" sqref="F5"/>
    </sheetView>
  </sheetViews>
  <sheetFormatPr defaultRowHeight="14.5" x14ac:dyDescent="0.35"/>
  <cols>
    <col min="1" max="1" width="4.36328125" customWidth="1"/>
    <col min="2" max="2" width="23.36328125" bestFit="1" customWidth="1"/>
    <col min="3" max="3" width="11.54296875" style="4" bestFit="1" customWidth="1"/>
    <col min="4" max="4" width="6.453125" style="4" bestFit="1" customWidth="1"/>
    <col min="5" max="5" width="4.08984375" customWidth="1"/>
    <col min="6" max="6" width="34.26953125" bestFit="1" customWidth="1"/>
    <col min="7" max="7" width="11.54296875" style="4" bestFit="1" customWidth="1"/>
    <col min="8" max="8" width="12.08984375" bestFit="1" customWidth="1"/>
    <col min="9" max="9" width="6.453125" bestFit="1" customWidth="1"/>
    <col min="10" max="10" width="36.453125" bestFit="1" customWidth="1"/>
    <col min="11" max="11" width="12.08984375" bestFit="1" customWidth="1"/>
    <col min="12" max="12" width="10.453125" bestFit="1" customWidth="1"/>
    <col min="13" max="13" width="31.54296875" bestFit="1" customWidth="1"/>
    <col min="14" max="14" width="7.7265625" bestFit="1" customWidth="1"/>
    <col min="15" max="15" width="3.90625" bestFit="1" customWidth="1"/>
    <col min="17" max="17" width="24.08984375" bestFit="1" customWidth="1"/>
    <col min="18" max="18" width="8" bestFit="1" customWidth="1"/>
    <col min="28" max="28" width="7.54296875" bestFit="1" customWidth="1"/>
  </cols>
  <sheetData>
    <row r="3" spans="2:18" ht="15" thickBot="1" x14ac:dyDescent="0.4">
      <c r="J3" s="51" t="s">
        <v>135</v>
      </c>
      <c r="M3" s="51" t="s">
        <v>900</v>
      </c>
      <c r="Q3" s="51" t="s">
        <v>174</v>
      </c>
    </row>
    <row r="4" spans="2:18" ht="15" thickBot="1" x14ac:dyDescent="0.4">
      <c r="B4" s="30" t="s">
        <v>72</v>
      </c>
      <c r="C4" s="31" t="s">
        <v>56</v>
      </c>
      <c r="F4" s="30" t="s">
        <v>73</v>
      </c>
      <c r="G4" s="31" t="s">
        <v>56</v>
      </c>
      <c r="H4" s="41" t="s">
        <v>85</v>
      </c>
      <c r="J4" s="30" t="s">
        <v>57</v>
      </c>
      <c r="K4" s="34">
        <f>Details!AD22</f>
        <v>46194</v>
      </c>
      <c r="M4" s="30" t="s">
        <v>72</v>
      </c>
      <c r="N4" s="31" t="s">
        <v>56</v>
      </c>
      <c r="O4" s="31" t="s">
        <v>85</v>
      </c>
      <c r="Q4" s="30" t="s">
        <v>140</v>
      </c>
      <c r="R4" s="31" t="s">
        <v>56</v>
      </c>
    </row>
    <row r="5" spans="2:18" x14ac:dyDescent="0.35">
      <c r="B5" s="7"/>
      <c r="C5" s="14"/>
      <c r="F5" s="7"/>
      <c r="G5" s="14"/>
      <c r="H5" s="19"/>
      <c r="J5" s="7"/>
      <c r="K5" s="11"/>
      <c r="M5" s="7" t="s">
        <v>821</v>
      </c>
      <c r="N5" s="14">
        <v>11011.02</v>
      </c>
      <c r="O5" s="16">
        <v>1</v>
      </c>
      <c r="Q5" s="7"/>
      <c r="R5" s="16"/>
    </row>
    <row r="6" spans="2:18" x14ac:dyDescent="0.35">
      <c r="B6" s="7"/>
      <c r="C6" s="14"/>
      <c r="F6" s="7"/>
      <c r="G6" s="14"/>
      <c r="H6" s="19"/>
      <c r="J6" s="7" t="s">
        <v>82</v>
      </c>
      <c r="K6" s="12">
        <f>-Details!AW9</f>
        <v>-36250</v>
      </c>
      <c r="M6" s="7" t="s">
        <v>898</v>
      </c>
      <c r="N6" s="14">
        <v>4536</v>
      </c>
      <c r="O6" s="16">
        <v>70</v>
      </c>
      <c r="Q6" s="7"/>
      <c r="R6" s="16"/>
    </row>
    <row r="7" spans="2:18" x14ac:dyDescent="0.35">
      <c r="B7" s="7"/>
      <c r="C7" s="14"/>
      <c r="F7" s="7"/>
      <c r="G7" s="14"/>
      <c r="H7" s="19"/>
      <c r="J7" s="7" t="s">
        <v>800</v>
      </c>
      <c r="K7" s="12">
        <v>36351</v>
      </c>
      <c r="M7" s="7" t="s">
        <v>899</v>
      </c>
      <c r="N7" s="14">
        <v>1950</v>
      </c>
      <c r="O7" s="16">
        <v>30</v>
      </c>
      <c r="Q7" s="7"/>
      <c r="R7" s="16"/>
    </row>
    <row r="8" spans="2:18" x14ac:dyDescent="0.35">
      <c r="B8" s="7"/>
      <c r="C8" s="14"/>
      <c r="F8" s="7"/>
      <c r="G8" s="14"/>
      <c r="H8" s="19"/>
      <c r="I8" s="21"/>
      <c r="J8" s="7" t="s">
        <v>801</v>
      </c>
      <c r="K8" s="12">
        <v>0</v>
      </c>
      <c r="M8" s="7"/>
      <c r="N8" s="14"/>
      <c r="O8" s="16"/>
      <c r="Q8" s="7"/>
      <c r="R8" s="16"/>
    </row>
    <row r="9" spans="2:18" ht="15" thickBot="1" x14ac:dyDescent="0.4">
      <c r="B9" s="7"/>
      <c r="C9" s="14"/>
      <c r="F9" s="7"/>
      <c r="G9" s="14"/>
      <c r="H9" s="19"/>
      <c r="I9" s="21"/>
      <c r="J9" s="7" t="s">
        <v>293</v>
      </c>
      <c r="K9" s="12">
        <f>R31+I42</f>
        <v>0</v>
      </c>
      <c r="M9" s="7"/>
      <c r="N9" s="14"/>
      <c r="O9" s="16"/>
      <c r="Q9" s="7"/>
      <c r="R9" s="16"/>
    </row>
    <row r="10" spans="2:18" ht="15" thickBot="1" x14ac:dyDescent="0.4">
      <c r="B10" s="7"/>
      <c r="C10" s="14"/>
      <c r="F10" s="7"/>
      <c r="G10" s="14"/>
      <c r="H10" s="19"/>
      <c r="I10" s="21"/>
      <c r="J10" s="8" t="s">
        <v>66</v>
      </c>
      <c r="K10" s="13">
        <f>SUM(K6:K9)-H18-O18</f>
        <v>0</v>
      </c>
      <c r="M10" s="7"/>
      <c r="N10" s="14"/>
      <c r="O10" s="16"/>
      <c r="Q10" s="7"/>
      <c r="R10" s="16"/>
    </row>
    <row r="11" spans="2:18" x14ac:dyDescent="0.35">
      <c r="B11" s="7"/>
      <c r="C11" s="14"/>
      <c r="F11" s="7"/>
      <c r="G11" s="14"/>
      <c r="H11" s="19"/>
      <c r="I11" s="21"/>
      <c r="J11" s="2"/>
      <c r="K11" s="15"/>
      <c r="M11" s="7"/>
      <c r="N11" s="14"/>
      <c r="O11" s="16"/>
      <c r="Q11" s="7"/>
      <c r="R11" s="16"/>
    </row>
    <row r="12" spans="2:18" x14ac:dyDescent="0.35">
      <c r="B12" s="7"/>
      <c r="C12" s="14"/>
      <c r="F12" s="7"/>
      <c r="G12" s="14"/>
      <c r="H12" s="19"/>
      <c r="I12" s="21"/>
      <c r="J12" s="2"/>
      <c r="K12" s="15"/>
      <c r="M12" s="7"/>
      <c r="N12" s="14"/>
      <c r="O12" s="16"/>
      <c r="Q12" s="7"/>
      <c r="R12" s="16"/>
    </row>
    <row r="13" spans="2:18" ht="15" thickBot="1" x14ac:dyDescent="0.4">
      <c r="B13" s="7"/>
      <c r="C13" s="14"/>
      <c r="F13" s="7"/>
      <c r="G13" s="14"/>
      <c r="H13" s="19"/>
      <c r="I13" s="21"/>
      <c r="J13" s="2"/>
      <c r="K13" s="15"/>
      <c r="M13" s="7"/>
      <c r="N13" s="14"/>
      <c r="O13" s="16"/>
      <c r="Q13" s="7"/>
      <c r="R13" s="16"/>
    </row>
    <row r="14" spans="2:18" ht="15" thickBot="1" x14ac:dyDescent="0.4">
      <c r="B14" s="7"/>
      <c r="C14" s="14"/>
      <c r="F14" s="7"/>
      <c r="G14" s="14"/>
      <c r="H14" s="19"/>
      <c r="I14" s="21"/>
      <c r="J14" s="30" t="s">
        <v>118</v>
      </c>
      <c r="K14" s="31" t="s">
        <v>56</v>
      </c>
      <c r="M14" s="7"/>
      <c r="N14" s="14"/>
      <c r="O14" s="16"/>
      <c r="Q14" s="7"/>
      <c r="R14" s="16"/>
    </row>
    <row r="15" spans="2:18" x14ac:dyDescent="0.35">
      <c r="B15" s="7"/>
      <c r="C15" s="14"/>
      <c r="F15" s="7"/>
      <c r="G15" s="14"/>
      <c r="H15" s="19"/>
      <c r="I15" s="21"/>
      <c r="J15" s="7"/>
      <c r="K15" s="14"/>
      <c r="M15" s="7"/>
      <c r="N15" s="14"/>
      <c r="O15" s="16"/>
      <c r="Q15" s="7"/>
      <c r="R15" s="16"/>
    </row>
    <row r="16" spans="2:18" x14ac:dyDescent="0.35">
      <c r="B16" s="7"/>
      <c r="C16" s="14"/>
      <c r="F16" s="7"/>
      <c r="G16" s="14"/>
      <c r="H16" s="19"/>
      <c r="I16" s="21"/>
      <c r="J16" s="7"/>
      <c r="K16" s="14"/>
      <c r="M16" s="7"/>
      <c r="N16" s="14"/>
      <c r="O16" s="16"/>
      <c r="Q16" s="7"/>
      <c r="R16" s="16"/>
    </row>
    <row r="17" spans="2:18" ht="15" thickBot="1" x14ac:dyDescent="0.4">
      <c r="B17" s="10"/>
      <c r="C17" s="14"/>
      <c r="F17" s="7"/>
      <c r="G17" s="14"/>
      <c r="H17" s="19"/>
      <c r="I17" s="21"/>
      <c r="J17" s="42"/>
      <c r="K17" s="43"/>
      <c r="M17" s="7"/>
      <c r="N17" s="14"/>
      <c r="O17" s="16"/>
      <c r="Q17" s="7"/>
      <c r="R17" s="16"/>
    </row>
    <row r="18" spans="2:18" ht="15" thickBot="1" x14ac:dyDescent="0.4">
      <c r="B18" s="8" t="s">
        <v>81</v>
      </c>
      <c r="C18" s="44">
        <f>SUM(C5:C17)</f>
        <v>0</v>
      </c>
      <c r="F18" s="47" t="s">
        <v>81</v>
      </c>
      <c r="G18" s="63">
        <f>SUBTOTAL(9,G5:G17)</f>
        <v>0</v>
      </c>
      <c r="H18" s="49">
        <f>SUBTOTAL(9,H5:H17)</f>
        <v>0</v>
      </c>
      <c r="I18" s="21"/>
      <c r="J18" s="8"/>
      <c r="K18" s="44">
        <f>SUM(K15:K17)</f>
        <v>0</v>
      </c>
      <c r="M18" s="47" t="s">
        <v>81</v>
      </c>
      <c r="N18" s="63">
        <f>-SUM(N5:N17)</f>
        <v>-17497.02</v>
      </c>
      <c r="O18" s="49">
        <f>SUM(O5:O17)</f>
        <v>101</v>
      </c>
      <c r="Q18" s="7"/>
      <c r="R18" s="16"/>
    </row>
    <row r="19" spans="2:18" x14ac:dyDescent="0.35">
      <c r="B19" s="2"/>
      <c r="C19" s="38"/>
      <c r="F19" s="2"/>
      <c r="G19" s="5"/>
      <c r="J19" s="2"/>
      <c r="K19" s="15"/>
      <c r="M19" s="21"/>
      <c r="Q19" s="7"/>
      <c r="R19" s="16"/>
    </row>
    <row r="20" spans="2:18" ht="15" thickBot="1" x14ac:dyDescent="0.4">
      <c r="B20" s="2"/>
      <c r="C20" s="38"/>
      <c r="F20" s="2"/>
      <c r="G20" s="5"/>
      <c r="J20" s="2"/>
      <c r="K20" s="15"/>
      <c r="M20" s="21"/>
      <c r="Q20" s="7"/>
      <c r="R20" s="16"/>
    </row>
    <row r="21" spans="2:18" ht="15" thickBot="1" x14ac:dyDescent="0.4">
      <c r="B21" s="30" t="s">
        <v>74</v>
      </c>
      <c r="C21" s="35" t="s">
        <v>56</v>
      </c>
      <c r="F21" s="30" t="s">
        <v>75</v>
      </c>
      <c r="G21" s="31" t="s">
        <v>56</v>
      </c>
      <c r="H21" s="31" t="s">
        <v>85</v>
      </c>
      <c r="J21" s="31" t="s">
        <v>84</v>
      </c>
      <c r="K21" s="15"/>
      <c r="M21" s="21"/>
      <c r="Q21" s="7"/>
      <c r="R21" s="16"/>
    </row>
    <row r="22" spans="2:18" x14ac:dyDescent="0.35">
      <c r="B22" s="7"/>
      <c r="C22" s="36"/>
      <c r="F22" s="7"/>
      <c r="G22" s="361"/>
      <c r="H22" s="11"/>
      <c r="J22" s="11"/>
      <c r="K22" s="15"/>
      <c r="M22" s="21"/>
      <c r="Q22" s="7"/>
      <c r="R22" s="16"/>
    </row>
    <row r="23" spans="2:18" ht="15" thickBot="1" x14ac:dyDescent="0.4">
      <c r="B23" s="7"/>
      <c r="C23" s="16"/>
      <c r="F23" s="7"/>
      <c r="G23" s="358"/>
      <c r="H23" s="11"/>
      <c r="J23" s="11"/>
      <c r="K23" s="15"/>
      <c r="Q23" s="10"/>
      <c r="R23" s="20"/>
    </row>
    <row r="24" spans="2:18" ht="15" thickBot="1" x14ac:dyDescent="0.4">
      <c r="B24" s="7"/>
      <c r="C24" s="16"/>
      <c r="E24" s="6"/>
      <c r="F24" s="7"/>
      <c r="G24" s="25"/>
      <c r="H24" s="11"/>
      <c r="J24" s="11"/>
      <c r="K24" s="15"/>
      <c r="L24" s="21"/>
      <c r="M24" s="21"/>
      <c r="Q24" s="306" t="s">
        <v>81</v>
      </c>
      <c r="R24" s="39">
        <f>SUM(R5:R23)</f>
        <v>0</v>
      </c>
    </row>
    <row r="25" spans="2:18" ht="15" thickBot="1" x14ac:dyDescent="0.4">
      <c r="B25" s="7"/>
      <c r="C25" s="16"/>
      <c r="D25" s="21"/>
      <c r="F25" s="7"/>
      <c r="G25" s="25"/>
      <c r="H25" s="11"/>
      <c r="J25" s="11"/>
      <c r="K25" s="15"/>
      <c r="L25" s="21"/>
      <c r="M25" s="21"/>
      <c r="Q25" s="51" t="s">
        <v>356</v>
      </c>
      <c r="R25" s="21"/>
    </row>
    <row r="26" spans="2:18" ht="15" thickBot="1" x14ac:dyDescent="0.4">
      <c r="B26" s="7"/>
      <c r="C26" s="16"/>
      <c r="D26" s="21"/>
      <c r="E26" s="6"/>
      <c r="F26" s="7"/>
      <c r="G26" s="25"/>
      <c r="H26" s="11"/>
      <c r="J26" s="11"/>
      <c r="K26" s="15"/>
      <c r="M26" s="21"/>
      <c r="Q26" s="30" t="s">
        <v>83</v>
      </c>
      <c r="R26" s="64" t="s">
        <v>85</v>
      </c>
    </row>
    <row r="27" spans="2:18" x14ac:dyDescent="0.35">
      <c r="B27" s="7"/>
      <c r="C27" s="16"/>
      <c r="D27" s="21"/>
      <c r="F27" s="7"/>
      <c r="G27" s="25"/>
      <c r="H27" s="11"/>
      <c r="J27" s="11"/>
      <c r="K27" s="15"/>
      <c r="M27" s="21"/>
      <c r="Q27" s="7"/>
      <c r="R27" s="11"/>
    </row>
    <row r="28" spans="2:18" ht="15" thickBot="1" x14ac:dyDescent="0.4">
      <c r="B28" s="7"/>
      <c r="C28" s="16"/>
      <c r="D28" s="21"/>
      <c r="F28" s="7"/>
      <c r="G28" s="25"/>
      <c r="H28" s="11"/>
      <c r="J28" s="11"/>
      <c r="K28" s="15"/>
      <c r="M28" s="21"/>
      <c r="Q28" s="7"/>
      <c r="R28" s="11"/>
    </row>
    <row r="29" spans="2:18" ht="15" thickBot="1" x14ac:dyDescent="0.4">
      <c r="B29" s="8" t="s">
        <v>81</v>
      </c>
      <c r="C29" s="33">
        <f>SUM(C22:C28)</f>
        <v>0</v>
      </c>
      <c r="D29" s="365"/>
      <c r="F29" s="8" t="s">
        <v>81</v>
      </c>
      <c r="G29" s="39">
        <f>SUBTOTAL(9,G22:G28)</f>
        <v>0</v>
      </c>
      <c r="H29" s="39">
        <v>0</v>
      </c>
      <c r="J29" s="40" t="s">
        <v>81</v>
      </c>
      <c r="K29" s="15"/>
      <c r="M29" s="21"/>
      <c r="Q29" s="7"/>
      <c r="R29" s="11"/>
    </row>
    <row r="30" spans="2:18" ht="15" thickBot="1" x14ac:dyDescent="0.4">
      <c r="Q30" s="7"/>
      <c r="R30" s="11"/>
    </row>
    <row r="31" spans="2:18" ht="15" thickBot="1" x14ac:dyDescent="0.4">
      <c r="B31" t="s">
        <v>338</v>
      </c>
      <c r="Q31" s="47" t="s">
        <v>81</v>
      </c>
      <c r="R31" s="33">
        <f>SUM(R27:R30)</f>
        <v>0</v>
      </c>
    </row>
    <row r="32" spans="2:18" ht="15" thickBot="1" x14ac:dyDescent="0.4">
      <c r="B32" s="30" t="s">
        <v>339</v>
      </c>
      <c r="C32" s="35" t="s">
        <v>56</v>
      </c>
      <c r="D32" s="35" t="s">
        <v>393</v>
      </c>
      <c r="F32" s="30" t="s">
        <v>340</v>
      </c>
      <c r="G32" s="31" t="s">
        <v>56</v>
      </c>
      <c r="H32" s="31" t="s">
        <v>342</v>
      </c>
      <c r="I32" s="31" t="s">
        <v>85</v>
      </c>
      <c r="J32" s="31" t="s">
        <v>341</v>
      </c>
      <c r="K32" s="31" t="s">
        <v>56</v>
      </c>
    </row>
    <row r="33" spans="2:11" x14ac:dyDescent="0.35">
      <c r="B33" s="7"/>
      <c r="C33" s="36"/>
      <c r="D33" s="36"/>
      <c r="F33" s="7"/>
      <c r="G33" s="67"/>
      <c r="H33" s="12"/>
      <c r="I33" s="12"/>
      <c r="J33" s="7"/>
      <c r="K33" s="12"/>
    </row>
    <row r="34" spans="2:11" x14ac:dyDescent="0.35">
      <c r="B34" s="7"/>
      <c r="C34" s="16"/>
      <c r="D34" s="16"/>
      <c r="F34" s="7"/>
      <c r="G34" s="357"/>
      <c r="H34" s="12"/>
      <c r="I34" s="12"/>
      <c r="J34" s="7"/>
      <c r="K34" s="12"/>
    </row>
    <row r="35" spans="2:11" x14ac:dyDescent="0.35">
      <c r="B35" s="7"/>
      <c r="C35" s="16"/>
      <c r="D35" s="16"/>
      <c r="E35" s="6"/>
      <c r="F35" s="7"/>
      <c r="G35" s="357"/>
      <c r="H35" s="12"/>
      <c r="I35" s="12"/>
      <c r="J35" s="11"/>
      <c r="K35" s="12"/>
    </row>
    <row r="36" spans="2:11" x14ac:dyDescent="0.35">
      <c r="B36" s="7"/>
      <c r="C36" s="16"/>
      <c r="D36" s="16"/>
      <c r="F36" s="7"/>
      <c r="G36" s="357"/>
      <c r="H36" s="12"/>
      <c r="I36" s="12"/>
      <c r="J36" s="11"/>
      <c r="K36" s="358"/>
    </row>
    <row r="37" spans="2:11" x14ac:dyDescent="0.35">
      <c r="B37" s="7"/>
      <c r="C37" s="16"/>
      <c r="D37" s="16"/>
      <c r="E37" s="6"/>
      <c r="F37" s="7"/>
      <c r="G37" s="358"/>
      <c r="H37" s="11"/>
      <c r="I37" s="11"/>
      <c r="J37" s="11"/>
      <c r="K37" s="358"/>
    </row>
    <row r="38" spans="2:11" x14ac:dyDescent="0.35">
      <c r="B38" s="7"/>
      <c r="C38" s="16"/>
      <c r="D38" s="16"/>
      <c r="E38" s="6"/>
      <c r="F38" s="7"/>
      <c r="G38" s="14"/>
      <c r="H38" s="11"/>
      <c r="I38" s="16"/>
      <c r="J38" s="11"/>
      <c r="K38" s="358"/>
    </row>
    <row r="39" spans="2:11" x14ac:dyDescent="0.35">
      <c r="B39" s="7"/>
      <c r="C39" s="16"/>
      <c r="D39" s="16"/>
      <c r="E39" s="6"/>
      <c r="F39" s="7"/>
      <c r="G39" s="25"/>
      <c r="H39" s="12"/>
      <c r="I39" s="11"/>
      <c r="J39" s="11"/>
      <c r="K39" s="358"/>
    </row>
    <row r="40" spans="2:11" x14ac:dyDescent="0.35">
      <c r="B40" s="7"/>
      <c r="C40" s="16"/>
      <c r="D40" s="16"/>
      <c r="F40" s="7"/>
      <c r="G40" s="25"/>
      <c r="H40" s="12"/>
      <c r="I40" s="11"/>
      <c r="J40" s="11"/>
      <c r="K40" s="25"/>
    </row>
    <row r="41" spans="2:11" ht="15" thickBot="1" x14ac:dyDescent="0.4">
      <c r="B41" s="7"/>
      <c r="C41" s="16"/>
      <c r="D41" s="16"/>
      <c r="F41" s="7"/>
      <c r="G41" s="25"/>
      <c r="H41" s="12"/>
      <c r="I41" s="11"/>
      <c r="J41" s="11"/>
      <c r="K41" s="25"/>
    </row>
    <row r="42" spans="2:11" ht="15" thickBot="1" x14ac:dyDescent="0.4">
      <c r="B42" s="8" t="s">
        <v>81</v>
      </c>
      <c r="C42" s="33">
        <f>SUM(C33:C41)</f>
        <v>0</v>
      </c>
      <c r="D42" s="33">
        <f>SUM(D33:D41)</f>
        <v>0</v>
      </c>
      <c r="F42" s="8" t="s">
        <v>81</v>
      </c>
      <c r="G42" s="39">
        <f>SUBTOTAL(9,G33:G41)</f>
        <v>0</v>
      </c>
      <c r="H42" s="39">
        <f>SUBTOTAL(9,H33:H41)</f>
        <v>0</v>
      </c>
      <c r="I42" s="39">
        <f>SUBTOTAL(9,I33:I41)</f>
        <v>0</v>
      </c>
      <c r="J42" s="40" t="s">
        <v>81</v>
      </c>
      <c r="K42" s="39">
        <f>SUBTOTAL(9,K33:K41)</f>
        <v>0</v>
      </c>
    </row>
    <row r="43" spans="2:11" x14ac:dyDescent="0.35">
      <c r="C43" s="351">
        <f>C42-D42</f>
        <v>0</v>
      </c>
      <c r="D43" s="351"/>
      <c r="F43" s="21"/>
      <c r="H43" s="21">
        <f>G42+H42</f>
        <v>0</v>
      </c>
    </row>
    <row r="44" spans="2:11" s="362" customFormat="1" x14ac:dyDescent="0.35">
      <c r="B44"/>
      <c r="C44" s="4"/>
      <c r="D44" s="4"/>
      <c r="E44"/>
      <c r="F44" s="21"/>
      <c r="G44" s="4"/>
      <c r="H44"/>
      <c r="I44"/>
      <c r="J44"/>
      <c r="K44"/>
    </row>
    <row r="45" spans="2:11" x14ac:dyDescent="0.35">
      <c r="C45" s="351"/>
      <c r="D45" s="351"/>
    </row>
    <row r="46" spans="2:11" ht="15" thickBot="1" x14ac:dyDescent="0.4">
      <c r="B46" s="363" t="s">
        <v>412</v>
      </c>
      <c r="C46" s="367">
        <f>C56-D56</f>
        <v>0</v>
      </c>
      <c r="D46" s="366"/>
      <c r="E46" s="362"/>
      <c r="F46" s="362"/>
      <c r="G46" s="367">
        <f>G56-H56</f>
        <v>0</v>
      </c>
      <c r="H46" s="362"/>
      <c r="I46" s="362"/>
      <c r="J46" s="362"/>
      <c r="K46" s="362"/>
    </row>
    <row r="47" spans="2:11" ht="15" thickBot="1" x14ac:dyDescent="0.4">
      <c r="B47" s="30" t="s">
        <v>339</v>
      </c>
      <c r="C47" s="35" t="s">
        <v>56</v>
      </c>
      <c r="D47" s="35" t="s">
        <v>393</v>
      </c>
      <c r="F47" s="30" t="s">
        <v>340</v>
      </c>
      <c r="G47" s="31" t="s">
        <v>56</v>
      </c>
      <c r="H47" s="31" t="s">
        <v>342</v>
      </c>
      <c r="I47" s="31" t="s">
        <v>85</v>
      </c>
      <c r="J47" s="31" t="s">
        <v>341</v>
      </c>
      <c r="K47" s="31" t="s">
        <v>56</v>
      </c>
    </row>
    <row r="48" spans="2:11" x14ac:dyDescent="0.35">
      <c r="B48" s="7"/>
      <c r="C48" s="36"/>
      <c r="D48" s="36"/>
      <c r="F48" s="7"/>
      <c r="G48" s="67"/>
      <c r="H48" s="12"/>
      <c r="I48" s="12"/>
      <c r="J48" s="7"/>
      <c r="K48" s="12"/>
    </row>
    <row r="49" spans="2:11" x14ac:dyDescent="0.35">
      <c r="B49" s="7"/>
      <c r="C49" s="36"/>
      <c r="D49" s="36"/>
      <c r="F49" s="7"/>
      <c r="G49" s="67"/>
      <c r="H49" s="12"/>
      <c r="I49" s="12"/>
      <c r="J49" s="7"/>
      <c r="K49" s="12"/>
    </row>
    <row r="50" spans="2:11" x14ac:dyDescent="0.35">
      <c r="B50" s="7"/>
      <c r="C50" s="16"/>
      <c r="D50" s="16"/>
      <c r="F50" s="7"/>
      <c r="G50" s="357"/>
      <c r="H50" s="12"/>
      <c r="I50" s="12"/>
      <c r="J50" s="7"/>
      <c r="K50" s="12"/>
    </row>
    <row r="51" spans="2:11" x14ac:dyDescent="0.35">
      <c r="B51" s="7"/>
      <c r="C51" s="16"/>
      <c r="D51" s="16"/>
      <c r="E51" s="6"/>
      <c r="F51" s="7"/>
      <c r="G51" s="357"/>
      <c r="H51" s="12"/>
      <c r="I51" s="12"/>
      <c r="J51" s="11"/>
      <c r="K51" s="12"/>
    </row>
    <row r="52" spans="2:11" x14ac:dyDescent="0.35">
      <c r="B52" s="7"/>
      <c r="C52" s="16"/>
      <c r="D52" s="16"/>
      <c r="F52" s="7"/>
      <c r="G52" s="357"/>
      <c r="H52" s="12"/>
      <c r="I52" s="12"/>
      <c r="J52" s="11"/>
      <c r="K52" s="358"/>
    </row>
    <row r="53" spans="2:11" x14ac:dyDescent="0.35">
      <c r="B53" s="7"/>
      <c r="C53" s="16"/>
      <c r="D53" s="16"/>
      <c r="E53" s="6"/>
      <c r="F53" s="7"/>
      <c r="G53" s="369"/>
      <c r="H53" s="11"/>
      <c r="I53" s="11"/>
      <c r="J53" s="11"/>
      <c r="K53" s="358"/>
    </row>
    <row r="54" spans="2:11" x14ac:dyDescent="0.35">
      <c r="B54" s="7"/>
      <c r="C54" s="16"/>
      <c r="D54" s="16"/>
      <c r="F54" s="7"/>
      <c r="G54" s="25"/>
      <c r="H54" s="11"/>
      <c r="I54" s="11"/>
      <c r="J54" s="11"/>
      <c r="K54" s="25"/>
    </row>
    <row r="55" spans="2:11" ht="15" thickBot="1" x14ac:dyDescent="0.4">
      <c r="B55" s="7"/>
      <c r="C55" s="16"/>
      <c r="D55" s="16"/>
      <c r="F55" s="7"/>
      <c r="G55" s="25"/>
      <c r="H55" s="11"/>
      <c r="I55" s="11"/>
      <c r="J55" s="11"/>
      <c r="K55" s="25"/>
    </row>
    <row r="56" spans="2:11" ht="15" thickBot="1" x14ac:dyDescent="0.4">
      <c r="B56" s="8" t="s">
        <v>81</v>
      </c>
      <c r="C56" s="33">
        <f>SUM(C48:C55)</f>
        <v>0</v>
      </c>
      <c r="D56" s="33">
        <f>SUM(D48:D55)</f>
        <v>0</v>
      </c>
      <c r="F56" s="8" t="s">
        <v>81</v>
      </c>
      <c r="G56" s="39">
        <f>SUBTOTAL(9,G48:G55)</f>
        <v>0</v>
      </c>
      <c r="H56" s="39">
        <f>SUBTOTAL(9,H48:H55)</f>
        <v>0</v>
      </c>
      <c r="I56" s="39">
        <f>SUBTOTAL(9,I48:I55)</f>
        <v>0</v>
      </c>
      <c r="J56" s="40" t="s">
        <v>81</v>
      </c>
      <c r="K56" s="39">
        <f>SUBTOTAL(9,K48:K55)</f>
        <v>0</v>
      </c>
    </row>
    <row r="57" spans="2:11" s="3" customFormat="1" x14ac:dyDescent="0.35">
      <c r="C57" s="368"/>
      <c r="D57" s="368"/>
      <c r="G57" s="368"/>
    </row>
    <row r="58" spans="2:11" s="3" customFormat="1" x14ac:dyDescent="0.35">
      <c r="C58" s="368"/>
      <c r="D58" s="368"/>
      <c r="G58" s="368"/>
    </row>
    <row r="59" spans="2:11" x14ac:dyDescent="0.35">
      <c r="C59" s="368"/>
      <c r="G59" s="368"/>
    </row>
    <row r="696" spans="28:28" x14ac:dyDescent="0.35">
      <c r="AB696">
        <v>-568957</v>
      </c>
    </row>
    <row r="701" spans="28:28" x14ac:dyDescent="0.35">
      <c r="AB701">
        <f>-AB697+AB698-AB699</f>
        <v>0</v>
      </c>
    </row>
  </sheetData>
  <conditionalFormatting sqref="F5:F16 B5:B13">
    <cfRule type="duplicateValues" dxfId="62" priority="17812"/>
  </conditionalFormatting>
  <conditionalFormatting sqref="F5:F16">
    <cfRule type="duplicateValues" dxfId="61" priority="17814"/>
  </conditionalFormatting>
  <conditionalFormatting sqref="F5:F17 B5:B17">
    <cfRule type="duplicateValues" dxfId="60" priority="17815"/>
  </conditionalFormatting>
  <conditionalFormatting sqref="F17">
    <cfRule type="duplicateValues" dxfId="59" priority="45"/>
  </conditionalFormatting>
  <conditionalFormatting sqref="F22">
    <cfRule type="duplicateValues" dxfId="58" priority="34"/>
    <cfRule type="duplicateValues" dxfId="57" priority="35"/>
    <cfRule type="duplicateValues" dxfId="56" priority="36"/>
    <cfRule type="duplicateValues" dxfId="55" priority="37"/>
  </conditionalFormatting>
  <conditionalFormatting sqref="F33">
    <cfRule type="duplicateValues" dxfId="54" priority="25"/>
    <cfRule type="duplicateValues" dxfId="53" priority="26"/>
    <cfRule type="duplicateValues" dxfId="52" priority="27"/>
    <cfRule type="duplicateValues" dxfId="51" priority="28"/>
  </conditionalFormatting>
  <conditionalFormatting sqref="F41">
    <cfRule type="duplicateValues" dxfId="50" priority="1"/>
    <cfRule type="duplicateValues" dxfId="49" priority="2"/>
    <cfRule type="duplicateValues" dxfId="48" priority="3"/>
    <cfRule type="duplicateValues" dxfId="47" priority="4"/>
  </conditionalFormatting>
  <conditionalFormatting sqref="F48:F49">
    <cfRule type="duplicateValues" dxfId="46" priority="10"/>
    <cfRule type="duplicateValues" dxfId="45" priority="11"/>
    <cfRule type="duplicateValues" dxfId="44" priority="12"/>
    <cfRule type="duplicateValues" dxfId="43" priority="13"/>
  </conditionalFormatting>
  <conditionalFormatting sqref="G22">
    <cfRule type="duplicateValues" dxfId="42" priority="46"/>
    <cfRule type="duplicateValues" dxfId="41" priority="47"/>
    <cfRule type="duplicateValues" dxfId="40" priority="48"/>
    <cfRule type="duplicateValues" dxfId="39" priority="49"/>
    <cfRule type="duplicateValues" dxfId="38" priority="50"/>
  </conditionalFormatting>
  <conditionalFormatting sqref="G33">
    <cfRule type="duplicateValues" dxfId="37" priority="29"/>
    <cfRule type="duplicateValues" dxfId="36" priority="30"/>
    <cfRule type="duplicateValues" dxfId="35" priority="31"/>
    <cfRule type="duplicateValues" dxfId="34" priority="32"/>
    <cfRule type="duplicateValues" dxfId="33" priority="33"/>
  </conditionalFormatting>
  <conditionalFormatting sqref="G48:G49">
    <cfRule type="duplicateValues" dxfId="32" priority="14"/>
    <cfRule type="duplicateValues" dxfId="31" priority="15"/>
    <cfRule type="duplicateValues" dxfId="30" priority="16"/>
    <cfRule type="duplicateValues" dxfId="29" priority="17"/>
    <cfRule type="duplicateValues" dxfId="28" priority="18"/>
  </conditionalFormatting>
  <conditionalFormatting sqref="J15:J16">
    <cfRule type="duplicateValues" dxfId="27" priority="17819"/>
    <cfRule type="duplicateValues" dxfId="26" priority="17820"/>
    <cfRule type="duplicateValues" dxfId="25" priority="17821"/>
    <cfRule type="duplicateValues" dxfId="24" priority="17822"/>
    <cfRule type="duplicateValues" dxfId="23" priority="17823"/>
  </conditionalFormatting>
  <conditionalFormatting sqref="K33:K35"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</conditionalFormatting>
  <conditionalFormatting sqref="K48:K51">
    <cfRule type="duplicateValues" dxfId="17" priority="5"/>
    <cfRule type="duplicateValues" dxfId="16" priority="6"/>
    <cfRule type="duplicateValues" dxfId="15" priority="7"/>
    <cfRule type="duplicateValues" dxfId="14" priority="8"/>
    <cfRule type="duplicateValues" dxfId="13" priority="9"/>
  </conditionalFormatting>
  <conditionalFormatting sqref="M5">
    <cfRule type="duplicateValues" dxfId="12" priority="58"/>
    <cfRule type="duplicateValues" dxfId="11" priority="59"/>
    <cfRule type="duplicateValues" dxfId="10" priority="60"/>
  </conditionalFormatting>
  <conditionalFormatting sqref="M5:M13">
    <cfRule type="duplicateValues" dxfId="9" priority="61"/>
  </conditionalFormatting>
  <conditionalFormatting sqref="M5:M17 F5:F17 B5:B17">
    <cfRule type="duplicateValues" dxfId="8" priority="17824"/>
  </conditionalFormatting>
  <conditionalFormatting sqref="M5:M17">
    <cfRule type="duplicateValues" dxfId="7" priority="17830"/>
  </conditionalFormatting>
  <conditionalFormatting sqref="M14">
    <cfRule type="duplicateValues" dxfId="6" priority="43"/>
    <cfRule type="duplicateValues" dxfId="5" priority="44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9"/>
  <sheetViews>
    <sheetView showGridLines="0" zoomScale="86" zoomScaleNormal="80" workbookViewId="0">
      <selection activeCell="B25" sqref="B25"/>
    </sheetView>
  </sheetViews>
  <sheetFormatPr defaultColWidth="8.90625" defaultRowHeight="14.5" x14ac:dyDescent="0.35"/>
  <cols>
    <col min="1" max="1" width="2.6328125" style="3" customWidth="1"/>
    <col min="2" max="2" width="57.08984375" style="3" bestFit="1" customWidth="1"/>
    <col min="3" max="3" width="19.1796875" style="3" bestFit="1" customWidth="1"/>
    <col min="4" max="4" width="18.26953125" style="3" bestFit="1" customWidth="1"/>
    <col min="5" max="5" width="21" style="3" bestFit="1" customWidth="1"/>
    <col min="6" max="6" width="31.36328125" style="3" customWidth="1"/>
    <col min="7" max="7" width="8.90625" style="3"/>
    <col min="8" max="8" width="31.36328125" style="3" customWidth="1"/>
    <col min="9" max="16384" width="8.90625" style="3"/>
  </cols>
  <sheetData>
    <row r="1" spans="1:8" x14ac:dyDescent="0.35">
      <c r="D1" s="3">
        <f>D2-Summary!Q7</f>
        <v>0</v>
      </c>
    </row>
    <row r="2" spans="1:8" ht="16" thickBot="1" x14ac:dyDescent="0.4">
      <c r="A2" s="81"/>
      <c r="B2" s="81"/>
      <c r="C2" s="81"/>
      <c r="D2" s="329">
        <f>SUBTOTAL(9,D4:D25)</f>
        <v>2147861.0249999999</v>
      </c>
      <c r="E2" s="69">
        <f>COUNTA(_xlfn.ANCHORARRAY(E4))</f>
        <v>3</v>
      </c>
    </row>
    <row r="3" spans="1:8" s="81" customFormat="1" ht="16.25" customHeight="1" thickBot="1" x14ac:dyDescent="0.4">
      <c r="A3" s="3"/>
      <c r="B3" s="80" t="s">
        <v>30</v>
      </c>
      <c r="C3" s="74" t="s">
        <v>21</v>
      </c>
      <c r="D3" s="302" t="s">
        <v>2</v>
      </c>
      <c r="E3" s="78" t="s">
        <v>170</v>
      </c>
    </row>
    <row r="4" spans="1:8" s="81" customFormat="1" ht="15.5" x14ac:dyDescent="0.35">
      <c r="A4" s="3"/>
      <c r="B4" s="67" t="str">
        <f>_xlfn.XLOOKUP(C4,Details!$G$5:$G$8,Details!$F$5:$F$8)</f>
        <v>BHAGIRATHI POLYMER PRIVATE LIMITED</v>
      </c>
      <c r="C4" s="12" t="str" cm="1">
        <f t="array" ref="C4:C6">_xlfn.UNIQUE(_xlfn._TRO_TRAILING(Details!G5:G8))</f>
        <v>09AALCB0491L1ZA</v>
      </c>
      <c r="D4" s="12">
        <f>SUMIFS(Details!$AM$5:$AM$8,Details!$G$5:$G$8,'Supplier Metrics'!C4)-SUMIFS(Details!$AB$5:$AB$8,Details!$G$5:$G$8,'Supplier Metrics'!C4)</f>
        <v>689742</v>
      </c>
      <c r="E4" s="18" t="str" cm="1">
        <f t="array" ref="E4:E6">_xlfn.UNIQUE(MID(_xlfn._TRO_TRAILING(Details!G5:G8),3,10))</f>
        <v>AALCB0491L</v>
      </c>
    </row>
    <row r="5" spans="1:8" ht="15.5" x14ac:dyDescent="0.35">
      <c r="B5" s="67" t="str">
        <f>_xlfn.XLOOKUP(C5,Details!$G$5:$G$8,Details!$F$5:$F$8)</f>
        <v>MK POLYPET INDIA PRIVATE LIMITED</v>
      </c>
      <c r="C5" s="3" t="str">
        <v>29AAQCM8215Q1ZG</v>
      </c>
      <c r="D5" s="12">
        <f>SUMIFS(Details!$AM$5:$AM$8,Details!$G$5:$G$8,'Supplier Metrics'!C5)-SUMIFS(Details!$AB$5:$AB$8,Details!$G$5:$G$8,'Supplier Metrics'!C5)</f>
        <v>865271.52500000002</v>
      </c>
      <c r="E5" s="3" t="str">
        <v>AAQCM8215Q</v>
      </c>
      <c r="F5" s="81"/>
      <c r="H5" s="81"/>
    </row>
    <row r="6" spans="1:8" ht="15.5" x14ac:dyDescent="0.35">
      <c r="B6" s="67" t="str">
        <f>_xlfn.XLOOKUP(C6,Details!$G$5:$G$8,Details!$F$5:$F$8)</f>
        <v>HITARTH ENTERPRISES</v>
      </c>
      <c r="C6" s="3" t="str">
        <v>23AAPFH5775E1Z6</v>
      </c>
      <c r="D6" s="12">
        <f>SUMIFS(Details!$AM$5:$AM$8,Details!$G$5:$G$8,'Supplier Metrics'!C6)-SUMIFS(Details!$AB$5:$AB$8,Details!$G$5:$G$8,'Supplier Metrics'!C6)</f>
        <v>592847.5</v>
      </c>
      <c r="E6" s="3" t="str">
        <v>AAPFH5775E</v>
      </c>
      <c r="F6" s="81"/>
      <c r="H6" s="81"/>
    </row>
    <row r="7" spans="1:8" x14ac:dyDescent="0.35">
      <c r="B7" s="67">
        <f>_xlfn.XLOOKUP(C7,Details!$G$5:$G$8,Details!$F$5:$F$8)</f>
        <v>0</v>
      </c>
      <c r="D7" s="12">
        <f>SUMIFS(Details!$AM$5:$AM$8,Details!$G$5:$G$8,'Supplier Metrics'!C7)-SUMIFS(Details!$AB$5:$AB$8,Details!$G$5:$G$8,'Supplier Metrics'!C7)</f>
        <v>0</v>
      </c>
      <c r="F7" s="68"/>
      <c r="H7" s="68"/>
    </row>
    <row r="8" spans="1:8" x14ac:dyDescent="0.35">
      <c r="F8" s="68"/>
      <c r="H8" s="68"/>
    </row>
    <row r="9" spans="1:8" x14ac:dyDescent="0.35">
      <c r="F9" s="68"/>
      <c r="H9" s="68"/>
    </row>
  </sheetData>
  <conditionalFormatting sqref="B1:B1048576">
    <cfRule type="duplicateValues" dxfId="4" priority="19838"/>
  </conditionalFormatting>
  <conditionalFormatting sqref="C4">
    <cfRule type="duplicateValues" dxfId="3" priority="2423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B2:AM8"/>
  <sheetViews>
    <sheetView showGridLines="0" showRowColHeaders="0" zoomScale="75" zoomScaleNormal="94" workbookViewId="0">
      <selection activeCell="D18" sqref="D18"/>
    </sheetView>
  </sheetViews>
  <sheetFormatPr defaultColWidth="8.90625" defaultRowHeight="14.5" x14ac:dyDescent="0.35"/>
  <cols>
    <col min="1" max="1" width="8.90625" style="3"/>
    <col min="2" max="2" width="15.453125" style="3" bestFit="1" customWidth="1"/>
    <col min="3" max="3" width="19.81640625" style="3" bestFit="1" customWidth="1"/>
    <col min="4" max="4" width="50" style="3" bestFit="1" customWidth="1"/>
    <col min="5" max="5" width="11.90625" style="68" bestFit="1" customWidth="1"/>
    <col min="6" max="6" width="14.6328125" style="3" bestFit="1" customWidth="1"/>
    <col min="7" max="7" width="12.90625" style="3" bestFit="1" customWidth="1"/>
    <col min="8" max="8" width="10" style="75" bestFit="1" customWidth="1"/>
    <col min="9" max="9" width="12.54296875" style="3" bestFit="1" customWidth="1"/>
    <col min="10" max="10" width="13.54296875" style="75" bestFit="1" customWidth="1"/>
    <col min="11" max="11" width="17.26953125" style="3" bestFit="1" customWidth="1"/>
    <col min="12" max="12" width="14.6328125" style="3" bestFit="1" customWidth="1"/>
    <col min="13" max="13" width="12.7265625" style="3" bestFit="1" customWidth="1"/>
    <col min="14" max="14" width="13" style="3" bestFit="1" customWidth="1"/>
    <col min="15" max="15" width="12.6328125" style="3" bestFit="1" customWidth="1"/>
    <col min="16" max="16" width="8.90625" style="3"/>
    <col min="17" max="17" width="15.453125" style="3" bestFit="1" customWidth="1"/>
    <col min="18" max="18" width="50" style="3" bestFit="1" customWidth="1"/>
    <col min="19" max="19" width="11.90625" style="3" bestFit="1" customWidth="1"/>
    <col min="20" max="22" width="13" style="3" bestFit="1" customWidth="1"/>
    <col min="23" max="23" width="11.90625" style="3" bestFit="1" customWidth="1"/>
    <col min="24" max="27" width="13" style="3" bestFit="1" customWidth="1"/>
    <col min="28" max="28" width="13" style="3" customWidth="1"/>
    <col min="29" max="29" width="11.90625" style="3" customWidth="1"/>
    <col min="30" max="39" width="10.36328125" style="3" bestFit="1" customWidth="1"/>
    <col min="40" max="46" width="8.90625" style="3"/>
    <col min="47" max="47" width="10.26953125" style="3" bestFit="1" customWidth="1"/>
    <col min="48" max="16384" width="8.90625" style="3"/>
  </cols>
  <sheetData>
    <row r="2" spans="2:39" s="66" customFormat="1" x14ac:dyDescent="0.35">
      <c r="E2" s="83"/>
      <c r="F2" s="3">
        <f>F3-Summary!P6-Details!BL18</f>
        <v>-1345917.3425</v>
      </c>
      <c r="G2" s="66">
        <f>G3-Summary!P12-Summary!P75-Details!BM18</f>
        <v>-1363160.8925000001</v>
      </c>
      <c r="H2" s="66">
        <f>H3-Summary!P13</f>
        <v>9.828426362498352E-5</v>
      </c>
      <c r="I2" s="66">
        <f>I3-Details!BW9</f>
        <v>0</v>
      </c>
      <c r="J2" s="77"/>
      <c r="K2" s="66">
        <f>K3-Summary!P19</f>
        <v>0</v>
      </c>
      <c r="N2" s="3"/>
      <c r="S2" s="355" t="s">
        <v>148</v>
      </c>
      <c r="AD2" s="355" t="s">
        <v>85</v>
      </c>
    </row>
    <row r="3" spans="2:39" s="69" customFormat="1" ht="15" thickBot="1" x14ac:dyDescent="0.4">
      <c r="B3" s="69">
        <f>COUNTA(_xlfn.ANCHORARRAY(B5))</f>
        <v>3</v>
      </c>
      <c r="C3" s="69">
        <f>COUNTA(_xlfn.ANCHORARRAY(C5))</f>
        <v>3</v>
      </c>
      <c r="E3" s="85">
        <f>SUM(E$5:E5)</f>
        <v>10845</v>
      </c>
      <c r="F3" s="69">
        <f>SUM(F$5:F83)</f>
        <v>2185035</v>
      </c>
      <c r="G3" s="69">
        <f>SUM(G$5:G83)</f>
        <v>37173.974999999977</v>
      </c>
      <c r="H3" s="70">
        <f>G3/F3</f>
        <v>1.7012988350301014E-2</v>
      </c>
      <c r="I3" s="69">
        <f>SUM(I$5:I83)</f>
        <v>0</v>
      </c>
      <c r="J3" s="70">
        <f>I3/F3</f>
        <v>0</v>
      </c>
      <c r="K3" s="69">
        <f>SUM(K$5:K83)</f>
        <v>3</v>
      </c>
      <c r="L3" s="69">
        <f>SUBTOTAL(1,L5:L83)</f>
        <v>728345</v>
      </c>
      <c r="M3" s="307">
        <f>F3/E3</f>
        <v>201.47856154910096</v>
      </c>
      <c r="N3" s="69">
        <f>SUM(N$5:N83)</f>
        <v>0</v>
      </c>
      <c r="S3" s="69">
        <f t="shared" ref="S3:AB3" si="0">SUBTOTAL(9,S5:S5)</f>
        <v>0</v>
      </c>
      <c r="T3" s="69">
        <f t="shared" si="0"/>
        <v>0</v>
      </c>
      <c r="U3" s="69">
        <f t="shared" si="0"/>
        <v>0</v>
      </c>
      <c r="V3" s="69">
        <f t="shared" si="0"/>
        <v>0</v>
      </c>
      <c r="W3" s="69">
        <f t="shared" si="0"/>
        <v>0</v>
      </c>
      <c r="X3" s="69">
        <f t="shared" si="0"/>
        <v>0</v>
      </c>
      <c r="Y3" s="69">
        <f t="shared" si="0"/>
        <v>0</v>
      </c>
      <c r="Z3" s="69">
        <f t="shared" si="0"/>
        <v>0</v>
      </c>
      <c r="AA3" s="69">
        <f t="shared" si="0"/>
        <v>0</v>
      </c>
      <c r="AB3" s="69">
        <f t="shared" si="0"/>
        <v>0</v>
      </c>
      <c r="AD3" s="69">
        <f t="shared" ref="AD3:AM3" si="1">SUBTOTAL(9,AD5:AD5)</f>
        <v>0</v>
      </c>
      <c r="AE3" s="69">
        <f t="shared" si="1"/>
        <v>0</v>
      </c>
      <c r="AF3" s="69">
        <f t="shared" si="1"/>
        <v>0</v>
      </c>
      <c r="AG3" s="69">
        <f t="shared" si="1"/>
        <v>0</v>
      </c>
      <c r="AH3" s="69">
        <f t="shared" si="1"/>
        <v>0</v>
      </c>
      <c r="AI3" s="69">
        <f t="shared" si="1"/>
        <v>0</v>
      </c>
      <c r="AJ3" s="69">
        <f t="shared" si="1"/>
        <v>0</v>
      </c>
      <c r="AK3" s="69">
        <f t="shared" si="1"/>
        <v>0</v>
      </c>
      <c r="AL3" s="69">
        <f t="shared" si="1"/>
        <v>0</v>
      </c>
      <c r="AM3" s="69">
        <f t="shared" si="1"/>
        <v>0</v>
      </c>
    </row>
    <row r="4" spans="2:39" ht="15" thickBot="1" x14ac:dyDescent="0.4">
      <c r="B4" s="73" t="s">
        <v>169</v>
      </c>
      <c r="C4" s="73" t="s">
        <v>175</v>
      </c>
      <c r="D4" s="73" t="s">
        <v>78</v>
      </c>
      <c r="E4" s="82" t="s">
        <v>85</v>
      </c>
      <c r="F4" s="76" t="s">
        <v>148</v>
      </c>
      <c r="G4" s="76" t="s">
        <v>59</v>
      </c>
      <c r="H4" s="76" t="s">
        <v>149</v>
      </c>
      <c r="I4" s="76" t="s">
        <v>150</v>
      </c>
      <c r="J4" s="76" t="s">
        <v>151</v>
      </c>
      <c r="K4" s="76" t="s">
        <v>152</v>
      </c>
      <c r="L4" s="74" t="s">
        <v>153</v>
      </c>
      <c r="M4" s="78" t="s">
        <v>155</v>
      </c>
      <c r="N4" s="78" t="s">
        <v>314</v>
      </c>
      <c r="Q4" s="302" t="s">
        <v>169</v>
      </c>
      <c r="R4" s="78" t="s">
        <v>365</v>
      </c>
      <c r="S4" s="78" t="s">
        <v>366</v>
      </c>
      <c r="T4" s="78" t="s">
        <v>367</v>
      </c>
      <c r="U4" s="78" t="s">
        <v>368</v>
      </c>
      <c r="V4" s="78" t="s">
        <v>369</v>
      </c>
      <c r="W4" s="78" t="s">
        <v>372</v>
      </c>
      <c r="X4" s="364" t="s">
        <v>416</v>
      </c>
      <c r="Y4" s="364" t="s">
        <v>417</v>
      </c>
      <c r="Z4" s="364" t="s">
        <v>418</v>
      </c>
      <c r="AA4" s="364" t="s">
        <v>419</v>
      </c>
      <c r="AB4" s="364" t="s">
        <v>436</v>
      </c>
      <c r="AC4" s="69"/>
      <c r="AD4" s="302" t="s">
        <v>366</v>
      </c>
      <c r="AE4" s="78" t="s">
        <v>367</v>
      </c>
      <c r="AF4" s="78" t="s">
        <v>368</v>
      </c>
      <c r="AG4" s="78" t="s">
        <v>369</v>
      </c>
      <c r="AH4" s="78" t="s">
        <v>372</v>
      </c>
      <c r="AI4" s="364" t="s">
        <v>416</v>
      </c>
      <c r="AJ4" s="364" t="s">
        <v>417</v>
      </c>
      <c r="AK4" s="364" t="s">
        <v>418</v>
      </c>
      <c r="AL4" s="364" t="s">
        <v>419</v>
      </c>
      <c r="AM4" s="364" t="s">
        <v>436</v>
      </c>
    </row>
    <row r="5" spans="2:39" x14ac:dyDescent="0.35">
      <c r="B5" s="67" t="str" cm="1">
        <f t="array" ref="B5:B7">_xlfn.UNIQUE(MID(_xlfn._TRO_TRAILING(Details!AR5:AR8),3,10))</f>
        <v>AEJFS8446P</v>
      </c>
      <c r="C5" s="67" t="str" cm="1">
        <f t="array" ref="C5:C7">_xlfn.UNIQUE(_xlfn._TRO_TRAILING(Details!AR5:AR8))</f>
        <v>09AEJFS8446P1ZY</v>
      </c>
      <c r="D5" s="68" t="str">
        <f>(_xlfn.XLOOKUP(C5,Details!$AR$5:$AR$8,Details!$AQ$5:$AQ$8))</f>
        <v>Silver Ecotex LLP</v>
      </c>
      <c r="E5" s="68">
        <f>SUMIFS(Details!BB:BB,Details!AR:AR,'Buyer Metrics'!$C5)</f>
        <v>10845</v>
      </c>
      <c r="F5" s="68">
        <f>SUMIFS(Details!BL:BL,Details!AR:AR,'Buyer Metrics'!$C5)</f>
        <v>710347.5</v>
      </c>
      <c r="G5" s="68">
        <f>SUMIFS(Details!BM:BM,Details!AR:AR,'Buyer Metrics'!$C5)</f>
        <v>20605.5</v>
      </c>
      <c r="H5" s="71">
        <f>G5/F5</f>
        <v>2.9007633587786259E-2</v>
      </c>
      <c r="I5" s="68">
        <f>SUMIFS(Details!BW:BW,Details!AR:AR,'Buyer Metrics'!C5)</f>
        <v>0</v>
      </c>
      <c r="J5" s="72">
        <f>-(I5/F5)</f>
        <v>0</v>
      </c>
      <c r="K5" s="68" cm="1">
        <f t="array" ref="K5">COUNTA(_xlfn.UNIQUE(_xlfn._xlws.FILTER(Details!AO5:AO8,Details!AR5:AR8='Buyer Metrics'!$C5)))</f>
        <v>1</v>
      </c>
      <c r="L5" s="12">
        <f>F5/K5</f>
        <v>710347.5</v>
      </c>
      <c r="M5" s="79">
        <f>F5/E5</f>
        <v>65.5</v>
      </c>
      <c r="N5" s="18">
        <f>IFERROR(_xlfn.XLOOKUP(C5,receivables!#REF!,receivables!#REF!),0)</f>
        <v>0</v>
      </c>
      <c r="Q5" s="67" t="str" cm="1">
        <f t="array" ref="Q5:Q8">_xlfn.UNIQUE(Details!CT5:CT8)</f>
        <v>AEJFS8446P</v>
      </c>
      <c r="R5" s="68" t="str">
        <f>_xlfn.XLOOKUP(Q5,Details!CT:CT,Details!AQ:AQ)</f>
        <v>Silver Ecotex LLP</v>
      </c>
      <c r="S5" s="68">
        <f>SUMIFS(Details!$BL:$BL,Details!$CT:$CT,'Buyer Metrics'!$Q5,Details!$C:$C,'Buyer Metrics'!S$4)</f>
        <v>0</v>
      </c>
      <c r="T5" s="68">
        <f>SUMIFS(Details!$BL:$BL,Details!$CT:$CT,'Buyer Metrics'!$Q5,Details!$C:$C,'Buyer Metrics'!T$4)</f>
        <v>0</v>
      </c>
      <c r="U5" s="68">
        <f>SUMIFS(Details!$BL:$BL,Details!$CT:$CT,'Buyer Metrics'!$Q5,Details!$C:$C,'Buyer Metrics'!U$4)</f>
        <v>0</v>
      </c>
      <c r="V5" s="68">
        <f>SUMIFS(Details!$BL:$BL,Details!$CT:$CT,'Buyer Metrics'!$Q5,Details!$C:$C,'Buyer Metrics'!V$4)</f>
        <v>0</v>
      </c>
      <c r="W5" s="68">
        <f>SUMIFS(Details!$BL:$BL,Details!$CT:$CT,'Buyer Metrics'!$Q5,Details!$C:$C,'Buyer Metrics'!W$4)</f>
        <v>0</v>
      </c>
      <c r="X5" s="68">
        <f>SUMIFS(Details!$BL:$BL,Details!$CT:$CT,'Buyer Metrics'!$Q5,Details!$C:$C,'Buyer Metrics'!X$4)</f>
        <v>0</v>
      </c>
      <c r="Y5" s="68">
        <f>SUMIFS(Details!$BL:$BL,Details!$CT:$CT,'Buyer Metrics'!$Q5,Details!$C:$C,'Buyer Metrics'!Y$4)</f>
        <v>0</v>
      </c>
      <c r="Z5" s="68">
        <f>SUMIFS(Details!$BL:$BL,Details!$CT:$CT,'Buyer Metrics'!$Q5,Details!$C:$C,'Buyer Metrics'!Z$4)</f>
        <v>0</v>
      </c>
      <c r="AA5" s="68">
        <f>SUMIFS(Details!$BL:$BL,Details!$CT:$CT,'Buyer Metrics'!$Q5,Details!$C:$C,'Buyer Metrics'!AA$4)</f>
        <v>0</v>
      </c>
      <c r="AB5" s="68">
        <f>SUMIFS(Details!$BL:$BL,Details!$CT:$CT,'Buyer Metrics'!$Q5,Details!$C:$C,'Buyer Metrics'!AB$4)</f>
        <v>0</v>
      </c>
      <c r="AC5" s="68"/>
      <c r="AD5" s="67">
        <f>SUMIFS(Details!$BB:$BB,Details!$CT:$CT,'Buyer Metrics'!$Q5,Details!$C:$C,'Buyer Metrics'!AD$4)</f>
        <v>0</v>
      </c>
      <c r="AE5" s="68">
        <f>SUMIFS(Details!$BB:$BB,Details!$CT:$CT,'Buyer Metrics'!$Q5,Details!$C:$C,'Buyer Metrics'!AE$4)</f>
        <v>0</v>
      </c>
      <c r="AF5" s="68">
        <f>SUMIFS(Details!$BB:$BB,Details!$CT:$CT,'Buyer Metrics'!$Q5,Details!$C:$C,'Buyer Metrics'!AF$4)</f>
        <v>0</v>
      </c>
      <c r="AG5" s="68">
        <f>SUMIFS(Details!$BB:$BB,Details!$CT:$CT,'Buyer Metrics'!$Q5,Details!$C:$C,'Buyer Metrics'!AG$4)</f>
        <v>0</v>
      </c>
      <c r="AH5" s="68">
        <f>SUMIFS(Details!$BB:$BB,Details!$CT:$CT,'Buyer Metrics'!$Q5,Details!$C:$C,'Buyer Metrics'!AH$4)</f>
        <v>0</v>
      </c>
      <c r="AI5" s="68">
        <f>SUMIFS(Details!$BB:$BB,Details!$CT:$CT,'Buyer Metrics'!$Q5,Details!$C:$C,'Buyer Metrics'!AI$4)</f>
        <v>0</v>
      </c>
      <c r="AJ5" s="68">
        <f>SUMIFS(Details!$BB:$BB,Details!$CT:$CT,'Buyer Metrics'!$Q5,Details!$C:$C,'Buyer Metrics'!AJ$4)</f>
        <v>0</v>
      </c>
      <c r="AK5" s="68">
        <f>SUMIFS(Details!$BB:$BB,Details!$CT:$CT,'Buyer Metrics'!$Q5,Details!$C:$C,'Buyer Metrics'!AK$4)</f>
        <v>0</v>
      </c>
      <c r="AL5" s="68">
        <f>SUMIFS(Details!$BB:$BB,Details!$CT:$CT,'Buyer Metrics'!$Q5,Details!$C:$C,'Buyer Metrics'!AL$4)</f>
        <v>0</v>
      </c>
      <c r="AM5" s="68">
        <f>SUMIFS(Details!$BB:$BB,Details!$CT:$CT,'Buyer Metrics'!$Q5,Details!$C:$C,'Buyer Metrics'!AM$4)</f>
        <v>0</v>
      </c>
    </row>
    <row r="6" spans="2:39" x14ac:dyDescent="0.35">
      <c r="B6" s="3" t="str">
        <v>AAFCJ3332A</v>
      </c>
      <c r="C6" s="3" t="str">
        <v>24AAFCJ3332A1Z9</v>
      </c>
      <c r="D6" s="68" t="str">
        <f>(_xlfn.XLOOKUP(C6,Details!$AR$5:$AR$8,Details!$AQ$5:$AQ$8))</f>
        <v>J B ECOTEX LIMITED</v>
      </c>
      <c r="E6" s="68">
        <f>SUMIFS(Details!BB:BB,Details!AR:AR,'Buyer Metrics'!$C6)</f>
        <v>16490</v>
      </c>
      <c r="F6" s="68">
        <f>SUMIFS(Details!BL:BL,Details!AR:AR,'Buyer Metrics'!$C6)</f>
        <v>892315.125</v>
      </c>
      <c r="G6" s="68">
        <f>SUMIFS(Details!BM:BM,Details!AR:AR,'Buyer Metrics'!$C6)</f>
        <v>27043.599999999977</v>
      </c>
      <c r="H6" s="71">
        <f t="shared" ref="H6:H7" si="2">G6/F6</f>
        <v>3.030723030723028E-2</v>
      </c>
      <c r="I6" s="68">
        <f>SUMIFS(Details!BW:BW,Details!AR:AR,'Buyer Metrics'!C6)</f>
        <v>0</v>
      </c>
      <c r="J6" s="72">
        <f t="shared" ref="J6:J7" si="3">-(I6/F6)</f>
        <v>0</v>
      </c>
      <c r="K6" s="68" cm="1">
        <f t="array" ref="K6">COUNTA(_xlfn.UNIQUE(_xlfn._xlws.FILTER(Details!AO6:AO9,Details!AR6:AR9='Buyer Metrics'!$C6)))</f>
        <v>1</v>
      </c>
      <c r="L6" s="12">
        <f t="shared" ref="L6:L7" si="4">F6/K6</f>
        <v>892315.125</v>
      </c>
      <c r="M6" s="79">
        <f t="shared" ref="M6:M7" si="5">F6/E6</f>
        <v>54.112499999999997</v>
      </c>
      <c r="N6" s="18">
        <f>IFERROR(_xlfn.XLOOKUP(C6,receivables!#REF!,receivables!#REF!),0)</f>
        <v>0</v>
      </c>
      <c r="Q6" s="3" t="str">
        <v>AAFCJ3332A</v>
      </c>
    </row>
    <row r="7" spans="2:39" x14ac:dyDescent="0.35">
      <c r="B7" s="3" t="str">
        <v>AAICB1747Q</v>
      </c>
      <c r="C7" s="3" t="str">
        <v>23AAICB1747Q1ZC</v>
      </c>
      <c r="D7" s="68" t="str">
        <f>(_xlfn.XLOOKUP(C7,Details!$AR$5:$AR$8,Details!$AQ$5:$AQ$8))</f>
        <v>BLUEOCEAN ECOTECH LIMITED</v>
      </c>
      <c r="E7" s="68">
        <f>SUMIFS(Details!BB:BB,Details!AR:AR,'Buyer Metrics'!$C7)</f>
        <v>8915</v>
      </c>
      <c r="F7" s="68">
        <f>SUMIFS(Details!BL:BL,Details!AR:AR,'Buyer Metrics'!$C7)</f>
        <v>582372.375</v>
      </c>
      <c r="G7" s="68">
        <f>SUMIFS(Details!BM:BM,Details!AR:AR,'Buyer Metrics'!$C7)</f>
        <v>-10475.125</v>
      </c>
      <c r="H7" s="71">
        <f t="shared" si="2"/>
        <v>-1.7986988136241867E-2</v>
      </c>
      <c r="I7" s="68">
        <f>SUMIFS(Details!BW:BW,Details!AR:AR,'Buyer Metrics'!C7)</f>
        <v>0</v>
      </c>
      <c r="J7" s="72">
        <f t="shared" si="3"/>
        <v>0</v>
      </c>
      <c r="K7" s="68" cm="1">
        <f t="array" ref="K7">COUNTA(_xlfn.UNIQUE(_xlfn._xlws.FILTER(Details!AO7:AO10,Details!AR7:AR10='Buyer Metrics'!$C7)))</f>
        <v>1</v>
      </c>
      <c r="L7" s="12">
        <f t="shared" si="4"/>
        <v>582372.375</v>
      </c>
      <c r="M7" s="79">
        <f t="shared" si="5"/>
        <v>65.325000000000003</v>
      </c>
      <c r="N7" s="18">
        <f>IFERROR(_xlfn.XLOOKUP(C7,receivables!#REF!,receivables!#REF!),0)</f>
        <v>0</v>
      </c>
      <c r="Q7" s="3" t="str">
        <v>AAICB1747Q</v>
      </c>
    </row>
    <row r="8" spans="2:39" x14ac:dyDescent="0.35">
      <c r="Q8" s="3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42"/>
  <sheetViews>
    <sheetView showGridLines="0" showRowColHeaders="0" workbookViewId="0">
      <selection activeCell="D14" sqref="D14"/>
    </sheetView>
  </sheetViews>
  <sheetFormatPr defaultRowHeight="14.5" x14ac:dyDescent="0.35"/>
  <cols>
    <col min="2" max="2" width="40.36328125" bestFit="1" customWidth="1"/>
    <col min="3" max="4" width="10.453125" bestFit="1" customWidth="1"/>
  </cols>
  <sheetData>
    <row r="1" spans="2:4" ht="15" thickBot="1" x14ac:dyDescent="0.4"/>
    <row r="2" spans="2:4" ht="15" thickBot="1" x14ac:dyDescent="0.4">
      <c r="B2" s="121" t="s">
        <v>38</v>
      </c>
      <c r="C2" s="121" t="s">
        <v>297</v>
      </c>
      <c r="D2" s="121" t="s">
        <v>296</v>
      </c>
    </row>
    <row r="3" spans="2:4" x14ac:dyDescent="0.35">
      <c r="B3" t="str" cm="1">
        <f t="array" ref="B3:B5">_xlfn.UNIQUE(_xlfn._TRO_TRAILING(Details!N5:N8))</f>
        <v>PET - Hot Washed White Flakes, Grade 2</v>
      </c>
      <c r="C3" t="s">
        <v>764</v>
      </c>
    </row>
    <row r="4" spans="2:4" x14ac:dyDescent="0.35">
      <c r="B4" t="str">
        <v>WASTE PLASTIC-PP</v>
      </c>
    </row>
    <row r="5" spans="2:4" x14ac:dyDescent="0.35">
      <c r="B5" t="str">
        <v>Hot washed PET flakes</v>
      </c>
    </row>
    <row r="41" spans="3:3" x14ac:dyDescent="0.35">
      <c r="C41" t="s">
        <v>327</v>
      </c>
    </row>
    <row r="42" spans="3:3" x14ac:dyDescent="0.35">
      <c r="C42" t="s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S766"/>
  <sheetViews>
    <sheetView showGridLines="0" showRowColHeaders="0" topLeftCell="Y1" zoomScaleNormal="100" workbookViewId="0">
      <selection activeCell="AC5" sqref="AC5"/>
    </sheetView>
  </sheetViews>
  <sheetFormatPr defaultRowHeight="14.5" x14ac:dyDescent="0.35"/>
  <cols>
    <col min="2" max="2" width="17.7265625" bestFit="1" customWidth="1"/>
    <col min="3" max="3" width="48.36328125" bestFit="1" customWidth="1"/>
    <col min="4" max="4" width="19.6328125" bestFit="1" customWidth="1"/>
    <col min="5" max="5" width="13" style="3" bestFit="1" customWidth="1"/>
    <col min="8" max="8" width="19.6328125" bestFit="1" customWidth="1"/>
    <col min="9" max="9" width="48.36328125" bestFit="1" customWidth="1"/>
    <col min="11" max="11" width="10.08984375" style="374" bestFit="1" customWidth="1"/>
    <col min="12" max="12" width="12.1796875" bestFit="1" customWidth="1"/>
    <col min="13" max="13" width="10.26953125" bestFit="1" customWidth="1"/>
    <col min="14" max="14" width="8.26953125" bestFit="1" customWidth="1"/>
    <col min="15" max="15" width="13.36328125" bestFit="1" customWidth="1"/>
    <col min="16" max="16" width="22.7265625" bestFit="1" customWidth="1"/>
    <col min="17" max="17" width="50.08984375" bestFit="1" customWidth="1"/>
    <col min="18" max="18" width="12.36328125" bestFit="1" customWidth="1"/>
    <col min="19" max="19" width="14" bestFit="1" customWidth="1"/>
    <col min="20" max="20" width="30" bestFit="1" customWidth="1"/>
    <col min="21" max="21" width="18.26953125" bestFit="1" customWidth="1"/>
    <col min="22" max="22" width="10.36328125" bestFit="1" customWidth="1"/>
    <col min="23" max="23" width="31.1796875" bestFit="1" customWidth="1"/>
    <col min="24" max="25" width="24.08984375" bestFit="1" customWidth="1"/>
    <col min="26" max="26" width="49.26953125" bestFit="1" customWidth="1"/>
    <col min="27" max="27" width="11.36328125" bestFit="1" customWidth="1"/>
    <col min="28" max="29" width="12.36328125" customWidth="1"/>
    <col min="30" max="30" width="12.1796875" style="332" customWidth="1"/>
    <col min="31" max="31" width="30.36328125" bestFit="1" customWidth="1"/>
    <col min="32" max="32" width="15" style="3" bestFit="1" customWidth="1"/>
    <col min="40" max="40" width="58.7265625" bestFit="1" customWidth="1"/>
    <col min="41" max="41" width="10.81640625" bestFit="1" customWidth="1"/>
  </cols>
  <sheetData>
    <row r="1" spans="2:45" s="362" customFormat="1" ht="15" thickBot="1" x14ac:dyDescent="0.4">
      <c r="D1" s="233">
        <f>Details!P22</f>
        <v>46194</v>
      </c>
      <c r="E1" s="69" t="e">
        <f>SUBTOTAL(9,E3:E136)</f>
        <v>#N/A</v>
      </c>
      <c r="K1" s="377"/>
      <c r="L1" s="332"/>
      <c r="M1" s="332"/>
      <c r="N1" s="332"/>
      <c r="O1" s="332"/>
      <c r="P1" s="332"/>
      <c r="Q1" s="332"/>
      <c r="R1" s="332">
        <f>SUBTOTAL(9,R3:R1000)</f>
        <v>112833153.83</v>
      </c>
      <c r="S1" s="332">
        <f>SUBTOTAL(9,S3:S1000)</f>
        <v>159390883.70000005</v>
      </c>
      <c r="T1" s="332"/>
      <c r="U1" s="332"/>
      <c r="V1" s="332"/>
      <c r="W1" s="332"/>
      <c r="X1" s="332"/>
      <c r="Y1" s="332"/>
      <c r="Z1" s="332"/>
      <c r="AA1" s="332">
        <f>SUBTOTAL(9,AA3:AA150)</f>
        <v>776632.63</v>
      </c>
      <c r="AB1" s="332">
        <f>R1-AA1</f>
        <v>112056521.2</v>
      </c>
      <c r="AC1" s="332"/>
      <c r="AD1" s="332"/>
      <c r="AE1" s="362" t="s">
        <v>295</v>
      </c>
      <c r="AF1" s="69">
        <f>R1-AA1-SUM(AF3:AF16)-AF18</f>
        <v>54302521.650000006</v>
      </c>
      <c r="AO1" s="362">
        <f>SUM(AO3:AO480)</f>
        <v>19968208.349999983</v>
      </c>
    </row>
    <row r="2" spans="2:45" ht="15" thickBot="1" x14ac:dyDescent="0.4">
      <c r="B2" s="84" t="s">
        <v>175</v>
      </c>
      <c r="C2" s="84" t="s">
        <v>51</v>
      </c>
      <c r="D2" s="86" t="s">
        <v>173</v>
      </c>
      <c r="E2" s="232" t="s">
        <v>191</v>
      </c>
      <c r="H2" s="296" t="s">
        <v>173</v>
      </c>
      <c r="I2" s="297" t="s">
        <v>51</v>
      </c>
      <c r="K2" s="378" t="s">
        <v>442</v>
      </c>
      <c r="L2" s="371" t="s">
        <v>443</v>
      </c>
      <c r="M2" s="371" t="s">
        <v>444</v>
      </c>
      <c r="N2" s="371" t="s">
        <v>445</v>
      </c>
      <c r="O2" s="371" t="s">
        <v>446</v>
      </c>
      <c r="P2" s="371" t="s">
        <v>447</v>
      </c>
      <c r="Q2" s="371" t="s">
        <v>263</v>
      </c>
      <c r="R2" s="371" t="s">
        <v>448</v>
      </c>
      <c r="S2" s="371" t="s">
        <v>449</v>
      </c>
      <c r="T2" s="371" t="s">
        <v>679</v>
      </c>
      <c r="U2" s="371" t="s">
        <v>264</v>
      </c>
      <c r="V2" s="371" t="s">
        <v>680</v>
      </c>
      <c r="W2" s="371" t="s">
        <v>911</v>
      </c>
      <c r="X2" s="371" t="s">
        <v>681</v>
      </c>
      <c r="Y2" s="379" t="s">
        <v>60</v>
      </c>
      <c r="Z2" s="370" t="s">
        <v>78</v>
      </c>
      <c r="AA2" s="370" t="s">
        <v>705</v>
      </c>
      <c r="AB2" s="370"/>
      <c r="AC2" s="370"/>
      <c r="AE2" s="304" t="s">
        <v>78</v>
      </c>
      <c r="AF2" s="305" t="s">
        <v>294</v>
      </c>
      <c r="AH2" s="362" t="s">
        <v>442</v>
      </c>
      <c r="AI2" s="362" t="s">
        <v>443</v>
      </c>
      <c r="AJ2" s="362" t="s">
        <v>444</v>
      </c>
      <c r="AK2" s="362" t="s">
        <v>445</v>
      </c>
      <c r="AL2" s="362" t="s">
        <v>446</v>
      </c>
      <c r="AM2" s="362" t="s">
        <v>447</v>
      </c>
      <c r="AN2" s="362" t="s">
        <v>965</v>
      </c>
      <c r="AO2" s="362" t="s">
        <v>448</v>
      </c>
      <c r="AP2" s="362" t="s">
        <v>449</v>
      </c>
      <c r="AQ2" s="362" t="s">
        <v>264</v>
      </c>
      <c r="AR2" s="362" t="s">
        <v>966</v>
      </c>
      <c r="AS2" s="362" t="s">
        <v>967</v>
      </c>
    </row>
    <row r="3" spans="2:45" x14ac:dyDescent="0.35">
      <c r="B3" t="str" cm="1">
        <f t="array" ref="B3:B5">_xlfn.UNIQUE(_xlfn._TRO_TRAILING(Details!AR5:AR8))</f>
        <v>09AEJFS8446P1ZY</v>
      </c>
      <c r="C3" t="str">
        <f>_xlfn.XLOOKUP(B3,Details!AR:AR,Details!AQ:AQ)</f>
        <v>Silver Ecotex LLP</v>
      </c>
      <c r="D3" t="s">
        <v>217</v>
      </c>
      <c r="E3" s="3" t="str">
        <f>_xlfn.XLOOKUP(C3,I:I,H:H)</f>
        <v>Neelesh Dixit</v>
      </c>
      <c r="H3" t="s">
        <v>217</v>
      </c>
      <c r="I3" t="s">
        <v>218</v>
      </c>
      <c r="K3" s="374">
        <v>44801</v>
      </c>
      <c r="L3" t="s">
        <v>450</v>
      </c>
      <c r="M3" t="s">
        <v>451</v>
      </c>
      <c r="N3" t="s">
        <v>2235</v>
      </c>
      <c r="O3" t="s">
        <v>452</v>
      </c>
      <c r="P3" t="s">
        <v>453</v>
      </c>
      <c r="Q3" t="s">
        <v>284</v>
      </c>
      <c r="R3">
        <v>866675.04</v>
      </c>
      <c r="S3">
        <v>1073444.2</v>
      </c>
      <c r="T3" t="s">
        <v>683</v>
      </c>
      <c r="U3" t="s">
        <v>684</v>
      </c>
      <c r="V3">
        <v>0.01</v>
      </c>
      <c r="W3">
        <v>0</v>
      </c>
      <c r="X3" t="s">
        <v>266</v>
      </c>
      <c r="Y3" t="s">
        <v>266</v>
      </c>
      <c r="Z3" s="354" t="str" cm="1">
        <f t="array" ref="Z3:Z37">_xlfn.UNIQUE(Q3:Q766)</f>
        <v>VANSH POLYPACK LLP</v>
      </c>
      <c r="AA3" s="354">
        <f t="shared" ref="AA3:AA36" si="0">_xlfn.XLOOKUP(Z3,Q:Q,W:W)</f>
        <v>0</v>
      </c>
      <c r="AB3" s="354"/>
      <c r="AC3" s="354"/>
      <c r="AE3" s="67" t="s">
        <v>284</v>
      </c>
      <c r="AF3" s="12">
        <f t="shared" ref="AF3:AF16" si="1">SUMIFS(R:R,Q:Q,AE3)</f>
        <v>27995932.489999998</v>
      </c>
      <c r="AH3" t="s">
        <v>1923</v>
      </c>
      <c r="AI3" t="s">
        <v>450</v>
      </c>
      <c r="AJ3" t="s">
        <v>968</v>
      </c>
      <c r="AK3" t="s">
        <v>2295</v>
      </c>
      <c r="AL3" t="s">
        <v>969</v>
      </c>
      <c r="AM3" t="s">
        <v>970</v>
      </c>
      <c r="AN3" t="s">
        <v>971</v>
      </c>
      <c r="AO3">
        <v>7140</v>
      </c>
      <c r="AP3">
        <v>51000</v>
      </c>
      <c r="AQ3" t="s">
        <v>972</v>
      </c>
      <c r="AR3" t="s">
        <v>266</v>
      </c>
      <c r="AS3" t="s">
        <v>973</v>
      </c>
    </row>
    <row r="4" spans="2:45" x14ac:dyDescent="0.35">
      <c r="B4" t="str">
        <v>24AAFCJ3332A1Z9</v>
      </c>
      <c r="C4" t="str">
        <f>_xlfn.XLOOKUP(B4,Details!AR:AR,Details!AQ:AQ)</f>
        <v>J B ECOTEX LIMITED</v>
      </c>
      <c r="D4" t="s">
        <v>217</v>
      </c>
      <c r="E4" s="3" t="str">
        <f>_xlfn.XLOOKUP(C4,I:I,H:H)</f>
        <v>Ramesh G</v>
      </c>
      <c r="H4" t="s">
        <v>217</v>
      </c>
      <c r="I4" t="s">
        <v>219</v>
      </c>
      <c r="K4" s="374">
        <v>44803</v>
      </c>
      <c r="L4" t="s">
        <v>450</v>
      </c>
      <c r="M4" t="s">
        <v>451</v>
      </c>
      <c r="N4" t="s">
        <v>2236</v>
      </c>
      <c r="O4" t="s">
        <v>454</v>
      </c>
      <c r="P4" t="s">
        <v>455</v>
      </c>
      <c r="Q4" t="s">
        <v>284</v>
      </c>
      <c r="R4">
        <v>451970.68</v>
      </c>
      <c r="S4">
        <v>472619.5</v>
      </c>
      <c r="T4" t="s">
        <v>683</v>
      </c>
      <c r="U4" t="s">
        <v>684</v>
      </c>
      <c r="V4">
        <v>0.01</v>
      </c>
      <c r="W4">
        <v>0</v>
      </c>
      <c r="X4" t="s">
        <v>266</v>
      </c>
      <c r="Y4" t="s">
        <v>266</v>
      </c>
      <c r="Z4" s="354" t="str">
        <v>INDIA POLYMERS</v>
      </c>
      <c r="AA4" s="354">
        <f t="shared" si="0"/>
        <v>0</v>
      </c>
      <c r="AB4" s="354"/>
      <c r="AC4" s="354"/>
      <c r="AE4" s="67" t="s">
        <v>269</v>
      </c>
      <c r="AF4" s="12">
        <f t="shared" si="1"/>
        <v>26666038.010000002</v>
      </c>
      <c r="AH4" t="s">
        <v>1923</v>
      </c>
      <c r="AI4" t="s">
        <v>450</v>
      </c>
      <c r="AJ4" t="s">
        <v>968</v>
      </c>
      <c r="AK4" t="s">
        <v>2296</v>
      </c>
      <c r="AL4" t="s">
        <v>974</v>
      </c>
      <c r="AM4" t="s">
        <v>975</v>
      </c>
      <c r="AN4" t="s">
        <v>976</v>
      </c>
      <c r="AO4">
        <v>1800</v>
      </c>
      <c r="AP4">
        <v>97000</v>
      </c>
      <c r="AQ4" t="s">
        <v>977</v>
      </c>
      <c r="AR4" t="s">
        <v>266</v>
      </c>
      <c r="AS4" t="s">
        <v>978</v>
      </c>
    </row>
    <row r="5" spans="2:45" x14ac:dyDescent="0.35">
      <c r="B5" t="str">
        <v>23AAICB1747Q1ZC</v>
      </c>
      <c r="C5" t="str">
        <f>_xlfn.XLOOKUP(B5,Details!AR:AR,Details!AQ:AQ)</f>
        <v>BLUEOCEAN ECOTECH LIMITED</v>
      </c>
      <c r="D5" t="s">
        <v>217</v>
      </c>
      <c r="E5" s="3" t="e">
        <f>_xlfn.XLOOKUP(C5,I:I,H:H)</f>
        <v>#N/A</v>
      </c>
      <c r="H5" t="s">
        <v>217</v>
      </c>
      <c r="I5" t="s">
        <v>220</v>
      </c>
      <c r="K5" s="374">
        <v>44803</v>
      </c>
      <c r="L5" t="s">
        <v>450</v>
      </c>
      <c r="M5" t="s">
        <v>451</v>
      </c>
      <c r="N5" t="s">
        <v>2097</v>
      </c>
      <c r="O5" t="s">
        <v>456</v>
      </c>
      <c r="P5" t="s">
        <v>457</v>
      </c>
      <c r="Q5" t="s">
        <v>284</v>
      </c>
      <c r="R5">
        <v>432229.03</v>
      </c>
      <c r="S5">
        <v>439509.63</v>
      </c>
      <c r="T5" t="s">
        <v>683</v>
      </c>
      <c r="U5" t="s">
        <v>684</v>
      </c>
      <c r="V5">
        <v>0.01</v>
      </c>
      <c r="W5">
        <v>0</v>
      </c>
      <c r="X5" t="s">
        <v>266</v>
      </c>
      <c r="Y5" t="s">
        <v>266</v>
      </c>
      <c r="Z5" s="354" t="str">
        <v>HALIFAX GREENTECH LLP</v>
      </c>
      <c r="AA5" s="354">
        <f t="shared" si="0"/>
        <v>0</v>
      </c>
      <c r="AB5" s="354"/>
      <c r="AC5" s="354"/>
      <c r="AE5" s="67" t="s">
        <v>285</v>
      </c>
      <c r="AF5" s="12">
        <f t="shared" si="1"/>
        <v>0</v>
      </c>
      <c r="AH5" t="s">
        <v>1923</v>
      </c>
      <c r="AI5" t="s">
        <v>450</v>
      </c>
      <c r="AJ5" t="s">
        <v>968</v>
      </c>
      <c r="AK5" t="s">
        <v>2296</v>
      </c>
      <c r="AL5" t="s">
        <v>974</v>
      </c>
      <c r="AM5" t="s">
        <v>979</v>
      </c>
      <c r="AN5" t="s">
        <v>976</v>
      </c>
      <c r="AO5">
        <v>1900</v>
      </c>
      <c r="AP5">
        <v>95000</v>
      </c>
      <c r="AQ5" t="s">
        <v>977</v>
      </c>
      <c r="AR5" t="s">
        <v>266</v>
      </c>
      <c r="AS5" t="s">
        <v>978</v>
      </c>
    </row>
    <row r="6" spans="2:45" x14ac:dyDescent="0.35">
      <c r="H6" t="s">
        <v>221</v>
      </c>
      <c r="I6" t="s">
        <v>222</v>
      </c>
      <c r="K6" s="374">
        <v>44803</v>
      </c>
      <c r="L6" t="s">
        <v>450</v>
      </c>
      <c r="M6" t="s">
        <v>451</v>
      </c>
      <c r="N6" t="s">
        <v>2097</v>
      </c>
      <c r="O6" t="s">
        <v>456</v>
      </c>
      <c r="P6" t="s">
        <v>458</v>
      </c>
      <c r="Q6" t="s">
        <v>284</v>
      </c>
      <c r="R6">
        <v>422383.48</v>
      </c>
      <c r="S6">
        <v>431934.4</v>
      </c>
      <c r="T6" t="s">
        <v>683</v>
      </c>
      <c r="U6" t="s">
        <v>684</v>
      </c>
      <c r="V6">
        <v>0.01</v>
      </c>
      <c r="W6">
        <v>0</v>
      </c>
      <c r="X6" t="s">
        <v>266</v>
      </c>
      <c r="Y6" t="s">
        <v>266</v>
      </c>
      <c r="Z6" s="354" t="str">
        <v>Shiva Texfabs Limited</v>
      </c>
      <c r="AA6" s="354">
        <f t="shared" si="0"/>
        <v>0</v>
      </c>
      <c r="AB6" s="354"/>
      <c r="AC6" s="354"/>
      <c r="AE6" s="67" t="s">
        <v>268</v>
      </c>
      <c r="AF6" s="12">
        <f t="shared" si="1"/>
        <v>3092029.05</v>
      </c>
      <c r="AH6" t="s">
        <v>969</v>
      </c>
      <c r="AI6" t="s">
        <v>450</v>
      </c>
      <c r="AJ6" t="s">
        <v>968</v>
      </c>
      <c r="AK6" t="s">
        <v>2297</v>
      </c>
      <c r="AL6" t="s">
        <v>980</v>
      </c>
      <c r="AM6" t="s">
        <v>981</v>
      </c>
      <c r="AN6" t="s">
        <v>982</v>
      </c>
      <c r="AO6">
        <v>5224.59</v>
      </c>
      <c r="AP6">
        <v>818731.2</v>
      </c>
      <c r="AQ6" t="s">
        <v>983</v>
      </c>
      <c r="AR6" t="s">
        <v>266</v>
      </c>
      <c r="AS6" t="s">
        <v>978</v>
      </c>
    </row>
    <row r="7" spans="2:45" x14ac:dyDescent="0.35">
      <c r="H7" t="s">
        <v>217</v>
      </c>
      <c r="I7" t="s">
        <v>205</v>
      </c>
      <c r="K7" s="374">
        <v>44803</v>
      </c>
      <c r="L7" t="s">
        <v>450</v>
      </c>
      <c r="M7" t="s">
        <v>451</v>
      </c>
      <c r="N7" t="s">
        <v>2097</v>
      </c>
      <c r="O7" t="s">
        <v>456</v>
      </c>
      <c r="P7" t="s">
        <v>459</v>
      </c>
      <c r="Q7" t="s">
        <v>284</v>
      </c>
      <c r="R7">
        <v>887115.6</v>
      </c>
      <c r="S7">
        <v>912981.2</v>
      </c>
      <c r="T7" t="s">
        <v>683</v>
      </c>
      <c r="U7" t="s">
        <v>684</v>
      </c>
      <c r="V7">
        <v>0.01</v>
      </c>
      <c r="W7">
        <v>0</v>
      </c>
      <c r="X7" t="s">
        <v>266</v>
      </c>
      <c r="Y7" t="s">
        <v>266</v>
      </c>
      <c r="Z7" s="354" t="str">
        <v>Modestpet Pack Private Limited</v>
      </c>
      <c r="AA7" s="354">
        <f t="shared" si="0"/>
        <v>0</v>
      </c>
      <c r="AB7" s="354"/>
      <c r="AC7" s="354"/>
      <c r="AE7" s="67" t="s">
        <v>277</v>
      </c>
      <c r="AF7" s="12">
        <f t="shared" si="1"/>
        <v>0</v>
      </c>
      <c r="AH7" t="s">
        <v>1924</v>
      </c>
      <c r="AI7" t="s">
        <v>450</v>
      </c>
      <c r="AJ7" t="s">
        <v>968</v>
      </c>
      <c r="AK7" t="s">
        <v>2173</v>
      </c>
      <c r="AL7" t="s">
        <v>984</v>
      </c>
      <c r="AM7" t="s">
        <v>354</v>
      </c>
      <c r="AN7" t="s">
        <v>985</v>
      </c>
      <c r="AO7">
        <v>143337.32999999999</v>
      </c>
      <c r="AP7">
        <v>955130.36</v>
      </c>
      <c r="AQ7" t="s">
        <v>986</v>
      </c>
      <c r="AR7" t="s">
        <v>266</v>
      </c>
      <c r="AS7" t="s">
        <v>978</v>
      </c>
    </row>
    <row r="8" spans="2:45" x14ac:dyDescent="0.35">
      <c r="H8" t="s">
        <v>223</v>
      </c>
      <c r="I8" t="s">
        <v>224</v>
      </c>
      <c r="K8" s="374">
        <v>44803</v>
      </c>
      <c r="L8" t="s">
        <v>450</v>
      </c>
      <c r="M8" t="s">
        <v>451</v>
      </c>
      <c r="N8" t="s">
        <v>2097</v>
      </c>
      <c r="O8" t="s">
        <v>456</v>
      </c>
      <c r="P8" t="s">
        <v>460</v>
      </c>
      <c r="Q8" t="s">
        <v>284</v>
      </c>
      <c r="R8">
        <v>911233.24</v>
      </c>
      <c r="S8">
        <v>960984.4</v>
      </c>
      <c r="T8" t="s">
        <v>683</v>
      </c>
      <c r="U8" t="s">
        <v>684</v>
      </c>
      <c r="V8">
        <v>0.01</v>
      </c>
      <c r="W8">
        <v>0</v>
      </c>
      <c r="X8" t="s">
        <v>266</v>
      </c>
      <c r="Y8" t="s">
        <v>266</v>
      </c>
      <c r="Z8" s="354" t="str">
        <v>Nextgen Fibres Private Limited</v>
      </c>
      <c r="AA8" s="354">
        <f t="shared" si="0"/>
        <v>0</v>
      </c>
      <c r="AB8" s="354"/>
      <c r="AC8" s="354"/>
      <c r="AE8" s="67" t="s">
        <v>246</v>
      </c>
      <c r="AF8" s="12">
        <f t="shared" si="1"/>
        <v>0</v>
      </c>
      <c r="AH8" t="s">
        <v>1925</v>
      </c>
      <c r="AI8" t="s">
        <v>450</v>
      </c>
      <c r="AJ8" t="s">
        <v>968</v>
      </c>
      <c r="AK8" t="s">
        <v>2298</v>
      </c>
      <c r="AL8" t="s">
        <v>987</v>
      </c>
      <c r="AM8" t="s">
        <v>988</v>
      </c>
      <c r="AN8" t="s">
        <v>989</v>
      </c>
      <c r="AO8">
        <v>3460.34</v>
      </c>
      <c r="AP8">
        <v>1039574.1</v>
      </c>
      <c r="AQ8" t="s">
        <v>990</v>
      </c>
      <c r="AR8" t="s">
        <v>266</v>
      </c>
      <c r="AS8" t="s">
        <v>978</v>
      </c>
    </row>
    <row r="9" spans="2:45" x14ac:dyDescent="0.35">
      <c r="H9" t="s">
        <v>225</v>
      </c>
      <c r="I9" t="s">
        <v>226</v>
      </c>
      <c r="K9" s="374">
        <v>44803</v>
      </c>
      <c r="L9" t="s">
        <v>450</v>
      </c>
      <c r="M9" t="s">
        <v>451</v>
      </c>
      <c r="N9" t="s">
        <v>2097</v>
      </c>
      <c r="O9" t="s">
        <v>456</v>
      </c>
      <c r="P9" t="s">
        <v>461</v>
      </c>
      <c r="Q9" t="s">
        <v>284</v>
      </c>
      <c r="R9">
        <v>415681.7</v>
      </c>
      <c r="S9">
        <v>422478.5</v>
      </c>
      <c r="T9" t="s">
        <v>683</v>
      </c>
      <c r="U9" t="s">
        <v>684</v>
      </c>
      <c r="V9">
        <v>0.01</v>
      </c>
      <c r="W9">
        <v>0</v>
      </c>
      <c r="X9" t="s">
        <v>266</v>
      </c>
      <c r="Y9" t="s">
        <v>266</v>
      </c>
      <c r="Z9" s="354" t="str">
        <v>KANCHAN INDIA LIMITED</v>
      </c>
      <c r="AA9" s="354">
        <f t="shared" si="0"/>
        <v>0</v>
      </c>
      <c r="AB9" s="354"/>
      <c r="AC9" s="354"/>
      <c r="AE9" s="67" t="s">
        <v>280</v>
      </c>
      <c r="AF9" s="12">
        <f t="shared" si="1"/>
        <v>0</v>
      </c>
      <c r="AH9" t="s">
        <v>987</v>
      </c>
      <c r="AI9" t="s">
        <v>450</v>
      </c>
      <c r="AJ9" t="s">
        <v>968</v>
      </c>
      <c r="AK9" t="s">
        <v>2299</v>
      </c>
      <c r="AL9" t="s">
        <v>991</v>
      </c>
      <c r="AM9" t="s">
        <v>337</v>
      </c>
      <c r="AN9" t="s">
        <v>985</v>
      </c>
      <c r="AO9">
        <v>137343.76999999999</v>
      </c>
      <c r="AP9">
        <v>925120</v>
      </c>
      <c r="AQ9" t="s">
        <v>986</v>
      </c>
      <c r="AR9" t="s">
        <v>266</v>
      </c>
      <c r="AS9" t="s">
        <v>978</v>
      </c>
    </row>
    <row r="10" spans="2:45" x14ac:dyDescent="0.35">
      <c r="H10" t="s">
        <v>217</v>
      </c>
      <c r="I10" t="s">
        <v>227</v>
      </c>
      <c r="K10" s="374">
        <v>44803</v>
      </c>
      <c r="L10" t="s">
        <v>450</v>
      </c>
      <c r="M10" t="s">
        <v>451</v>
      </c>
      <c r="N10" t="s">
        <v>2097</v>
      </c>
      <c r="O10" t="s">
        <v>456</v>
      </c>
      <c r="P10" t="s">
        <v>462</v>
      </c>
      <c r="Q10" t="s">
        <v>284</v>
      </c>
      <c r="R10">
        <v>841243.12</v>
      </c>
      <c r="S10">
        <v>866596.6</v>
      </c>
      <c r="T10" t="s">
        <v>683</v>
      </c>
      <c r="U10" t="s">
        <v>684</v>
      </c>
      <c r="V10">
        <v>0.01</v>
      </c>
      <c r="W10">
        <v>0</v>
      </c>
      <c r="X10" t="s">
        <v>266</v>
      </c>
      <c r="Y10" t="s">
        <v>266</v>
      </c>
      <c r="Z10" s="354" t="str">
        <v>Ganesha Ecotech Private Limited (Warangal)</v>
      </c>
      <c r="AA10" s="354">
        <f t="shared" si="0"/>
        <v>0</v>
      </c>
      <c r="AB10" s="354"/>
      <c r="AC10" s="354"/>
      <c r="AE10" s="67" t="s">
        <v>281</v>
      </c>
      <c r="AF10" s="12">
        <f t="shared" si="1"/>
        <v>0</v>
      </c>
      <c r="AH10" t="s">
        <v>1926</v>
      </c>
      <c r="AI10" t="s">
        <v>450</v>
      </c>
      <c r="AJ10" t="s">
        <v>968</v>
      </c>
      <c r="AK10" t="s">
        <v>2300</v>
      </c>
      <c r="AL10" t="s">
        <v>992</v>
      </c>
      <c r="AM10" t="s">
        <v>355</v>
      </c>
      <c r="AN10" t="s">
        <v>985</v>
      </c>
      <c r="AO10">
        <v>58178.26</v>
      </c>
      <c r="AP10">
        <v>381390.76</v>
      </c>
      <c r="AQ10" t="s">
        <v>986</v>
      </c>
      <c r="AR10" t="s">
        <v>266</v>
      </c>
      <c r="AS10" t="s">
        <v>978</v>
      </c>
    </row>
    <row r="11" spans="2:45" x14ac:dyDescent="0.35">
      <c r="H11" t="s">
        <v>221</v>
      </c>
      <c r="I11" t="s">
        <v>228</v>
      </c>
      <c r="K11" s="374">
        <v>44804</v>
      </c>
      <c r="L11" t="s">
        <v>450</v>
      </c>
      <c r="M11" t="s">
        <v>451</v>
      </c>
      <c r="N11" t="s">
        <v>2236</v>
      </c>
      <c r="O11" t="s">
        <v>454</v>
      </c>
      <c r="P11" t="s">
        <v>463</v>
      </c>
      <c r="Q11" t="s">
        <v>284</v>
      </c>
      <c r="R11">
        <v>551705.62</v>
      </c>
      <c r="S11">
        <v>576646.1</v>
      </c>
      <c r="T11" t="s">
        <v>683</v>
      </c>
      <c r="U11" t="s">
        <v>684</v>
      </c>
      <c r="V11">
        <v>0.01</v>
      </c>
      <c r="W11">
        <v>0</v>
      </c>
      <c r="X11" t="s">
        <v>266</v>
      </c>
      <c r="Y11" t="s">
        <v>266</v>
      </c>
      <c r="Z11" s="354" t="str">
        <v>DODHIA INDUSTRIES LIMITED</v>
      </c>
      <c r="AA11" s="354">
        <f t="shared" si="0"/>
        <v>0</v>
      </c>
      <c r="AB11" s="354"/>
      <c r="AC11" s="354"/>
      <c r="AE11" s="67" t="s">
        <v>275</v>
      </c>
      <c r="AF11" s="12">
        <f t="shared" si="1"/>
        <v>0</v>
      </c>
      <c r="AH11" t="s">
        <v>1927</v>
      </c>
      <c r="AI11" t="s">
        <v>450</v>
      </c>
      <c r="AJ11" t="s">
        <v>968</v>
      </c>
      <c r="AK11" t="s">
        <v>2299</v>
      </c>
      <c r="AL11" t="s">
        <v>991</v>
      </c>
      <c r="AM11" t="s">
        <v>993</v>
      </c>
      <c r="AN11" t="s">
        <v>994</v>
      </c>
      <c r="AO11">
        <v>60378.8</v>
      </c>
      <c r="AP11">
        <v>410746.2</v>
      </c>
      <c r="AQ11" t="s">
        <v>995</v>
      </c>
      <c r="AR11" t="s">
        <v>266</v>
      </c>
      <c r="AS11" t="s">
        <v>978</v>
      </c>
    </row>
    <row r="12" spans="2:45" x14ac:dyDescent="0.35">
      <c r="H12" t="s">
        <v>225</v>
      </c>
      <c r="I12" t="s">
        <v>229</v>
      </c>
      <c r="K12" s="374">
        <v>44804</v>
      </c>
      <c r="L12" t="s">
        <v>450</v>
      </c>
      <c r="M12" t="s">
        <v>451</v>
      </c>
      <c r="N12" t="s">
        <v>2236</v>
      </c>
      <c r="O12" t="s">
        <v>454</v>
      </c>
      <c r="P12" t="s">
        <v>464</v>
      </c>
      <c r="Q12" t="s">
        <v>284</v>
      </c>
      <c r="R12">
        <v>767912.08</v>
      </c>
      <c r="S12">
        <v>788665.74</v>
      </c>
      <c r="T12" t="s">
        <v>683</v>
      </c>
      <c r="U12" t="s">
        <v>684</v>
      </c>
      <c r="V12">
        <v>0.01</v>
      </c>
      <c r="W12">
        <v>0</v>
      </c>
      <c r="X12" t="s">
        <v>266</v>
      </c>
      <c r="Y12" t="s">
        <v>266</v>
      </c>
      <c r="Z12" s="354" t="str">
        <v>NIRMAL FIBRES PRIVATE LIMITED</v>
      </c>
      <c r="AA12" s="354">
        <f t="shared" si="0"/>
        <v>0</v>
      </c>
      <c r="AB12" s="354"/>
      <c r="AC12" s="354"/>
      <c r="AE12" s="67" t="s">
        <v>265</v>
      </c>
      <c r="AF12" s="12">
        <f t="shared" si="1"/>
        <v>0</v>
      </c>
      <c r="AH12" t="s">
        <v>1928</v>
      </c>
      <c r="AI12" t="s">
        <v>450</v>
      </c>
      <c r="AJ12" t="s">
        <v>968</v>
      </c>
      <c r="AK12" t="s">
        <v>2174</v>
      </c>
      <c r="AL12" t="s">
        <v>996</v>
      </c>
      <c r="AM12" t="s">
        <v>362</v>
      </c>
      <c r="AN12" t="s">
        <v>985</v>
      </c>
      <c r="AO12">
        <v>113896.62</v>
      </c>
      <c r="AP12">
        <v>746655.62</v>
      </c>
      <c r="AQ12" t="s">
        <v>986</v>
      </c>
      <c r="AR12" t="s">
        <v>266</v>
      </c>
      <c r="AS12" t="s">
        <v>978</v>
      </c>
    </row>
    <row r="13" spans="2:45" x14ac:dyDescent="0.35">
      <c r="H13" t="s">
        <v>223</v>
      </c>
      <c r="I13" t="s">
        <v>230</v>
      </c>
      <c r="K13" s="374">
        <v>44804</v>
      </c>
      <c r="L13" t="s">
        <v>450</v>
      </c>
      <c r="M13" t="s">
        <v>451</v>
      </c>
      <c r="N13" t="s">
        <v>2236</v>
      </c>
      <c r="O13" t="s">
        <v>454</v>
      </c>
      <c r="P13" t="s">
        <v>465</v>
      </c>
      <c r="Q13" t="s">
        <v>284</v>
      </c>
      <c r="R13">
        <v>566640.42000000004</v>
      </c>
      <c r="S13">
        <v>572459</v>
      </c>
      <c r="T13" t="s">
        <v>683</v>
      </c>
      <c r="U13" t="s">
        <v>684</v>
      </c>
      <c r="V13">
        <v>0.01</v>
      </c>
      <c r="W13">
        <v>0</v>
      </c>
      <c r="X13" t="s">
        <v>266</v>
      </c>
      <c r="Y13" t="s">
        <v>266</v>
      </c>
      <c r="Z13" s="354" t="str">
        <v>J B ECOTEX LIMITED</v>
      </c>
      <c r="AA13" s="354">
        <f t="shared" si="0"/>
        <v>50812.5</v>
      </c>
      <c r="AB13" s="354"/>
      <c r="AC13" s="354"/>
      <c r="AE13" s="67" t="s">
        <v>283</v>
      </c>
      <c r="AF13" s="12">
        <f t="shared" si="1"/>
        <v>0</v>
      </c>
      <c r="AH13" t="s">
        <v>1929</v>
      </c>
      <c r="AI13" t="s">
        <v>450</v>
      </c>
      <c r="AJ13" t="s">
        <v>968</v>
      </c>
      <c r="AK13" t="s">
        <v>2174</v>
      </c>
      <c r="AL13" t="s">
        <v>996</v>
      </c>
      <c r="AM13" t="s">
        <v>997</v>
      </c>
      <c r="AN13" t="s">
        <v>989</v>
      </c>
      <c r="AO13">
        <v>3115.14</v>
      </c>
      <c r="AP13">
        <v>944041.3</v>
      </c>
      <c r="AQ13" t="s">
        <v>990</v>
      </c>
      <c r="AR13" t="s">
        <v>266</v>
      </c>
      <c r="AS13" t="s">
        <v>978</v>
      </c>
    </row>
    <row r="14" spans="2:45" x14ac:dyDescent="0.35">
      <c r="H14" t="s">
        <v>221</v>
      </c>
      <c r="I14" t="s">
        <v>231</v>
      </c>
      <c r="K14" s="374">
        <v>44804</v>
      </c>
      <c r="L14" t="s">
        <v>450</v>
      </c>
      <c r="M14" t="s">
        <v>451</v>
      </c>
      <c r="N14" t="s">
        <v>2237</v>
      </c>
      <c r="O14" t="s">
        <v>466</v>
      </c>
      <c r="P14" t="s">
        <v>467</v>
      </c>
      <c r="Q14" t="s">
        <v>284</v>
      </c>
      <c r="R14">
        <v>793323.6</v>
      </c>
      <c r="S14">
        <v>813194.8</v>
      </c>
      <c r="T14" t="s">
        <v>683</v>
      </c>
      <c r="U14" t="s">
        <v>684</v>
      </c>
      <c r="V14">
        <v>0.01</v>
      </c>
      <c r="W14">
        <v>0</v>
      </c>
      <c r="X14" t="s">
        <v>266</v>
      </c>
      <c r="Y14" t="s">
        <v>266</v>
      </c>
      <c r="Z14" s="354" t="str">
        <v>NATIONAL FIBRES PRIVATE LIMITED</v>
      </c>
      <c r="AA14" s="354">
        <f t="shared" si="0"/>
        <v>0</v>
      </c>
      <c r="AB14" s="354"/>
      <c r="AC14" s="354"/>
      <c r="AE14" s="67" t="s">
        <v>274</v>
      </c>
      <c r="AF14" s="12">
        <f t="shared" si="1"/>
        <v>0</v>
      </c>
      <c r="AH14" t="s">
        <v>996</v>
      </c>
      <c r="AI14" t="s">
        <v>450</v>
      </c>
      <c r="AJ14" t="s">
        <v>968</v>
      </c>
      <c r="AK14" t="s">
        <v>2174</v>
      </c>
      <c r="AL14" t="s">
        <v>996</v>
      </c>
      <c r="AM14" t="s">
        <v>998</v>
      </c>
      <c r="AN14" t="s">
        <v>999</v>
      </c>
      <c r="AO14">
        <v>1000</v>
      </c>
      <c r="AP14">
        <v>99000</v>
      </c>
      <c r="AQ14" t="s">
        <v>1000</v>
      </c>
      <c r="AR14" t="s">
        <v>266</v>
      </c>
      <c r="AS14" t="s">
        <v>978</v>
      </c>
    </row>
    <row r="15" spans="2:45" x14ac:dyDescent="0.35">
      <c r="H15" t="s">
        <v>225</v>
      </c>
      <c r="I15" t="s">
        <v>232</v>
      </c>
      <c r="K15" s="374">
        <v>44804</v>
      </c>
      <c r="L15" t="s">
        <v>450</v>
      </c>
      <c r="M15" t="s">
        <v>451</v>
      </c>
      <c r="N15" t="s">
        <v>2236</v>
      </c>
      <c r="O15" t="s">
        <v>454</v>
      </c>
      <c r="P15" t="s">
        <v>468</v>
      </c>
      <c r="Q15" t="s">
        <v>284</v>
      </c>
      <c r="R15">
        <v>896761.4</v>
      </c>
      <c r="S15">
        <v>929825</v>
      </c>
      <c r="T15" t="s">
        <v>683</v>
      </c>
      <c r="U15" t="s">
        <v>684</v>
      </c>
      <c r="V15">
        <v>0.01</v>
      </c>
      <c r="W15">
        <v>0</v>
      </c>
      <c r="X15" t="s">
        <v>266</v>
      </c>
      <c r="Y15" t="s">
        <v>266</v>
      </c>
      <c r="Z15" s="354" t="str">
        <v>RSWM LIMITED</v>
      </c>
      <c r="AA15" s="354">
        <f t="shared" si="0"/>
        <v>0</v>
      </c>
      <c r="AB15" s="354"/>
      <c r="AC15" s="354"/>
      <c r="AE15" s="67" t="s">
        <v>270</v>
      </c>
      <c r="AF15" s="12">
        <f t="shared" si="1"/>
        <v>0</v>
      </c>
      <c r="AH15" t="s">
        <v>1001</v>
      </c>
      <c r="AI15" t="s">
        <v>450</v>
      </c>
      <c r="AJ15" t="s">
        <v>968</v>
      </c>
      <c r="AK15" t="s">
        <v>2301</v>
      </c>
      <c r="AL15" t="s">
        <v>1001</v>
      </c>
      <c r="AM15" t="s">
        <v>1002</v>
      </c>
      <c r="AN15" t="s">
        <v>999</v>
      </c>
      <c r="AO15">
        <v>300</v>
      </c>
      <c r="AP15">
        <v>107800</v>
      </c>
      <c r="AQ15" t="s">
        <v>1000</v>
      </c>
      <c r="AR15" t="s">
        <v>266</v>
      </c>
      <c r="AS15" t="s">
        <v>978</v>
      </c>
    </row>
    <row r="16" spans="2:45" ht="15" thickBot="1" x14ac:dyDescent="0.4">
      <c r="H16" t="s">
        <v>221</v>
      </c>
      <c r="I16" t="s">
        <v>233</v>
      </c>
      <c r="K16" s="374">
        <v>44804</v>
      </c>
      <c r="L16" t="s">
        <v>450</v>
      </c>
      <c r="M16" t="s">
        <v>451</v>
      </c>
      <c r="N16" t="s">
        <v>2237</v>
      </c>
      <c r="O16" t="s">
        <v>466</v>
      </c>
      <c r="P16" t="s">
        <v>469</v>
      </c>
      <c r="Q16" t="s">
        <v>284</v>
      </c>
      <c r="R16">
        <v>948247.24</v>
      </c>
      <c r="S16">
        <v>982363.4</v>
      </c>
      <c r="T16" t="s">
        <v>683</v>
      </c>
      <c r="U16" t="s">
        <v>684</v>
      </c>
      <c r="V16">
        <v>0.01</v>
      </c>
      <c r="W16">
        <v>0</v>
      </c>
      <c r="X16" t="s">
        <v>266</v>
      </c>
      <c r="Y16" t="s">
        <v>266</v>
      </c>
      <c r="Z16" s="354" t="str">
        <v>M/S ARIHANT INDUSTRIES</v>
      </c>
      <c r="AA16" s="354">
        <f t="shared" si="0"/>
        <v>0</v>
      </c>
      <c r="AB16" s="354"/>
      <c r="AC16" s="354"/>
      <c r="AE16" s="303" t="s">
        <v>276</v>
      </c>
      <c r="AF16" s="327">
        <f t="shared" si="1"/>
        <v>0</v>
      </c>
      <c r="AH16" t="s">
        <v>1001</v>
      </c>
      <c r="AI16" t="s">
        <v>450</v>
      </c>
      <c r="AJ16" t="s">
        <v>968</v>
      </c>
      <c r="AK16" t="s">
        <v>2302</v>
      </c>
      <c r="AL16" t="s">
        <v>1003</v>
      </c>
      <c r="AM16" t="s">
        <v>1004</v>
      </c>
      <c r="AN16" t="s">
        <v>989</v>
      </c>
      <c r="AO16">
        <v>853.95</v>
      </c>
      <c r="AP16">
        <v>931503.8</v>
      </c>
      <c r="AQ16" t="s">
        <v>990</v>
      </c>
      <c r="AR16" t="s">
        <v>266</v>
      </c>
      <c r="AS16" t="s">
        <v>978</v>
      </c>
    </row>
    <row r="17" spans="8:45" x14ac:dyDescent="0.35">
      <c r="H17" t="s">
        <v>223</v>
      </c>
      <c r="I17" t="s">
        <v>199</v>
      </c>
      <c r="K17" s="374">
        <v>44804</v>
      </c>
      <c r="L17" t="s">
        <v>450</v>
      </c>
      <c r="M17" t="s">
        <v>451</v>
      </c>
      <c r="N17" t="s">
        <v>2237</v>
      </c>
      <c r="O17" t="s">
        <v>466</v>
      </c>
      <c r="P17" t="s">
        <v>470</v>
      </c>
      <c r="Q17" t="s">
        <v>284</v>
      </c>
      <c r="R17">
        <v>740490.62</v>
      </c>
      <c r="S17">
        <v>797415</v>
      </c>
      <c r="T17" t="s">
        <v>683</v>
      </c>
      <c r="U17" t="s">
        <v>684</v>
      </c>
      <c r="V17">
        <v>0.01</v>
      </c>
      <c r="W17">
        <v>0</v>
      </c>
      <c r="X17" t="s">
        <v>266</v>
      </c>
      <c r="Y17" t="s">
        <v>266</v>
      </c>
      <c r="Z17" s="354" t="str">
        <v>M/S KASHI VISHWANATH TEXTILE MILL PRIVATE LIMITED</v>
      </c>
      <c r="AA17" s="354">
        <f t="shared" si="0"/>
        <v>0</v>
      </c>
      <c r="AB17" s="354"/>
      <c r="AC17" s="354"/>
      <c r="AH17" t="s">
        <v>1931</v>
      </c>
      <c r="AI17" t="s">
        <v>450</v>
      </c>
      <c r="AJ17" t="s">
        <v>968</v>
      </c>
      <c r="AK17" t="s">
        <v>2302</v>
      </c>
      <c r="AL17" t="s">
        <v>1003</v>
      </c>
      <c r="AM17" t="s">
        <v>1005</v>
      </c>
      <c r="AN17" t="s">
        <v>985</v>
      </c>
      <c r="AO17">
        <v>133085.22</v>
      </c>
      <c r="AP17">
        <v>880185.6</v>
      </c>
      <c r="AQ17" t="s">
        <v>986</v>
      </c>
      <c r="AR17" t="s">
        <v>266</v>
      </c>
      <c r="AS17" t="s">
        <v>978</v>
      </c>
    </row>
    <row r="18" spans="8:45" x14ac:dyDescent="0.35">
      <c r="H18" t="s">
        <v>234</v>
      </c>
      <c r="I18" t="s">
        <v>235</v>
      </c>
      <c r="K18" s="374">
        <v>44806</v>
      </c>
      <c r="L18" t="s">
        <v>450</v>
      </c>
      <c r="M18" t="s">
        <v>451</v>
      </c>
      <c r="N18" t="s">
        <v>2238</v>
      </c>
      <c r="O18" t="s">
        <v>471</v>
      </c>
      <c r="P18" t="s">
        <v>472</v>
      </c>
      <c r="Q18" t="s">
        <v>284</v>
      </c>
      <c r="R18">
        <v>448748.36</v>
      </c>
      <c r="S18">
        <v>464829.4</v>
      </c>
      <c r="T18" t="s">
        <v>683</v>
      </c>
      <c r="U18" t="s">
        <v>684</v>
      </c>
      <c r="V18">
        <v>0.01</v>
      </c>
      <c r="W18">
        <v>0</v>
      </c>
      <c r="X18" t="s">
        <v>266</v>
      </c>
      <c r="Y18" t="s">
        <v>266</v>
      </c>
      <c r="Z18" s="354" t="str">
        <v>IDVB RECYCLING OPERATIONS PRIVATE LIMITED</v>
      </c>
      <c r="AA18" s="354">
        <f t="shared" si="0"/>
        <v>0</v>
      </c>
      <c r="AB18" s="354"/>
      <c r="AC18" s="354"/>
      <c r="AE18" s="343" t="s">
        <v>338</v>
      </c>
      <c r="AH18" t="s">
        <v>1007</v>
      </c>
      <c r="AI18" t="s">
        <v>450</v>
      </c>
      <c r="AJ18" t="s">
        <v>968</v>
      </c>
      <c r="AK18" t="s">
        <v>2303</v>
      </c>
      <c r="AL18" t="s">
        <v>1006</v>
      </c>
      <c r="AM18" t="s">
        <v>964</v>
      </c>
      <c r="AN18" t="s">
        <v>994</v>
      </c>
      <c r="AO18">
        <v>52417.16</v>
      </c>
      <c r="AP18">
        <v>361419.25</v>
      </c>
      <c r="AQ18" t="s">
        <v>995</v>
      </c>
      <c r="AR18" t="s">
        <v>266</v>
      </c>
      <c r="AS18" t="s">
        <v>978</v>
      </c>
    </row>
    <row r="19" spans="8:45" x14ac:dyDescent="0.35">
      <c r="H19" t="s">
        <v>217</v>
      </c>
      <c r="I19" t="s">
        <v>236</v>
      </c>
      <c r="K19" s="374">
        <v>44806</v>
      </c>
      <c r="L19" t="s">
        <v>450</v>
      </c>
      <c r="M19" t="s">
        <v>451</v>
      </c>
      <c r="N19" t="s">
        <v>2238</v>
      </c>
      <c r="O19" t="s">
        <v>471</v>
      </c>
      <c r="P19" t="s">
        <v>473</v>
      </c>
      <c r="Q19" t="s">
        <v>284</v>
      </c>
      <c r="R19">
        <v>717098.96</v>
      </c>
      <c r="S19">
        <v>755198.8</v>
      </c>
      <c r="T19" t="s">
        <v>683</v>
      </c>
      <c r="U19" t="s">
        <v>684</v>
      </c>
      <c r="V19">
        <v>0.01</v>
      </c>
      <c r="W19">
        <v>0</v>
      </c>
      <c r="X19" t="s">
        <v>266</v>
      </c>
      <c r="Y19" t="s">
        <v>266</v>
      </c>
      <c r="Z19" s="354" t="str">
        <v>DIVYADHAN RECYCLING INDUSTRIES LIMITED</v>
      </c>
      <c r="AA19" s="354">
        <f t="shared" si="0"/>
        <v>0</v>
      </c>
      <c r="AB19" s="354"/>
      <c r="AC19" s="354"/>
      <c r="AH19" t="s">
        <v>1007</v>
      </c>
      <c r="AI19" t="s">
        <v>450</v>
      </c>
      <c r="AJ19" t="s">
        <v>968</v>
      </c>
      <c r="AK19" t="s">
        <v>2175</v>
      </c>
      <c r="AL19" t="s">
        <v>1007</v>
      </c>
      <c r="AM19" t="s">
        <v>1008</v>
      </c>
      <c r="AN19" t="s">
        <v>1009</v>
      </c>
      <c r="AO19">
        <v>60411.6</v>
      </c>
      <c r="AP19">
        <v>396031.6</v>
      </c>
      <c r="AQ19" t="s">
        <v>1010</v>
      </c>
      <c r="AR19" t="s">
        <v>266</v>
      </c>
      <c r="AS19" t="s">
        <v>978</v>
      </c>
    </row>
    <row r="20" spans="8:45" x14ac:dyDescent="0.35">
      <c r="H20" t="s">
        <v>217</v>
      </c>
      <c r="I20" t="s">
        <v>210</v>
      </c>
      <c r="K20" s="374">
        <v>44806</v>
      </c>
      <c r="L20" t="s">
        <v>450</v>
      </c>
      <c r="M20" t="s">
        <v>451</v>
      </c>
      <c r="N20" t="s">
        <v>2238</v>
      </c>
      <c r="O20" t="s">
        <v>471</v>
      </c>
      <c r="P20" t="s">
        <v>474</v>
      </c>
      <c r="Q20" t="s">
        <v>284</v>
      </c>
      <c r="R20">
        <v>469104.4</v>
      </c>
      <c r="S20">
        <v>491754.5</v>
      </c>
      <c r="T20" t="s">
        <v>683</v>
      </c>
      <c r="U20" t="s">
        <v>684</v>
      </c>
      <c r="V20">
        <v>0.01</v>
      </c>
      <c r="W20">
        <v>0</v>
      </c>
      <c r="X20" t="s">
        <v>266</v>
      </c>
      <c r="Y20" t="s">
        <v>266</v>
      </c>
      <c r="Z20" s="354" t="str">
        <v>CHIRIPAL POLY FILMS LIMITED</v>
      </c>
      <c r="AA20" s="354">
        <f t="shared" si="0"/>
        <v>0</v>
      </c>
      <c r="AB20" s="354"/>
      <c r="AC20" s="354"/>
      <c r="AE20" s="354"/>
      <c r="AH20" t="s">
        <v>1006</v>
      </c>
      <c r="AI20" t="s">
        <v>450</v>
      </c>
      <c r="AJ20" t="s">
        <v>968</v>
      </c>
      <c r="AK20" t="s">
        <v>2176</v>
      </c>
      <c r="AL20" t="s">
        <v>1011</v>
      </c>
      <c r="AM20" t="s">
        <v>993</v>
      </c>
      <c r="AN20" t="s">
        <v>985</v>
      </c>
      <c r="AO20">
        <v>134744.35</v>
      </c>
      <c r="AP20">
        <v>891062.26</v>
      </c>
      <c r="AQ20" t="s">
        <v>986</v>
      </c>
      <c r="AR20" t="s">
        <v>266</v>
      </c>
      <c r="AS20" t="s">
        <v>978</v>
      </c>
    </row>
    <row r="21" spans="8:45" x14ac:dyDescent="0.35">
      <c r="H21" t="s">
        <v>223</v>
      </c>
      <c r="I21" t="s">
        <v>237</v>
      </c>
      <c r="K21" s="374">
        <v>44807</v>
      </c>
      <c r="L21" t="s">
        <v>450</v>
      </c>
      <c r="M21" t="s">
        <v>451</v>
      </c>
      <c r="N21" t="s">
        <v>2194</v>
      </c>
      <c r="O21" t="s">
        <v>475</v>
      </c>
      <c r="P21" t="s">
        <v>476</v>
      </c>
      <c r="Q21" t="s">
        <v>284</v>
      </c>
      <c r="R21">
        <v>682043.9</v>
      </c>
      <c r="S21">
        <v>707101.2</v>
      </c>
      <c r="T21" t="s">
        <v>683</v>
      </c>
      <c r="U21" t="s">
        <v>684</v>
      </c>
      <c r="V21">
        <v>0.01</v>
      </c>
      <c r="W21">
        <v>0</v>
      </c>
      <c r="X21" t="s">
        <v>266</v>
      </c>
      <c r="Y21" t="s">
        <v>266</v>
      </c>
      <c r="Z21" s="354" t="str">
        <v>MAGPET POLYMERS PRIVATE LIMITED</v>
      </c>
      <c r="AA21" s="354">
        <f t="shared" si="0"/>
        <v>0</v>
      </c>
      <c r="AB21" s="354"/>
      <c r="AC21" s="354"/>
      <c r="AE21" s="1"/>
      <c r="AH21" t="s">
        <v>1011</v>
      </c>
      <c r="AI21" t="s">
        <v>450</v>
      </c>
      <c r="AJ21" t="s">
        <v>968</v>
      </c>
      <c r="AK21" t="s">
        <v>2304</v>
      </c>
      <c r="AL21" t="s">
        <v>1012</v>
      </c>
      <c r="AM21" t="s">
        <v>1013</v>
      </c>
      <c r="AN21" t="s">
        <v>1014</v>
      </c>
      <c r="AO21">
        <v>147090.88</v>
      </c>
      <c r="AP21">
        <v>970287.45</v>
      </c>
      <c r="AQ21" t="s">
        <v>1015</v>
      </c>
      <c r="AR21" t="s">
        <v>266</v>
      </c>
      <c r="AS21" t="s">
        <v>978</v>
      </c>
    </row>
    <row r="22" spans="8:45" x14ac:dyDescent="0.35">
      <c r="H22" t="s">
        <v>234</v>
      </c>
      <c r="I22" t="s">
        <v>238</v>
      </c>
      <c r="K22" s="374">
        <v>44807</v>
      </c>
      <c r="L22" t="s">
        <v>450</v>
      </c>
      <c r="M22" t="s">
        <v>451</v>
      </c>
      <c r="N22" t="s">
        <v>2194</v>
      </c>
      <c r="O22" t="s">
        <v>475</v>
      </c>
      <c r="P22" t="s">
        <v>477</v>
      </c>
      <c r="Q22" t="s">
        <v>284</v>
      </c>
      <c r="R22">
        <v>895443.14</v>
      </c>
      <c r="S22">
        <v>917977.59999999998</v>
      </c>
      <c r="T22" t="s">
        <v>683</v>
      </c>
      <c r="U22" t="s">
        <v>684</v>
      </c>
      <c r="V22">
        <v>0.01</v>
      </c>
      <c r="W22">
        <v>0</v>
      </c>
      <c r="X22" t="s">
        <v>266</v>
      </c>
      <c r="Y22" t="s">
        <v>266</v>
      </c>
      <c r="Z22" s="354" t="str">
        <v>HITARTH ENTERPRISES</v>
      </c>
      <c r="AA22" s="354">
        <f t="shared" si="0"/>
        <v>0</v>
      </c>
      <c r="AB22" s="354"/>
      <c r="AC22" s="354"/>
      <c r="AH22" t="s">
        <v>1012</v>
      </c>
      <c r="AI22" t="s">
        <v>450</v>
      </c>
      <c r="AJ22" t="s">
        <v>968</v>
      </c>
      <c r="AK22" t="s">
        <v>2304</v>
      </c>
      <c r="AL22" t="s">
        <v>1012</v>
      </c>
      <c r="AM22" t="s">
        <v>1016</v>
      </c>
      <c r="AN22" t="s">
        <v>1009</v>
      </c>
      <c r="AO22">
        <v>62622</v>
      </c>
      <c r="AP22">
        <v>410522</v>
      </c>
      <c r="AQ22" t="s">
        <v>1010</v>
      </c>
      <c r="AR22" t="s">
        <v>266</v>
      </c>
      <c r="AS22" t="s">
        <v>978</v>
      </c>
    </row>
    <row r="23" spans="8:45" x14ac:dyDescent="0.35">
      <c r="H23" t="s">
        <v>223</v>
      </c>
      <c r="I23" t="s">
        <v>209</v>
      </c>
      <c r="K23" s="374">
        <v>44807</v>
      </c>
      <c r="L23" t="s">
        <v>450</v>
      </c>
      <c r="M23" t="s">
        <v>451</v>
      </c>
      <c r="N23" t="s">
        <v>2194</v>
      </c>
      <c r="O23" t="s">
        <v>475</v>
      </c>
      <c r="P23" t="s">
        <v>478</v>
      </c>
      <c r="Q23" t="s">
        <v>284</v>
      </c>
      <c r="R23">
        <v>847298.16</v>
      </c>
      <c r="S23">
        <v>871025.6</v>
      </c>
      <c r="T23" t="s">
        <v>683</v>
      </c>
      <c r="U23" t="s">
        <v>684</v>
      </c>
      <c r="V23">
        <v>0.01</v>
      </c>
      <c r="W23">
        <v>0</v>
      </c>
      <c r="X23" t="s">
        <v>266</v>
      </c>
      <c r="Y23" t="s">
        <v>266</v>
      </c>
      <c r="Z23" s="354" t="str">
        <v>RPG INDUSTRIAL PRODUCT PRIVATE LIMITED</v>
      </c>
      <c r="AA23" s="354">
        <f t="shared" si="0"/>
        <v>0</v>
      </c>
      <c r="AB23" s="354"/>
      <c r="AC23" s="354"/>
      <c r="AH23" t="s">
        <v>1017</v>
      </c>
      <c r="AI23" t="s">
        <v>450</v>
      </c>
      <c r="AJ23" t="s">
        <v>968</v>
      </c>
      <c r="AK23" t="s">
        <v>2305</v>
      </c>
      <c r="AL23" t="s">
        <v>1017</v>
      </c>
      <c r="AM23" t="s">
        <v>1018</v>
      </c>
      <c r="AN23" t="s">
        <v>1019</v>
      </c>
      <c r="AO23">
        <v>520</v>
      </c>
      <c r="AP23">
        <v>58240</v>
      </c>
      <c r="AQ23" t="s">
        <v>1020</v>
      </c>
      <c r="AR23" t="s">
        <v>266</v>
      </c>
      <c r="AS23" t="s">
        <v>1021</v>
      </c>
    </row>
    <row r="24" spans="8:45" x14ac:dyDescent="0.35">
      <c r="H24" t="s">
        <v>217</v>
      </c>
      <c r="I24" t="s">
        <v>239</v>
      </c>
      <c r="K24" s="374">
        <v>44807</v>
      </c>
      <c r="L24" t="s">
        <v>450</v>
      </c>
      <c r="M24" t="s">
        <v>451</v>
      </c>
      <c r="N24" t="s">
        <v>2194</v>
      </c>
      <c r="O24" t="s">
        <v>475</v>
      </c>
      <c r="P24" t="s">
        <v>479</v>
      </c>
      <c r="Q24" t="s">
        <v>284</v>
      </c>
      <c r="R24">
        <v>774181.6</v>
      </c>
      <c r="S24">
        <v>787185.2</v>
      </c>
      <c r="T24" t="s">
        <v>683</v>
      </c>
      <c r="U24" t="s">
        <v>684</v>
      </c>
      <c r="V24">
        <v>0.01</v>
      </c>
      <c r="W24">
        <v>0</v>
      </c>
      <c r="X24" t="s">
        <v>266</v>
      </c>
      <c r="Y24" t="s">
        <v>266</v>
      </c>
      <c r="Z24" s="354" t="str">
        <v>BLUEOCEAN ECOTECH LIMITED</v>
      </c>
      <c r="AA24" s="354">
        <f t="shared" si="0"/>
        <v>0</v>
      </c>
      <c r="AB24" s="354"/>
      <c r="AC24" s="354"/>
      <c r="AH24" t="s">
        <v>1017</v>
      </c>
      <c r="AI24" t="s">
        <v>450</v>
      </c>
      <c r="AJ24" t="s">
        <v>968</v>
      </c>
      <c r="AK24" t="s">
        <v>2305</v>
      </c>
      <c r="AL24" t="s">
        <v>1017</v>
      </c>
      <c r="AM24" t="s">
        <v>1022</v>
      </c>
      <c r="AN24" t="s">
        <v>1019</v>
      </c>
      <c r="AO24">
        <v>520</v>
      </c>
      <c r="AP24">
        <v>58240</v>
      </c>
      <c r="AQ24" t="s">
        <v>1020</v>
      </c>
      <c r="AR24" t="s">
        <v>266</v>
      </c>
      <c r="AS24" t="s">
        <v>1021</v>
      </c>
    </row>
    <row r="25" spans="8:45" x14ac:dyDescent="0.35">
      <c r="H25" t="s">
        <v>225</v>
      </c>
      <c r="I25" t="s">
        <v>203</v>
      </c>
      <c r="K25" s="374">
        <v>44808</v>
      </c>
      <c r="L25" t="s">
        <v>450</v>
      </c>
      <c r="M25" t="s">
        <v>451</v>
      </c>
      <c r="N25" t="s">
        <v>2152</v>
      </c>
      <c r="O25" t="s">
        <v>480</v>
      </c>
      <c r="P25" t="s">
        <v>481</v>
      </c>
      <c r="Q25" t="s">
        <v>284</v>
      </c>
      <c r="R25">
        <v>501193.39</v>
      </c>
      <c r="S25">
        <v>507243.25</v>
      </c>
      <c r="T25" t="s">
        <v>683</v>
      </c>
      <c r="U25" t="s">
        <v>684</v>
      </c>
      <c r="V25">
        <v>0.01</v>
      </c>
      <c r="W25">
        <v>0</v>
      </c>
      <c r="X25" t="s">
        <v>266</v>
      </c>
      <c r="Y25" t="s">
        <v>266</v>
      </c>
      <c r="Z25" s="354" t="str">
        <v>AVI GLOBAL PLAST PRIVATE LIMITED</v>
      </c>
      <c r="AA25" s="354">
        <f t="shared" si="0"/>
        <v>0</v>
      </c>
      <c r="AB25" s="354"/>
      <c r="AC25" s="354"/>
      <c r="AH25" t="s">
        <v>1017</v>
      </c>
      <c r="AI25" t="s">
        <v>450</v>
      </c>
      <c r="AJ25" t="s">
        <v>968</v>
      </c>
      <c r="AK25" t="s">
        <v>2177</v>
      </c>
      <c r="AL25" t="s">
        <v>1023</v>
      </c>
      <c r="AM25" t="s">
        <v>901</v>
      </c>
      <c r="AN25" t="s">
        <v>985</v>
      </c>
      <c r="AO25">
        <v>124328.49</v>
      </c>
      <c r="AP25">
        <v>822778.6</v>
      </c>
      <c r="AQ25" t="s">
        <v>986</v>
      </c>
      <c r="AR25" t="s">
        <v>266</v>
      </c>
      <c r="AS25" t="s">
        <v>978</v>
      </c>
    </row>
    <row r="26" spans="8:45" x14ac:dyDescent="0.35">
      <c r="H26" t="s">
        <v>217</v>
      </c>
      <c r="I26" t="s">
        <v>240</v>
      </c>
      <c r="K26" s="374">
        <v>44808</v>
      </c>
      <c r="L26" t="s">
        <v>450</v>
      </c>
      <c r="M26" t="s">
        <v>451</v>
      </c>
      <c r="N26" t="s">
        <v>2152</v>
      </c>
      <c r="O26" t="s">
        <v>480</v>
      </c>
      <c r="P26" t="s">
        <v>482</v>
      </c>
      <c r="Q26" t="s">
        <v>284</v>
      </c>
      <c r="R26">
        <v>841957.92</v>
      </c>
      <c r="S26">
        <v>861741.8</v>
      </c>
      <c r="T26" t="s">
        <v>683</v>
      </c>
      <c r="U26" t="s">
        <v>684</v>
      </c>
      <c r="V26">
        <v>0.01</v>
      </c>
      <c r="W26">
        <v>0</v>
      </c>
      <c r="X26" t="s">
        <v>266</v>
      </c>
      <c r="Y26" t="s">
        <v>266</v>
      </c>
      <c r="Z26" s="354" t="str">
        <v>JAINARAIN FABTECH LIMITED</v>
      </c>
      <c r="AA26" s="354">
        <f t="shared" si="0"/>
        <v>0</v>
      </c>
      <c r="AB26" s="354"/>
      <c r="AC26" s="354"/>
      <c r="AH26" t="s">
        <v>1932</v>
      </c>
      <c r="AI26" t="s">
        <v>450</v>
      </c>
      <c r="AJ26" t="s">
        <v>968</v>
      </c>
      <c r="AK26" t="s">
        <v>2179</v>
      </c>
      <c r="AL26" t="s">
        <v>1024</v>
      </c>
      <c r="AM26" t="s">
        <v>343</v>
      </c>
      <c r="AN26" t="s">
        <v>985</v>
      </c>
      <c r="AO26">
        <v>126916.57</v>
      </c>
      <c r="AP26">
        <v>837353.8</v>
      </c>
      <c r="AQ26" t="s">
        <v>986</v>
      </c>
      <c r="AR26" t="s">
        <v>266</v>
      </c>
      <c r="AS26" t="s">
        <v>978</v>
      </c>
    </row>
    <row r="27" spans="8:45" x14ac:dyDescent="0.35">
      <c r="H27" t="s">
        <v>234</v>
      </c>
      <c r="I27" t="s">
        <v>241</v>
      </c>
      <c r="K27" s="374">
        <v>44808</v>
      </c>
      <c r="L27" t="s">
        <v>450</v>
      </c>
      <c r="M27" t="s">
        <v>451</v>
      </c>
      <c r="N27" t="s">
        <v>2152</v>
      </c>
      <c r="O27" t="s">
        <v>480</v>
      </c>
      <c r="P27" t="s">
        <v>483</v>
      </c>
      <c r="Q27" t="s">
        <v>284</v>
      </c>
      <c r="R27">
        <v>430261.8</v>
      </c>
      <c r="S27">
        <v>435383</v>
      </c>
      <c r="T27" t="s">
        <v>683</v>
      </c>
      <c r="U27" t="s">
        <v>684</v>
      </c>
      <c r="V27">
        <v>0.01</v>
      </c>
      <c r="W27">
        <v>0</v>
      </c>
      <c r="X27" t="s">
        <v>266</v>
      </c>
      <c r="Y27" t="s">
        <v>266</v>
      </c>
      <c r="Z27" s="354" t="str">
        <v>AMAANI POLYFLAKES</v>
      </c>
      <c r="AA27" s="354">
        <f t="shared" si="0"/>
        <v>0</v>
      </c>
      <c r="AB27" s="354"/>
      <c r="AC27" s="354"/>
      <c r="AH27" t="s">
        <v>1933</v>
      </c>
      <c r="AI27" t="s">
        <v>450</v>
      </c>
      <c r="AJ27" t="s">
        <v>968</v>
      </c>
      <c r="AK27" t="s">
        <v>2178</v>
      </c>
      <c r="AL27" t="s">
        <v>1025</v>
      </c>
      <c r="AM27" t="s">
        <v>1026</v>
      </c>
      <c r="AN27" t="s">
        <v>1027</v>
      </c>
      <c r="AO27">
        <v>45.8</v>
      </c>
      <c r="AP27">
        <v>237014.8</v>
      </c>
      <c r="AQ27" t="s">
        <v>1028</v>
      </c>
      <c r="AR27" t="s">
        <v>266</v>
      </c>
      <c r="AS27" t="s">
        <v>978</v>
      </c>
    </row>
    <row r="28" spans="8:45" x14ac:dyDescent="0.35">
      <c r="H28" t="s">
        <v>217</v>
      </c>
      <c r="I28" t="s">
        <v>211</v>
      </c>
      <c r="K28" s="374">
        <v>44808</v>
      </c>
      <c r="L28" t="s">
        <v>450</v>
      </c>
      <c r="M28" t="s">
        <v>451</v>
      </c>
      <c r="N28" t="s">
        <v>2152</v>
      </c>
      <c r="O28" t="s">
        <v>480</v>
      </c>
      <c r="P28" t="s">
        <v>484</v>
      </c>
      <c r="Q28" t="s">
        <v>284</v>
      </c>
      <c r="R28">
        <v>739013.3</v>
      </c>
      <c r="S28">
        <v>764920.2</v>
      </c>
      <c r="T28" t="s">
        <v>683</v>
      </c>
      <c r="U28" t="s">
        <v>684</v>
      </c>
      <c r="V28">
        <v>0.01</v>
      </c>
      <c r="W28">
        <v>0</v>
      </c>
      <c r="X28" t="s">
        <v>266</v>
      </c>
      <c r="Y28" t="s">
        <v>266</v>
      </c>
      <c r="Z28" s="354" t="str">
        <v>SHRI MAN NARAYAN POLYTAX PVT LTD</v>
      </c>
      <c r="AA28" s="354">
        <f t="shared" si="0"/>
        <v>0</v>
      </c>
      <c r="AB28" s="354"/>
      <c r="AC28" s="354"/>
      <c r="AH28" t="s">
        <v>1024</v>
      </c>
      <c r="AI28" t="s">
        <v>450</v>
      </c>
      <c r="AJ28" t="s">
        <v>968</v>
      </c>
      <c r="AK28" t="s">
        <v>2129</v>
      </c>
      <c r="AL28" t="s">
        <v>1029</v>
      </c>
      <c r="AM28" t="s">
        <v>347</v>
      </c>
      <c r="AN28" t="s">
        <v>985</v>
      </c>
      <c r="AO28">
        <v>137856.6</v>
      </c>
      <c r="AP28">
        <v>902960.6</v>
      </c>
      <c r="AQ28" t="s">
        <v>986</v>
      </c>
      <c r="AR28" t="s">
        <v>266</v>
      </c>
      <c r="AS28" t="s">
        <v>978</v>
      </c>
    </row>
    <row r="29" spans="8:45" x14ac:dyDescent="0.35">
      <c r="H29" t="s">
        <v>217</v>
      </c>
      <c r="I29" t="s">
        <v>242</v>
      </c>
      <c r="K29" s="374">
        <v>44809</v>
      </c>
      <c r="L29" t="s">
        <v>450</v>
      </c>
      <c r="M29" t="s">
        <v>451</v>
      </c>
      <c r="N29" t="s">
        <v>2239</v>
      </c>
      <c r="O29" t="s">
        <v>485</v>
      </c>
      <c r="P29" t="s">
        <v>486</v>
      </c>
      <c r="Q29" t="s">
        <v>284</v>
      </c>
      <c r="R29">
        <v>795067.76</v>
      </c>
      <c r="S29">
        <v>832238.35</v>
      </c>
      <c r="T29" t="s">
        <v>683</v>
      </c>
      <c r="U29" t="s">
        <v>684</v>
      </c>
      <c r="V29">
        <v>0.01</v>
      </c>
      <c r="W29">
        <v>0</v>
      </c>
      <c r="X29" t="s">
        <v>266</v>
      </c>
      <c r="Y29" t="s">
        <v>266</v>
      </c>
      <c r="Z29" s="354" t="str">
        <v>KUNDANA TECHNO TEX PRIVATE LIMITED</v>
      </c>
      <c r="AA29" s="354">
        <f t="shared" si="0"/>
        <v>697117.64</v>
      </c>
      <c r="AB29" s="354"/>
      <c r="AC29" s="354"/>
      <c r="AH29" t="s">
        <v>1030</v>
      </c>
      <c r="AI29" t="s">
        <v>450</v>
      </c>
      <c r="AJ29" t="s">
        <v>968</v>
      </c>
      <c r="AK29" t="s">
        <v>2306</v>
      </c>
      <c r="AL29" t="s">
        <v>1030</v>
      </c>
      <c r="AM29" t="s">
        <v>1031</v>
      </c>
      <c r="AN29" t="s">
        <v>1032</v>
      </c>
      <c r="AO29">
        <v>231</v>
      </c>
      <c r="AP29">
        <v>107000</v>
      </c>
      <c r="AQ29" t="s">
        <v>1033</v>
      </c>
      <c r="AR29" t="s">
        <v>266</v>
      </c>
      <c r="AS29" t="s">
        <v>978</v>
      </c>
    </row>
    <row r="30" spans="8:45" x14ac:dyDescent="0.35">
      <c r="H30" t="s">
        <v>223</v>
      </c>
      <c r="I30" t="s">
        <v>243</v>
      </c>
      <c r="K30" s="374">
        <v>44810</v>
      </c>
      <c r="L30" t="s">
        <v>450</v>
      </c>
      <c r="M30" t="s">
        <v>451</v>
      </c>
      <c r="N30" t="s">
        <v>2111</v>
      </c>
      <c r="O30" t="s">
        <v>487</v>
      </c>
      <c r="P30" t="s">
        <v>488</v>
      </c>
      <c r="Q30" t="s">
        <v>284</v>
      </c>
      <c r="R30">
        <v>505840.48</v>
      </c>
      <c r="S30">
        <v>511887.98</v>
      </c>
      <c r="T30" t="s">
        <v>683</v>
      </c>
      <c r="U30" t="s">
        <v>684</v>
      </c>
      <c r="V30">
        <v>0.01</v>
      </c>
      <c r="W30">
        <v>0</v>
      </c>
      <c r="X30" t="s">
        <v>266</v>
      </c>
      <c r="Y30" t="s">
        <v>266</v>
      </c>
      <c r="Z30" s="354" t="str">
        <v>Apex International</v>
      </c>
      <c r="AA30" s="354">
        <f t="shared" si="0"/>
        <v>0</v>
      </c>
      <c r="AB30" s="354"/>
      <c r="AC30" s="354"/>
      <c r="AH30" t="s">
        <v>1030</v>
      </c>
      <c r="AI30" t="s">
        <v>450</v>
      </c>
      <c r="AJ30" t="s">
        <v>968</v>
      </c>
      <c r="AK30" t="s">
        <v>2131</v>
      </c>
      <c r="AL30" t="s">
        <v>1034</v>
      </c>
      <c r="AM30" t="s">
        <v>352</v>
      </c>
      <c r="AN30" t="s">
        <v>985</v>
      </c>
      <c r="AO30">
        <v>135751.5</v>
      </c>
      <c r="AP30">
        <v>889172.5</v>
      </c>
      <c r="AQ30" t="s">
        <v>986</v>
      </c>
      <c r="AR30" t="s">
        <v>266</v>
      </c>
      <c r="AS30" t="s">
        <v>978</v>
      </c>
    </row>
    <row r="31" spans="8:45" x14ac:dyDescent="0.35">
      <c r="H31" t="s">
        <v>221</v>
      </c>
      <c r="I31" t="s">
        <v>244</v>
      </c>
      <c r="K31" s="374">
        <v>44812</v>
      </c>
      <c r="L31" t="s">
        <v>450</v>
      </c>
      <c r="M31" t="s">
        <v>451</v>
      </c>
      <c r="N31" t="s">
        <v>2153</v>
      </c>
      <c r="O31" t="s">
        <v>489</v>
      </c>
      <c r="P31" t="s">
        <v>490</v>
      </c>
      <c r="Q31" t="s">
        <v>284</v>
      </c>
      <c r="R31">
        <v>418621.54</v>
      </c>
      <c r="S31">
        <v>426804.84</v>
      </c>
      <c r="T31" t="s">
        <v>683</v>
      </c>
      <c r="U31" t="s">
        <v>684</v>
      </c>
      <c r="V31">
        <v>0.01</v>
      </c>
      <c r="W31">
        <v>0</v>
      </c>
      <c r="X31" t="s">
        <v>266</v>
      </c>
      <c r="Y31" t="s">
        <v>266</v>
      </c>
      <c r="Z31" s="354" t="str">
        <v>AIRSON POLY INDUSTRIES</v>
      </c>
      <c r="AA31" s="354">
        <f t="shared" si="0"/>
        <v>0</v>
      </c>
      <c r="AB31" s="354"/>
      <c r="AC31" s="354"/>
      <c r="AH31" t="s">
        <v>1030</v>
      </c>
      <c r="AI31" t="s">
        <v>450</v>
      </c>
      <c r="AJ31" t="s">
        <v>968</v>
      </c>
      <c r="AK31" t="s">
        <v>2306</v>
      </c>
      <c r="AL31" t="s">
        <v>1030</v>
      </c>
      <c r="AM31" t="s">
        <v>1035</v>
      </c>
      <c r="AN31" t="s">
        <v>1009</v>
      </c>
      <c r="AO31">
        <v>65615.179999999993</v>
      </c>
      <c r="AP31">
        <v>430143.93</v>
      </c>
      <c r="AQ31" t="s">
        <v>1010</v>
      </c>
      <c r="AR31" t="s">
        <v>266</v>
      </c>
      <c r="AS31" t="s">
        <v>978</v>
      </c>
    </row>
    <row r="32" spans="8:45" x14ac:dyDescent="0.35">
      <c r="H32" t="s">
        <v>221</v>
      </c>
      <c r="I32" t="s">
        <v>245</v>
      </c>
      <c r="K32" s="374">
        <v>44812</v>
      </c>
      <c r="L32" t="s">
        <v>450</v>
      </c>
      <c r="M32" t="s">
        <v>451</v>
      </c>
      <c r="N32" t="s">
        <v>2153</v>
      </c>
      <c r="O32" t="s">
        <v>489</v>
      </c>
      <c r="P32" t="s">
        <v>491</v>
      </c>
      <c r="Q32" t="s">
        <v>284</v>
      </c>
      <c r="R32">
        <v>533221.69999999995</v>
      </c>
      <c r="S32">
        <v>552733</v>
      </c>
      <c r="T32" t="s">
        <v>683</v>
      </c>
      <c r="U32" t="s">
        <v>684</v>
      </c>
      <c r="V32">
        <v>0.01</v>
      </c>
      <c r="W32">
        <v>0</v>
      </c>
      <c r="X32" t="s">
        <v>266</v>
      </c>
      <c r="Y32" t="s">
        <v>266</v>
      </c>
      <c r="Z32" s="354" t="str">
        <v>TRIVENI POLY PLAST</v>
      </c>
      <c r="AA32" s="354">
        <f t="shared" si="0"/>
        <v>0</v>
      </c>
      <c r="AB32" s="354"/>
      <c r="AC32" s="354"/>
      <c r="AH32" t="s">
        <v>1036</v>
      </c>
      <c r="AI32" t="s">
        <v>450</v>
      </c>
      <c r="AJ32" t="s">
        <v>968</v>
      </c>
      <c r="AK32" t="s">
        <v>2307</v>
      </c>
      <c r="AL32" t="s">
        <v>1036</v>
      </c>
      <c r="AM32" t="s">
        <v>1037</v>
      </c>
      <c r="AN32" t="s">
        <v>1019</v>
      </c>
      <c r="AO32">
        <v>520</v>
      </c>
      <c r="AP32">
        <v>58240</v>
      </c>
      <c r="AQ32" t="s">
        <v>1020</v>
      </c>
      <c r="AR32" t="s">
        <v>266</v>
      </c>
      <c r="AS32" t="s">
        <v>1021</v>
      </c>
    </row>
    <row r="33" spans="8:45" x14ac:dyDescent="0.35">
      <c r="H33" t="s">
        <v>223</v>
      </c>
      <c r="I33" t="s">
        <v>246</v>
      </c>
      <c r="K33" s="374">
        <v>44812</v>
      </c>
      <c r="L33" t="s">
        <v>450</v>
      </c>
      <c r="M33" t="s">
        <v>451</v>
      </c>
      <c r="N33" t="s">
        <v>2153</v>
      </c>
      <c r="O33" t="s">
        <v>489</v>
      </c>
      <c r="P33" t="s">
        <v>492</v>
      </c>
      <c r="Q33" t="s">
        <v>284</v>
      </c>
      <c r="R33">
        <v>977344.7</v>
      </c>
      <c r="S33">
        <v>996443</v>
      </c>
      <c r="T33" t="s">
        <v>683</v>
      </c>
      <c r="U33" t="s">
        <v>684</v>
      </c>
      <c r="V33">
        <v>0.01</v>
      </c>
      <c r="W33">
        <v>0</v>
      </c>
      <c r="X33" t="s">
        <v>266</v>
      </c>
      <c r="Y33" t="s">
        <v>266</v>
      </c>
      <c r="Z33" s="354" t="str">
        <v>MAHALAKSHMI SPINTEX PRIVATE LIMITED</v>
      </c>
      <c r="AA33" s="354">
        <f t="shared" si="0"/>
        <v>0</v>
      </c>
      <c r="AB33" s="354"/>
      <c r="AC33" s="354"/>
      <c r="AH33" t="s">
        <v>1036</v>
      </c>
      <c r="AI33" t="s">
        <v>450</v>
      </c>
      <c r="AJ33" t="s">
        <v>968</v>
      </c>
      <c r="AK33" t="s">
        <v>2308</v>
      </c>
      <c r="AL33" t="s">
        <v>1038</v>
      </c>
      <c r="AM33" t="s">
        <v>920</v>
      </c>
      <c r="AN33" t="s">
        <v>985</v>
      </c>
      <c r="AO33">
        <v>119233.96</v>
      </c>
      <c r="AP33">
        <v>818885.8</v>
      </c>
      <c r="AQ33" t="s">
        <v>986</v>
      </c>
      <c r="AR33" t="s">
        <v>266</v>
      </c>
      <c r="AS33" t="s">
        <v>978</v>
      </c>
    </row>
    <row r="34" spans="8:45" x14ac:dyDescent="0.35">
      <c r="H34" t="s">
        <v>234</v>
      </c>
      <c r="I34" t="s">
        <v>247</v>
      </c>
      <c r="K34" s="374">
        <v>44812</v>
      </c>
      <c r="L34" t="s">
        <v>450</v>
      </c>
      <c r="M34" t="s">
        <v>451</v>
      </c>
      <c r="N34" t="s">
        <v>2153</v>
      </c>
      <c r="O34" t="s">
        <v>489</v>
      </c>
      <c r="P34" t="s">
        <v>493</v>
      </c>
      <c r="Q34" t="s">
        <v>284</v>
      </c>
      <c r="R34">
        <v>547864.52</v>
      </c>
      <c r="S34">
        <v>564934.40000000002</v>
      </c>
      <c r="T34" t="s">
        <v>683</v>
      </c>
      <c r="U34" t="s">
        <v>684</v>
      </c>
      <c r="V34">
        <v>0.01</v>
      </c>
      <c r="W34">
        <v>0</v>
      </c>
      <c r="X34" t="s">
        <v>266</v>
      </c>
      <c r="Y34" t="s">
        <v>266</v>
      </c>
      <c r="Z34" s="354" t="str">
        <v>SHREE RENGA POLYESTER PRIVATE LIMITED</v>
      </c>
      <c r="AA34" s="354">
        <f t="shared" si="0"/>
        <v>0</v>
      </c>
      <c r="AB34" s="354"/>
      <c r="AC34" s="354"/>
      <c r="AH34" t="s">
        <v>1039</v>
      </c>
      <c r="AI34" t="s">
        <v>450</v>
      </c>
      <c r="AJ34" t="s">
        <v>968</v>
      </c>
      <c r="AK34" t="s">
        <v>2130</v>
      </c>
      <c r="AL34" t="s">
        <v>1039</v>
      </c>
      <c r="AM34" t="s">
        <v>1040</v>
      </c>
      <c r="AN34" t="s">
        <v>1041</v>
      </c>
      <c r="AO34">
        <v>2200</v>
      </c>
      <c r="AP34">
        <v>110000</v>
      </c>
      <c r="AQ34" t="s">
        <v>1042</v>
      </c>
      <c r="AR34" t="s">
        <v>266</v>
      </c>
      <c r="AS34" t="s">
        <v>978</v>
      </c>
    </row>
    <row r="35" spans="8:45" x14ac:dyDescent="0.35">
      <c r="H35" t="s">
        <v>234</v>
      </c>
      <c r="I35" t="s">
        <v>248</v>
      </c>
      <c r="K35" s="374">
        <v>44814</v>
      </c>
      <c r="L35" t="s">
        <v>450</v>
      </c>
      <c r="M35" t="s">
        <v>451</v>
      </c>
      <c r="N35" t="s">
        <v>2138</v>
      </c>
      <c r="O35" t="s">
        <v>494</v>
      </c>
      <c r="P35" t="s">
        <v>495</v>
      </c>
      <c r="Q35" t="s">
        <v>284</v>
      </c>
      <c r="R35">
        <v>923152.1</v>
      </c>
      <c r="S35">
        <v>929488.7</v>
      </c>
      <c r="T35" t="s">
        <v>683</v>
      </c>
      <c r="U35" t="s">
        <v>684</v>
      </c>
      <c r="V35">
        <v>0.01</v>
      </c>
      <c r="W35">
        <v>0</v>
      </c>
      <c r="X35" t="s">
        <v>266</v>
      </c>
      <c r="Y35" t="s">
        <v>266</v>
      </c>
      <c r="Z35" s="354" t="str">
        <v>Silver Ecotex LLP</v>
      </c>
      <c r="AA35" s="354">
        <f t="shared" si="0"/>
        <v>0</v>
      </c>
      <c r="AB35" s="354"/>
      <c r="AC35" s="354"/>
      <c r="AH35" t="s">
        <v>1038</v>
      </c>
      <c r="AI35" t="s">
        <v>450</v>
      </c>
      <c r="AJ35" t="s">
        <v>968</v>
      </c>
      <c r="AK35" t="s">
        <v>2308</v>
      </c>
      <c r="AL35" t="s">
        <v>1038</v>
      </c>
      <c r="AM35" t="s">
        <v>1043</v>
      </c>
      <c r="AN35" t="s">
        <v>1044</v>
      </c>
      <c r="AO35">
        <v>118238.39999999999</v>
      </c>
      <c r="AP35">
        <v>775118.4</v>
      </c>
      <c r="AQ35" t="s">
        <v>1045</v>
      </c>
      <c r="AR35" t="s">
        <v>266</v>
      </c>
      <c r="AS35" t="s">
        <v>978</v>
      </c>
    </row>
    <row r="36" spans="8:45" x14ac:dyDescent="0.35">
      <c r="H36" t="s">
        <v>221</v>
      </c>
      <c r="I36" t="s">
        <v>249</v>
      </c>
      <c r="K36" s="374">
        <v>44814</v>
      </c>
      <c r="L36" t="s">
        <v>450</v>
      </c>
      <c r="M36" t="s">
        <v>451</v>
      </c>
      <c r="N36" t="s">
        <v>2138</v>
      </c>
      <c r="O36" t="s">
        <v>494</v>
      </c>
      <c r="P36" t="s">
        <v>496</v>
      </c>
      <c r="Q36" t="s">
        <v>284</v>
      </c>
      <c r="R36">
        <v>493203.4</v>
      </c>
      <c r="S36">
        <v>518449.5</v>
      </c>
      <c r="T36" t="s">
        <v>683</v>
      </c>
      <c r="U36" t="s">
        <v>684</v>
      </c>
      <c r="V36">
        <v>0.01</v>
      </c>
      <c r="W36">
        <v>0</v>
      </c>
      <c r="X36" t="s">
        <v>266</v>
      </c>
      <c r="Y36" t="s">
        <v>266</v>
      </c>
      <c r="Z36" s="354" t="str">
        <v>ALLIANCE FIBRES PRIVATE LIMITED</v>
      </c>
      <c r="AA36" s="354">
        <f t="shared" si="0"/>
        <v>28702.49</v>
      </c>
      <c r="AB36" s="354"/>
      <c r="AC36" s="354"/>
      <c r="AH36" t="s">
        <v>1038</v>
      </c>
      <c r="AI36" t="s">
        <v>450</v>
      </c>
      <c r="AJ36" t="s">
        <v>968</v>
      </c>
      <c r="AK36" t="s">
        <v>2108</v>
      </c>
      <c r="AL36" t="s">
        <v>1046</v>
      </c>
      <c r="AM36" t="s">
        <v>364</v>
      </c>
      <c r="AN36" t="s">
        <v>985</v>
      </c>
      <c r="AO36">
        <v>131911.51999999999</v>
      </c>
      <c r="AP36">
        <v>869818.8</v>
      </c>
      <c r="AQ36" t="s">
        <v>986</v>
      </c>
      <c r="AR36" t="s">
        <v>266</v>
      </c>
      <c r="AS36" t="s">
        <v>978</v>
      </c>
    </row>
    <row r="37" spans="8:45" x14ac:dyDescent="0.35">
      <c r="H37" t="s">
        <v>223</v>
      </c>
      <c r="I37" t="s">
        <v>201</v>
      </c>
      <c r="K37" s="374">
        <v>44814</v>
      </c>
      <c r="L37" t="s">
        <v>450</v>
      </c>
      <c r="M37" t="s">
        <v>451</v>
      </c>
      <c r="N37" t="s">
        <v>2138</v>
      </c>
      <c r="O37" t="s">
        <v>494</v>
      </c>
      <c r="P37" t="s">
        <v>497</v>
      </c>
      <c r="Q37" t="s">
        <v>284</v>
      </c>
      <c r="R37">
        <v>332821.83</v>
      </c>
      <c r="S37">
        <v>334950.55</v>
      </c>
      <c r="T37" t="s">
        <v>683</v>
      </c>
      <c r="U37" t="s">
        <v>684</v>
      </c>
      <c r="V37">
        <v>0.01</v>
      </c>
      <c r="W37">
        <v>0</v>
      </c>
      <c r="X37" t="s">
        <v>266</v>
      </c>
      <c r="Y37" t="s">
        <v>266</v>
      </c>
      <c r="Z37" s="354">
        <v>0</v>
      </c>
      <c r="AA37" s="354"/>
      <c r="AB37" s="354"/>
      <c r="AC37" s="354"/>
      <c r="AH37" t="s">
        <v>1038</v>
      </c>
      <c r="AI37" t="s">
        <v>450</v>
      </c>
      <c r="AJ37" t="s">
        <v>968</v>
      </c>
      <c r="AK37" t="s">
        <v>2308</v>
      </c>
      <c r="AL37" t="s">
        <v>1038</v>
      </c>
      <c r="AM37" t="s">
        <v>1047</v>
      </c>
      <c r="AN37" t="s">
        <v>1032</v>
      </c>
      <c r="AO37">
        <v>1020</v>
      </c>
      <c r="AP37">
        <v>51000</v>
      </c>
      <c r="AQ37" t="s">
        <v>1033</v>
      </c>
      <c r="AR37" t="s">
        <v>266</v>
      </c>
      <c r="AS37" t="s">
        <v>978</v>
      </c>
    </row>
    <row r="38" spans="8:45" x14ac:dyDescent="0.35">
      <c r="H38" t="s">
        <v>221</v>
      </c>
      <c r="I38" t="s">
        <v>213</v>
      </c>
      <c r="K38" s="374">
        <v>44815</v>
      </c>
      <c r="L38" t="s">
        <v>450</v>
      </c>
      <c r="M38" t="s">
        <v>451</v>
      </c>
      <c r="N38" t="s">
        <v>2120</v>
      </c>
      <c r="O38" t="s">
        <v>498</v>
      </c>
      <c r="P38" t="s">
        <v>499</v>
      </c>
      <c r="Q38" t="s">
        <v>284</v>
      </c>
      <c r="R38">
        <v>425607.8</v>
      </c>
      <c r="S38">
        <v>442806.3</v>
      </c>
      <c r="T38" t="s">
        <v>683</v>
      </c>
      <c r="U38" t="s">
        <v>684</v>
      </c>
      <c r="V38">
        <v>0.01</v>
      </c>
      <c r="W38">
        <v>0</v>
      </c>
      <c r="X38" t="s">
        <v>266</v>
      </c>
      <c r="Y38" t="s">
        <v>266</v>
      </c>
      <c r="Z38" s="354"/>
      <c r="AA38" s="354"/>
      <c r="AB38" s="354"/>
      <c r="AC38" s="354"/>
      <c r="AH38" t="s">
        <v>1038</v>
      </c>
      <c r="AI38" t="s">
        <v>450</v>
      </c>
      <c r="AJ38" t="s">
        <v>968</v>
      </c>
      <c r="AK38" t="s">
        <v>2308</v>
      </c>
      <c r="AL38" t="s">
        <v>1038</v>
      </c>
      <c r="AM38" t="s">
        <v>1048</v>
      </c>
      <c r="AN38" t="s">
        <v>999</v>
      </c>
      <c r="AO38">
        <v>1400</v>
      </c>
      <c r="AP38">
        <v>140000</v>
      </c>
      <c r="AQ38" t="s">
        <v>1000</v>
      </c>
      <c r="AR38" t="s">
        <v>266</v>
      </c>
      <c r="AS38" t="s">
        <v>978</v>
      </c>
    </row>
    <row r="39" spans="8:45" x14ac:dyDescent="0.35">
      <c r="H39" t="s">
        <v>234</v>
      </c>
      <c r="I39" t="s">
        <v>250</v>
      </c>
      <c r="K39" s="374">
        <v>44815</v>
      </c>
      <c r="L39" t="s">
        <v>450</v>
      </c>
      <c r="M39" t="s">
        <v>451</v>
      </c>
      <c r="N39" t="s">
        <v>2154</v>
      </c>
      <c r="O39" t="s">
        <v>500</v>
      </c>
      <c r="P39" t="s">
        <v>501</v>
      </c>
      <c r="Q39" t="s">
        <v>284</v>
      </c>
      <c r="R39">
        <v>390669.22</v>
      </c>
      <c r="S39">
        <v>409461.9</v>
      </c>
      <c r="T39" t="s">
        <v>683</v>
      </c>
      <c r="U39" t="s">
        <v>684</v>
      </c>
      <c r="V39">
        <v>0.01</v>
      </c>
      <c r="W39">
        <v>0</v>
      </c>
      <c r="X39" t="s">
        <v>266</v>
      </c>
      <c r="Y39" t="s">
        <v>266</v>
      </c>
      <c r="Z39" s="354"/>
      <c r="AA39" s="354"/>
      <c r="AB39" s="354"/>
      <c r="AC39" s="354"/>
      <c r="AH39" t="s">
        <v>1049</v>
      </c>
      <c r="AI39" t="s">
        <v>450</v>
      </c>
      <c r="AJ39" t="s">
        <v>968</v>
      </c>
      <c r="AK39" t="s">
        <v>2309</v>
      </c>
      <c r="AL39" t="s">
        <v>1049</v>
      </c>
      <c r="AM39" t="s">
        <v>1050</v>
      </c>
      <c r="AN39" t="s">
        <v>1044</v>
      </c>
      <c r="AO39">
        <v>138358.79999999999</v>
      </c>
      <c r="AP39">
        <v>907018.8</v>
      </c>
      <c r="AQ39" t="s">
        <v>1045</v>
      </c>
      <c r="AR39" t="s">
        <v>266</v>
      </c>
      <c r="AS39" t="s">
        <v>978</v>
      </c>
    </row>
    <row r="40" spans="8:45" x14ac:dyDescent="0.35">
      <c r="H40" t="s">
        <v>223</v>
      </c>
      <c r="I40" t="s">
        <v>251</v>
      </c>
      <c r="K40" s="374">
        <v>44815</v>
      </c>
      <c r="L40" t="s">
        <v>450</v>
      </c>
      <c r="M40" t="s">
        <v>451</v>
      </c>
      <c r="N40" t="s">
        <v>2120</v>
      </c>
      <c r="O40" t="s">
        <v>498</v>
      </c>
      <c r="P40" t="s">
        <v>502</v>
      </c>
      <c r="Q40" t="s">
        <v>284</v>
      </c>
      <c r="R40">
        <v>317917.90999999997</v>
      </c>
      <c r="S40">
        <v>324360.84999999998</v>
      </c>
      <c r="T40" t="s">
        <v>683</v>
      </c>
      <c r="U40" t="s">
        <v>684</v>
      </c>
      <c r="V40">
        <v>0.01</v>
      </c>
      <c r="W40">
        <v>0</v>
      </c>
      <c r="X40" t="s">
        <v>266</v>
      </c>
      <c r="Y40" t="s">
        <v>266</v>
      </c>
      <c r="Z40" s="354"/>
      <c r="AA40" s="354"/>
      <c r="AB40" s="354"/>
      <c r="AC40" s="354"/>
      <c r="AH40" t="s">
        <v>1051</v>
      </c>
      <c r="AI40" t="s">
        <v>450</v>
      </c>
      <c r="AJ40" t="s">
        <v>968</v>
      </c>
      <c r="AK40" t="s">
        <v>2180</v>
      </c>
      <c r="AL40" t="s">
        <v>1051</v>
      </c>
      <c r="AM40" t="s">
        <v>1052</v>
      </c>
      <c r="AN40" t="s">
        <v>1019</v>
      </c>
      <c r="AO40">
        <v>1064</v>
      </c>
      <c r="AP40">
        <v>106400</v>
      </c>
      <c r="AQ40" t="s">
        <v>1020</v>
      </c>
      <c r="AR40" t="s">
        <v>266</v>
      </c>
      <c r="AS40" t="s">
        <v>1021</v>
      </c>
    </row>
    <row r="41" spans="8:45" x14ac:dyDescent="0.35">
      <c r="H41" t="s">
        <v>234</v>
      </c>
      <c r="I41" t="s">
        <v>252</v>
      </c>
      <c r="K41" s="374">
        <v>44830</v>
      </c>
      <c r="L41" t="s">
        <v>450</v>
      </c>
      <c r="M41" t="s">
        <v>451</v>
      </c>
      <c r="N41" t="s">
        <v>2085</v>
      </c>
      <c r="O41" t="s">
        <v>503</v>
      </c>
      <c r="P41" t="s">
        <v>504</v>
      </c>
      <c r="Q41" t="s">
        <v>284</v>
      </c>
      <c r="R41">
        <v>1134943</v>
      </c>
      <c r="S41">
        <v>1141433</v>
      </c>
      <c r="T41" t="s">
        <v>683</v>
      </c>
      <c r="U41" t="s">
        <v>684</v>
      </c>
      <c r="V41">
        <v>0.01</v>
      </c>
      <c r="W41">
        <v>0</v>
      </c>
      <c r="X41" t="s">
        <v>266</v>
      </c>
      <c r="Y41" t="s">
        <v>266</v>
      </c>
      <c r="Z41" s="354"/>
      <c r="AA41" s="354"/>
      <c r="AB41" s="354"/>
      <c r="AC41" s="354"/>
      <c r="AH41" t="s">
        <v>1051</v>
      </c>
      <c r="AI41" t="s">
        <v>450</v>
      </c>
      <c r="AJ41" t="s">
        <v>968</v>
      </c>
      <c r="AK41" t="s">
        <v>2180</v>
      </c>
      <c r="AL41" t="s">
        <v>1051</v>
      </c>
      <c r="AM41" t="s">
        <v>1053</v>
      </c>
      <c r="AN41" t="s">
        <v>1044</v>
      </c>
      <c r="AO41">
        <v>70315.56</v>
      </c>
      <c r="AP41">
        <v>460957.56</v>
      </c>
      <c r="AQ41" t="s">
        <v>1045</v>
      </c>
      <c r="AR41" t="s">
        <v>266</v>
      </c>
      <c r="AS41" t="s">
        <v>978</v>
      </c>
    </row>
    <row r="42" spans="8:45" x14ac:dyDescent="0.35">
      <c r="H42" t="s">
        <v>221</v>
      </c>
      <c r="I42" t="s">
        <v>253</v>
      </c>
      <c r="K42" s="374">
        <v>44862</v>
      </c>
      <c r="L42" t="s">
        <v>450</v>
      </c>
      <c r="M42" t="s">
        <v>451</v>
      </c>
      <c r="N42" t="s">
        <v>2240</v>
      </c>
      <c r="O42" t="s">
        <v>505</v>
      </c>
      <c r="P42" t="s">
        <v>506</v>
      </c>
      <c r="Q42" t="s">
        <v>269</v>
      </c>
      <c r="R42">
        <v>227636.96</v>
      </c>
      <c r="S42">
        <v>502863.4</v>
      </c>
      <c r="T42" t="s">
        <v>682</v>
      </c>
      <c r="U42" t="s">
        <v>686</v>
      </c>
      <c r="V42">
        <v>0.01</v>
      </c>
      <c r="W42">
        <v>0</v>
      </c>
      <c r="X42" t="s">
        <v>266</v>
      </c>
      <c r="Y42" t="s">
        <v>266</v>
      </c>
      <c r="Z42" s="354"/>
      <c r="AA42" s="354"/>
      <c r="AB42" s="354"/>
      <c r="AC42" s="354"/>
      <c r="AH42" t="s">
        <v>1054</v>
      </c>
      <c r="AI42" t="s">
        <v>450</v>
      </c>
      <c r="AJ42" t="s">
        <v>968</v>
      </c>
      <c r="AK42" t="s">
        <v>2095</v>
      </c>
      <c r="AL42" t="s">
        <v>1054</v>
      </c>
      <c r="AM42" t="s">
        <v>1055</v>
      </c>
      <c r="AN42" t="s">
        <v>999</v>
      </c>
      <c r="AO42">
        <v>1200</v>
      </c>
      <c r="AP42">
        <v>120000</v>
      </c>
      <c r="AQ42" t="s">
        <v>1000</v>
      </c>
      <c r="AR42" t="s">
        <v>266</v>
      </c>
      <c r="AS42" t="s">
        <v>978</v>
      </c>
    </row>
    <row r="43" spans="8:45" x14ac:dyDescent="0.35">
      <c r="H43" t="s">
        <v>221</v>
      </c>
      <c r="I43" t="s">
        <v>254</v>
      </c>
      <c r="K43" s="374">
        <v>44862</v>
      </c>
      <c r="L43" t="s">
        <v>450</v>
      </c>
      <c r="M43" t="s">
        <v>451</v>
      </c>
      <c r="N43" t="s">
        <v>2240</v>
      </c>
      <c r="O43" t="s">
        <v>505</v>
      </c>
      <c r="P43" t="s">
        <v>507</v>
      </c>
      <c r="Q43" t="s">
        <v>269</v>
      </c>
      <c r="R43">
        <v>571628.1</v>
      </c>
      <c r="S43">
        <v>573846.5</v>
      </c>
      <c r="T43" t="s">
        <v>682</v>
      </c>
      <c r="U43" t="s">
        <v>686</v>
      </c>
      <c r="V43">
        <v>0.01</v>
      </c>
      <c r="W43">
        <v>0</v>
      </c>
      <c r="X43" t="s">
        <v>266</v>
      </c>
      <c r="Y43" t="s">
        <v>266</v>
      </c>
      <c r="Z43" s="354"/>
      <c r="AA43" s="354"/>
      <c r="AB43" s="354"/>
      <c r="AC43" s="354"/>
      <c r="AH43" t="s">
        <v>1056</v>
      </c>
      <c r="AI43" t="s">
        <v>450</v>
      </c>
      <c r="AJ43" t="s">
        <v>968</v>
      </c>
      <c r="AK43" t="s">
        <v>2082</v>
      </c>
      <c r="AL43" t="s">
        <v>1056</v>
      </c>
      <c r="AM43" t="s">
        <v>1057</v>
      </c>
      <c r="AN43" t="s">
        <v>1044</v>
      </c>
      <c r="AO43">
        <v>78494.399999999994</v>
      </c>
      <c r="AP43">
        <v>514574.4</v>
      </c>
      <c r="AQ43" t="s">
        <v>1045</v>
      </c>
      <c r="AR43" t="s">
        <v>266</v>
      </c>
      <c r="AS43" t="s">
        <v>978</v>
      </c>
    </row>
    <row r="44" spans="8:45" x14ac:dyDescent="0.35">
      <c r="H44" t="s">
        <v>217</v>
      </c>
      <c r="I44" t="s">
        <v>255</v>
      </c>
      <c r="K44" s="374">
        <v>44863</v>
      </c>
      <c r="L44" t="s">
        <v>450</v>
      </c>
      <c r="M44" t="s">
        <v>451</v>
      </c>
      <c r="N44" t="s">
        <v>2196</v>
      </c>
      <c r="O44" t="s">
        <v>508</v>
      </c>
      <c r="P44" t="s">
        <v>509</v>
      </c>
      <c r="Q44" t="s">
        <v>269</v>
      </c>
      <c r="R44">
        <v>445923.6</v>
      </c>
      <c r="S44">
        <v>450702.6</v>
      </c>
      <c r="T44" t="s">
        <v>682</v>
      </c>
      <c r="U44" t="s">
        <v>686</v>
      </c>
      <c r="V44">
        <v>0.01</v>
      </c>
      <c r="W44">
        <v>0</v>
      </c>
      <c r="X44" t="s">
        <v>266</v>
      </c>
      <c r="Y44" t="s">
        <v>266</v>
      </c>
      <c r="Z44" s="354"/>
      <c r="AA44" s="354"/>
      <c r="AB44" s="354"/>
      <c r="AC44" s="354"/>
      <c r="AH44" t="s">
        <v>1058</v>
      </c>
      <c r="AI44" t="s">
        <v>450</v>
      </c>
      <c r="AJ44" t="s">
        <v>968</v>
      </c>
      <c r="AK44" t="s">
        <v>2083</v>
      </c>
      <c r="AL44" t="s">
        <v>1058</v>
      </c>
      <c r="AM44" t="s">
        <v>1059</v>
      </c>
      <c r="AN44" t="s">
        <v>999</v>
      </c>
      <c r="AO44">
        <v>1700</v>
      </c>
      <c r="AP44">
        <v>170000</v>
      </c>
      <c r="AQ44" t="s">
        <v>1000</v>
      </c>
      <c r="AR44" t="s">
        <v>266</v>
      </c>
      <c r="AS44" t="s">
        <v>978</v>
      </c>
    </row>
    <row r="45" spans="8:45" x14ac:dyDescent="0.35">
      <c r="H45" t="s">
        <v>256</v>
      </c>
      <c r="I45" t="s">
        <v>257</v>
      </c>
      <c r="K45" s="374">
        <v>44864</v>
      </c>
      <c r="L45" t="s">
        <v>450</v>
      </c>
      <c r="M45" t="s">
        <v>451</v>
      </c>
      <c r="N45" t="s">
        <v>2241</v>
      </c>
      <c r="O45" t="s">
        <v>510</v>
      </c>
      <c r="P45" t="s">
        <v>511</v>
      </c>
      <c r="Q45" t="s">
        <v>269</v>
      </c>
      <c r="R45">
        <v>526157.1</v>
      </c>
      <c r="S45">
        <v>532063</v>
      </c>
      <c r="T45" t="s">
        <v>682</v>
      </c>
      <c r="U45" t="s">
        <v>686</v>
      </c>
      <c r="V45">
        <v>0.01</v>
      </c>
      <c r="W45">
        <v>0</v>
      </c>
      <c r="X45" t="s">
        <v>266</v>
      </c>
      <c r="Y45" t="s">
        <v>266</v>
      </c>
      <c r="Z45" s="354"/>
      <c r="AA45" s="354"/>
      <c r="AB45" s="354"/>
      <c r="AC45" s="354"/>
      <c r="AH45" t="s">
        <v>1058</v>
      </c>
      <c r="AI45" t="s">
        <v>450</v>
      </c>
      <c r="AJ45" t="s">
        <v>968</v>
      </c>
      <c r="AK45" t="s">
        <v>2083</v>
      </c>
      <c r="AL45" t="s">
        <v>1058</v>
      </c>
      <c r="AM45" t="s">
        <v>1060</v>
      </c>
      <c r="AN45" t="s">
        <v>999</v>
      </c>
      <c r="AO45">
        <v>1310</v>
      </c>
      <c r="AP45">
        <v>131000</v>
      </c>
      <c r="AQ45" t="s">
        <v>1000</v>
      </c>
      <c r="AR45" t="s">
        <v>266</v>
      </c>
      <c r="AS45" t="s">
        <v>978</v>
      </c>
    </row>
    <row r="46" spans="8:45" x14ac:dyDescent="0.35">
      <c r="H46" t="s">
        <v>234</v>
      </c>
      <c r="I46" t="s">
        <v>216</v>
      </c>
      <c r="K46" s="374">
        <v>44864</v>
      </c>
      <c r="L46" t="s">
        <v>450</v>
      </c>
      <c r="M46" t="s">
        <v>451</v>
      </c>
      <c r="N46" t="s">
        <v>2241</v>
      </c>
      <c r="O46" t="s">
        <v>510</v>
      </c>
      <c r="P46" t="s">
        <v>512</v>
      </c>
      <c r="Q46" t="s">
        <v>269</v>
      </c>
      <c r="R46">
        <v>604244.80000000005</v>
      </c>
      <c r="S46">
        <v>604244.80000000005</v>
      </c>
      <c r="T46" t="s">
        <v>682</v>
      </c>
      <c r="U46" t="s">
        <v>686</v>
      </c>
      <c r="V46">
        <v>0.01</v>
      </c>
      <c r="W46">
        <v>0</v>
      </c>
      <c r="X46" t="s">
        <v>266</v>
      </c>
      <c r="Y46" t="s">
        <v>266</v>
      </c>
      <c r="Z46" s="354"/>
      <c r="AA46" s="354"/>
      <c r="AB46" s="354"/>
      <c r="AC46" s="354"/>
      <c r="AH46" t="s">
        <v>1061</v>
      </c>
      <c r="AI46" t="s">
        <v>450</v>
      </c>
      <c r="AJ46" t="s">
        <v>968</v>
      </c>
      <c r="AK46" t="s">
        <v>2310</v>
      </c>
      <c r="AL46" t="s">
        <v>1061</v>
      </c>
      <c r="AM46" t="s">
        <v>1062</v>
      </c>
      <c r="AN46" t="s">
        <v>999</v>
      </c>
      <c r="AO46">
        <v>57</v>
      </c>
      <c r="AP46">
        <v>5663</v>
      </c>
      <c r="AQ46" t="s">
        <v>1000</v>
      </c>
      <c r="AR46" t="s">
        <v>266</v>
      </c>
      <c r="AS46" t="s">
        <v>978</v>
      </c>
    </row>
    <row r="47" spans="8:45" x14ac:dyDescent="0.35">
      <c r="H47" t="s">
        <v>234</v>
      </c>
      <c r="I47" t="s">
        <v>258</v>
      </c>
      <c r="K47" s="374">
        <v>44865</v>
      </c>
      <c r="L47" t="s">
        <v>450</v>
      </c>
      <c r="M47" t="s">
        <v>451</v>
      </c>
      <c r="N47" t="s">
        <v>2242</v>
      </c>
      <c r="O47" t="s">
        <v>513</v>
      </c>
      <c r="P47" t="s">
        <v>514</v>
      </c>
      <c r="Q47" t="s">
        <v>269</v>
      </c>
      <c r="R47">
        <v>562430.80000000005</v>
      </c>
      <c r="S47">
        <v>562430.80000000005</v>
      </c>
      <c r="T47" t="s">
        <v>682</v>
      </c>
      <c r="U47" t="s">
        <v>686</v>
      </c>
      <c r="V47">
        <v>0.01</v>
      </c>
      <c r="W47">
        <v>0</v>
      </c>
      <c r="X47" t="s">
        <v>266</v>
      </c>
      <c r="Y47" t="s">
        <v>266</v>
      </c>
      <c r="Z47" s="354"/>
      <c r="AA47" s="354"/>
      <c r="AB47" s="354"/>
      <c r="AC47" s="354"/>
      <c r="AH47" t="s">
        <v>1061</v>
      </c>
      <c r="AI47" t="s">
        <v>450</v>
      </c>
      <c r="AJ47" t="s">
        <v>968</v>
      </c>
      <c r="AK47" t="s">
        <v>2310</v>
      </c>
      <c r="AL47" t="s">
        <v>1061</v>
      </c>
      <c r="AM47" t="s">
        <v>1063</v>
      </c>
      <c r="AN47" t="s">
        <v>999</v>
      </c>
      <c r="AO47">
        <v>68</v>
      </c>
      <c r="AP47">
        <v>6783</v>
      </c>
      <c r="AQ47" t="s">
        <v>1000</v>
      </c>
      <c r="AR47" t="s">
        <v>266</v>
      </c>
      <c r="AS47" t="s">
        <v>978</v>
      </c>
    </row>
    <row r="48" spans="8:45" x14ac:dyDescent="0.35">
      <c r="H48" t="s">
        <v>221</v>
      </c>
      <c r="I48" t="s">
        <v>259</v>
      </c>
      <c r="K48" s="374">
        <v>44866</v>
      </c>
      <c r="L48" t="s">
        <v>450</v>
      </c>
      <c r="M48" t="s">
        <v>451</v>
      </c>
      <c r="N48" t="s">
        <v>2243</v>
      </c>
      <c r="O48" t="s">
        <v>515</v>
      </c>
      <c r="P48" t="s">
        <v>516</v>
      </c>
      <c r="Q48" t="s">
        <v>269</v>
      </c>
      <c r="R48">
        <v>427087.5</v>
      </c>
      <c r="S48">
        <v>429353.1</v>
      </c>
      <c r="T48" t="s">
        <v>682</v>
      </c>
      <c r="U48" t="s">
        <v>686</v>
      </c>
      <c r="V48">
        <v>0.01</v>
      </c>
      <c r="W48">
        <v>0</v>
      </c>
      <c r="X48" t="s">
        <v>266</v>
      </c>
      <c r="Y48" t="s">
        <v>266</v>
      </c>
      <c r="Z48" s="354"/>
      <c r="AA48" s="354"/>
      <c r="AB48" s="354"/>
      <c r="AC48" s="354"/>
      <c r="AH48" t="s">
        <v>1064</v>
      </c>
      <c r="AI48" t="s">
        <v>450</v>
      </c>
      <c r="AJ48" t="s">
        <v>968</v>
      </c>
      <c r="AK48" t="s">
        <v>2132</v>
      </c>
      <c r="AL48" t="s">
        <v>1064</v>
      </c>
      <c r="AM48" t="s">
        <v>1065</v>
      </c>
      <c r="AN48" t="s">
        <v>1066</v>
      </c>
      <c r="AO48">
        <v>1060</v>
      </c>
      <c r="AP48">
        <v>106000</v>
      </c>
      <c r="AQ48" t="s">
        <v>1067</v>
      </c>
      <c r="AR48" t="s">
        <v>266</v>
      </c>
      <c r="AS48" t="s">
        <v>1021</v>
      </c>
    </row>
    <row r="49" spans="8:45" x14ac:dyDescent="0.35">
      <c r="H49" t="s">
        <v>234</v>
      </c>
      <c r="I49" t="s">
        <v>260</v>
      </c>
      <c r="K49" s="374">
        <v>44866</v>
      </c>
      <c r="L49" t="s">
        <v>450</v>
      </c>
      <c r="M49" t="s">
        <v>451</v>
      </c>
      <c r="N49" t="s">
        <v>2243</v>
      </c>
      <c r="O49" t="s">
        <v>515</v>
      </c>
      <c r="P49" t="s">
        <v>517</v>
      </c>
      <c r="Q49" t="s">
        <v>269</v>
      </c>
      <c r="R49">
        <v>477472.5</v>
      </c>
      <c r="S49">
        <v>487514.3</v>
      </c>
      <c r="T49" t="s">
        <v>682</v>
      </c>
      <c r="U49" t="s">
        <v>686</v>
      </c>
      <c r="V49">
        <v>0.01</v>
      </c>
      <c r="W49">
        <v>0</v>
      </c>
      <c r="X49" t="s">
        <v>266</v>
      </c>
      <c r="Y49" t="s">
        <v>266</v>
      </c>
      <c r="Z49" s="354"/>
      <c r="AA49" s="354"/>
      <c r="AB49" s="354"/>
      <c r="AC49" s="354"/>
      <c r="AH49" t="s">
        <v>1068</v>
      </c>
      <c r="AI49" t="s">
        <v>450</v>
      </c>
      <c r="AJ49" t="s">
        <v>968</v>
      </c>
      <c r="AK49" t="s">
        <v>2311</v>
      </c>
      <c r="AL49" t="s">
        <v>1068</v>
      </c>
      <c r="AM49" t="s">
        <v>1069</v>
      </c>
      <c r="AN49" t="s">
        <v>1070</v>
      </c>
      <c r="AO49">
        <v>102982.24</v>
      </c>
      <c r="AP49">
        <v>890428</v>
      </c>
      <c r="AQ49" t="s">
        <v>1071</v>
      </c>
      <c r="AR49" t="s">
        <v>266</v>
      </c>
      <c r="AS49" t="s">
        <v>978</v>
      </c>
    </row>
    <row r="50" spans="8:45" x14ac:dyDescent="0.35">
      <c r="H50" t="s">
        <v>221</v>
      </c>
      <c r="I50" t="s">
        <v>261</v>
      </c>
      <c r="K50" s="374">
        <v>44866</v>
      </c>
      <c r="L50" t="s">
        <v>450</v>
      </c>
      <c r="M50" t="s">
        <v>451</v>
      </c>
      <c r="N50" t="s">
        <v>2243</v>
      </c>
      <c r="O50" t="s">
        <v>515</v>
      </c>
      <c r="P50" t="s">
        <v>518</v>
      </c>
      <c r="Q50" t="s">
        <v>269</v>
      </c>
      <c r="R50">
        <v>508903.2</v>
      </c>
      <c r="S50">
        <v>512148.2</v>
      </c>
      <c r="T50" t="s">
        <v>682</v>
      </c>
      <c r="U50" t="s">
        <v>686</v>
      </c>
      <c r="V50">
        <v>0.01</v>
      </c>
      <c r="W50">
        <v>0</v>
      </c>
      <c r="X50" t="s">
        <v>266</v>
      </c>
      <c r="Y50" t="s">
        <v>266</v>
      </c>
      <c r="Z50" s="354"/>
      <c r="AA50" s="354"/>
      <c r="AB50" s="354"/>
      <c r="AC50" s="354"/>
      <c r="AH50" t="s">
        <v>1068</v>
      </c>
      <c r="AI50" t="s">
        <v>450</v>
      </c>
      <c r="AJ50" t="s">
        <v>968</v>
      </c>
      <c r="AK50" t="s">
        <v>2311</v>
      </c>
      <c r="AL50" t="s">
        <v>1068</v>
      </c>
      <c r="AM50" t="s">
        <v>1072</v>
      </c>
      <c r="AN50" t="s">
        <v>1070</v>
      </c>
      <c r="AO50">
        <v>81720</v>
      </c>
      <c r="AP50">
        <v>535720</v>
      </c>
      <c r="AQ50" t="s">
        <v>1071</v>
      </c>
      <c r="AR50" t="s">
        <v>266</v>
      </c>
      <c r="AS50" t="s">
        <v>978</v>
      </c>
    </row>
    <row r="51" spans="8:45" x14ac:dyDescent="0.35">
      <c r="H51" t="s">
        <v>234</v>
      </c>
      <c r="I51" t="s">
        <v>197</v>
      </c>
      <c r="K51" s="374">
        <v>44867</v>
      </c>
      <c r="L51" t="s">
        <v>450</v>
      </c>
      <c r="M51" t="s">
        <v>451</v>
      </c>
      <c r="N51" t="s">
        <v>2244</v>
      </c>
      <c r="O51" t="s">
        <v>519</v>
      </c>
      <c r="P51" t="s">
        <v>520</v>
      </c>
      <c r="Q51" t="s">
        <v>269</v>
      </c>
      <c r="R51">
        <v>595884.5</v>
      </c>
      <c r="S51">
        <v>604407.05000000005</v>
      </c>
      <c r="T51" t="s">
        <v>682</v>
      </c>
      <c r="U51" t="s">
        <v>686</v>
      </c>
      <c r="V51">
        <v>0.01</v>
      </c>
      <c r="W51">
        <v>0</v>
      </c>
      <c r="X51" t="s">
        <v>266</v>
      </c>
      <c r="Y51" t="s">
        <v>266</v>
      </c>
      <c r="Z51" s="354"/>
      <c r="AA51" s="354"/>
      <c r="AB51" s="354"/>
      <c r="AC51" s="354"/>
      <c r="AH51" t="s">
        <v>1073</v>
      </c>
      <c r="AI51" t="s">
        <v>450</v>
      </c>
      <c r="AJ51" t="s">
        <v>968</v>
      </c>
      <c r="AK51" t="s">
        <v>2096</v>
      </c>
      <c r="AL51" t="s">
        <v>1073</v>
      </c>
      <c r="AM51" t="s">
        <v>1074</v>
      </c>
      <c r="AN51" t="s">
        <v>1066</v>
      </c>
      <c r="AO51">
        <v>2000</v>
      </c>
      <c r="AP51">
        <v>100000</v>
      </c>
      <c r="AQ51" t="s">
        <v>1067</v>
      </c>
      <c r="AR51" t="s">
        <v>266</v>
      </c>
      <c r="AS51" t="s">
        <v>1021</v>
      </c>
    </row>
    <row r="52" spans="8:45" x14ac:dyDescent="0.35">
      <c r="H52" t="s">
        <v>234</v>
      </c>
      <c r="I52" t="s">
        <v>290</v>
      </c>
      <c r="K52" s="374">
        <v>44867</v>
      </c>
      <c r="L52" t="s">
        <v>450</v>
      </c>
      <c r="M52" t="s">
        <v>451</v>
      </c>
      <c r="N52" t="s">
        <v>2244</v>
      </c>
      <c r="O52" t="s">
        <v>519</v>
      </c>
      <c r="P52" t="s">
        <v>521</v>
      </c>
      <c r="Q52" t="s">
        <v>269</v>
      </c>
      <c r="R52">
        <v>600899.6</v>
      </c>
      <c r="S52">
        <v>610150.80000000005</v>
      </c>
      <c r="T52" t="s">
        <v>682</v>
      </c>
      <c r="U52" t="s">
        <v>686</v>
      </c>
      <c r="V52">
        <v>0.01</v>
      </c>
      <c r="W52">
        <v>0</v>
      </c>
      <c r="X52" t="s">
        <v>266</v>
      </c>
      <c r="Y52" t="s">
        <v>266</v>
      </c>
      <c r="Z52" s="354"/>
      <c r="AA52" s="354"/>
      <c r="AB52" s="354"/>
      <c r="AC52" s="354"/>
      <c r="AH52" t="s">
        <v>1078</v>
      </c>
      <c r="AI52" t="s">
        <v>450</v>
      </c>
      <c r="AJ52" t="s">
        <v>968</v>
      </c>
      <c r="AK52" t="s">
        <v>2312</v>
      </c>
      <c r="AL52" t="s">
        <v>1075</v>
      </c>
      <c r="AM52" t="s">
        <v>925</v>
      </c>
      <c r="AN52" t="s">
        <v>1076</v>
      </c>
      <c r="AO52">
        <v>67977.759999999995</v>
      </c>
      <c r="AP52">
        <v>521077.38</v>
      </c>
      <c r="AQ52" t="s">
        <v>1077</v>
      </c>
      <c r="AR52" t="s">
        <v>266</v>
      </c>
      <c r="AS52" t="s">
        <v>978</v>
      </c>
    </row>
    <row r="53" spans="8:45" x14ac:dyDescent="0.35">
      <c r="H53" t="s">
        <v>298</v>
      </c>
      <c r="I53" t="s">
        <v>292</v>
      </c>
      <c r="K53" s="374">
        <v>44868</v>
      </c>
      <c r="L53" t="s">
        <v>450</v>
      </c>
      <c r="M53" t="s">
        <v>451</v>
      </c>
      <c r="N53" t="s">
        <v>2245</v>
      </c>
      <c r="O53" t="s">
        <v>522</v>
      </c>
      <c r="P53" t="s">
        <v>523</v>
      </c>
      <c r="Q53" t="s">
        <v>269</v>
      </c>
      <c r="R53">
        <v>460635.5</v>
      </c>
      <c r="S53">
        <v>465013.3</v>
      </c>
      <c r="T53" t="s">
        <v>682</v>
      </c>
      <c r="U53" t="s">
        <v>686</v>
      </c>
      <c r="V53">
        <v>0.01</v>
      </c>
      <c r="W53">
        <v>0</v>
      </c>
      <c r="X53" t="s">
        <v>266</v>
      </c>
      <c r="Y53" t="s">
        <v>266</v>
      </c>
      <c r="Z53" s="354"/>
      <c r="AA53" s="354"/>
      <c r="AB53" s="354"/>
      <c r="AC53" s="354"/>
      <c r="AH53" t="s">
        <v>1078</v>
      </c>
      <c r="AI53" t="s">
        <v>450</v>
      </c>
      <c r="AJ53" t="s">
        <v>968</v>
      </c>
      <c r="AK53" t="s">
        <v>2109</v>
      </c>
      <c r="AL53" t="s">
        <v>1078</v>
      </c>
      <c r="AM53" t="s">
        <v>1079</v>
      </c>
      <c r="AN53" t="s">
        <v>1070</v>
      </c>
      <c r="AO53">
        <v>136800.44</v>
      </c>
      <c r="AP53">
        <v>938652.24</v>
      </c>
      <c r="AQ53" t="s">
        <v>1071</v>
      </c>
      <c r="AR53" t="s">
        <v>266</v>
      </c>
      <c r="AS53" t="s">
        <v>978</v>
      </c>
    </row>
    <row r="54" spans="8:45" x14ac:dyDescent="0.35">
      <c r="H54" t="s">
        <v>234</v>
      </c>
      <c r="I54" t="s">
        <v>291</v>
      </c>
      <c r="K54" s="374">
        <v>44868</v>
      </c>
      <c r="L54" t="s">
        <v>450</v>
      </c>
      <c r="M54" t="s">
        <v>451</v>
      </c>
      <c r="N54" t="s">
        <v>2245</v>
      </c>
      <c r="O54" t="s">
        <v>522</v>
      </c>
      <c r="P54" t="s">
        <v>524</v>
      </c>
      <c r="Q54" t="s">
        <v>269</v>
      </c>
      <c r="R54">
        <v>581141</v>
      </c>
      <c r="S54">
        <v>581141</v>
      </c>
      <c r="T54" t="s">
        <v>682</v>
      </c>
      <c r="U54" t="s">
        <v>686</v>
      </c>
      <c r="V54">
        <v>0.01</v>
      </c>
      <c r="W54">
        <v>0</v>
      </c>
      <c r="X54" t="s">
        <v>266</v>
      </c>
      <c r="Y54" t="s">
        <v>266</v>
      </c>
      <c r="Z54" s="354"/>
      <c r="AA54" s="354"/>
      <c r="AB54" s="354"/>
      <c r="AC54" s="354"/>
      <c r="AH54" t="s">
        <v>1934</v>
      </c>
      <c r="AI54" t="s">
        <v>450</v>
      </c>
      <c r="AJ54" t="s">
        <v>968</v>
      </c>
      <c r="AK54" t="s">
        <v>2312</v>
      </c>
      <c r="AL54" t="s">
        <v>1075</v>
      </c>
      <c r="AM54" t="s">
        <v>1080</v>
      </c>
      <c r="AN54" t="s">
        <v>1081</v>
      </c>
      <c r="AO54">
        <v>62326.14</v>
      </c>
      <c r="AP54">
        <v>456123.69</v>
      </c>
      <c r="AQ54" t="s">
        <v>1082</v>
      </c>
      <c r="AR54" t="s">
        <v>266</v>
      </c>
      <c r="AS54" t="s">
        <v>978</v>
      </c>
    </row>
    <row r="55" spans="8:45" x14ac:dyDescent="0.35">
      <c r="H55" t="s">
        <v>309</v>
      </c>
      <c r="I55" t="s">
        <v>308</v>
      </c>
      <c r="K55" s="374">
        <v>44868</v>
      </c>
      <c r="L55" t="s">
        <v>450</v>
      </c>
      <c r="M55" t="s">
        <v>451</v>
      </c>
      <c r="N55" t="s">
        <v>2245</v>
      </c>
      <c r="O55" t="s">
        <v>522</v>
      </c>
      <c r="P55" t="s">
        <v>525</v>
      </c>
      <c r="Q55" t="s">
        <v>269</v>
      </c>
      <c r="R55">
        <v>550530.4</v>
      </c>
      <c r="S55">
        <v>556259.30000000005</v>
      </c>
      <c r="T55" t="s">
        <v>682</v>
      </c>
      <c r="U55" t="s">
        <v>686</v>
      </c>
      <c r="V55">
        <v>0.01</v>
      </c>
      <c r="W55">
        <v>0</v>
      </c>
      <c r="X55" t="s">
        <v>266</v>
      </c>
      <c r="Y55" t="s">
        <v>266</v>
      </c>
      <c r="Z55" s="354"/>
      <c r="AA55" s="354"/>
      <c r="AB55" s="354"/>
      <c r="AC55" s="354"/>
      <c r="AH55" t="s">
        <v>1083</v>
      </c>
      <c r="AI55" t="s">
        <v>450</v>
      </c>
      <c r="AJ55" t="s">
        <v>968</v>
      </c>
      <c r="AK55" t="s">
        <v>2313</v>
      </c>
      <c r="AL55" t="s">
        <v>1083</v>
      </c>
      <c r="AM55" t="s">
        <v>1050</v>
      </c>
      <c r="AN55" t="s">
        <v>1070</v>
      </c>
      <c r="AO55">
        <v>77299.98</v>
      </c>
      <c r="AP55">
        <v>515865.32</v>
      </c>
      <c r="AQ55" t="s">
        <v>1071</v>
      </c>
      <c r="AR55" t="s">
        <v>266</v>
      </c>
      <c r="AS55" t="s">
        <v>978</v>
      </c>
    </row>
    <row r="56" spans="8:45" x14ac:dyDescent="0.35">
      <c r="H56" t="s">
        <v>223</v>
      </c>
      <c r="I56" t="s">
        <v>324</v>
      </c>
      <c r="K56" s="374">
        <v>44868</v>
      </c>
      <c r="L56" t="s">
        <v>450</v>
      </c>
      <c r="M56" t="s">
        <v>451</v>
      </c>
      <c r="N56" t="s">
        <v>2245</v>
      </c>
      <c r="O56" t="s">
        <v>522</v>
      </c>
      <c r="P56" t="s">
        <v>526</v>
      </c>
      <c r="Q56" t="s">
        <v>269</v>
      </c>
      <c r="R56">
        <v>431321.8</v>
      </c>
      <c r="S56">
        <v>433445.8</v>
      </c>
      <c r="T56" t="s">
        <v>682</v>
      </c>
      <c r="U56" t="s">
        <v>686</v>
      </c>
      <c r="V56">
        <v>0.01</v>
      </c>
      <c r="W56">
        <v>0</v>
      </c>
      <c r="X56" t="s">
        <v>266</v>
      </c>
      <c r="Y56" t="s">
        <v>266</v>
      </c>
      <c r="Z56" s="354"/>
      <c r="AA56" s="354"/>
      <c r="AB56" s="354"/>
      <c r="AC56" s="354"/>
      <c r="AH56" t="s">
        <v>1084</v>
      </c>
      <c r="AI56" t="s">
        <v>450</v>
      </c>
      <c r="AJ56" t="s">
        <v>968</v>
      </c>
      <c r="AK56" t="s">
        <v>1930</v>
      </c>
      <c r="AL56" t="s">
        <v>1084</v>
      </c>
      <c r="AM56" t="s">
        <v>1085</v>
      </c>
      <c r="AN56" t="s">
        <v>1066</v>
      </c>
      <c r="AO56">
        <v>2000</v>
      </c>
      <c r="AP56">
        <v>100000</v>
      </c>
      <c r="AQ56" t="s">
        <v>1067</v>
      </c>
      <c r="AR56" t="s">
        <v>266</v>
      </c>
      <c r="AS56" t="s">
        <v>1021</v>
      </c>
    </row>
    <row r="57" spans="8:45" x14ac:dyDescent="0.35">
      <c r="H57" t="s">
        <v>345</v>
      </c>
      <c r="I57" t="s">
        <v>312</v>
      </c>
      <c r="K57" s="374">
        <v>44868</v>
      </c>
      <c r="L57" t="s">
        <v>450</v>
      </c>
      <c r="M57" t="s">
        <v>451</v>
      </c>
      <c r="N57" t="s">
        <v>2245</v>
      </c>
      <c r="O57" t="s">
        <v>522</v>
      </c>
      <c r="P57" t="s">
        <v>527</v>
      </c>
      <c r="Q57" t="s">
        <v>269</v>
      </c>
      <c r="R57">
        <v>551528.5</v>
      </c>
      <c r="S57">
        <v>557328.19999999995</v>
      </c>
      <c r="T57" t="s">
        <v>682</v>
      </c>
      <c r="U57" t="s">
        <v>686</v>
      </c>
      <c r="V57">
        <v>0.01</v>
      </c>
      <c r="W57">
        <v>0</v>
      </c>
      <c r="X57" t="s">
        <v>266</v>
      </c>
      <c r="Y57" t="s">
        <v>266</v>
      </c>
      <c r="Z57" s="354"/>
      <c r="AA57" s="354"/>
      <c r="AB57" s="354"/>
      <c r="AC57" s="354"/>
      <c r="AH57" t="s">
        <v>1084</v>
      </c>
      <c r="AI57" t="s">
        <v>450</v>
      </c>
      <c r="AJ57" t="s">
        <v>968</v>
      </c>
      <c r="AK57" t="s">
        <v>1930</v>
      </c>
      <c r="AL57" t="s">
        <v>1084</v>
      </c>
      <c r="AM57" t="s">
        <v>1086</v>
      </c>
      <c r="AN57" t="s">
        <v>1066</v>
      </c>
      <c r="AO57">
        <v>2000</v>
      </c>
      <c r="AP57">
        <v>100000</v>
      </c>
      <c r="AQ57" t="s">
        <v>1067</v>
      </c>
      <c r="AR57" t="s">
        <v>266</v>
      </c>
      <c r="AS57" t="s">
        <v>1021</v>
      </c>
    </row>
    <row r="58" spans="8:45" x14ac:dyDescent="0.35">
      <c r="H58" t="s">
        <v>346</v>
      </c>
      <c r="I58" t="s">
        <v>336</v>
      </c>
      <c r="K58" s="374">
        <v>44869</v>
      </c>
      <c r="L58" t="s">
        <v>450</v>
      </c>
      <c r="M58" t="s">
        <v>451</v>
      </c>
      <c r="N58" t="s">
        <v>2155</v>
      </c>
      <c r="O58" t="s">
        <v>528</v>
      </c>
      <c r="P58" t="s">
        <v>529</v>
      </c>
      <c r="Q58" t="s">
        <v>269</v>
      </c>
      <c r="R58">
        <v>207329.5</v>
      </c>
      <c r="S58">
        <v>210102.5</v>
      </c>
      <c r="T58" t="s">
        <v>682</v>
      </c>
      <c r="U58" t="s">
        <v>686</v>
      </c>
      <c r="V58">
        <v>0.01</v>
      </c>
      <c r="W58">
        <v>0</v>
      </c>
      <c r="X58" t="s">
        <v>266</v>
      </c>
      <c r="Y58" t="s">
        <v>266</v>
      </c>
      <c r="Z58" s="354"/>
      <c r="AA58" s="354"/>
      <c r="AB58" s="354"/>
      <c r="AC58" s="354"/>
      <c r="AH58" t="s">
        <v>1087</v>
      </c>
      <c r="AI58" t="s">
        <v>450</v>
      </c>
      <c r="AJ58" t="s">
        <v>968</v>
      </c>
      <c r="AK58" t="s">
        <v>2314</v>
      </c>
      <c r="AL58" t="s">
        <v>1087</v>
      </c>
      <c r="AM58" t="s">
        <v>1088</v>
      </c>
      <c r="AN58" t="s">
        <v>1070</v>
      </c>
      <c r="AO58">
        <v>71596.800000000003</v>
      </c>
      <c r="AP58">
        <v>469356.79999999999</v>
      </c>
      <c r="AQ58" t="s">
        <v>1071</v>
      </c>
      <c r="AR58" t="s">
        <v>266</v>
      </c>
      <c r="AS58" t="s">
        <v>978</v>
      </c>
    </row>
    <row r="59" spans="8:45" x14ac:dyDescent="0.35">
      <c r="H59" t="s">
        <v>217</v>
      </c>
      <c r="I59" t="s">
        <v>334</v>
      </c>
      <c r="K59" s="374">
        <v>44869</v>
      </c>
      <c r="L59" t="s">
        <v>450</v>
      </c>
      <c r="M59" t="s">
        <v>451</v>
      </c>
      <c r="N59" t="s">
        <v>2155</v>
      </c>
      <c r="O59" t="s">
        <v>528</v>
      </c>
      <c r="P59" t="s">
        <v>530</v>
      </c>
      <c r="Q59" t="s">
        <v>269</v>
      </c>
      <c r="R59">
        <v>480766.6</v>
      </c>
      <c r="S59">
        <v>483539.6</v>
      </c>
      <c r="T59" t="s">
        <v>682</v>
      </c>
      <c r="U59" t="s">
        <v>686</v>
      </c>
      <c r="V59">
        <v>0.01</v>
      </c>
      <c r="W59">
        <v>0</v>
      </c>
      <c r="X59" t="s">
        <v>266</v>
      </c>
      <c r="Y59" t="s">
        <v>266</v>
      </c>
      <c r="Z59" s="354"/>
      <c r="AA59" s="354"/>
      <c r="AB59" s="354"/>
      <c r="AC59" s="354"/>
      <c r="AH59" t="s">
        <v>1087</v>
      </c>
      <c r="AI59" t="s">
        <v>450</v>
      </c>
      <c r="AJ59" t="s">
        <v>968</v>
      </c>
      <c r="AK59" t="s">
        <v>2314</v>
      </c>
      <c r="AL59" t="s">
        <v>1087</v>
      </c>
      <c r="AM59" t="s">
        <v>1089</v>
      </c>
      <c r="AN59" t="s">
        <v>1070</v>
      </c>
      <c r="AO59">
        <v>77463</v>
      </c>
      <c r="AP59">
        <v>507813</v>
      </c>
      <c r="AQ59" t="s">
        <v>1071</v>
      </c>
      <c r="AR59" t="s">
        <v>266</v>
      </c>
      <c r="AS59" t="s">
        <v>978</v>
      </c>
    </row>
    <row r="60" spans="8:45" x14ac:dyDescent="0.35">
      <c r="K60" s="374">
        <v>44869</v>
      </c>
      <c r="L60" t="s">
        <v>450</v>
      </c>
      <c r="M60" t="s">
        <v>451</v>
      </c>
      <c r="N60" t="s">
        <v>2245</v>
      </c>
      <c r="O60" t="s">
        <v>522</v>
      </c>
      <c r="P60" t="s">
        <v>531</v>
      </c>
      <c r="Q60" t="s">
        <v>269</v>
      </c>
      <c r="R60">
        <v>485328.4</v>
      </c>
      <c r="S60">
        <v>490378.8</v>
      </c>
      <c r="T60" t="s">
        <v>682</v>
      </c>
      <c r="U60" t="s">
        <v>686</v>
      </c>
      <c r="V60">
        <v>0.01</v>
      </c>
      <c r="W60">
        <v>0</v>
      </c>
      <c r="X60" t="s">
        <v>266</v>
      </c>
      <c r="Y60" t="s">
        <v>266</v>
      </c>
      <c r="Z60" s="354"/>
      <c r="AA60" s="354"/>
      <c r="AB60" s="354"/>
      <c r="AC60" s="354"/>
      <c r="AH60" t="s">
        <v>1090</v>
      </c>
      <c r="AI60" t="s">
        <v>450</v>
      </c>
      <c r="AJ60" t="s">
        <v>968</v>
      </c>
      <c r="AK60" t="s">
        <v>2181</v>
      </c>
      <c r="AL60" t="s">
        <v>1090</v>
      </c>
      <c r="AM60" t="s">
        <v>1091</v>
      </c>
      <c r="AN60" t="s">
        <v>1092</v>
      </c>
      <c r="AO60">
        <v>850</v>
      </c>
      <c r="AP60">
        <v>85000</v>
      </c>
      <c r="AR60" t="s">
        <v>266</v>
      </c>
      <c r="AS60" t="s">
        <v>978</v>
      </c>
    </row>
    <row r="61" spans="8:45" x14ac:dyDescent="0.35">
      <c r="K61" s="374">
        <v>44869</v>
      </c>
      <c r="L61" t="s">
        <v>450</v>
      </c>
      <c r="M61" t="s">
        <v>451</v>
      </c>
      <c r="N61" t="s">
        <v>2245</v>
      </c>
      <c r="O61" t="s">
        <v>522</v>
      </c>
      <c r="P61" t="s">
        <v>532</v>
      </c>
      <c r="Q61" t="s">
        <v>269</v>
      </c>
      <c r="R61">
        <v>572588.85</v>
      </c>
      <c r="S61">
        <v>575450.35</v>
      </c>
      <c r="T61" t="s">
        <v>682</v>
      </c>
      <c r="U61" t="s">
        <v>686</v>
      </c>
      <c r="V61">
        <v>0.01</v>
      </c>
      <c r="W61">
        <v>0</v>
      </c>
      <c r="X61" t="s">
        <v>266</v>
      </c>
      <c r="Y61" t="s">
        <v>266</v>
      </c>
      <c r="Z61" s="354"/>
      <c r="AA61" s="354"/>
      <c r="AB61" s="354"/>
      <c r="AC61" s="354"/>
      <c r="AH61" t="s">
        <v>1093</v>
      </c>
      <c r="AI61" t="s">
        <v>450</v>
      </c>
      <c r="AJ61" t="s">
        <v>968</v>
      </c>
      <c r="AK61" t="s">
        <v>2315</v>
      </c>
      <c r="AL61" t="s">
        <v>1093</v>
      </c>
      <c r="AM61" t="s">
        <v>1094</v>
      </c>
      <c r="AN61" t="s">
        <v>1070</v>
      </c>
      <c r="AO61">
        <v>79578.399999999994</v>
      </c>
      <c r="AP61">
        <v>554707.85</v>
      </c>
      <c r="AQ61" t="s">
        <v>1071</v>
      </c>
      <c r="AR61" t="s">
        <v>266</v>
      </c>
      <c r="AS61" t="s">
        <v>978</v>
      </c>
    </row>
    <row r="62" spans="8:45" x14ac:dyDescent="0.35">
      <c r="K62" s="374">
        <v>44870</v>
      </c>
      <c r="L62" t="s">
        <v>450</v>
      </c>
      <c r="M62" t="s">
        <v>451</v>
      </c>
      <c r="N62" t="s">
        <v>2155</v>
      </c>
      <c r="O62" t="s">
        <v>528</v>
      </c>
      <c r="P62" t="s">
        <v>533</v>
      </c>
      <c r="Q62" t="s">
        <v>269</v>
      </c>
      <c r="R62">
        <v>583414.6</v>
      </c>
      <c r="S62">
        <v>589485.69999999995</v>
      </c>
      <c r="T62" t="s">
        <v>682</v>
      </c>
      <c r="U62" t="s">
        <v>686</v>
      </c>
      <c r="V62">
        <v>0.01</v>
      </c>
      <c r="W62">
        <v>0</v>
      </c>
      <c r="X62" t="s">
        <v>266</v>
      </c>
      <c r="Y62" t="s">
        <v>266</v>
      </c>
      <c r="Z62" s="354"/>
      <c r="AA62" s="354"/>
      <c r="AB62" s="354"/>
      <c r="AC62" s="354"/>
      <c r="AH62" t="s">
        <v>1095</v>
      </c>
      <c r="AI62" t="s">
        <v>450</v>
      </c>
      <c r="AJ62" t="s">
        <v>968</v>
      </c>
      <c r="AK62" t="s">
        <v>2182</v>
      </c>
      <c r="AL62" t="s">
        <v>1095</v>
      </c>
      <c r="AM62" t="s">
        <v>1096</v>
      </c>
      <c r="AN62" t="s">
        <v>1070</v>
      </c>
      <c r="AO62">
        <v>84059.78</v>
      </c>
      <c r="AP62">
        <v>550591.53</v>
      </c>
      <c r="AQ62" t="s">
        <v>1071</v>
      </c>
      <c r="AR62" t="s">
        <v>266</v>
      </c>
      <c r="AS62" t="s">
        <v>978</v>
      </c>
    </row>
    <row r="63" spans="8:45" x14ac:dyDescent="0.35">
      <c r="K63" s="374">
        <v>44870</v>
      </c>
      <c r="L63" t="s">
        <v>450</v>
      </c>
      <c r="M63" t="s">
        <v>451</v>
      </c>
      <c r="N63" t="s">
        <v>2155</v>
      </c>
      <c r="O63" t="s">
        <v>528</v>
      </c>
      <c r="P63" t="s">
        <v>534</v>
      </c>
      <c r="Q63" t="s">
        <v>269</v>
      </c>
      <c r="R63">
        <v>472713.9</v>
      </c>
      <c r="S63">
        <v>472713.9</v>
      </c>
      <c r="T63" t="s">
        <v>682</v>
      </c>
      <c r="U63" t="s">
        <v>686</v>
      </c>
      <c r="V63">
        <v>0.01</v>
      </c>
      <c r="W63">
        <v>0</v>
      </c>
      <c r="X63" t="s">
        <v>266</v>
      </c>
      <c r="Y63" t="s">
        <v>266</v>
      </c>
      <c r="Z63" s="354"/>
      <c r="AA63" s="354"/>
      <c r="AB63" s="354"/>
      <c r="AC63" s="354"/>
      <c r="AH63" t="s">
        <v>1097</v>
      </c>
      <c r="AI63" t="s">
        <v>450</v>
      </c>
      <c r="AJ63" t="s">
        <v>968</v>
      </c>
      <c r="AK63" t="s">
        <v>2133</v>
      </c>
      <c r="AL63" t="s">
        <v>1097</v>
      </c>
      <c r="AM63" t="s">
        <v>325</v>
      </c>
      <c r="AN63" t="s">
        <v>1098</v>
      </c>
      <c r="AO63">
        <v>501</v>
      </c>
      <c r="AP63">
        <v>591293.87</v>
      </c>
      <c r="AQ63" t="s">
        <v>1099</v>
      </c>
      <c r="AR63" t="s">
        <v>266</v>
      </c>
      <c r="AS63" t="s">
        <v>978</v>
      </c>
    </row>
    <row r="64" spans="8:45" x14ac:dyDescent="0.35">
      <c r="K64" s="374">
        <v>44870</v>
      </c>
      <c r="L64" t="s">
        <v>450</v>
      </c>
      <c r="M64" t="s">
        <v>451</v>
      </c>
      <c r="N64" t="s">
        <v>2155</v>
      </c>
      <c r="O64" t="s">
        <v>528</v>
      </c>
      <c r="P64" t="s">
        <v>535</v>
      </c>
      <c r="Q64" t="s">
        <v>269</v>
      </c>
      <c r="R64">
        <v>748628.1</v>
      </c>
      <c r="S64">
        <v>751123.8</v>
      </c>
      <c r="T64" t="s">
        <v>682</v>
      </c>
      <c r="U64" t="s">
        <v>686</v>
      </c>
      <c r="V64">
        <v>0.01</v>
      </c>
      <c r="W64">
        <v>0</v>
      </c>
      <c r="X64" t="s">
        <v>266</v>
      </c>
      <c r="Y64" t="s">
        <v>266</v>
      </c>
      <c r="Z64" s="354"/>
      <c r="AA64" s="354"/>
      <c r="AB64" s="354"/>
      <c r="AC64" s="354"/>
      <c r="AH64" t="s">
        <v>1097</v>
      </c>
      <c r="AI64" t="s">
        <v>450</v>
      </c>
      <c r="AJ64" t="s">
        <v>968</v>
      </c>
      <c r="AK64" t="s">
        <v>2133</v>
      </c>
      <c r="AL64" t="s">
        <v>1097</v>
      </c>
      <c r="AM64" t="s">
        <v>1096</v>
      </c>
      <c r="AN64" t="s">
        <v>1044</v>
      </c>
      <c r="AO64">
        <v>118848.36</v>
      </c>
      <c r="AP64">
        <v>780416.6</v>
      </c>
      <c r="AQ64" t="s">
        <v>1045</v>
      </c>
      <c r="AR64" t="s">
        <v>266</v>
      </c>
      <c r="AS64" t="s">
        <v>978</v>
      </c>
    </row>
    <row r="65" spans="11:45" x14ac:dyDescent="0.35">
      <c r="K65" s="374">
        <v>44870</v>
      </c>
      <c r="L65" t="s">
        <v>450</v>
      </c>
      <c r="M65" t="s">
        <v>451</v>
      </c>
      <c r="N65" t="s">
        <v>2155</v>
      </c>
      <c r="O65" t="s">
        <v>528</v>
      </c>
      <c r="P65" t="s">
        <v>536</v>
      </c>
      <c r="Q65" t="s">
        <v>269</v>
      </c>
      <c r="R65">
        <v>501464.1</v>
      </c>
      <c r="S65">
        <v>501464.1</v>
      </c>
      <c r="T65" t="s">
        <v>682</v>
      </c>
      <c r="U65" t="s">
        <v>686</v>
      </c>
      <c r="V65">
        <v>0.01</v>
      </c>
      <c r="W65">
        <v>0</v>
      </c>
      <c r="X65" t="s">
        <v>266</v>
      </c>
      <c r="Y65" t="s">
        <v>266</v>
      </c>
      <c r="Z65" s="354"/>
      <c r="AA65" s="354"/>
      <c r="AB65" s="354"/>
      <c r="AC65" s="354"/>
      <c r="AH65" t="s">
        <v>1100</v>
      </c>
      <c r="AI65" t="s">
        <v>450</v>
      </c>
      <c r="AJ65" t="s">
        <v>968</v>
      </c>
      <c r="AK65" t="s">
        <v>2316</v>
      </c>
      <c r="AL65" t="s">
        <v>1100</v>
      </c>
      <c r="AM65" t="s">
        <v>1101</v>
      </c>
      <c r="AN65" t="s">
        <v>1102</v>
      </c>
      <c r="AO65">
        <v>595</v>
      </c>
      <c r="AP65">
        <v>58905</v>
      </c>
      <c r="AQ65" t="s">
        <v>1103</v>
      </c>
      <c r="AR65" t="s">
        <v>266</v>
      </c>
      <c r="AS65" t="s">
        <v>978</v>
      </c>
    </row>
    <row r="66" spans="11:45" x14ac:dyDescent="0.35">
      <c r="K66" s="374">
        <v>44870</v>
      </c>
      <c r="L66" t="s">
        <v>450</v>
      </c>
      <c r="M66" t="s">
        <v>451</v>
      </c>
      <c r="N66" t="s">
        <v>2155</v>
      </c>
      <c r="O66" t="s">
        <v>528</v>
      </c>
      <c r="P66" t="s">
        <v>537</v>
      </c>
      <c r="Q66" t="s">
        <v>269</v>
      </c>
      <c r="R66">
        <v>633187.80000000005</v>
      </c>
      <c r="S66">
        <v>637483</v>
      </c>
      <c r="T66" t="s">
        <v>682</v>
      </c>
      <c r="U66" t="s">
        <v>686</v>
      </c>
      <c r="V66">
        <v>0.01</v>
      </c>
      <c r="W66">
        <v>0</v>
      </c>
      <c r="X66" t="s">
        <v>266</v>
      </c>
      <c r="Y66" t="s">
        <v>266</v>
      </c>
      <c r="Z66" s="354"/>
      <c r="AA66" s="354"/>
      <c r="AB66" s="354"/>
      <c r="AC66" s="354"/>
      <c r="AH66" t="s">
        <v>1104</v>
      </c>
      <c r="AI66" t="s">
        <v>450</v>
      </c>
      <c r="AJ66" t="s">
        <v>968</v>
      </c>
      <c r="AK66" t="s">
        <v>1143</v>
      </c>
      <c r="AL66" t="s">
        <v>1104</v>
      </c>
      <c r="AM66" t="s">
        <v>1105</v>
      </c>
      <c r="AN66" t="s">
        <v>1044</v>
      </c>
      <c r="AO66">
        <v>128251.4</v>
      </c>
      <c r="AP66">
        <v>894676</v>
      </c>
      <c r="AQ66" t="s">
        <v>1045</v>
      </c>
      <c r="AR66" t="s">
        <v>266</v>
      </c>
      <c r="AS66" t="s">
        <v>978</v>
      </c>
    </row>
    <row r="67" spans="11:45" x14ac:dyDescent="0.35">
      <c r="K67" s="374">
        <v>44870</v>
      </c>
      <c r="L67" t="s">
        <v>450</v>
      </c>
      <c r="M67" t="s">
        <v>451</v>
      </c>
      <c r="N67" t="s">
        <v>2155</v>
      </c>
      <c r="O67" t="s">
        <v>528</v>
      </c>
      <c r="P67" t="s">
        <v>538</v>
      </c>
      <c r="Q67" t="s">
        <v>269</v>
      </c>
      <c r="R67">
        <v>508453.8</v>
      </c>
      <c r="S67">
        <v>511840.4</v>
      </c>
      <c r="T67" t="s">
        <v>682</v>
      </c>
      <c r="U67" t="s">
        <v>686</v>
      </c>
      <c r="V67">
        <v>0.01</v>
      </c>
      <c r="W67">
        <v>0</v>
      </c>
      <c r="X67" t="s">
        <v>266</v>
      </c>
      <c r="Y67" t="s">
        <v>266</v>
      </c>
      <c r="Z67" s="354"/>
      <c r="AA67" s="354"/>
      <c r="AB67" s="354"/>
      <c r="AC67" s="354"/>
      <c r="AH67" t="s">
        <v>1935</v>
      </c>
      <c r="AI67" t="s">
        <v>450</v>
      </c>
      <c r="AJ67" t="s">
        <v>968</v>
      </c>
      <c r="AK67" t="s">
        <v>2317</v>
      </c>
      <c r="AL67" t="s">
        <v>1106</v>
      </c>
      <c r="AM67" t="s">
        <v>1057</v>
      </c>
      <c r="AN67" t="s">
        <v>1107</v>
      </c>
      <c r="AO67">
        <v>49999.11</v>
      </c>
      <c r="AP67">
        <v>419554.9</v>
      </c>
      <c r="AQ67" t="s">
        <v>1108</v>
      </c>
      <c r="AR67" t="s">
        <v>266</v>
      </c>
      <c r="AS67" t="s">
        <v>978</v>
      </c>
    </row>
    <row r="68" spans="11:45" x14ac:dyDescent="0.35">
      <c r="K68" s="374">
        <v>44871</v>
      </c>
      <c r="L68" t="s">
        <v>450</v>
      </c>
      <c r="M68" t="s">
        <v>451</v>
      </c>
      <c r="N68" t="s">
        <v>2139</v>
      </c>
      <c r="O68" t="s">
        <v>539</v>
      </c>
      <c r="P68" t="s">
        <v>540</v>
      </c>
      <c r="Q68" t="s">
        <v>269</v>
      </c>
      <c r="R68">
        <v>408880.8</v>
      </c>
      <c r="S68">
        <v>412184.8</v>
      </c>
      <c r="T68" t="s">
        <v>682</v>
      </c>
      <c r="U68" t="s">
        <v>686</v>
      </c>
      <c r="V68">
        <v>0.01</v>
      </c>
      <c r="W68">
        <v>0</v>
      </c>
      <c r="X68" t="s">
        <v>266</v>
      </c>
      <c r="Y68" t="s">
        <v>266</v>
      </c>
      <c r="Z68" s="354"/>
      <c r="AA68" s="354"/>
      <c r="AB68" s="354"/>
      <c r="AC68" s="354"/>
      <c r="AH68" t="s">
        <v>1106</v>
      </c>
      <c r="AI68" t="s">
        <v>450</v>
      </c>
      <c r="AJ68" t="s">
        <v>968</v>
      </c>
      <c r="AK68" t="s">
        <v>2317</v>
      </c>
      <c r="AL68" t="s">
        <v>1106</v>
      </c>
      <c r="AM68" t="s">
        <v>902</v>
      </c>
      <c r="AN68" t="s">
        <v>1044</v>
      </c>
      <c r="AO68">
        <v>129838.5</v>
      </c>
      <c r="AP68">
        <v>851163.5</v>
      </c>
      <c r="AQ68" t="s">
        <v>1045</v>
      </c>
      <c r="AR68" t="s">
        <v>266</v>
      </c>
      <c r="AS68" t="s">
        <v>978</v>
      </c>
    </row>
    <row r="69" spans="11:45" x14ac:dyDescent="0.35">
      <c r="K69" s="374">
        <v>44871</v>
      </c>
      <c r="L69" t="s">
        <v>450</v>
      </c>
      <c r="M69" t="s">
        <v>451</v>
      </c>
      <c r="N69" t="s">
        <v>2139</v>
      </c>
      <c r="O69" t="s">
        <v>539</v>
      </c>
      <c r="P69" t="s">
        <v>541</v>
      </c>
      <c r="Q69" t="s">
        <v>269</v>
      </c>
      <c r="R69">
        <v>495050.75</v>
      </c>
      <c r="S69">
        <v>498396.05</v>
      </c>
      <c r="T69" t="s">
        <v>682</v>
      </c>
      <c r="U69" t="s">
        <v>686</v>
      </c>
      <c r="V69">
        <v>0.01</v>
      </c>
      <c r="W69">
        <v>0</v>
      </c>
      <c r="X69" t="s">
        <v>266</v>
      </c>
      <c r="Y69" t="s">
        <v>266</v>
      </c>
      <c r="Z69" s="354"/>
      <c r="AA69" s="354"/>
      <c r="AB69" s="354"/>
      <c r="AC69" s="354"/>
      <c r="AH69" t="s">
        <v>1109</v>
      </c>
      <c r="AI69" t="s">
        <v>450</v>
      </c>
      <c r="AJ69" t="s">
        <v>968</v>
      </c>
      <c r="AK69" t="s">
        <v>2318</v>
      </c>
      <c r="AL69" t="s">
        <v>1109</v>
      </c>
      <c r="AM69" t="s">
        <v>325</v>
      </c>
      <c r="AN69" t="s">
        <v>1044</v>
      </c>
      <c r="AO69">
        <v>77821.56</v>
      </c>
      <c r="AP69">
        <v>510163.56</v>
      </c>
      <c r="AQ69" t="s">
        <v>1045</v>
      </c>
      <c r="AR69" t="s">
        <v>266</v>
      </c>
      <c r="AS69" t="s">
        <v>978</v>
      </c>
    </row>
    <row r="70" spans="11:45" x14ac:dyDescent="0.35">
      <c r="K70" s="374">
        <v>44872</v>
      </c>
      <c r="L70" t="s">
        <v>450</v>
      </c>
      <c r="M70" t="s">
        <v>451</v>
      </c>
      <c r="N70" t="s">
        <v>2156</v>
      </c>
      <c r="O70" t="s">
        <v>542</v>
      </c>
      <c r="P70" t="s">
        <v>543</v>
      </c>
      <c r="Q70" t="s">
        <v>269</v>
      </c>
      <c r="R70">
        <v>710487.2</v>
      </c>
      <c r="S70">
        <v>729921.8</v>
      </c>
      <c r="T70" t="s">
        <v>682</v>
      </c>
      <c r="U70" t="s">
        <v>686</v>
      </c>
      <c r="V70">
        <v>0.01</v>
      </c>
      <c r="W70">
        <v>0</v>
      </c>
      <c r="X70" t="s">
        <v>266</v>
      </c>
      <c r="Y70" t="s">
        <v>266</v>
      </c>
      <c r="Z70" s="354"/>
      <c r="AA70" s="354"/>
      <c r="AB70" s="354"/>
      <c r="AC70" s="354"/>
      <c r="AH70" t="s">
        <v>1110</v>
      </c>
      <c r="AI70" t="s">
        <v>450</v>
      </c>
      <c r="AJ70" t="s">
        <v>968</v>
      </c>
      <c r="AK70" t="s">
        <v>2183</v>
      </c>
      <c r="AL70" t="s">
        <v>1110</v>
      </c>
      <c r="AM70" t="s">
        <v>1111</v>
      </c>
      <c r="AN70" t="s">
        <v>1112</v>
      </c>
      <c r="AO70">
        <v>862</v>
      </c>
      <c r="AP70">
        <v>1301091.6000000001</v>
      </c>
      <c r="AQ70" t="s">
        <v>1113</v>
      </c>
      <c r="AR70" t="s">
        <v>266</v>
      </c>
      <c r="AS70" t="s">
        <v>1021</v>
      </c>
    </row>
    <row r="71" spans="11:45" x14ac:dyDescent="0.35">
      <c r="K71" s="374">
        <v>44874</v>
      </c>
      <c r="L71" t="s">
        <v>450</v>
      </c>
      <c r="M71" t="s">
        <v>451</v>
      </c>
      <c r="N71" t="s">
        <v>2157</v>
      </c>
      <c r="O71" t="s">
        <v>544</v>
      </c>
      <c r="P71" t="s">
        <v>545</v>
      </c>
      <c r="Q71" t="s">
        <v>269</v>
      </c>
      <c r="R71">
        <v>587472.9</v>
      </c>
      <c r="S71">
        <v>594493.9</v>
      </c>
      <c r="T71" t="s">
        <v>682</v>
      </c>
      <c r="U71" t="s">
        <v>686</v>
      </c>
      <c r="V71">
        <v>0.01</v>
      </c>
      <c r="W71">
        <v>0</v>
      </c>
      <c r="X71" t="s">
        <v>266</v>
      </c>
      <c r="Y71" t="s">
        <v>266</v>
      </c>
      <c r="Z71" s="354"/>
      <c r="AA71" s="354"/>
      <c r="AB71" s="354"/>
      <c r="AC71" s="354"/>
      <c r="AH71" t="s">
        <v>1114</v>
      </c>
      <c r="AI71" t="s">
        <v>450</v>
      </c>
      <c r="AJ71" t="s">
        <v>968</v>
      </c>
      <c r="AK71" t="s">
        <v>2319</v>
      </c>
      <c r="AL71" t="s">
        <v>1114</v>
      </c>
      <c r="AM71" t="s">
        <v>1115</v>
      </c>
      <c r="AN71" t="s">
        <v>1116</v>
      </c>
      <c r="AO71">
        <v>7339.12</v>
      </c>
      <c r="AP71">
        <v>1328178.5</v>
      </c>
      <c r="AQ71" t="s">
        <v>1117</v>
      </c>
      <c r="AR71" t="s">
        <v>266</v>
      </c>
      <c r="AS71" t="s">
        <v>1021</v>
      </c>
    </row>
    <row r="72" spans="11:45" x14ac:dyDescent="0.35">
      <c r="K72" s="374">
        <v>44874</v>
      </c>
      <c r="L72" t="s">
        <v>450</v>
      </c>
      <c r="M72" t="s">
        <v>451</v>
      </c>
      <c r="N72" t="s">
        <v>2157</v>
      </c>
      <c r="O72" t="s">
        <v>544</v>
      </c>
      <c r="P72" t="s">
        <v>546</v>
      </c>
      <c r="Q72" t="s">
        <v>269</v>
      </c>
      <c r="R72">
        <v>506578.5</v>
      </c>
      <c r="S72">
        <v>506578.5</v>
      </c>
      <c r="T72" t="s">
        <v>682</v>
      </c>
      <c r="U72" t="s">
        <v>686</v>
      </c>
      <c r="V72">
        <v>0.01</v>
      </c>
      <c r="W72">
        <v>0</v>
      </c>
      <c r="X72" t="s">
        <v>266</v>
      </c>
      <c r="Y72" t="s">
        <v>266</v>
      </c>
      <c r="Z72" s="354"/>
      <c r="AA72" s="354"/>
      <c r="AB72" s="354"/>
      <c r="AC72" s="354"/>
      <c r="AH72" t="s">
        <v>1114</v>
      </c>
      <c r="AI72" t="s">
        <v>450</v>
      </c>
      <c r="AJ72" t="s">
        <v>968</v>
      </c>
      <c r="AK72" t="s">
        <v>2319</v>
      </c>
      <c r="AL72" t="s">
        <v>1114</v>
      </c>
      <c r="AM72" t="s">
        <v>1118</v>
      </c>
      <c r="AN72" t="s">
        <v>999</v>
      </c>
      <c r="AO72">
        <v>1200</v>
      </c>
      <c r="AP72">
        <v>120000</v>
      </c>
      <c r="AQ72" t="s">
        <v>1000</v>
      </c>
      <c r="AR72" t="s">
        <v>266</v>
      </c>
      <c r="AS72" t="s">
        <v>978</v>
      </c>
    </row>
    <row r="73" spans="11:45" x14ac:dyDescent="0.35">
      <c r="K73" s="374">
        <v>44874</v>
      </c>
      <c r="L73" t="s">
        <v>450</v>
      </c>
      <c r="M73" t="s">
        <v>451</v>
      </c>
      <c r="N73" t="s">
        <v>2157</v>
      </c>
      <c r="O73" t="s">
        <v>544</v>
      </c>
      <c r="P73" t="s">
        <v>547</v>
      </c>
      <c r="Q73" t="s">
        <v>269</v>
      </c>
      <c r="R73">
        <v>506705.35</v>
      </c>
      <c r="S73">
        <v>506705.35</v>
      </c>
      <c r="T73" t="s">
        <v>682</v>
      </c>
      <c r="U73" t="s">
        <v>686</v>
      </c>
      <c r="V73">
        <v>0.01</v>
      </c>
      <c r="W73">
        <v>0</v>
      </c>
      <c r="X73" t="s">
        <v>266</v>
      </c>
      <c r="Y73" t="s">
        <v>266</v>
      </c>
      <c r="Z73" s="354"/>
      <c r="AA73" s="354"/>
      <c r="AB73" s="354"/>
      <c r="AC73" s="354"/>
      <c r="AH73" t="s">
        <v>1119</v>
      </c>
      <c r="AI73" t="s">
        <v>450</v>
      </c>
      <c r="AJ73" t="s">
        <v>968</v>
      </c>
      <c r="AK73" t="s">
        <v>2320</v>
      </c>
      <c r="AL73" t="s">
        <v>1119</v>
      </c>
      <c r="AM73" t="s">
        <v>1120</v>
      </c>
      <c r="AN73" t="s">
        <v>1121</v>
      </c>
      <c r="AO73">
        <v>112</v>
      </c>
      <c r="AP73">
        <v>11034</v>
      </c>
      <c r="AQ73" t="s">
        <v>1122</v>
      </c>
      <c r="AR73" t="s">
        <v>266</v>
      </c>
      <c r="AS73" t="s">
        <v>1021</v>
      </c>
    </row>
    <row r="74" spans="11:45" x14ac:dyDescent="0.35">
      <c r="K74" s="374">
        <v>44874</v>
      </c>
      <c r="L74" t="s">
        <v>450</v>
      </c>
      <c r="M74" t="s">
        <v>451</v>
      </c>
      <c r="N74" t="s">
        <v>2157</v>
      </c>
      <c r="O74" t="s">
        <v>544</v>
      </c>
      <c r="P74" t="s">
        <v>548</v>
      </c>
      <c r="Q74" t="s">
        <v>269</v>
      </c>
      <c r="R74">
        <v>526469.69999999995</v>
      </c>
      <c r="S74">
        <v>526469.69999999995</v>
      </c>
      <c r="T74" t="s">
        <v>682</v>
      </c>
      <c r="U74" t="s">
        <v>686</v>
      </c>
      <c r="V74">
        <v>0.01</v>
      </c>
      <c r="W74">
        <v>0</v>
      </c>
      <c r="X74" t="s">
        <v>266</v>
      </c>
      <c r="Y74" t="s">
        <v>266</v>
      </c>
      <c r="Z74" s="354"/>
      <c r="AA74" s="354"/>
      <c r="AB74" s="354"/>
      <c r="AC74" s="354"/>
      <c r="AH74" t="s">
        <v>1119</v>
      </c>
      <c r="AI74" t="s">
        <v>450</v>
      </c>
      <c r="AJ74" t="s">
        <v>968</v>
      </c>
      <c r="AK74" t="s">
        <v>2184</v>
      </c>
      <c r="AL74" t="s">
        <v>1123</v>
      </c>
      <c r="AM74" t="s">
        <v>1124</v>
      </c>
      <c r="AN74" t="s">
        <v>1125</v>
      </c>
      <c r="AO74">
        <v>9600</v>
      </c>
      <c r="AP74">
        <v>88000</v>
      </c>
      <c r="AQ74" t="s">
        <v>1126</v>
      </c>
      <c r="AR74" t="s">
        <v>266</v>
      </c>
      <c r="AS74" t="s">
        <v>978</v>
      </c>
    </row>
    <row r="75" spans="11:45" x14ac:dyDescent="0.35">
      <c r="K75" s="374">
        <v>44875</v>
      </c>
      <c r="L75" t="s">
        <v>450</v>
      </c>
      <c r="M75" t="s">
        <v>451</v>
      </c>
      <c r="N75" t="s">
        <v>2158</v>
      </c>
      <c r="O75" t="s">
        <v>549</v>
      </c>
      <c r="P75" t="s">
        <v>550</v>
      </c>
      <c r="Q75" t="s">
        <v>269</v>
      </c>
      <c r="R75">
        <v>493534.4</v>
      </c>
      <c r="S75">
        <v>495198.2</v>
      </c>
      <c r="T75" t="s">
        <v>682</v>
      </c>
      <c r="U75" t="s">
        <v>686</v>
      </c>
      <c r="V75">
        <v>0.01</v>
      </c>
      <c r="W75">
        <v>0</v>
      </c>
      <c r="X75" t="s">
        <v>266</v>
      </c>
      <c r="Y75" t="s">
        <v>266</v>
      </c>
      <c r="Z75" s="354"/>
      <c r="AA75" s="354"/>
      <c r="AB75" s="354"/>
      <c r="AC75" s="354"/>
      <c r="AH75" t="s">
        <v>1123</v>
      </c>
      <c r="AI75" t="s">
        <v>450</v>
      </c>
      <c r="AJ75" t="s">
        <v>968</v>
      </c>
      <c r="AK75" t="s">
        <v>2184</v>
      </c>
      <c r="AL75" t="s">
        <v>1123</v>
      </c>
      <c r="AM75" t="s">
        <v>940</v>
      </c>
      <c r="AN75" t="s">
        <v>1044</v>
      </c>
      <c r="AO75">
        <v>130337.89</v>
      </c>
      <c r="AP75">
        <v>877633.2</v>
      </c>
      <c r="AQ75" t="s">
        <v>1045</v>
      </c>
      <c r="AR75" t="s">
        <v>266</v>
      </c>
      <c r="AS75" t="s">
        <v>978</v>
      </c>
    </row>
    <row r="76" spans="11:45" x14ac:dyDescent="0.35">
      <c r="K76" s="374">
        <v>44875</v>
      </c>
      <c r="L76" t="s">
        <v>450</v>
      </c>
      <c r="M76" t="s">
        <v>451</v>
      </c>
      <c r="N76" t="s">
        <v>2158</v>
      </c>
      <c r="O76" t="s">
        <v>549</v>
      </c>
      <c r="P76" t="s">
        <v>551</v>
      </c>
      <c r="Q76" t="s">
        <v>269</v>
      </c>
      <c r="R76">
        <v>434113.6</v>
      </c>
      <c r="S76">
        <v>439966.4</v>
      </c>
      <c r="T76" t="s">
        <v>682</v>
      </c>
      <c r="U76" t="s">
        <v>686</v>
      </c>
      <c r="V76">
        <v>0.01</v>
      </c>
      <c r="W76">
        <v>0</v>
      </c>
      <c r="X76" t="s">
        <v>266</v>
      </c>
      <c r="Y76" t="s">
        <v>266</v>
      </c>
      <c r="Z76" s="3"/>
      <c r="AA76" s="354"/>
      <c r="AB76" s="3"/>
      <c r="AC76" s="3"/>
      <c r="AH76" t="s">
        <v>1127</v>
      </c>
      <c r="AI76" t="s">
        <v>450</v>
      </c>
      <c r="AJ76" t="s">
        <v>968</v>
      </c>
      <c r="AK76" t="s">
        <v>2321</v>
      </c>
      <c r="AL76" t="s">
        <v>1127</v>
      </c>
      <c r="AM76" t="s">
        <v>326</v>
      </c>
      <c r="AN76" t="s">
        <v>1044</v>
      </c>
      <c r="AO76">
        <v>104505.07</v>
      </c>
      <c r="AP76">
        <v>841558.2</v>
      </c>
      <c r="AQ76" t="s">
        <v>1045</v>
      </c>
      <c r="AR76" t="s">
        <v>266</v>
      </c>
      <c r="AS76" t="s">
        <v>978</v>
      </c>
    </row>
    <row r="77" spans="11:45" x14ac:dyDescent="0.35">
      <c r="K77" s="374">
        <v>44875</v>
      </c>
      <c r="L77" t="s">
        <v>450</v>
      </c>
      <c r="M77" t="s">
        <v>451</v>
      </c>
      <c r="N77" t="s">
        <v>2158</v>
      </c>
      <c r="O77" t="s">
        <v>549</v>
      </c>
      <c r="P77" t="s">
        <v>552</v>
      </c>
      <c r="Q77" t="s">
        <v>269</v>
      </c>
      <c r="R77">
        <v>603669.65</v>
      </c>
      <c r="S77">
        <v>610380.9</v>
      </c>
      <c r="T77" t="s">
        <v>682</v>
      </c>
      <c r="U77" t="s">
        <v>686</v>
      </c>
      <c r="V77">
        <v>0.01</v>
      </c>
      <c r="W77">
        <v>0</v>
      </c>
      <c r="X77" t="s">
        <v>266</v>
      </c>
      <c r="Y77" t="s">
        <v>266</v>
      </c>
      <c r="Z77" s="3"/>
      <c r="AA77" s="354"/>
      <c r="AB77" s="3"/>
      <c r="AC77" s="3"/>
      <c r="AH77" t="s">
        <v>1936</v>
      </c>
      <c r="AI77" t="s">
        <v>450</v>
      </c>
      <c r="AJ77" t="s">
        <v>968</v>
      </c>
      <c r="AK77" t="s">
        <v>1144</v>
      </c>
      <c r="AL77" t="s">
        <v>1128</v>
      </c>
      <c r="AM77" t="s">
        <v>1129</v>
      </c>
      <c r="AN77" t="s">
        <v>1130</v>
      </c>
      <c r="AO77">
        <v>81160.67</v>
      </c>
      <c r="AP77">
        <v>539158.18000000005</v>
      </c>
      <c r="AQ77" t="s">
        <v>1131</v>
      </c>
      <c r="AR77" t="s">
        <v>266</v>
      </c>
      <c r="AS77" t="s">
        <v>978</v>
      </c>
    </row>
    <row r="78" spans="11:45" x14ac:dyDescent="0.35">
      <c r="K78" s="374">
        <v>44875</v>
      </c>
      <c r="L78" t="s">
        <v>450</v>
      </c>
      <c r="M78" t="s">
        <v>451</v>
      </c>
      <c r="N78" t="s">
        <v>2158</v>
      </c>
      <c r="O78" t="s">
        <v>549</v>
      </c>
      <c r="P78" t="s">
        <v>553</v>
      </c>
      <c r="Q78" t="s">
        <v>269</v>
      </c>
      <c r="R78">
        <v>455840.6</v>
      </c>
      <c r="S78">
        <v>455840.6</v>
      </c>
      <c r="T78" t="s">
        <v>682</v>
      </c>
      <c r="U78" t="s">
        <v>686</v>
      </c>
      <c r="V78">
        <v>0.01</v>
      </c>
      <c r="W78">
        <v>0</v>
      </c>
      <c r="X78" t="s">
        <v>266</v>
      </c>
      <c r="Y78" t="s">
        <v>266</v>
      </c>
      <c r="Z78" s="3"/>
      <c r="AA78" s="354"/>
      <c r="AB78" s="3"/>
      <c r="AC78" s="3"/>
      <c r="AH78" t="s">
        <v>1128</v>
      </c>
      <c r="AI78" t="s">
        <v>450</v>
      </c>
      <c r="AJ78" t="s">
        <v>968</v>
      </c>
      <c r="AK78" t="s">
        <v>1144</v>
      </c>
      <c r="AL78" t="s">
        <v>1128</v>
      </c>
      <c r="AM78" t="s">
        <v>1132</v>
      </c>
      <c r="AN78" t="s">
        <v>1133</v>
      </c>
      <c r="AO78">
        <v>702</v>
      </c>
      <c r="AP78">
        <v>9000</v>
      </c>
      <c r="AQ78" t="s">
        <v>1134</v>
      </c>
      <c r="AR78" t="s">
        <v>266</v>
      </c>
      <c r="AS78" t="s">
        <v>978</v>
      </c>
    </row>
    <row r="79" spans="11:45" x14ac:dyDescent="0.35">
      <c r="K79" s="374">
        <v>44891</v>
      </c>
      <c r="L79" t="s">
        <v>450</v>
      </c>
      <c r="M79" t="s">
        <v>451</v>
      </c>
      <c r="N79" t="s">
        <v>2246</v>
      </c>
      <c r="O79" t="s">
        <v>554</v>
      </c>
      <c r="P79" t="s">
        <v>555</v>
      </c>
      <c r="Q79" t="s">
        <v>269</v>
      </c>
      <c r="R79">
        <v>508521.6</v>
      </c>
      <c r="S79">
        <v>508521.6</v>
      </c>
      <c r="T79" t="s">
        <v>682</v>
      </c>
      <c r="U79" t="s">
        <v>686</v>
      </c>
      <c r="V79">
        <v>0.01</v>
      </c>
      <c r="W79">
        <v>0</v>
      </c>
      <c r="X79" t="s">
        <v>266</v>
      </c>
      <c r="Y79" t="s">
        <v>266</v>
      </c>
      <c r="Z79" s="3"/>
      <c r="AA79" s="354"/>
      <c r="AB79" s="3"/>
      <c r="AC79" s="3"/>
      <c r="AH79" t="s">
        <v>1128</v>
      </c>
      <c r="AI79" t="s">
        <v>450</v>
      </c>
      <c r="AJ79" t="s">
        <v>968</v>
      </c>
      <c r="AK79" t="s">
        <v>2322</v>
      </c>
      <c r="AL79" t="s">
        <v>1135</v>
      </c>
      <c r="AM79" t="s">
        <v>962</v>
      </c>
      <c r="AN79" t="s">
        <v>1044</v>
      </c>
      <c r="AO79">
        <v>44663.4</v>
      </c>
      <c r="AP79">
        <v>292545.40000000002</v>
      </c>
      <c r="AQ79" t="s">
        <v>1045</v>
      </c>
      <c r="AR79" t="s">
        <v>266</v>
      </c>
      <c r="AS79" t="s">
        <v>978</v>
      </c>
    </row>
    <row r="80" spans="11:45" x14ac:dyDescent="0.35">
      <c r="K80" s="374">
        <v>44893</v>
      </c>
      <c r="L80" t="s">
        <v>450</v>
      </c>
      <c r="M80" t="s">
        <v>451</v>
      </c>
      <c r="N80" t="s">
        <v>2247</v>
      </c>
      <c r="O80" t="s">
        <v>556</v>
      </c>
      <c r="P80" t="s">
        <v>557</v>
      </c>
      <c r="Q80" t="s">
        <v>269</v>
      </c>
      <c r="R80">
        <v>445434.8</v>
      </c>
      <c r="S80">
        <v>445434.8</v>
      </c>
      <c r="T80" t="s">
        <v>682</v>
      </c>
      <c r="U80" t="s">
        <v>686</v>
      </c>
      <c r="V80">
        <v>0.01</v>
      </c>
      <c r="W80">
        <v>0</v>
      </c>
      <c r="X80" t="s">
        <v>266</v>
      </c>
      <c r="Y80" t="s">
        <v>266</v>
      </c>
      <c r="Z80" s="3"/>
      <c r="AA80" s="354"/>
      <c r="AB80" s="3"/>
      <c r="AC80" s="3"/>
      <c r="AH80" t="s">
        <v>1135</v>
      </c>
      <c r="AI80" t="s">
        <v>450</v>
      </c>
      <c r="AJ80" t="s">
        <v>968</v>
      </c>
      <c r="AK80" t="s">
        <v>2322</v>
      </c>
      <c r="AL80" t="s">
        <v>1135</v>
      </c>
      <c r="AM80" t="s">
        <v>921</v>
      </c>
      <c r="AN80" t="s">
        <v>1044</v>
      </c>
      <c r="AO80">
        <v>78323.78</v>
      </c>
      <c r="AP80">
        <v>547020.6</v>
      </c>
      <c r="AQ80" t="s">
        <v>1045</v>
      </c>
      <c r="AR80" t="s">
        <v>266</v>
      </c>
      <c r="AS80" t="s">
        <v>978</v>
      </c>
    </row>
    <row r="81" spans="11:45" x14ac:dyDescent="0.35">
      <c r="K81" s="374">
        <v>44894</v>
      </c>
      <c r="L81" t="s">
        <v>450</v>
      </c>
      <c r="M81" t="s">
        <v>451</v>
      </c>
      <c r="N81" t="s">
        <v>2248</v>
      </c>
      <c r="O81" t="s">
        <v>558</v>
      </c>
      <c r="P81" t="s">
        <v>559</v>
      </c>
      <c r="Q81" t="s">
        <v>269</v>
      </c>
      <c r="R81">
        <v>511683.25</v>
      </c>
      <c r="S81">
        <v>522052.5</v>
      </c>
      <c r="T81" t="s">
        <v>682</v>
      </c>
      <c r="U81" t="s">
        <v>686</v>
      </c>
      <c r="V81">
        <v>0.01</v>
      </c>
      <c r="W81">
        <v>0</v>
      </c>
      <c r="X81" t="s">
        <v>266</v>
      </c>
      <c r="Y81" t="s">
        <v>266</v>
      </c>
      <c r="Z81" s="3"/>
      <c r="AA81" s="354"/>
      <c r="AB81" s="3"/>
      <c r="AC81" s="3"/>
      <c r="AH81" t="s">
        <v>1937</v>
      </c>
      <c r="AI81" t="s">
        <v>450</v>
      </c>
      <c r="AJ81" t="s">
        <v>968</v>
      </c>
      <c r="AK81" t="s">
        <v>2185</v>
      </c>
      <c r="AL81" t="s">
        <v>1136</v>
      </c>
      <c r="AM81" t="s">
        <v>1137</v>
      </c>
      <c r="AN81" t="s">
        <v>1081</v>
      </c>
      <c r="AO81">
        <v>59983.06</v>
      </c>
      <c r="AP81">
        <v>504538.25</v>
      </c>
      <c r="AQ81" t="s">
        <v>1082</v>
      </c>
      <c r="AR81" t="s">
        <v>266</v>
      </c>
      <c r="AS81" t="s">
        <v>978</v>
      </c>
    </row>
    <row r="82" spans="11:45" x14ac:dyDescent="0.35">
      <c r="K82" s="374">
        <v>44894</v>
      </c>
      <c r="L82" t="s">
        <v>450</v>
      </c>
      <c r="M82" t="s">
        <v>451</v>
      </c>
      <c r="N82" t="s">
        <v>2248</v>
      </c>
      <c r="O82" t="s">
        <v>558</v>
      </c>
      <c r="P82" t="s">
        <v>560</v>
      </c>
      <c r="Q82" t="s">
        <v>269</v>
      </c>
      <c r="R82">
        <v>454830.7</v>
      </c>
      <c r="S82">
        <v>454830.7</v>
      </c>
      <c r="T82" t="s">
        <v>682</v>
      </c>
      <c r="U82" t="s">
        <v>686</v>
      </c>
      <c r="V82">
        <v>0.01</v>
      </c>
      <c r="W82">
        <v>0</v>
      </c>
      <c r="X82" t="s">
        <v>266</v>
      </c>
      <c r="Y82" t="s">
        <v>266</v>
      </c>
      <c r="Z82" s="3"/>
      <c r="AA82" s="354"/>
      <c r="AB82" s="3"/>
      <c r="AC82" s="3"/>
      <c r="AH82" t="s">
        <v>1136</v>
      </c>
      <c r="AI82" t="s">
        <v>450</v>
      </c>
      <c r="AJ82" t="s">
        <v>968</v>
      </c>
      <c r="AK82" t="s">
        <v>2185</v>
      </c>
      <c r="AL82" t="s">
        <v>1136</v>
      </c>
      <c r="AM82" t="s">
        <v>939</v>
      </c>
      <c r="AN82" t="s">
        <v>1044</v>
      </c>
      <c r="AO82">
        <v>65952.75</v>
      </c>
      <c r="AP82">
        <v>460906.4</v>
      </c>
      <c r="AQ82" t="s">
        <v>1045</v>
      </c>
      <c r="AR82" t="s">
        <v>266</v>
      </c>
      <c r="AS82" t="s">
        <v>978</v>
      </c>
    </row>
    <row r="83" spans="11:45" x14ac:dyDescent="0.35">
      <c r="K83" s="374">
        <v>44895</v>
      </c>
      <c r="L83" t="s">
        <v>450</v>
      </c>
      <c r="M83" t="s">
        <v>451</v>
      </c>
      <c r="N83" t="s">
        <v>2249</v>
      </c>
      <c r="O83" t="s">
        <v>561</v>
      </c>
      <c r="P83" t="s">
        <v>562</v>
      </c>
      <c r="Q83" t="s">
        <v>269</v>
      </c>
      <c r="R83">
        <v>502415</v>
      </c>
      <c r="S83">
        <v>502415</v>
      </c>
      <c r="T83" t="s">
        <v>682</v>
      </c>
      <c r="U83" t="s">
        <v>686</v>
      </c>
      <c r="V83">
        <v>0.01</v>
      </c>
      <c r="W83">
        <v>0</v>
      </c>
      <c r="X83" t="s">
        <v>266</v>
      </c>
      <c r="Y83" t="s">
        <v>266</v>
      </c>
      <c r="Z83" s="3"/>
      <c r="AA83" s="354"/>
      <c r="AB83" s="3"/>
      <c r="AC83" s="3"/>
      <c r="AH83" t="s">
        <v>1136</v>
      </c>
      <c r="AI83" t="s">
        <v>450</v>
      </c>
      <c r="AJ83" t="s">
        <v>968</v>
      </c>
      <c r="AK83" t="s">
        <v>2185</v>
      </c>
      <c r="AL83" t="s">
        <v>1136</v>
      </c>
      <c r="AM83" t="s">
        <v>328</v>
      </c>
      <c r="AN83" t="s">
        <v>1044</v>
      </c>
      <c r="AO83">
        <v>59979.49</v>
      </c>
      <c r="AP83">
        <v>457481.5</v>
      </c>
      <c r="AQ83" t="s">
        <v>1045</v>
      </c>
      <c r="AR83" t="s">
        <v>266</v>
      </c>
      <c r="AS83" t="s">
        <v>978</v>
      </c>
    </row>
    <row r="84" spans="11:45" x14ac:dyDescent="0.35">
      <c r="K84" s="374">
        <v>44895</v>
      </c>
      <c r="L84" t="s">
        <v>450</v>
      </c>
      <c r="M84" t="s">
        <v>451</v>
      </c>
      <c r="N84" t="s">
        <v>2249</v>
      </c>
      <c r="O84" t="s">
        <v>561</v>
      </c>
      <c r="P84" t="s">
        <v>563</v>
      </c>
      <c r="Q84" t="s">
        <v>269</v>
      </c>
      <c r="R84">
        <v>485039.25</v>
      </c>
      <c r="S84">
        <v>487001</v>
      </c>
      <c r="T84" t="s">
        <v>682</v>
      </c>
      <c r="U84" t="s">
        <v>686</v>
      </c>
      <c r="V84">
        <v>0.01</v>
      </c>
      <c r="W84">
        <v>0</v>
      </c>
      <c r="X84" t="s">
        <v>266</v>
      </c>
      <c r="Y84" t="s">
        <v>266</v>
      </c>
      <c r="AA84" s="354"/>
      <c r="AH84" t="s">
        <v>1938</v>
      </c>
      <c r="AI84" t="s">
        <v>450</v>
      </c>
      <c r="AJ84" t="s">
        <v>968</v>
      </c>
      <c r="AK84" t="s">
        <v>2323</v>
      </c>
      <c r="AL84" t="s">
        <v>1138</v>
      </c>
      <c r="AM84" t="s">
        <v>938</v>
      </c>
      <c r="AN84" t="s">
        <v>1044</v>
      </c>
      <c r="AO84">
        <v>60444</v>
      </c>
      <c r="AP84">
        <v>493294</v>
      </c>
      <c r="AQ84" t="s">
        <v>1045</v>
      </c>
      <c r="AR84" t="s">
        <v>266</v>
      </c>
      <c r="AS84" t="s">
        <v>978</v>
      </c>
    </row>
    <row r="85" spans="11:45" x14ac:dyDescent="0.35">
      <c r="K85" s="374">
        <v>44895</v>
      </c>
      <c r="L85" t="s">
        <v>450</v>
      </c>
      <c r="M85" t="s">
        <v>451</v>
      </c>
      <c r="N85" t="s">
        <v>2249</v>
      </c>
      <c r="O85" t="s">
        <v>561</v>
      </c>
      <c r="P85" t="s">
        <v>564</v>
      </c>
      <c r="Q85" t="s">
        <v>269</v>
      </c>
      <c r="R85">
        <v>501835.8</v>
      </c>
      <c r="S85">
        <v>501835.8</v>
      </c>
      <c r="T85" t="s">
        <v>682</v>
      </c>
      <c r="U85" t="s">
        <v>686</v>
      </c>
      <c r="V85">
        <v>0.01</v>
      </c>
      <c r="W85">
        <v>0</v>
      </c>
      <c r="X85" t="s">
        <v>266</v>
      </c>
      <c r="Y85" t="s">
        <v>266</v>
      </c>
      <c r="AA85" s="354"/>
      <c r="AH85" t="s">
        <v>1138</v>
      </c>
      <c r="AI85" t="s">
        <v>450</v>
      </c>
      <c r="AJ85" t="s">
        <v>968</v>
      </c>
      <c r="AK85" t="s">
        <v>2186</v>
      </c>
      <c r="AL85" t="s">
        <v>1139</v>
      </c>
      <c r="AM85" t="s">
        <v>1140</v>
      </c>
      <c r="AN85" t="s">
        <v>1141</v>
      </c>
      <c r="AO85">
        <v>854</v>
      </c>
      <c r="AP85">
        <v>6603</v>
      </c>
      <c r="AQ85" t="s">
        <v>1142</v>
      </c>
      <c r="AR85" t="s">
        <v>266</v>
      </c>
      <c r="AS85" t="s">
        <v>978</v>
      </c>
    </row>
    <row r="86" spans="11:45" x14ac:dyDescent="0.35">
      <c r="K86" s="374">
        <v>44896</v>
      </c>
      <c r="L86" t="s">
        <v>450</v>
      </c>
      <c r="M86" t="s">
        <v>451</v>
      </c>
      <c r="N86" t="s">
        <v>2197</v>
      </c>
      <c r="O86" t="s">
        <v>565</v>
      </c>
      <c r="P86" t="s">
        <v>566</v>
      </c>
      <c r="Q86" t="s">
        <v>269</v>
      </c>
      <c r="R86">
        <v>607718.15</v>
      </c>
      <c r="S86">
        <v>617780.6</v>
      </c>
      <c r="T86" t="s">
        <v>682</v>
      </c>
      <c r="U86" t="s">
        <v>686</v>
      </c>
      <c r="V86">
        <v>0.01</v>
      </c>
      <c r="W86">
        <v>0</v>
      </c>
      <c r="X86" t="s">
        <v>266</v>
      </c>
      <c r="Y86" t="s">
        <v>266</v>
      </c>
      <c r="AA86" s="354"/>
      <c r="AH86" t="s">
        <v>1138</v>
      </c>
      <c r="AI86" t="s">
        <v>450</v>
      </c>
      <c r="AJ86" t="s">
        <v>968</v>
      </c>
      <c r="AK86" t="s">
        <v>2323</v>
      </c>
      <c r="AL86" t="s">
        <v>1138</v>
      </c>
      <c r="AM86" t="s">
        <v>1143</v>
      </c>
      <c r="AN86" t="s">
        <v>1141</v>
      </c>
      <c r="AO86">
        <v>5277</v>
      </c>
      <c r="AP86">
        <v>5277</v>
      </c>
      <c r="AQ86" t="s">
        <v>1142</v>
      </c>
      <c r="AR86" t="s">
        <v>266</v>
      </c>
      <c r="AS86" t="s">
        <v>978</v>
      </c>
    </row>
    <row r="87" spans="11:45" x14ac:dyDescent="0.35">
      <c r="K87" s="374">
        <v>44896</v>
      </c>
      <c r="L87" t="s">
        <v>450</v>
      </c>
      <c r="M87" t="s">
        <v>451</v>
      </c>
      <c r="N87" t="s">
        <v>2197</v>
      </c>
      <c r="O87" t="s">
        <v>565</v>
      </c>
      <c r="P87" t="s">
        <v>567</v>
      </c>
      <c r="Q87" t="s">
        <v>269</v>
      </c>
      <c r="R87">
        <v>396113.2</v>
      </c>
      <c r="S87">
        <v>412344.1</v>
      </c>
      <c r="T87" t="s">
        <v>682</v>
      </c>
      <c r="U87" t="s">
        <v>686</v>
      </c>
      <c r="V87">
        <v>0.01</v>
      </c>
      <c r="W87">
        <v>0</v>
      </c>
      <c r="X87" t="s">
        <v>266</v>
      </c>
      <c r="Y87" t="s">
        <v>266</v>
      </c>
      <c r="AA87" s="354"/>
      <c r="AH87" t="s">
        <v>1138</v>
      </c>
      <c r="AI87" t="s">
        <v>450</v>
      </c>
      <c r="AJ87" t="s">
        <v>968</v>
      </c>
      <c r="AK87" t="s">
        <v>2323</v>
      </c>
      <c r="AL87" t="s">
        <v>1138</v>
      </c>
      <c r="AM87" t="s">
        <v>1144</v>
      </c>
      <c r="AN87" t="s">
        <v>1141</v>
      </c>
      <c r="AO87">
        <v>1658</v>
      </c>
      <c r="AP87">
        <v>1658</v>
      </c>
      <c r="AQ87" t="s">
        <v>1142</v>
      </c>
      <c r="AR87" t="s">
        <v>266</v>
      </c>
      <c r="AS87" t="s">
        <v>978</v>
      </c>
    </row>
    <row r="88" spans="11:45" x14ac:dyDescent="0.35">
      <c r="K88" s="374">
        <v>44896</v>
      </c>
      <c r="L88" t="s">
        <v>450</v>
      </c>
      <c r="M88" t="s">
        <v>451</v>
      </c>
      <c r="N88" t="s">
        <v>2197</v>
      </c>
      <c r="O88" t="s">
        <v>565</v>
      </c>
      <c r="P88" t="s">
        <v>568</v>
      </c>
      <c r="Q88" t="s">
        <v>269</v>
      </c>
      <c r="R88">
        <v>470576.1</v>
      </c>
      <c r="S88">
        <v>470576.1</v>
      </c>
      <c r="T88" t="s">
        <v>682</v>
      </c>
      <c r="U88" t="s">
        <v>686</v>
      </c>
      <c r="V88">
        <v>0.01</v>
      </c>
      <c r="W88">
        <v>0</v>
      </c>
      <c r="X88" t="s">
        <v>266</v>
      </c>
      <c r="Y88" t="s">
        <v>266</v>
      </c>
      <c r="AA88" s="354"/>
      <c r="AH88" t="s">
        <v>1138</v>
      </c>
      <c r="AI88" t="s">
        <v>450</v>
      </c>
      <c r="AJ88" t="s">
        <v>968</v>
      </c>
      <c r="AK88" t="s">
        <v>2110</v>
      </c>
      <c r="AL88" t="s">
        <v>1145</v>
      </c>
      <c r="AM88" t="s">
        <v>1146</v>
      </c>
      <c r="AN88" t="s">
        <v>1147</v>
      </c>
      <c r="AO88">
        <v>386</v>
      </c>
      <c r="AP88">
        <v>455562.6</v>
      </c>
      <c r="AQ88" t="s">
        <v>1148</v>
      </c>
      <c r="AR88" t="s">
        <v>266</v>
      </c>
      <c r="AS88" t="s">
        <v>978</v>
      </c>
    </row>
    <row r="89" spans="11:45" x14ac:dyDescent="0.35">
      <c r="K89" s="374">
        <v>44898</v>
      </c>
      <c r="L89" t="s">
        <v>450</v>
      </c>
      <c r="M89" t="s">
        <v>451</v>
      </c>
      <c r="N89" t="s">
        <v>2159</v>
      </c>
      <c r="O89" t="s">
        <v>569</v>
      </c>
      <c r="P89" t="s">
        <v>570</v>
      </c>
      <c r="Q89" t="s">
        <v>269</v>
      </c>
      <c r="R89">
        <v>534489.9</v>
      </c>
      <c r="S89">
        <v>534489.9</v>
      </c>
      <c r="T89" t="s">
        <v>682</v>
      </c>
      <c r="U89" t="s">
        <v>686</v>
      </c>
      <c r="V89">
        <v>0.01</v>
      </c>
      <c r="W89">
        <v>0</v>
      </c>
      <c r="X89" t="s">
        <v>266</v>
      </c>
      <c r="Y89" t="s">
        <v>266</v>
      </c>
      <c r="AA89" s="354"/>
      <c r="AH89" t="s">
        <v>1145</v>
      </c>
      <c r="AI89" t="s">
        <v>450</v>
      </c>
      <c r="AJ89" t="s">
        <v>968</v>
      </c>
      <c r="AK89" t="s">
        <v>2110</v>
      </c>
      <c r="AL89" t="s">
        <v>1145</v>
      </c>
      <c r="AM89" t="s">
        <v>1149</v>
      </c>
      <c r="AN89" t="s">
        <v>1150</v>
      </c>
      <c r="AO89">
        <v>255</v>
      </c>
      <c r="AP89">
        <v>25500</v>
      </c>
      <c r="AQ89" t="s">
        <v>1151</v>
      </c>
      <c r="AR89" t="s">
        <v>266</v>
      </c>
      <c r="AS89" t="s">
        <v>978</v>
      </c>
    </row>
    <row r="90" spans="11:45" x14ac:dyDescent="0.35">
      <c r="K90" s="374">
        <v>44903</v>
      </c>
      <c r="L90" t="s">
        <v>450</v>
      </c>
      <c r="M90" t="s">
        <v>451</v>
      </c>
      <c r="N90" t="s">
        <v>2140</v>
      </c>
      <c r="O90" t="s">
        <v>571</v>
      </c>
      <c r="P90" t="s">
        <v>572</v>
      </c>
      <c r="Q90" t="s">
        <v>269</v>
      </c>
      <c r="R90">
        <v>422071.4</v>
      </c>
      <c r="S90">
        <v>422071.4</v>
      </c>
      <c r="T90" t="s">
        <v>682</v>
      </c>
      <c r="U90" t="s">
        <v>686</v>
      </c>
      <c r="V90">
        <v>0.01</v>
      </c>
      <c r="W90">
        <v>0</v>
      </c>
      <c r="X90" t="s">
        <v>266</v>
      </c>
      <c r="Y90" t="s">
        <v>266</v>
      </c>
      <c r="AA90" s="354"/>
      <c r="AH90" t="s">
        <v>1139</v>
      </c>
      <c r="AI90" t="s">
        <v>450</v>
      </c>
      <c r="AJ90" t="s">
        <v>968</v>
      </c>
      <c r="AK90" t="s">
        <v>2186</v>
      </c>
      <c r="AL90" t="s">
        <v>1139</v>
      </c>
      <c r="AM90" t="s">
        <v>927</v>
      </c>
      <c r="AN90" t="s">
        <v>1152</v>
      </c>
      <c r="AO90">
        <v>1000</v>
      </c>
      <c r="AP90">
        <v>18000</v>
      </c>
      <c r="AR90" t="s">
        <v>266</v>
      </c>
      <c r="AS90" t="s">
        <v>978</v>
      </c>
    </row>
    <row r="91" spans="11:45" x14ac:dyDescent="0.35">
      <c r="K91" s="374">
        <v>44903</v>
      </c>
      <c r="L91" t="s">
        <v>450</v>
      </c>
      <c r="M91" t="s">
        <v>451</v>
      </c>
      <c r="N91" t="s">
        <v>2140</v>
      </c>
      <c r="O91" t="s">
        <v>571</v>
      </c>
      <c r="P91" t="s">
        <v>573</v>
      </c>
      <c r="Q91" t="s">
        <v>269</v>
      </c>
      <c r="R91">
        <v>354271.5</v>
      </c>
      <c r="S91">
        <v>360614</v>
      </c>
      <c r="T91" t="s">
        <v>682</v>
      </c>
      <c r="U91" t="s">
        <v>686</v>
      </c>
      <c r="V91">
        <v>0.01</v>
      </c>
      <c r="W91">
        <v>0</v>
      </c>
      <c r="X91" t="s">
        <v>266</v>
      </c>
      <c r="Y91" t="s">
        <v>266</v>
      </c>
      <c r="AA91" s="354"/>
      <c r="AH91" t="s">
        <v>1939</v>
      </c>
      <c r="AI91" t="s">
        <v>450</v>
      </c>
      <c r="AJ91" t="s">
        <v>968</v>
      </c>
      <c r="AK91" t="s">
        <v>2324</v>
      </c>
      <c r="AL91" t="s">
        <v>1153</v>
      </c>
      <c r="AM91" t="s">
        <v>960</v>
      </c>
      <c r="AN91" t="s">
        <v>1044</v>
      </c>
      <c r="AO91">
        <v>95268.77</v>
      </c>
      <c r="AP91">
        <v>674612.2</v>
      </c>
      <c r="AQ91" t="s">
        <v>1045</v>
      </c>
      <c r="AR91" t="s">
        <v>266</v>
      </c>
      <c r="AS91" t="s">
        <v>978</v>
      </c>
    </row>
    <row r="92" spans="11:45" x14ac:dyDescent="0.35">
      <c r="K92" s="374">
        <v>44906</v>
      </c>
      <c r="L92" t="s">
        <v>450</v>
      </c>
      <c r="M92" t="s">
        <v>451</v>
      </c>
      <c r="N92" t="s">
        <v>2250</v>
      </c>
      <c r="O92" t="s">
        <v>574</v>
      </c>
      <c r="P92" t="s">
        <v>575</v>
      </c>
      <c r="Q92" t="s">
        <v>269</v>
      </c>
      <c r="R92">
        <v>523510.8</v>
      </c>
      <c r="S92">
        <v>523510.8</v>
      </c>
      <c r="T92" t="s">
        <v>682</v>
      </c>
      <c r="U92" t="s">
        <v>686</v>
      </c>
      <c r="V92">
        <v>0.01</v>
      </c>
      <c r="W92">
        <v>0</v>
      </c>
      <c r="X92" t="s">
        <v>266</v>
      </c>
      <c r="Y92" t="s">
        <v>266</v>
      </c>
      <c r="AA92" s="354"/>
      <c r="AH92" t="s">
        <v>1940</v>
      </c>
      <c r="AI92" t="s">
        <v>450</v>
      </c>
      <c r="AJ92" t="s">
        <v>968</v>
      </c>
      <c r="AK92" t="s">
        <v>2325</v>
      </c>
      <c r="AL92" t="s">
        <v>1154</v>
      </c>
      <c r="AM92" t="s">
        <v>945</v>
      </c>
      <c r="AN92" t="s">
        <v>1155</v>
      </c>
      <c r="AO92">
        <v>515</v>
      </c>
      <c r="AP92">
        <v>607618.87</v>
      </c>
      <c r="AQ92" t="s">
        <v>1156</v>
      </c>
      <c r="AR92" t="s">
        <v>266</v>
      </c>
      <c r="AS92" t="s">
        <v>978</v>
      </c>
    </row>
    <row r="93" spans="11:45" x14ac:dyDescent="0.35">
      <c r="K93" s="374">
        <v>45010</v>
      </c>
      <c r="L93" t="s">
        <v>450</v>
      </c>
      <c r="M93" t="s">
        <v>451</v>
      </c>
      <c r="N93" t="s">
        <v>2251</v>
      </c>
      <c r="O93" t="s">
        <v>576</v>
      </c>
      <c r="P93" t="s">
        <v>577</v>
      </c>
      <c r="Q93" t="s">
        <v>268</v>
      </c>
      <c r="R93">
        <v>128249.43</v>
      </c>
      <c r="S93">
        <v>803697.13</v>
      </c>
      <c r="T93" t="s">
        <v>683</v>
      </c>
      <c r="U93" t="s">
        <v>688</v>
      </c>
      <c r="V93">
        <v>0.01</v>
      </c>
      <c r="W93">
        <v>0</v>
      </c>
      <c r="X93" t="s">
        <v>266</v>
      </c>
      <c r="Y93" t="s">
        <v>266</v>
      </c>
      <c r="AA93" s="354"/>
      <c r="AH93" t="s">
        <v>1157</v>
      </c>
      <c r="AI93" t="s">
        <v>450</v>
      </c>
      <c r="AJ93" t="s">
        <v>968</v>
      </c>
      <c r="AK93" t="s">
        <v>2134</v>
      </c>
      <c r="AL93" t="s">
        <v>1157</v>
      </c>
      <c r="AM93" t="s">
        <v>1158</v>
      </c>
      <c r="AN93" t="s">
        <v>1159</v>
      </c>
      <c r="AO93">
        <v>630</v>
      </c>
      <c r="AP93">
        <v>63000</v>
      </c>
      <c r="AR93" t="s">
        <v>266</v>
      </c>
      <c r="AS93" t="s">
        <v>978</v>
      </c>
    </row>
    <row r="94" spans="11:45" x14ac:dyDescent="0.35">
      <c r="K94" s="374">
        <v>45011</v>
      </c>
      <c r="L94" t="s">
        <v>450</v>
      </c>
      <c r="M94" t="s">
        <v>451</v>
      </c>
      <c r="N94" t="s">
        <v>2252</v>
      </c>
      <c r="O94" t="s">
        <v>578</v>
      </c>
      <c r="P94" t="s">
        <v>579</v>
      </c>
      <c r="Q94" t="s">
        <v>268</v>
      </c>
      <c r="R94">
        <v>794693.25</v>
      </c>
      <c r="S94">
        <v>804915</v>
      </c>
      <c r="T94" t="s">
        <v>683</v>
      </c>
      <c r="U94" t="s">
        <v>688</v>
      </c>
      <c r="V94">
        <v>0.01</v>
      </c>
      <c r="W94">
        <v>0</v>
      </c>
      <c r="X94" t="s">
        <v>266</v>
      </c>
      <c r="Y94" t="s">
        <v>266</v>
      </c>
      <c r="AA94" s="354"/>
      <c r="AH94" t="s">
        <v>1157</v>
      </c>
      <c r="AI94" t="s">
        <v>450</v>
      </c>
      <c r="AJ94" t="s">
        <v>968</v>
      </c>
      <c r="AK94" t="s">
        <v>2326</v>
      </c>
      <c r="AL94" t="s">
        <v>1160</v>
      </c>
      <c r="AM94" t="s">
        <v>1161</v>
      </c>
      <c r="AN94" t="s">
        <v>1159</v>
      </c>
      <c r="AO94">
        <v>700</v>
      </c>
      <c r="AP94">
        <v>70000</v>
      </c>
      <c r="AR94" t="s">
        <v>266</v>
      </c>
      <c r="AS94" t="s">
        <v>978</v>
      </c>
    </row>
    <row r="95" spans="11:45" x14ac:dyDescent="0.35">
      <c r="K95" s="374">
        <v>45011</v>
      </c>
      <c r="L95" t="s">
        <v>450</v>
      </c>
      <c r="M95" t="s">
        <v>451</v>
      </c>
      <c r="N95" t="s">
        <v>2252</v>
      </c>
      <c r="O95" t="s">
        <v>578</v>
      </c>
      <c r="P95" t="s">
        <v>580</v>
      </c>
      <c r="Q95" t="s">
        <v>268</v>
      </c>
      <c r="R95">
        <v>777285</v>
      </c>
      <c r="S95">
        <v>787202.9</v>
      </c>
      <c r="T95" t="s">
        <v>683</v>
      </c>
      <c r="U95" t="s">
        <v>688</v>
      </c>
      <c r="V95">
        <v>0.01</v>
      </c>
      <c r="W95">
        <v>0</v>
      </c>
      <c r="X95" t="s">
        <v>266</v>
      </c>
      <c r="Y95" t="s">
        <v>266</v>
      </c>
      <c r="AA95" s="354"/>
      <c r="AH95" t="s">
        <v>1160</v>
      </c>
      <c r="AI95" t="s">
        <v>450</v>
      </c>
      <c r="AJ95" t="s">
        <v>968</v>
      </c>
      <c r="AK95" t="s">
        <v>2326</v>
      </c>
      <c r="AL95" t="s">
        <v>1160</v>
      </c>
      <c r="AM95" t="s">
        <v>1162</v>
      </c>
      <c r="AN95" t="s">
        <v>1019</v>
      </c>
      <c r="AO95">
        <v>1540</v>
      </c>
      <c r="AP95">
        <v>56000</v>
      </c>
      <c r="AQ95" t="s">
        <v>1020</v>
      </c>
      <c r="AR95" t="s">
        <v>266</v>
      </c>
      <c r="AS95" t="s">
        <v>1021</v>
      </c>
    </row>
    <row r="96" spans="11:45" x14ac:dyDescent="0.35">
      <c r="K96" s="374">
        <v>45012</v>
      </c>
      <c r="L96" t="s">
        <v>450</v>
      </c>
      <c r="M96" t="s">
        <v>451</v>
      </c>
      <c r="N96" t="s">
        <v>2202</v>
      </c>
      <c r="O96" t="s">
        <v>581</v>
      </c>
      <c r="P96" t="s">
        <v>582</v>
      </c>
      <c r="Q96" t="s">
        <v>268</v>
      </c>
      <c r="R96">
        <v>685057.5</v>
      </c>
      <c r="S96">
        <v>687491.25</v>
      </c>
      <c r="T96" t="s">
        <v>683</v>
      </c>
      <c r="U96" t="s">
        <v>688</v>
      </c>
      <c r="V96">
        <v>0.01</v>
      </c>
      <c r="W96">
        <v>0</v>
      </c>
      <c r="X96" t="s">
        <v>266</v>
      </c>
      <c r="Y96" t="s">
        <v>266</v>
      </c>
      <c r="AA96" s="354"/>
      <c r="AH96" t="s">
        <v>1160</v>
      </c>
      <c r="AI96" t="s">
        <v>450</v>
      </c>
      <c r="AJ96" t="s">
        <v>968</v>
      </c>
      <c r="AK96" t="s">
        <v>2325</v>
      </c>
      <c r="AL96" t="s">
        <v>1154</v>
      </c>
      <c r="AM96" t="s">
        <v>913</v>
      </c>
      <c r="AN96" t="s">
        <v>1163</v>
      </c>
      <c r="AO96">
        <v>305</v>
      </c>
      <c r="AP96">
        <v>360336.6</v>
      </c>
      <c r="AQ96" t="s">
        <v>1164</v>
      </c>
      <c r="AR96" t="s">
        <v>266</v>
      </c>
      <c r="AS96" t="s">
        <v>1021</v>
      </c>
    </row>
    <row r="97" spans="11:45" x14ac:dyDescent="0.35">
      <c r="K97" s="374">
        <v>45012</v>
      </c>
      <c r="L97" t="s">
        <v>450</v>
      </c>
      <c r="M97" t="s">
        <v>451</v>
      </c>
      <c r="N97" t="s">
        <v>2202</v>
      </c>
      <c r="O97" t="s">
        <v>581</v>
      </c>
      <c r="P97" t="s">
        <v>583</v>
      </c>
      <c r="Q97" t="s">
        <v>268</v>
      </c>
      <c r="R97">
        <v>706743.87</v>
      </c>
      <c r="S97">
        <v>713315</v>
      </c>
      <c r="T97" t="s">
        <v>683</v>
      </c>
      <c r="U97" t="s">
        <v>688</v>
      </c>
      <c r="V97">
        <v>0.01</v>
      </c>
      <c r="W97">
        <v>0</v>
      </c>
      <c r="X97" t="s">
        <v>266</v>
      </c>
      <c r="Y97" t="s">
        <v>266</v>
      </c>
      <c r="AA97" s="354"/>
      <c r="AH97" t="s">
        <v>1160</v>
      </c>
      <c r="AI97" t="s">
        <v>450</v>
      </c>
      <c r="AJ97" t="s">
        <v>968</v>
      </c>
      <c r="AK97" t="s">
        <v>2325</v>
      </c>
      <c r="AL97" t="s">
        <v>1154</v>
      </c>
      <c r="AM97" t="s">
        <v>348</v>
      </c>
      <c r="AN97" t="s">
        <v>1044</v>
      </c>
      <c r="AO97">
        <v>55392.92</v>
      </c>
      <c r="AP97">
        <v>399919.95</v>
      </c>
      <c r="AQ97" t="s">
        <v>1045</v>
      </c>
      <c r="AR97" t="s">
        <v>266</v>
      </c>
      <c r="AS97" t="s">
        <v>978</v>
      </c>
    </row>
    <row r="98" spans="11:45" x14ac:dyDescent="0.35">
      <c r="K98" s="374">
        <v>45064</v>
      </c>
      <c r="L98" t="s">
        <v>450</v>
      </c>
      <c r="M98" t="s">
        <v>584</v>
      </c>
      <c r="N98" t="s">
        <v>2203</v>
      </c>
      <c r="O98" t="s">
        <v>585</v>
      </c>
      <c r="P98" t="s">
        <v>586</v>
      </c>
      <c r="Q98" t="s">
        <v>269</v>
      </c>
      <c r="R98">
        <v>2120</v>
      </c>
      <c r="S98">
        <v>2120</v>
      </c>
      <c r="T98" t="s">
        <v>682</v>
      </c>
      <c r="U98" t="s">
        <v>686</v>
      </c>
      <c r="V98">
        <v>0.01</v>
      </c>
      <c r="W98">
        <v>0</v>
      </c>
      <c r="X98" t="s">
        <v>266</v>
      </c>
      <c r="Y98" t="s">
        <v>266</v>
      </c>
      <c r="AA98" s="354"/>
      <c r="AH98" t="s">
        <v>1169</v>
      </c>
      <c r="AI98" t="s">
        <v>450</v>
      </c>
      <c r="AJ98" t="s">
        <v>968</v>
      </c>
      <c r="AK98" t="s">
        <v>2327</v>
      </c>
      <c r="AL98" t="s">
        <v>1165</v>
      </c>
      <c r="AM98" t="s">
        <v>1050</v>
      </c>
      <c r="AN98" t="s">
        <v>1166</v>
      </c>
      <c r="AO98">
        <v>299</v>
      </c>
      <c r="AP98">
        <v>363822.35</v>
      </c>
      <c r="AQ98" t="s">
        <v>1167</v>
      </c>
      <c r="AR98" t="s">
        <v>266</v>
      </c>
      <c r="AS98" t="s">
        <v>978</v>
      </c>
    </row>
    <row r="99" spans="11:45" x14ac:dyDescent="0.35">
      <c r="K99" s="374">
        <v>45106</v>
      </c>
      <c r="L99" t="s">
        <v>450</v>
      </c>
      <c r="M99" t="s">
        <v>451</v>
      </c>
      <c r="N99" t="s">
        <v>2253</v>
      </c>
      <c r="O99" t="s">
        <v>587</v>
      </c>
      <c r="P99" t="s">
        <v>588</v>
      </c>
      <c r="Q99" t="s">
        <v>282</v>
      </c>
      <c r="R99">
        <v>151902.59</v>
      </c>
      <c r="S99">
        <v>422074.2</v>
      </c>
      <c r="T99" t="s">
        <v>2254</v>
      </c>
      <c r="U99" t="s">
        <v>690</v>
      </c>
      <c r="V99">
        <v>3000000</v>
      </c>
      <c r="W99">
        <v>0</v>
      </c>
      <c r="X99" t="s">
        <v>266</v>
      </c>
      <c r="Y99" t="s">
        <v>266</v>
      </c>
      <c r="AA99" s="354"/>
      <c r="AH99" t="s">
        <v>1169</v>
      </c>
      <c r="AI99" t="s">
        <v>450</v>
      </c>
      <c r="AJ99" t="s">
        <v>968</v>
      </c>
      <c r="AK99" t="s">
        <v>2328</v>
      </c>
      <c r="AL99" t="s">
        <v>1169</v>
      </c>
      <c r="AM99" t="s">
        <v>1170</v>
      </c>
      <c r="AN99" t="s">
        <v>971</v>
      </c>
      <c r="AO99">
        <v>10920</v>
      </c>
      <c r="AP99">
        <v>100100</v>
      </c>
      <c r="AQ99" t="s">
        <v>972</v>
      </c>
      <c r="AR99" t="s">
        <v>266</v>
      </c>
      <c r="AS99" t="s">
        <v>973</v>
      </c>
    </row>
    <row r="100" spans="11:45" x14ac:dyDescent="0.35">
      <c r="K100" s="374">
        <v>45112</v>
      </c>
      <c r="L100" t="s">
        <v>450</v>
      </c>
      <c r="M100" t="s">
        <v>451</v>
      </c>
      <c r="N100" t="s">
        <v>2255</v>
      </c>
      <c r="O100" t="s">
        <v>589</v>
      </c>
      <c r="P100" t="s">
        <v>590</v>
      </c>
      <c r="Q100" t="s">
        <v>282</v>
      </c>
      <c r="R100">
        <v>750763.2</v>
      </c>
      <c r="S100">
        <v>770917.6</v>
      </c>
      <c r="T100" t="s">
        <v>2254</v>
      </c>
      <c r="U100" t="s">
        <v>690</v>
      </c>
      <c r="V100">
        <v>3000000</v>
      </c>
      <c r="W100">
        <v>0</v>
      </c>
      <c r="X100" t="s">
        <v>266</v>
      </c>
      <c r="Y100" t="s">
        <v>266</v>
      </c>
      <c r="AA100" s="354"/>
      <c r="AH100" t="s">
        <v>1165</v>
      </c>
      <c r="AI100" t="s">
        <v>450</v>
      </c>
      <c r="AJ100" t="s">
        <v>968</v>
      </c>
      <c r="AK100" t="s">
        <v>2327</v>
      </c>
      <c r="AL100" t="s">
        <v>1165</v>
      </c>
      <c r="AM100" t="s">
        <v>1171</v>
      </c>
      <c r="AN100" t="s">
        <v>1172</v>
      </c>
      <c r="AO100">
        <v>4186</v>
      </c>
      <c r="AP100">
        <v>99330</v>
      </c>
      <c r="AQ100" t="s">
        <v>1173</v>
      </c>
      <c r="AR100" t="s">
        <v>266</v>
      </c>
      <c r="AS100" t="s">
        <v>1174</v>
      </c>
    </row>
    <row r="101" spans="11:45" x14ac:dyDescent="0.35">
      <c r="K101" s="374">
        <v>45112</v>
      </c>
      <c r="L101" t="s">
        <v>450</v>
      </c>
      <c r="M101" t="s">
        <v>451</v>
      </c>
      <c r="N101" t="s">
        <v>2255</v>
      </c>
      <c r="O101" t="s">
        <v>589</v>
      </c>
      <c r="P101" t="s">
        <v>591</v>
      </c>
      <c r="Q101" t="s">
        <v>282</v>
      </c>
      <c r="R101">
        <v>468212.2</v>
      </c>
      <c r="S101">
        <v>472536.9</v>
      </c>
      <c r="T101" t="s">
        <v>2254</v>
      </c>
      <c r="U101" t="s">
        <v>690</v>
      </c>
      <c r="V101">
        <v>3000000</v>
      </c>
      <c r="W101">
        <v>0</v>
      </c>
      <c r="X101" t="s">
        <v>266</v>
      </c>
      <c r="Y101" t="s">
        <v>266</v>
      </c>
      <c r="AA101" s="354"/>
      <c r="AH101" t="s">
        <v>1165</v>
      </c>
      <c r="AI101" t="s">
        <v>450</v>
      </c>
      <c r="AJ101" t="s">
        <v>968</v>
      </c>
      <c r="AK101" t="s">
        <v>2187</v>
      </c>
      <c r="AL101" t="s">
        <v>1175</v>
      </c>
      <c r="AM101" t="s">
        <v>328</v>
      </c>
      <c r="AN101" t="s">
        <v>1176</v>
      </c>
      <c r="AO101">
        <v>105230</v>
      </c>
      <c r="AP101">
        <v>743990</v>
      </c>
      <c r="AQ101" t="s">
        <v>1177</v>
      </c>
      <c r="AR101" t="s">
        <v>266</v>
      </c>
      <c r="AS101" t="s">
        <v>978</v>
      </c>
    </row>
    <row r="102" spans="11:45" x14ac:dyDescent="0.35">
      <c r="K102" s="374">
        <v>45119</v>
      </c>
      <c r="L102" t="s">
        <v>450</v>
      </c>
      <c r="M102" t="s">
        <v>451</v>
      </c>
      <c r="N102" t="s">
        <v>2162</v>
      </c>
      <c r="O102" t="s">
        <v>592</v>
      </c>
      <c r="P102" t="s">
        <v>593</v>
      </c>
      <c r="Q102" t="s">
        <v>282</v>
      </c>
      <c r="R102">
        <v>22420</v>
      </c>
      <c r="S102">
        <v>476472.2</v>
      </c>
      <c r="T102" t="s">
        <v>2254</v>
      </c>
      <c r="U102" t="s">
        <v>690</v>
      </c>
      <c r="V102">
        <v>3000000</v>
      </c>
      <c r="W102">
        <v>0</v>
      </c>
      <c r="X102" t="s">
        <v>266</v>
      </c>
      <c r="Y102" t="s">
        <v>266</v>
      </c>
      <c r="AA102" s="354"/>
      <c r="AH102" t="s">
        <v>1178</v>
      </c>
      <c r="AI102" t="s">
        <v>450</v>
      </c>
      <c r="AJ102" t="s">
        <v>968</v>
      </c>
      <c r="AK102" t="s">
        <v>2188</v>
      </c>
      <c r="AL102" t="s">
        <v>1178</v>
      </c>
      <c r="AM102" t="s">
        <v>1179</v>
      </c>
      <c r="AN102" t="s">
        <v>1180</v>
      </c>
      <c r="AO102">
        <v>820</v>
      </c>
      <c r="AP102">
        <v>967222.4</v>
      </c>
      <c r="AQ102" t="s">
        <v>1181</v>
      </c>
      <c r="AR102" t="s">
        <v>266</v>
      </c>
      <c r="AS102" t="s">
        <v>978</v>
      </c>
    </row>
    <row r="103" spans="11:45" x14ac:dyDescent="0.35">
      <c r="K103" s="374">
        <v>45121</v>
      </c>
      <c r="L103" t="s">
        <v>450</v>
      </c>
      <c r="M103" t="s">
        <v>451</v>
      </c>
      <c r="N103" t="s">
        <v>2256</v>
      </c>
      <c r="O103" t="s">
        <v>594</v>
      </c>
      <c r="P103" t="s">
        <v>595</v>
      </c>
      <c r="Q103" t="s">
        <v>282</v>
      </c>
      <c r="R103">
        <v>647985.19999999995</v>
      </c>
      <c r="S103">
        <v>649814.19999999995</v>
      </c>
      <c r="T103" t="s">
        <v>2254</v>
      </c>
      <c r="U103" t="s">
        <v>690</v>
      </c>
      <c r="V103">
        <v>3000000</v>
      </c>
      <c r="W103">
        <v>0</v>
      </c>
      <c r="X103" t="s">
        <v>266</v>
      </c>
      <c r="Y103" t="s">
        <v>266</v>
      </c>
      <c r="AA103" s="354"/>
      <c r="AH103" t="s">
        <v>1178</v>
      </c>
      <c r="AI103" t="s">
        <v>450</v>
      </c>
      <c r="AJ103" t="s">
        <v>968</v>
      </c>
      <c r="AK103" t="s">
        <v>2329</v>
      </c>
      <c r="AL103" t="s">
        <v>1182</v>
      </c>
      <c r="AM103" t="s">
        <v>1183</v>
      </c>
      <c r="AN103" t="s">
        <v>1184</v>
      </c>
      <c r="AO103">
        <v>57866.400000000001</v>
      </c>
      <c r="AP103">
        <v>379346.4</v>
      </c>
      <c r="AQ103" t="s">
        <v>1185</v>
      </c>
      <c r="AR103" t="s">
        <v>266</v>
      </c>
      <c r="AS103" t="s">
        <v>978</v>
      </c>
    </row>
    <row r="104" spans="11:45" x14ac:dyDescent="0.35">
      <c r="K104" s="374">
        <v>45124</v>
      </c>
      <c r="L104" t="s">
        <v>450</v>
      </c>
      <c r="M104" t="s">
        <v>451</v>
      </c>
      <c r="N104" t="s">
        <v>2257</v>
      </c>
      <c r="O104" t="s">
        <v>596</v>
      </c>
      <c r="P104" t="s">
        <v>597</v>
      </c>
      <c r="Q104" t="s">
        <v>282</v>
      </c>
      <c r="R104">
        <v>857352.6</v>
      </c>
      <c r="S104">
        <v>866969.59999999998</v>
      </c>
      <c r="T104" t="s">
        <v>2254</v>
      </c>
      <c r="U104" t="s">
        <v>690</v>
      </c>
      <c r="V104">
        <v>3000000</v>
      </c>
      <c r="W104">
        <v>0</v>
      </c>
      <c r="X104" t="s">
        <v>266</v>
      </c>
      <c r="Y104" t="s">
        <v>266</v>
      </c>
      <c r="AA104" s="354"/>
      <c r="AH104" t="s">
        <v>1175</v>
      </c>
      <c r="AI104" t="s">
        <v>450</v>
      </c>
      <c r="AJ104" t="s">
        <v>968</v>
      </c>
      <c r="AK104" t="s">
        <v>2330</v>
      </c>
      <c r="AL104" t="s">
        <v>1186</v>
      </c>
      <c r="AM104" t="s">
        <v>1187</v>
      </c>
      <c r="AN104" t="s">
        <v>1141</v>
      </c>
      <c r="AO104">
        <v>8843</v>
      </c>
      <c r="AP104">
        <v>8843</v>
      </c>
      <c r="AQ104" t="s">
        <v>1142</v>
      </c>
      <c r="AR104" t="s">
        <v>266</v>
      </c>
      <c r="AS104" t="s">
        <v>978</v>
      </c>
    </row>
    <row r="105" spans="11:45" x14ac:dyDescent="0.35">
      <c r="K105" s="374">
        <v>45153</v>
      </c>
      <c r="L105" t="s">
        <v>450</v>
      </c>
      <c r="M105" t="s">
        <v>451</v>
      </c>
      <c r="N105" t="s">
        <v>2206</v>
      </c>
      <c r="O105" t="s">
        <v>598</v>
      </c>
      <c r="P105" t="s">
        <v>599</v>
      </c>
      <c r="Q105" t="s">
        <v>278</v>
      </c>
      <c r="R105">
        <v>302399.35999999999</v>
      </c>
      <c r="S105">
        <v>1330257.51</v>
      </c>
      <c r="T105" t="s">
        <v>691</v>
      </c>
      <c r="U105" t="s">
        <v>692</v>
      </c>
      <c r="V105">
        <v>2000000</v>
      </c>
      <c r="W105">
        <v>0</v>
      </c>
      <c r="X105" t="s">
        <v>266</v>
      </c>
      <c r="Y105" t="s">
        <v>266</v>
      </c>
      <c r="AA105" s="354"/>
      <c r="AH105" t="s">
        <v>1175</v>
      </c>
      <c r="AI105" t="s">
        <v>450</v>
      </c>
      <c r="AJ105" t="s">
        <v>968</v>
      </c>
      <c r="AK105" t="s">
        <v>2330</v>
      </c>
      <c r="AL105" t="s">
        <v>1186</v>
      </c>
      <c r="AM105" t="s">
        <v>1188</v>
      </c>
      <c r="AN105" t="s">
        <v>1141</v>
      </c>
      <c r="AO105">
        <v>5678</v>
      </c>
      <c r="AP105">
        <v>5678</v>
      </c>
      <c r="AQ105" t="s">
        <v>1142</v>
      </c>
      <c r="AR105" t="s">
        <v>266</v>
      </c>
      <c r="AS105" t="s">
        <v>978</v>
      </c>
    </row>
    <row r="106" spans="11:45" x14ac:dyDescent="0.35">
      <c r="K106" s="374">
        <v>45155</v>
      </c>
      <c r="L106" t="s">
        <v>450</v>
      </c>
      <c r="M106" t="s">
        <v>451</v>
      </c>
      <c r="N106" t="s">
        <v>2258</v>
      </c>
      <c r="O106" t="s">
        <v>600</v>
      </c>
      <c r="P106" t="s">
        <v>601</v>
      </c>
      <c r="Q106" t="s">
        <v>269</v>
      </c>
      <c r="R106">
        <v>899301.6</v>
      </c>
      <c r="S106">
        <v>971659.2</v>
      </c>
      <c r="T106" t="s">
        <v>682</v>
      </c>
      <c r="U106" t="s">
        <v>686</v>
      </c>
      <c r="V106">
        <v>0.01</v>
      </c>
      <c r="W106">
        <v>0</v>
      </c>
      <c r="X106" t="s">
        <v>266</v>
      </c>
      <c r="Y106" t="s">
        <v>266</v>
      </c>
      <c r="AA106" s="354"/>
      <c r="AH106" t="s">
        <v>1175</v>
      </c>
      <c r="AI106" t="s">
        <v>450</v>
      </c>
      <c r="AJ106" t="s">
        <v>968</v>
      </c>
      <c r="AK106" t="s">
        <v>2330</v>
      </c>
      <c r="AL106" t="s">
        <v>1186</v>
      </c>
      <c r="AM106" t="s">
        <v>1189</v>
      </c>
      <c r="AN106" t="s">
        <v>1141</v>
      </c>
      <c r="AO106">
        <v>7564</v>
      </c>
      <c r="AP106">
        <v>7564</v>
      </c>
      <c r="AQ106" t="s">
        <v>1142</v>
      </c>
      <c r="AR106" t="s">
        <v>266</v>
      </c>
      <c r="AS106" t="s">
        <v>978</v>
      </c>
    </row>
    <row r="107" spans="11:45" x14ac:dyDescent="0.35">
      <c r="K107" s="374">
        <v>45172</v>
      </c>
      <c r="L107" t="s">
        <v>450</v>
      </c>
      <c r="M107" t="s">
        <v>451</v>
      </c>
      <c r="N107" t="s">
        <v>2259</v>
      </c>
      <c r="O107" t="s">
        <v>602</v>
      </c>
      <c r="P107" t="s">
        <v>603</v>
      </c>
      <c r="Q107" t="s">
        <v>278</v>
      </c>
      <c r="R107">
        <v>761300.5</v>
      </c>
      <c r="S107">
        <v>761300.5</v>
      </c>
      <c r="T107" t="s">
        <v>691</v>
      </c>
      <c r="U107" t="s">
        <v>692</v>
      </c>
      <c r="V107">
        <v>2000000</v>
      </c>
      <c r="W107">
        <v>0</v>
      </c>
      <c r="X107" t="s">
        <v>266</v>
      </c>
      <c r="Y107" t="s">
        <v>266</v>
      </c>
      <c r="AA107" s="354"/>
      <c r="AH107" t="s">
        <v>1182</v>
      </c>
      <c r="AI107" t="s">
        <v>450</v>
      </c>
      <c r="AJ107" t="s">
        <v>968</v>
      </c>
      <c r="AK107" t="s">
        <v>2189</v>
      </c>
      <c r="AL107" t="s">
        <v>1190</v>
      </c>
      <c r="AM107" t="s">
        <v>1191</v>
      </c>
      <c r="AN107" t="s">
        <v>1192</v>
      </c>
      <c r="AO107">
        <v>89350.09</v>
      </c>
      <c r="AP107">
        <v>669183.48</v>
      </c>
      <c r="AQ107" t="s">
        <v>1193</v>
      </c>
      <c r="AR107" t="s">
        <v>266</v>
      </c>
      <c r="AS107" t="s">
        <v>978</v>
      </c>
    </row>
    <row r="108" spans="11:45" x14ac:dyDescent="0.35">
      <c r="K108" s="374">
        <v>45172</v>
      </c>
      <c r="L108" t="s">
        <v>450</v>
      </c>
      <c r="M108" t="s">
        <v>451</v>
      </c>
      <c r="N108" t="s">
        <v>2259</v>
      </c>
      <c r="O108" t="s">
        <v>602</v>
      </c>
      <c r="P108" t="s">
        <v>604</v>
      </c>
      <c r="Q108" t="s">
        <v>278</v>
      </c>
      <c r="R108">
        <v>676544.6</v>
      </c>
      <c r="S108">
        <v>676544.6</v>
      </c>
      <c r="T108" t="s">
        <v>691</v>
      </c>
      <c r="U108" t="s">
        <v>692</v>
      </c>
      <c r="V108">
        <v>2000000</v>
      </c>
      <c r="W108">
        <v>0</v>
      </c>
      <c r="X108" t="s">
        <v>266</v>
      </c>
      <c r="Y108" t="s">
        <v>266</v>
      </c>
      <c r="AA108" s="354"/>
      <c r="AH108" t="s">
        <v>1182</v>
      </c>
      <c r="AI108" t="s">
        <v>450</v>
      </c>
      <c r="AJ108" t="s">
        <v>968</v>
      </c>
      <c r="AK108" t="s">
        <v>2331</v>
      </c>
      <c r="AL108" t="s">
        <v>1194</v>
      </c>
      <c r="AM108" t="s">
        <v>1088</v>
      </c>
      <c r="AN108" t="s">
        <v>1195</v>
      </c>
      <c r="AO108">
        <v>66935.7</v>
      </c>
      <c r="AP108">
        <v>438800.7</v>
      </c>
      <c r="AQ108" t="s">
        <v>1196</v>
      </c>
      <c r="AR108" t="s">
        <v>266</v>
      </c>
      <c r="AS108" t="s">
        <v>978</v>
      </c>
    </row>
    <row r="109" spans="11:45" x14ac:dyDescent="0.35">
      <c r="K109" s="374">
        <v>45339</v>
      </c>
      <c r="L109" t="s">
        <v>450</v>
      </c>
      <c r="M109" t="s">
        <v>451</v>
      </c>
      <c r="N109" t="s">
        <v>2219</v>
      </c>
      <c r="O109" t="s">
        <v>605</v>
      </c>
      <c r="P109" t="s">
        <v>606</v>
      </c>
      <c r="Q109" t="s">
        <v>284</v>
      </c>
      <c r="R109">
        <v>353972.21</v>
      </c>
      <c r="S109">
        <v>361917.8</v>
      </c>
      <c r="T109" t="s">
        <v>683</v>
      </c>
      <c r="U109" t="s">
        <v>684</v>
      </c>
      <c r="V109">
        <v>0.01</v>
      </c>
      <c r="W109">
        <v>0</v>
      </c>
      <c r="X109" t="s">
        <v>266</v>
      </c>
      <c r="Y109" t="s">
        <v>266</v>
      </c>
      <c r="AA109" s="354"/>
      <c r="AH109" t="s">
        <v>1941</v>
      </c>
      <c r="AI109" t="s">
        <v>450</v>
      </c>
      <c r="AJ109" t="s">
        <v>968</v>
      </c>
      <c r="AK109" t="s">
        <v>2189</v>
      </c>
      <c r="AL109" t="s">
        <v>1190</v>
      </c>
      <c r="AM109" t="s">
        <v>921</v>
      </c>
      <c r="AN109" t="s">
        <v>1197</v>
      </c>
      <c r="AO109">
        <v>115626.4</v>
      </c>
      <c r="AP109">
        <v>787390.4</v>
      </c>
      <c r="AQ109" t="s">
        <v>1198</v>
      </c>
      <c r="AR109" t="s">
        <v>266</v>
      </c>
      <c r="AS109" t="s">
        <v>978</v>
      </c>
    </row>
    <row r="110" spans="11:45" x14ac:dyDescent="0.35">
      <c r="K110" s="374">
        <v>45339</v>
      </c>
      <c r="L110" t="s">
        <v>450</v>
      </c>
      <c r="M110" t="s">
        <v>451</v>
      </c>
      <c r="N110" t="s">
        <v>2219</v>
      </c>
      <c r="O110" t="s">
        <v>605</v>
      </c>
      <c r="P110" t="s">
        <v>607</v>
      </c>
      <c r="Q110" t="s">
        <v>284</v>
      </c>
      <c r="R110">
        <v>438343.74</v>
      </c>
      <c r="S110">
        <v>443821.6</v>
      </c>
      <c r="T110" t="s">
        <v>683</v>
      </c>
      <c r="U110" t="s">
        <v>684</v>
      </c>
      <c r="V110">
        <v>0.01</v>
      </c>
      <c r="W110">
        <v>0</v>
      </c>
      <c r="X110" t="s">
        <v>266</v>
      </c>
      <c r="Y110" t="s">
        <v>266</v>
      </c>
      <c r="AA110" s="354"/>
      <c r="AH110" t="s">
        <v>1942</v>
      </c>
      <c r="AI110" t="s">
        <v>450</v>
      </c>
      <c r="AJ110" t="s">
        <v>968</v>
      </c>
      <c r="AK110" t="s">
        <v>2135</v>
      </c>
      <c r="AL110" t="s">
        <v>1199</v>
      </c>
      <c r="AM110" t="s">
        <v>879</v>
      </c>
      <c r="AN110" t="s">
        <v>1200</v>
      </c>
      <c r="AO110">
        <v>426</v>
      </c>
      <c r="AP110">
        <v>503182.68</v>
      </c>
      <c r="AQ110" t="s">
        <v>1201</v>
      </c>
      <c r="AR110" t="s">
        <v>266</v>
      </c>
      <c r="AS110" t="s">
        <v>978</v>
      </c>
    </row>
    <row r="111" spans="11:45" x14ac:dyDescent="0.35">
      <c r="K111" s="374">
        <v>45340</v>
      </c>
      <c r="L111" t="s">
        <v>450</v>
      </c>
      <c r="M111" t="s">
        <v>451</v>
      </c>
      <c r="N111" t="s">
        <v>2147</v>
      </c>
      <c r="O111" t="s">
        <v>608</v>
      </c>
      <c r="P111" t="s">
        <v>609</v>
      </c>
      <c r="Q111" t="s">
        <v>284</v>
      </c>
      <c r="R111">
        <v>427441.11</v>
      </c>
      <c r="S111">
        <v>445709.6</v>
      </c>
      <c r="T111" t="s">
        <v>683</v>
      </c>
      <c r="U111" t="s">
        <v>684</v>
      </c>
      <c r="V111">
        <v>0.01</v>
      </c>
      <c r="W111">
        <v>0</v>
      </c>
      <c r="X111" t="s">
        <v>266</v>
      </c>
      <c r="Y111" t="s">
        <v>266</v>
      </c>
      <c r="AA111" s="354"/>
      <c r="AH111" t="s">
        <v>1943</v>
      </c>
      <c r="AI111" t="s">
        <v>450</v>
      </c>
      <c r="AJ111" t="s">
        <v>968</v>
      </c>
      <c r="AK111" t="s">
        <v>2332</v>
      </c>
      <c r="AL111" t="s">
        <v>1202</v>
      </c>
      <c r="AM111" t="s">
        <v>1203</v>
      </c>
      <c r="AN111" t="s">
        <v>1204</v>
      </c>
      <c r="AO111">
        <v>54</v>
      </c>
      <c r="AP111">
        <v>333615.5</v>
      </c>
      <c r="AQ111" t="s">
        <v>1205</v>
      </c>
      <c r="AR111" t="s">
        <v>266</v>
      </c>
      <c r="AS111" t="s">
        <v>978</v>
      </c>
    </row>
    <row r="112" spans="11:45" x14ac:dyDescent="0.35">
      <c r="K112" s="374">
        <v>45343</v>
      </c>
      <c r="L112" t="s">
        <v>450</v>
      </c>
      <c r="M112" t="s">
        <v>451</v>
      </c>
      <c r="N112" t="s">
        <v>2260</v>
      </c>
      <c r="O112" t="s">
        <v>610</v>
      </c>
      <c r="P112" t="s">
        <v>611</v>
      </c>
      <c r="Q112" t="s">
        <v>284</v>
      </c>
      <c r="R112">
        <v>441495.42</v>
      </c>
      <c r="S112">
        <v>444128.4</v>
      </c>
      <c r="T112" t="s">
        <v>683</v>
      </c>
      <c r="U112" t="s">
        <v>684</v>
      </c>
      <c r="V112">
        <v>0.01</v>
      </c>
      <c r="W112">
        <v>0</v>
      </c>
      <c r="X112" t="s">
        <v>266</v>
      </c>
      <c r="Y112" t="s">
        <v>266</v>
      </c>
      <c r="AA112" s="354"/>
      <c r="AH112" t="s">
        <v>1944</v>
      </c>
      <c r="AI112" t="s">
        <v>450</v>
      </c>
      <c r="AJ112" t="s">
        <v>968</v>
      </c>
      <c r="AK112" t="s">
        <v>2333</v>
      </c>
      <c r="AL112" t="s">
        <v>1206</v>
      </c>
      <c r="AM112" t="s">
        <v>959</v>
      </c>
      <c r="AN112" t="s">
        <v>1166</v>
      </c>
      <c r="AO112">
        <v>6756.85</v>
      </c>
      <c r="AP112">
        <v>628637.1</v>
      </c>
      <c r="AQ112" t="s">
        <v>1167</v>
      </c>
      <c r="AR112" t="s">
        <v>266</v>
      </c>
      <c r="AS112" t="s">
        <v>978</v>
      </c>
    </row>
    <row r="113" spans="11:45" x14ac:dyDescent="0.35">
      <c r="K113" s="374">
        <v>45344</v>
      </c>
      <c r="L113" t="s">
        <v>450</v>
      </c>
      <c r="M113" t="s">
        <v>451</v>
      </c>
      <c r="N113" t="s">
        <v>2261</v>
      </c>
      <c r="O113" t="s">
        <v>612</v>
      </c>
      <c r="P113" t="s">
        <v>613</v>
      </c>
      <c r="Q113" t="s">
        <v>284</v>
      </c>
      <c r="R113">
        <v>338887.74</v>
      </c>
      <c r="S113">
        <v>347309.4</v>
      </c>
      <c r="T113" t="s">
        <v>683</v>
      </c>
      <c r="U113" t="s">
        <v>684</v>
      </c>
      <c r="V113">
        <v>0.01</v>
      </c>
      <c r="W113">
        <v>0</v>
      </c>
      <c r="X113" t="s">
        <v>266</v>
      </c>
      <c r="Y113" t="s">
        <v>266</v>
      </c>
      <c r="AA113" s="354"/>
      <c r="AH113" t="s">
        <v>1207</v>
      </c>
      <c r="AI113" t="s">
        <v>450</v>
      </c>
      <c r="AJ113" t="s">
        <v>968</v>
      </c>
      <c r="AK113" t="s">
        <v>2334</v>
      </c>
      <c r="AL113" t="s">
        <v>1207</v>
      </c>
      <c r="AM113" t="s">
        <v>920</v>
      </c>
      <c r="AN113" t="s">
        <v>1208</v>
      </c>
      <c r="AO113">
        <v>92565.17</v>
      </c>
      <c r="AP113">
        <v>845167.92</v>
      </c>
      <c r="AQ113" t="s">
        <v>1209</v>
      </c>
      <c r="AR113" t="s">
        <v>266</v>
      </c>
      <c r="AS113" t="s">
        <v>1021</v>
      </c>
    </row>
    <row r="114" spans="11:45" x14ac:dyDescent="0.35">
      <c r="K114" s="374">
        <v>45344</v>
      </c>
      <c r="L114" t="s">
        <v>450</v>
      </c>
      <c r="M114" t="s">
        <v>451</v>
      </c>
      <c r="N114" t="s">
        <v>2261</v>
      </c>
      <c r="O114" t="s">
        <v>612</v>
      </c>
      <c r="P114" t="s">
        <v>614</v>
      </c>
      <c r="Q114" t="s">
        <v>284</v>
      </c>
      <c r="R114">
        <v>359558.51</v>
      </c>
      <c r="S114">
        <v>367133.4</v>
      </c>
      <c r="T114" t="s">
        <v>683</v>
      </c>
      <c r="U114" t="s">
        <v>684</v>
      </c>
      <c r="V114">
        <v>0.01</v>
      </c>
      <c r="W114">
        <v>0</v>
      </c>
      <c r="X114" t="s">
        <v>266</v>
      </c>
      <c r="Y114" t="s">
        <v>266</v>
      </c>
      <c r="AA114" s="354"/>
      <c r="AH114" t="s">
        <v>1194</v>
      </c>
      <c r="AI114" t="s">
        <v>450</v>
      </c>
      <c r="AJ114" t="s">
        <v>968</v>
      </c>
      <c r="AK114" t="s">
        <v>2335</v>
      </c>
      <c r="AL114" t="s">
        <v>1210</v>
      </c>
      <c r="AM114" t="s">
        <v>1211</v>
      </c>
      <c r="AN114" t="s">
        <v>1212</v>
      </c>
      <c r="AO114">
        <v>111102.48</v>
      </c>
      <c r="AP114">
        <v>728338.48</v>
      </c>
      <c r="AQ114" t="s">
        <v>1213</v>
      </c>
      <c r="AR114" t="s">
        <v>266</v>
      </c>
      <c r="AS114" t="s">
        <v>978</v>
      </c>
    </row>
    <row r="115" spans="11:45" x14ac:dyDescent="0.35">
      <c r="K115" s="374">
        <v>45382</v>
      </c>
      <c r="L115" t="s">
        <v>450</v>
      </c>
      <c r="M115" t="s">
        <v>451</v>
      </c>
      <c r="N115" t="s">
        <v>2220</v>
      </c>
      <c r="O115" t="s">
        <v>615</v>
      </c>
      <c r="P115" t="s">
        <v>616</v>
      </c>
      <c r="Q115" t="s">
        <v>235</v>
      </c>
      <c r="R115">
        <v>440550.05</v>
      </c>
      <c r="S115">
        <v>443467.6</v>
      </c>
      <c r="T115" t="s">
        <v>2262</v>
      </c>
      <c r="U115" t="s">
        <v>694</v>
      </c>
      <c r="V115">
        <v>2000000</v>
      </c>
      <c r="W115">
        <v>0</v>
      </c>
      <c r="X115" t="s">
        <v>266</v>
      </c>
      <c r="Y115" t="s">
        <v>266</v>
      </c>
      <c r="AA115" s="354"/>
      <c r="AH115" t="s">
        <v>1945</v>
      </c>
      <c r="AI115" t="s">
        <v>450</v>
      </c>
      <c r="AJ115" t="s">
        <v>968</v>
      </c>
      <c r="AK115" t="s">
        <v>2192</v>
      </c>
      <c r="AL115" t="s">
        <v>1214</v>
      </c>
      <c r="AM115" t="s">
        <v>1215</v>
      </c>
      <c r="AN115" t="s">
        <v>1216</v>
      </c>
      <c r="AO115">
        <v>619</v>
      </c>
      <c r="AP115">
        <v>879198.2</v>
      </c>
      <c r="AQ115" t="s">
        <v>1217</v>
      </c>
      <c r="AR115" t="s">
        <v>266</v>
      </c>
      <c r="AS115" t="s">
        <v>978</v>
      </c>
    </row>
    <row r="116" spans="11:45" x14ac:dyDescent="0.35">
      <c r="K116" s="374">
        <v>45382</v>
      </c>
      <c r="L116" t="s">
        <v>450</v>
      </c>
      <c r="M116" t="s">
        <v>451</v>
      </c>
      <c r="N116" t="s">
        <v>2220</v>
      </c>
      <c r="O116" t="s">
        <v>615</v>
      </c>
      <c r="P116" t="s">
        <v>617</v>
      </c>
      <c r="Q116" t="s">
        <v>235</v>
      </c>
      <c r="R116">
        <v>495623.6</v>
      </c>
      <c r="S116">
        <v>495623.6</v>
      </c>
      <c r="T116" t="s">
        <v>2262</v>
      </c>
      <c r="U116" t="s">
        <v>694</v>
      </c>
      <c r="V116">
        <v>2000000</v>
      </c>
      <c r="W116">
        <v>0</v>
      </c>
      <c r="X116" t="s">
        <v>266</v>
      </c>
      <c r="Y116" t="s">
        <v>266</v>
      </c>
      <c r="AA116" s="354"/>
      <c r="AH116" t="s">
        <v>1210</v>
      </c>
      <c r="AI116" t="s">
        <v>450</v>
      </c>
      <c r="AJ116" t="s">
        <v>968</v>
      </c>
      <c r="AK116" t="s">
        <v>2335</v>
      </c>
      <c r="AL116" t="s">
        <v>1210</v>
      </c>
      <c r="AM116" t="s">
        <v>1218</v>
      </c>
      <c r="AN116" t="s">
        <v>1219</v>
      </c>
      <c r="AO116">
        <v>840</v>
      </c>
      <c r="AP116">
        <v>84000</v>
      </c>
      <c r="AQ116" t="s">
        <v>1220</v>
      </c>
      <c r="AR116" t="s">
        <v>266</v>
      </c>
      <c r="AS116" t="s">
        <v>978</v>
      </c>
    </row>
    <row r="117" spans="11:45" x14ac:dyDescent="0.35">
      <c r="K117" s="374">
        <v>45385</v>
      </c>
      <c r="L117" t="s">
        <v>450</v>
      </c>
      <c r="M117" t="s">
        <v>451</v>
      </c>
      <c r="N117" t="s">
        <v>2263</v>
      </c>
      <c r="O117" t="s">
        <v>618</v>
      </c>
      <c r="P117" t="s">
        <v>619</v>
      </c>
      <c r="Q117" t="s">
        <v>235</v>
      </c>
      <c r="R117">
        <v>448848.4</v>
      </c>
      <c r="S117">
        <v>448848.4</v>
      </c>
      <c r="T117" t="s">
        <v>2262</v>
      </c>
      <c r="U117" t="s">
        <v>694</v>
      </c>
      <c r="V117">
        <v>2000000</v>
      </c>
      <c r="W117">
        <v>0</v>
      </c>
      <c r="X117" t="s">
        <v>266</v>
      </c>
      <c r="Y117" t="s">
        <v>266</v>
      </c>
      <c r="AA117" s="354"/>
      <c r="AH117" t="s">
        <v>1210</v>
      </c>
      <c r="AI117" t="s">
        <v>450</v>
      </c>
      <c r="AJ117" t="s">
        <v>968</v>
      </c>
      <c r="AK117" t="s">
        <v>2336</v>
      </c>
      <c r="AL117" t="s">
        <v>1221</v>
      </c>
      <c r="AM117" t="s">
        <v>326</v>
      </c>
      <c r="AN117" t="s">
        <v>1180</v>
      </c>
      <c r="AO117">
        <v>50000</v>
      </c>
      <c r="AP117">
        <v>477428</v>
      </c>
      <c r="AQ117" t="s">
        <v>1181</v>
      </c>
      <c r="AR117" t="s">
        <v>266</v>
      </c>
      <c r="AS117" t="s">
        <v>978</v>
      </c>
    </row>
    <row r="118" spans="11:45" x14ac:dyDescent="0.35">
      <c r="K118" s="374">
        <v>45388</v>
      </c>
      <c r="L118" t="s">
        <v>450</v>
      </c>
      <c r="M118" t="s">
        <v>451</v>
      </c>
      <c r="N118" t="s">
        <v>2264</v>
      </c>
      <c r="O118" t="s">
        <v>620</v>
      </c>
      <c r="P118" t="s">
        <v>621</v>
      </c>
      <c r="Q118" t="s">
        <v>235</v>
      </c>
      <c r="R118">
        <v>576736.80000000005</v>
      </c>
      <c r="S118">
        <v>576736.80000000005</v>
      </c>
      <c r="T118" t="s">
        <v>2262</v>
      </c>
      <c r="U118" t="s">
        <v>694</v>
      </c>
      <c r="V118">
        <v>2000000</v>
      </c>
      <c r="W118">
        <v>0</v>
      </c>
      <c r="X118" t="s">
        <v>266</v>
      </c>
      <c r="Y118" t="s">
        <v>266</v>
      </c>
      <c r="AA118" s="354"/>
      <c r="AH118" t="s">
        <v>1226</v>
      </c>
      <c r="AI118" t="s">
        <v>450</v>
      </c>
      <c r="AJ118" t="s">
        <v>968</v>
      </c>
      <c r="AK118" t="s">
        <v>2190</v>
      </c>
      <c r="AL118" t="s">
        <v>1222</v>
      </c>
      <c r="AM118" t="s">
        <v>1223</v>
      </c>
      <c r="AN118" t="s">
        <v>1224</v>
      </c>
      <c r="AO118">
        <v>92404.800000000003</v>
      </c>
      <c r="AP118">
        <v>605764.80000000005</v>
      </c>
      <c r="AQ118" t="s">
        <v>1225</v>
      </c>
      <c r="AR118" t="s">
        <v>266</v>
      </c>
      <c r="AS118" t="s">
        <v>978</v>
      </c>
    </row>
    <row r="119" spans="11:45" x14ac:dyDescent="0.35">
      <c r="K119" s="374">
        <v>45669</v>
      </c>
      <c r="L119" t="s">
        <v>450</v>
      </c>
      <c r="M119" t="s">
        <v>451</v>
      </c>
      <c r="N119" t="s">
        <v>2265</v>
      </c>
      <c r="O119" t="s">
        <v>802</v>
      </c>
      <c r="P119" t="s">
        <v>803</v>
      </c>
      <c r="Q119" t="s">
        <v>229</v>
      </c>
      <c r="R119">
        <v>104497.17</v>
      </c>
      <c r="S119">
        <v>1402618.8</v>
      </c>
      <c r="T119" t="s">
        <v>693</v>
      </c>
      <c r="U119" t="s">
        <v>271</v>
      </c>
      <c r="V119">
        <v>60000000</v>
      </c>
      <c r="W119">
        <v>0</v>
      </c>
      <c r="X119" t="s">
        <v>266</v>
      </c>
      <c r="Y119" t="s">
        <v>266</v>
      </c>
      <c r="AA119" s="354"/>
      <c r="AH119" t="s">
        <v>1226</v>
      </c>
      <c r="AI119" t="s">
        <v>450</v>
      </c>
      <c r="AJ119" t="s">
        <v>968</v>
      </c>
      <c r="AK119" t="s">
        <v>2191</v>
      </c>
      <c r="AL119" t="s">
        <v>1226</v>
      </c>
      <c r="AM119" t="s">
        <v>1227</v>
      </c>
      <c r="AN119" t="s">
        <v>1224</v>
      </c>
      <c r="AO119">
        <v>146355.29999999999</v>
      </c>
      <c r="AP119">
        <v>959440.3</v>
      </c>
      <c r="AQ119" t="s">
        <v>1225</v>
      </c>
      <c r="AR119" t="s">
        <v>266</v>
      </c>
      <c r="AS119" t="s">
        <v>978</v>
      </c>
    </row>
    <row r="120" spans="11:45" x14ac:dyDescent="0.35">
      <c r="K120" s="374">
        <v>45669</v>
      </c>
      <c r="L120" t="s">
        <v>450</v>
      </c>
      <c r="M120" t="s">
        <v>451</v>
      </c>
      <c r="N120" t="s">
        <v>2265</v>
      </c>
      <c r="O120" t="s">
        <v>802</v>
      </c>
      <c r="P120" t="s">
        <v>804</v>
      </c>
      <c r="Q120" t="s">
        <v>229</v>
      </c>
      <c r="R120">
        <v>210632.22</v>
      </c>
      <c r="S120">
        <v>1380812.4</v>
      </c>
      <c r="T120" t="s">
        <v>693</v>
      </c>
      <c r="U120" t="s">
        <v>271</v>
      </c>
      <c r="V120">
        <v>60000000</v>
      </c>
      <c r="W120">
        <v>0</v>
      </c>
      <c r="X120" t="s">
        <v>266</v>
      </c>
      <c r="Y120" t="s">
        <v>266</v>
      </c>
      <c r="AA120" s="354"/>
      <c r="AH120" t="s">
        <v>1222</v>
      </c>
      <c r="AI120" t="s">
        <v>450</v>
      </c>
      <c r="AJ120" t="s">
        <v>968</v>
      </c>
      <c r="AK120" t="s">
        <v>2193</v>
      </c>
      <c r="AL120" t="s">
        <v>1228</v>
      </c>
      <c r="AM120" t="s">
        <v>1229</v>
      </c>
      <c r="AN120" t="s">
        <v>1230</v>
      </c>
      <c r="AO120">
        <v>452</v>
      </c>
      <c r="AP120">
        <v>756188.05</v>
      </c>
      <c r="AQ120" t="s">
        <v>1231</v>
      </c>
      <c r="AR120" t="s">
        <v>266</v>
      </c>
      <c r="AS120" t="s">
        <v>978</v>
      </c>
    </row>
    <row r="121" spans="11:45" x14ac:dyDescent="0.35">
      <c r="K121" s="374">
        <v>45673</v>
      </c>
      <c r="L121" t="s">
        <v>450</v>
      </c>
      <c r="M121" t="s">
        <v>451</v>
      </c>
      <c r="N121" t="s">
        <v>2266</v>
      </c>
      <c r="O121" t="s">
        <v>805</v>
      </c>
      <c r="P121" t="s">
        <v>806</v>
      </c>
      <c r="Q121" t="s">
        <v>229</v>
      </c>
      <c r="R121">
        <v>213246</v>
      </c>
      <c r="S121">
        <v>1397946</v>
      </c>
      <c r="T121" t="s">
        <v>693</v>
      </c>
      <c r="U121" t="s">
        <v>271</v>
      </c>
      <c r="V121">
        <v>60000000</v>
      </c>
      <c r="W121">
        <v>0</v>
      </c>
      <c r="X121" t="s">
        <v>266</v>
      </c>
      <c r="Y121" t="s">
        <v>266</v>
      </c>
      <c r="AH121" t="s">
        <v>1234</v>
      </c>
      <c r="AI121" t="s">
        <v>450</v>
      </c>
      <c r="AJ121" t="s">
        <v>968</v>
      </c>
      <c r="AK121" t="s">
        <v>2136</v>
      </c>
      <c r="AL121" t="s">
        <v>1232</v>
      </c>
      <c r="AM121" t="s">
        <v>1233</v>
      </c>
      <c r="AN121" t="s">
        <v>1212</v>
      </c>
      <c r="AO121">
        <v>147707.47</v>
      </c>
      <c r="AP121">
        <v>968304.52</v>
      </c>
      <c r="AQ121" t="s">
        <v>1213</v>
      </c>
      <c r="AR121" t="s">
        <v>266</v>
      </c>
      <c r="AS121" t="s">
        <v>978</v>
      </c>
    </row>
    <row r="122" spans="11:45" x14ac:dyDescent="0.35">
      <c r="K122" s="374">
        <v>45674</v>
      </c>
      <c r="L122" t="s">
        <v>450</v>
      </c>
      <c r="M122" t="s">
        <v>451</v>
      </c>
      <c r="N122" t="s">
        <v>2267</v>
      </c>
      <c r="O122" t="s">
        <v>807</v>
      </c>
      <c r="P122" t="s">
        <v>808</v>
      </c>
      <c r="Q122" t="s">
        <v>229</v>
      </c>
      <c r="R122">
        <v>117274.88</v>
      </c>
      <c r="S122">
        <v>768675.6</v>
      </c>
      <c r="T122" t="s">
        <v>693</v>
      </c>
      <c r="U122" t="s">
        <v>271</v>
      </c>
      <c r="V122">
        <v>60000000</v>
      </c>
      <c r="W122">
        <v>0</v>
      </c>
      <c r="X122" t="s">
        <v>266</v>
      </c>
      <c r="Y122" t="s">
        <v>266</v>
      </c>
      <c r="AH122" t="s">
        <v>1234</v>
      </c>
      <c r="AI122" t="s">
        <v>450</v>
      </c>
      <c r="AJ122" t="s">
        <v>968</v>
      </c>
      <c r="AK122" t="s">
        <v>2337</v>
      </c>
      <c r="AL122" t="s">
        <v>1234</v>
      </c>
      <c r="AM122" t="s">
        <v>1235</v>
      </c>
      <c r="AN122" t="s">
        <v>1236</v>
      </c>
      <c r="AO122">
        <v>106023.2</v>
      </c>
      <c r="AP122">
        <v>868008</v>
      </c>
      <c r="AQ122" t="s">
        <v>1237</v>
      </c>
      <c r="AR122" t="s">
        <v>266</v>
      </c>
      <c r="AS122" t="s">
        <v>978</v>
      </c>
    </row>
    <row r="123" spans="11:45" x14ac:dyDescent="0.35">
      <c r="K123" s="374">
        <v>45676</v>
      </c>
      <c r="L123" t="s">
        <v>450</v>
      </c>
      <c r="M123" t="s">
        <v>451</v>
      </c>
      <c r="N123" t="s">
        <v>2166</v>
      </c>
      <c r="O123" t="s">
        <v>809</v>
      </c>
      <c r="P123" t="s">
        <v>810</v>
      </c>
      <c r="Q123" t="s">
        <v>229</v>
      </c>
      <c r="R123">
        <v>228373.2</v>
      </c>
      <c r="S123">
        <v>1497113.2</v>
      </c>
      <c r="T123" t="s">
        <v>693</v>
      </c>
      <c r="U123" t="s">
        <v>271</v>
      </c>
      <c r="V123">
        <v>60000000</v>
      </c>
      <c r="W123">
        <v>0</v>
      </c>
      <c r="X123" t="s">
        <v>266</v>
      </c>
      <c r="Y123" t="s">
        <v>266</v>
      </c>
      <c r="AH123" t="s">
        <v>1234</v>
      </c>
      <c r="AI123" t="s">
        <v>450</v>
      </c>
      <c r="AJ123" t="s">
        <v>968</v>
      </c>
      <c r="AK123" t="s">
        <v>2337</v>
      </c>
      <c r="AL123" t="s">
        <v>1234</v>
      </c>
      <c r="AM123" t="s">
        <v>1238</v>
      </c>
      <c r="AN123" t="s">
        <v>1236</v>
      </c>
      <c r="AO123">
        <v>139939.20000000001</v>
      </c>
      <c r="AP123">
        <v>917379.2</v>
      </c>
      <c r="AQ123" t="s">
        <v>1237</v>
      </c>
      <c r="AR123" t="s">
        <v>266</v>
      </c>
      <c r="AS123" t="s">
        <v>978</v>
      </c>
    </row>
    <row r="124" spans="11:45" x14ac:dyDescent="0.35">
      <c r="K124" s="374">
        <v>45844</v>
      </c>
      <c r="L124" t="s">
        <v>450</v>
      </c>
      <c r="M124" t="s">
        <v>451</v>
      </c>
      <c r="N124" t="s">
        <v>1289</v>
      </c>
      <c r="O124" t="s">
        <v>622</v>
      </c>
      <c r="P124" t="s">
        <v>351</v>
      </c>
      <c r="Q124" t="s">
        <v>229</v>
      </c>
      <c r="R124">
        <v>85870.52</v>
      </c>
      <c r="S124">
        <v>928034.6</v>
      </c>
      <c r="T124" t="s">
        <v>693</v>
      </c>
      <c r="U124" t="s">
        <v>271</v>
      </c>
      <c r="V124">
        <v>60000000</v>
      </c>
      <c r="W124">
        <v>0</v>
      </c>
      <c r="X124" t="s">
        <v>266</v>
      </c>
      <c r="Y124" t="s">
        <v>2086</v>
      </c>
      <c r="AH124" t="s">
        <v>1946</v>
      </c>
      <c r="AI124" t="s">
        <v>450</v>
      </c>
      <c r="AJ124" t="s">
        <v>968</v>
      </c>
      <c r="AK124" t="s">
        <v>2137</v>
      </c>
      <c r="AL124" t="s">
        <v>1239</v>
      </c>
      <c r="AM124" t="s">
        <v>961</v>
      </c>
      <c r="AN124" t="s">
        <v>1208</v>
      </c>
      <c r="AO124">
        <v>68656</v>
      </c>
      <c r="AP124">
        <v>614072</v>
      </c>
      <c r="AQ124" t="s">
        <v>1209</v>
      </c>
      <c r="AR124" t="s">
        <v>266</v>
      </c>
      <c r="AS124" t="s">
        <v>1021</v>
      </c>
    </row>
    <row r="125" spans="11:45" x14ac:dyDescent="0.35">
      <c r="K125" s="374">
        <v>45901</v>
      </c>
      <c r="L125" t="s">
        <v>450</v>
      </c>
      <c r="M125" t="s">
        <v>451</v>
      </c>
      <c r="N125" t="s">
        <v>2268</v>
      </c>
      <c r="O125" t="s">
        <v>623</v>
      </c>
      <c r="P125" t="s">
        <v>378</v>
      </c>
      <c r="Q125" t="s">
        <v>228</v>
      </c>
      <c r="R125">
        <v>257616.72</v>
      </c>
      <c r="S125">
        <v>875263.9</v>
      </c>
      <c r="T125" t="s">
        <v>693</v>
      </c>
      <c r="U125" t="s">
        <v>299</v>
      </c>
      <c r="V125">
        <v>7500000</v>
      </c>
      <c r="W125">
        <v>0</v>
      </c>
      <c r="X125" t="s">
        <v>266</v>
      </c>
      <c r="Y125" t="s">
        <v>2086</v>
      </c>
      <c r="AH125" t="s">
        <v>1239</v>
      </c>
      <c r="AI125" t="s">
        <v>450</v>
      </c>
      <c r="AJ125" t="s">
        <v>968</v>
      </c>
      <c r="AK125" t="s">
        <v>2137</v>
      </c>
      <c r="AL125" t="s">
        <v>1239</v>
      </c>
      <c r="AM125" t="s">
        <v>1240</v>
      </c>
      <c r="AN125" t="s">
        <v>1236</v>
      </c>
      <c r="AO125">
        <v>98903.39</v>
      </c>
      <c r="AP125">
        <v>733321.62</v>
      </c>
      <c r="AQ125" t="s">
        <v>1237</v>
      </c>
      <c r="AR125" t="s">
        <v>266</v>
      </c>
      <c r="AS125" t="s">
        <v>978</v>
      </c>
    </row>
    <row r="126" spans="11:45" x14ac:dyDescent="0.35">
      <c r="K126" s="374">
        <v>45916</v>
      </c>
      <c r="L126" t="s">
        <v>450</v>
      </c>
      <c r="M126" t="s">
        <v>451</v>
      </c>
      <c r="N126" t="s">
        <v>2231</v>
      </c>
      <c r="O126" t="s">
        <v>624</v>
      </c>
      <c r="P126" t="s">
        <v>382</v>
      </c>
      <c r="Q126" t="s">
        <v>229</v>
      </c>
      <c r="R126">
        <v>126707.5</v>
      </c>
      <c r="S126">
        <v>864202.5</v>
      </c>
      <c r="T126" t="s">
        <v>693</v>
      </c>
      <c r="U126" t="s">
        <v>271</v>
      </c>
      <c r="V126">
        <v>60000000</v>
      </c>
      <c r="W126">
        <v>0</v>
      </c>
      <c r="X126" t="s">
        <v>266</v>
      </c>
      <c r="Y126" t="s">
        <v>2086</v>
      </c>
      <c r="AH126" t="s">
        <v>1241</v>
      </c>
      <c r="AI126" t="s">
        <v>450</v>
      </c>
      <c r="AJ126" t="s">
        <v>968</v>
      </c>
      <c r="AK126" t="s">
        <v>2338</v>
      </c>
      <c r="AL126" t="s">
        <v>1241</v>
      </c>
      <c r="AM126" t="s">
        <v>1242</v>
      </c>
      <c r="AN126" t="s">
        <v>1243</v>
      </c>
      <c r="AO126">
        <v>7140</v>
      </c>
      <c r="AP126">
        <v>65450</v>
      </c>
      <c r="AQ126" t="s">
        <v>1244</v>
      </c>
      <c r="AR126" t="s">
        <v>266</v>
      </c>
      <c r="AS126" t="s">
        <v>978</v>
      </c>
    </row>
    <row r="127" spans="11:45" x14ac:dyDescent="0.35">
      <c r="K127" s="374">
        <v>45924</v>
      </c>
      <c r="L127" t="s">
        <v>450</v>
      </c>
      <c r="M127" t="s">
        <v>451</v>
      </c>
      <c r="N127" t="s">
        <v>2269</v>
      </c>
      <c r="O127" t="s">
        <v>625</v>
      </c>
      <c r="P127" t="s">
        <v>388</v>
      </c>
      <c r="Q127" t="s">
        <v>398</v>
      </c>
      <c r="R127">
        <v>541717.16</v>
      </c>
      <c r="S127">
        <v>695081.95</v>
      </c>
      <c r="T127" t="s">
        <v>693</v>
      </c>
      <c r="U127" t="s">
        <v>200</v>
      </c>
      <c r="V127">
        <v>60000000</v>
      </c>
      <c r="W127">
        <v>0</v>
      </c>
      <c r="X127" t="s">
        <v>266</v>
      </c>
      <c r="Y127" t="s">
        <v>2086</v>
      </c>
      <c r="AH127" t="s">
        <v>1245</v>
      </c>
      <c r="AI127" t="s">
        <v>450</v>
      </c>
      <c r="AJ127" t="s">
        <v>968</v>
      </c>
      <c r="AK127" t="s">
        <v>1168</v>
      </c>
      <c r="AL127" t="s">
        <v>1245</v>
      </c>
      <c r="AM127" t="s">
        <v>1246</v>
      </c>
      <c r="AN127" t="s">
        <v>1247</v>
      </c>
      <c r="AO127">
        <v>109176.85</v>
      </c>
      <c r="AP127">
        <v>841446.2</v>
      </c>
      <c r="AQ127" t="s">
        <v>1248</v>
      </c>
      <c r="AR127" t="s">
        <v>266</v>
      </c>
      <c r="AS127" t="s">
        <v>978</v>
      </c>
    </row>
    <row r="128" spans="11:45" x14ac:dyDescent="0.35">
      <c r="K128" s="374">
        <v>45925</v>
      </c>
      <c r="L128" t="s">
        <v>450</v>
      </c>
      <c r="M128" t="s">
        <v>451</v>
      </c>
      <c r="N128" t="s">
        <v>2270</v>
      </c>
      <c r="O128" t="s">
        <v>626</v>
      </c>
      <c r="P128" t="s">
        <v>389</v>
      </c>
      <c r="Q128" t="s">
        <v>398</v>
      </c>
      <c r="R128">
        <v>608576.64</v>
      </c>
      <c r="S128">
        <v>763825.8</v>
      </c>
      <c r="T128" t="s">
        <v>693</v>
      </c>
      <c r="U128" t="s">
        <v>200</v>
      </c>
      <c r="V128">
        <v>60000000</v>
      </c>
      <c r="W128">
        <v>0</v>
      </c>
      <c r="X128" t="s">
        <v>266</v>
      </c>
      <c r="Y128" t="s">
        <v>2086</v>
      </c>
      <c r="AH128" t="s">
        <v>1947</v>
      </c>
      <c r="AI128" t="s">
        <v>450</v>
      </c>
      <c r="AJ128" t="s">
        <v>968</v>
      </c>
      <c r="AK128" t="s">
        <v>2339</v>
      </c>
      <c r="AL128" t="s">
        <v>1249</v>
      </c>
      <c r="AM128" t="s">
        <v>1250</v>
      </c>
      <c r="AN128" t="s">
        <v>1251</v>
      </c>
      <c r="AO128">
        <v>76477.5</v>
      </c>
      <c r="AP128">
        <v>500927.5</v>
      </c>
      <c r="AQ128" t="s">
        <v>1252</v>
      </c>
      <c r="AR128" t="s">
        <v>266</v>
      </c>
      <c r="AS128" t="s">
        <v>978</v>
      </c>
    </row>
    <row r="129" spans="11:45" x14ac:dyDescent="0.35">
      <c r="K129" s="374">
        <v>45931</v>
      </c>
      <c r="L129" t="s">
        <v>450</v>
      </c>
      <c r="M129" t="s">
        <v>451</v>
      </c>
      <c r="N129" t="s">
        <v>2271</v>
      </c>
      <c r="O129" t="s">
        <v>627</v>
      </c>
      <c r="P129" t="s">
        <v>392</v>
      </c>
      <c r="Q129" t="s">
        <v>219</v>
      </c>
      <c r="R129">
        <v>57626.04</v>
      </c>
      <c r="S129">
        <v>637589.4</v>
      </c>
      <c r="T129" t="s">
        <v>693</v>
      </c>
      <c r="U129" t="s">
        <v>279</v>
      </c>
      <c r="V129">
        <v>30000000</v>
      </c>
      <c r="W129">
        <v>0</v>
      </c>
      <c r="X129" t="s">
        <v>266</v>
      </c>
      <c r="Y129" t="s">
        <v>2086</v>
      </c>
      <c r="AH129" t="s">
        <v>1948</v>
      </c>
      <c r="AI129" t="s">
        <v>450</v>
      </c>
      <c r="AJ129" t="s">
        <v>968</v>
      </c>
      <c r="AK129" t="s">
        <v>2339</v>
      </c>
      <c r="AL129" t="s">
        <v>1249</v>
      </c>
      <c r="AM129" t="s">
        <v>1253</v>
      </c>
      <c r="AN129" t="s">
        <v>1133</v>
      </c>
      <c r="AO129">
        <v>91</v>
      </c>
      <c r="AP129">
        <v>9068</v>
      </c>
      <c r="AQ129" t="s">
        <v>1134</v>
      </c>
      <c r="AR129" t="s">
        <v>266</v>
      </c>
      <c r="AS129" t="s">
        <v>978</v>
      </c>
    </row>
    <row r="130" spans="11:45" x14ac:dyDescent="0.35">
      <c r="K130" s="374">
        <v>45946</v>
      </c>
      <c r="L130" t="s">
        <v>450</v>
      </c>
      <c r="M130" t="s">
        <v>451</v>
      </c>
      <c r="N130" t="s">
        <v>2272</v>
      </c>
      <c r="O130" t="s">
        <v>628</v>
      </c>
      <c r="P130" t="s">
        <v>395</v>
      </c>
      <c r="Q130" t="s">
        <v>398</v>
      </c>
      <c r="R130">
        <v>117382.73</v>
      </c>
      <c r="S130">
        <v>765560.4</v>
      </c>
      <c r="T130" t="s">
        <v>693</v>
      </c>
      <c r="U130" t="s">
        <v>200</v>
      </c>
      <c r="V130">
        <v>60000000</v>
      </c>
      <c r="W130">
        <v>0</v>
      </c>
      <c r="X130" t="s">
        <v>266</v>
      </c>
      <c r="Y130" t="s">
        <v>2086</v>
      </c>
      <c r="AH130" t="s">
        <v>1249</v>
      </c>
      <c r="AI130" t="s">
        <v>450</v>
      </c>
      <c r="AJ130" t="s">
        <v>968</v>
      </c>
      <c r="AK130" t="s">
        <v>2235</v>
      </c>
      <c r="AL130" t="s">
        <v>452</v>
      </c>
      <c r="AM130" t="s">
        <v>901</v>
      </c>
      <c r="AN130" t="s">
        <v>1197</v>
      </c>
      <c r="AO130">
        <v>132025.24</v>
      </c>
      <c r="AP130">
        <v>903478.8</v>
      </c>
      <c r="AQ130" t="s">
        <v>1198</v>
      </c>
      <c r="AR130" t="s">
        <v>266</v>
      </c>
      <c r="AS130" t="s">
        <v>978</v>
      </c>
    </row>
    <row r="131" spans="11:45" x14ac:dyDescent="0.35">
      <c r="K131" s="374">
        <v>45948</v>
      </c>
      <c r="L131" t="s">
        <v>450</v>
      </c>
      <c r="M131" t="s">
        <v>451</v>
      </c>
      <c r="N131" t="s">
        <v>2273</v>
      </c>
      <c r="O131" t="s">
        <v>629</v>
      </c>
      <c r="P131" t="s">
        <v>396</v>
      </c>
      <c r="Q131" t="s">
        <v>213</v>
      </c>
      <c r="R131">
        <v>58621.7</v>
      </c>
      <c r="S131">
        <v>844835.75</v>
      </c>
      <c r="T131" t="s">
        <v>693</v>
      </c>
      <c r="U131" t="s">
        <v>214</v>
      </c>
      <c r="V131">
        <v>40000000</v>
      </c>
      <c r="W131">
        <v>50812.5</v>
      </c>
      <c r="X131" t="s">
        <v>266</v>
      </c>
      <c r="Y131" t="s">
        <v>2086</v>
      </c>
      <c r="AH131" t="s">
        <v>1949</v>
      </c>
      <c r="AI131" t="s">
        <v>450</v>
      </c>
      <c r="AJ131" t="s">
        <v>968</v>
      </c>
      <c r="AK131" t="s">
        <v>2112</v>
      </c>
      <c r="AL131" t="s">
        <v>1254</v>
      </c>
      <c r="AM131" t="s">
        <v>1255</v>
      </c>
      <c r="AN131" t="s">
        <v>1256</v>
      </c>
      <c r="AO131">
        <v>15123.87</v>
      </c>
      <c r="AP131">
        <v>373554.2</v>
      </c>
      <c r="AQ131" t="s">
        <v>1257</v>
      </c>
      <c r="AR131" t="s">
        <v>266</v>
      </c>
      <c r="AS131" t="s">
        <v>978</v>
      </c>
    </row>
    <row r="132" spans="11:45" x14ac:dyDescent="0.35">
      <c r="K132" s="374">
        <v>45982</v>
      </c>
      <c r="L132" t="s">
        <v>450</v>
      </c>
      <c r="M132" t="s">
        <v>451</v>
      </c>
      <c r="N132" t="s">
        <v>2232</v>
      </c>
      <c r="O132" t="s">
        <v>630</v>
      </c>
      <c r="P132" t="s">
        <v>399</v>
      </c>
      <c r="Q132" t="s">
        <v>383</v>
      </c>
      <c r="R132">
        <v>86.05</v>
      </c>
      <c r="S132">
        <v>482242.4</v>
      </c>
      <c r="T132" t="s">
        <v>693</v>
      </c>
      <c r="U132" t="s">
        <v>384</v>
      </c>
      <c r="V132">
        <v>5000000</v>
      </c>
      <c r="W132">
        <v>0</v>
      </c>
      <c r="X132" t="s">
        <v>266</v>
      </c>
      <c r="Y132" t="s">
        <v>2086</v>
      </c>
      <c r="AH132" t="s">
        <v>494</v>
      </c>
      <c r="AI132" t="s">
        <v>450</v>
      </c>
      <c r="AJ132" t="s">
        <v>968</v>
      </c>
      <c r="AK132" t="s">
        <v>2138</v>
      </c>
      <c r="AL132" t="s">
        <v>494</v>
      </c>
      <c r="AM132" t="s">
        <v>1258</v>
      </c>
      <c r="AN132" t="s">
        <v>1259</v>
      </c>
      <c r="AO132">
        <v>33997.1</v>
      </c>
      <c r="AP132">
        <v>726626.3</v>
      </c>
      <c r="AQ132" t="s">
        <v>1260</v>
      </c>
      <c r="AR132" t="s">
        <v>266</v>
      </c>
      <c r="AS132" t="s">
        <v>1021</v>
      </c>
    </row>
    <row r="133" spans="11:45" x14ac:dyDescent="0.35">
      <c r="K133" s="374">
        <v>45991</v>
      </c>
      <c r="L133" t="s">
        <v>450</v>
      </c>
      <c r="M133" t="s">
        <v>451</v>
      </c>
      <c r="N133" t="s">
        <v>1599</v>
      </c>
      <c r="O133" t="s">
        <v>631</v>
      </c>
      <c r="P133" t="s">
        <v>400</v>
      </c>
      <c r="Q133" t="s">
        <v>226</v>
      </c>
      <c r="R133">
        <v>9214.09</v>
      </c>
      <c r="S133">
        <v>930617</v>
      </c>
      <c r="T133" t="s">
        <v>687</v>
      </c>
      <c r="U133" t="s">
        <v>401</v>
      </c>
      <c r="V133">
        <v>15000000</v>
      </c>
      <c r="W133">
        <v>0</v>
      </c>
      <c r="X133" t="s">
        <v>266</v>
      </c>
      <c r="Y133" t="s">
        <v>2086</v>
      </c>
      <c r="AH133" t="s">
        <v>498</v>
      </c>
      <c r="AI133" t="s">
        <v>450</v>
      </c>
      <c r="AJ133" t="s">
        <v>968</v>
      </c>
      <c r="AK133" t="s">
        <v>2121</v>
      </c>
      <c r="AL133" t="s">
        <v>1261</v>
      </c>
      <c r="AM133" t="s">
        <v>1262</v>
      </c>
      <c r="AN133" t="s">
        <v>1263</v>
      </c>
      <c r="AO133">
        <v>578</v>
      </c>
      <c r="AP133">
        <v>581071.47</v>
      </c>
      <c r="AQ133" t="s">
        <v>1264</v>
      </c>
      <c r="AR133" t="s">
        <v>266</v>
      </c>
      <c r="AS133" t="s">
        <v>1021</v>
      </c>
    </row>
    <row r="134" spans="11:45" x14ac:dyDescent="0.35">
      <c r="K134" s="374">
        <v>45993</v>
      </c>
      <c r="L134" t="s">
        <v>450</v>
      </c>
      <c r="M134" t="s">
        <v>451</v>
      </c>
      <c r="N134" t="s">
        <v>1594</v>
      </c>
      <c r="O134" t="s">
        <v>632</v>
      </c>
      <c r="P134" t="s">
        <v>402</v>
      </c>
      <c r="Q134" t="s">
        <v>211</v>
      </c>
      <c r="R134">
        <v>2188.98</v>
      </c>
      <c r="S134">
        <v>438582</v>
      </c>
      <c r="T134" t="s">
        <v>693</v>
      </c>
      <c r="U134" t="s">
        <v>212</v>
      </c>
      <c r="V134">
        <v>3000000</v>
      </c>
      <c r="W134">
        <v>0</v>
      </c>
      <c r="X134" t="s">
        <v>266</v>
      </c>
      <c r="Y134" t="s">
        <v>2086</v>
      </c>
      <c r="AH134" t="s">
        <v>1265</v>
      </c>
      <c r="AI134" t="s">
        <v>450</v>
      </c>
      <c r="AJ134" t="s">
        <v>968</v>
      </c>
      <c r="AK134" t="s">
        <v>2103</v>
      </c>
      <c r="AL134" t="s">
        <v>1265</v>
      </c>
      <c r="AM134" t="s">
        <v>1266</v>
      </c>
      <c r="AN134" t="s">
        <v>1267</v>
      </c>
      <c r="AO134">
        <v>52047.360000000001</v>
      </c>
      <c r="AP134">
        <v>401908</v>
      </c>
      <c r="AQ134" t="s">
        <v>1268</v>
      </c>
      <c r="AR134" t="s">
        <v>266</v>
      </c>
      <c r="AS134" t="s">
        <v>978</v>
      </c>
    </row>
    <row r="135" spans="11:45" x14ac:dyDescent="0.35">
      <c r="K135" s="374">
        <v>45994</v>
      </c>
      <c r="L135" t="s">
        <v>450</v>
      </c>
      <c r="M135" t="s">
        <v>451</v>
      </c>
      <c r="N135" t="s">
        <v>2151</v>
      </c>
      <c r="O135" t="s">
        <v>633</v>
      </c>
      <c r="P135" t="s">
        <v>403</v>
      </c>
      <c r="Q135" t="s">
        <v>226</v>
      </c>
      <c r="R135">
        <v>9440.08</v>
      </c>
      <c r="S135">
        <v>953491.74</v>
      </c>
      <c r="T135" t="s">
        <v>687</v>
      </c>
      <c r="U135" t="s">
        <v>401</v>
      </c>
      <c r="V135">
        <v>15000000</v>
      </c>
      <c r="W135">
        <v>0</v>
      </c>
      <c r="X135" t="s">
        <v>266</v>
      </c>
      <c r="Y135" t="s">
        <v>2086</v>
      </c>
      <c r="AH135" t="s">
        <v>1269</v>
      </c>
      <c r="AI135" t="s">
        <v>450</v>
      </c>
      <c r="AJ135" t="s">
        <v>968</v>
      </c>
      <c r="AK135" t="s">
        <v>2340</v>
      </c>
      <c r="AL135" t="s">
        <v>1269</v>
      </c>
      <c r="AM135" t="s">
        <v>1270</v>
      </c>
      <c r="AN135" t="s">
        <v>1267</v>
      </c>
      <c r="AO135">
        <v>64531.8</v>
      </c>
      <c r="AP135">
        <v>423041.8</v>
      </c>
      <c r="AQ135" t="s">
        <v>1268</v>
      </c>
      <c r="AR135" t="s">
        <v>266</v>
      </c>
      <c r="AS135" t="s">
        <v>978</v>
      </c>
    </row>
    <row r="136" spans="11:45" x14ac:dyDescent="0.35">
      <c r="K136" s="374">
        <v>45999</v>
      </c>
      <c r="L136" t="s">
        <v>450</v>
      </c>
      <c r="M136" t="s">
        <v>451</v>
      </c>
      <c r="N136" t="s">
        <v>2274</v>
      </c>
      <c r="O136" t="s">
        <v>634</v>
      </c>
      <c r="P136" t="s">
        <v>404</v>
      </c>
      <c r="Q136" t="s">
        <v>226</v>
      </c>
      <c r="R136">
        <v>6706.06</v>
      </c>
      <c r="S136">
        <v>675807.05</v>
      </c>
      <c r="T136" t="s">
        <v>687</v>
      </c>
      <c r="U136" t="s">
        <v>401</v>
      </c>
      <c r="V136">
        <v>15000000</v>
      </c>
      <c r="W136">
        <v>0</v>
      </c>
      <c r="X136" t="s">
        <v>266</v>
      </c>
      <c r="Y136" t="s">
        <v>2086</v>
      </c>
      <c r="AH136" t="s">
        <v>1269</v>
      </c>
      <c r="AI136" t="s">
        <v>450</v>
      </c>
      <c r="AJ136" t="s">
        <v>968</v>
      </c>
      <c r="AK136" t="s">
        <v>2340</v>
      </c>
      <c r="AL136" t="s">
        <v>1269</v>
      </c>
      <c r="AM136" t="s">
        <v>1271</v>
      </c>
      <c r="AN136" t="s">
        <v>1092</v>
      </c>
      <c r="AO136">
        <v>610</v>
      </c>
      <c r="AP136">
        <v>61000</v>
      </c>
      <c r="AR136" t="s">
        <v>266</v>
      </c>
      <c r="AS136" t="s">
        <v>978</v>
      </c>
    </row>
    <row r="137" spans="11:45" x14ac:dyDescent="0.35">
      <c r="K137" s="374">
        <v>46001</v>
      </c>
      <c r="L137" t="s">
        <v>450</v>
      </c>
      <c r="M137" t="s">
        <v>451</v>
      </c>
      <c r="N137" t="s">
        <v>2275</v>
      </c>
      <c r="O137" t="s">
        <v>636</v>
      </c>
      <c r="P137" t="s">
        <v>405</v>
      </c>
      <c r="Q137" t="s">
        <v>218</v>
      </c>
      <c r="R137">
        <v>68973.16</v>
      </c>
      <c r="S137">
        <v>733743.8</v>
      </c>
      <c r="T137" t="s">
        <v>693</v>
      </c>
      <c r="U137" t="s">
        <v>273</v>
      </c>
      <c r="V137">
        <v>10000000</v>
      </c>
      <c r="W137">
        <v>0</v>
      </c>
      <c r="X137" t="s">
        <v>266</v>
      </c>
      <c r="Y137" t="s">
        <v>2086</v>
      </c>
      <c r="AH137" t="s">
        <v>1269</v>
      </c>
      <c r="AI137" t="s">
        <v>450</v>
      </c>
      <c r="AJ137" t="s">
        <v>968</v>
      </c>
      <c r="AK137" t="s">
        <v>2340</v>
      </c>
      <c r="AL137" t="s">
        <v>1269</v>
      </c>
      <c r="AM137" t="s">
        <v>1272</v>
      </c>
      <c r="AN137" t="s">
        <v>1092</v>
      </c>
      <c r="AO137">
        <v>660</v>
      </c>
      <c r="AP137">
        <v>66000</v>
      </c>
      <c r="AR137" t="s">
        <v>266</v>
      </c>
      <c r="AS137" t="s">
        <v>978</v>
      </c>
    </row>
    <row r="138" spans="11:45" x14ac:dyDescent="0.35">
      <c r="K138" s="374">
        <v>46012</v>
      </c>
      <c r="L138" t="s">
        <v>450</v>
      </c>
      <c r="M138" t="s">
        <v>451</v>
      </c>
      <c r="N138" t="s">
        <v>2276</v>
      </c>
      <c r="O138" t="s">
        <v>635</v>
      </c>
      <c r="P138" t="s">
        <v>406</v>
      </c>
      <c r="Q138" t="s">
        <v>375</v>
      </c>
      <c r="R138">
        <v>2412.42</v>
      </c>
      <c r="S138">
        <v>249062.39999999999</v>
      </c>
      <c r="T138" t="s">
        <v>693</v>
      </c>
      <c r="U138" t="s">
        <v>376</v>
      </c>
      <c r="V138">
        <v>20000000</v>
      </c>
      <c r="W138">
        <v>0</v>
      </c>
      <c r="X138" t="s">
        <v>266</v>
      </c>
      <c r="Y138" t="s">
        <v>2086</v>
      </c>
      <c r="AH138" t="s">
        <v>1269</v>
      </c>
      <c r="AI138" t="s">
        <v>450</v>
      </c>
      <c r="AJ138" t="s">
        <v>968</v>
      </c>
      <c r="AK138" t="s">
        <v>2340</v>
      </c>
      <c r="AL138" t="s">
        <v>1269</v>
      </c>
      <c r="AM138" t="s">
        <v>1273</v>
      </c>
      <c r="AN138" t="s">
        <v>1092</v>
      </c>
      <c r="AO138">
        <v>610</v>
      </c>
      <c r="AP138">
        <v>61000</v>
      </c>
      <c r="AR138" t="s">
        <v>266</v>
      </c>
      <c r="AS138" t="s">
        <v>978</v>
      </c>
    </row>
    <row r="139" spans="11:45" x14ac:dyDescent="0.35">
      <c r="K139" s="374">
        <v>46013</v>
      </c>
      <c r="L139" t="s">
        <v>450</v>
      </c>
      <c r="M139" t="s">
        <v>451</v>
      </c>
      <c r="N139" t="s">
        <v>1556</v>
      </c>
      <c r="O139" t="s">
        <v>640</v>
      </c>
      <c r="P139" t="s">
        <v>407</v>
      </c>
      <c r="Q139" t="s">
        <v>226</v>
      </c>
      <c r="R139">
        <v>4442.22</v>
      </c>
      <c r="S139">
        <v>448456.3</v>
      </c>
      <c r="T139" t="s">
        <v>687</v>
      </c>
      <c r="U139" t="s">
        <v>401</v>
      </c>
      <c r="V139">
        <v>15000000</v>
      </c>
      <c r="W139">
        <v>0</v>
      </c>
      <c r="X139" t="s">
        <v>266</v>
      </c>
      <c r="Y139" t="s">
        <v>2086</v>
      </c>
      <c r="AH139" t="s">
        <v>1950</v>
      </c>
      <c r="AI139" t="s">
        <v>450</v>
      </c>
      <c r="AJ139" t="s">
        <v>968</v>
      </c>
      <c r="AK139" t="s">
        <v>2195</v>
      </c>
      <c r="AL139" t="s">
        <v>1274</v>
      </c>
      <c r="AM139" t="s">
        <v>1275</v>
      </c>
      <c r="AN139" t="s">
        <v>1276</v>
      </c>
      <c r="AO139">
        <v>89733.73</v>
      </c>
      <c r="AP139">
        <v>734436.72</v>
      </c>
      <c r="AQ139" t="s">
        <v>1277</v>
      </c>
      <c r="AR139" t="s">
        <v>266</v>
      </c>
      <c r="AS139" t="s">
        <v>1021</v>
      </c>
    </row>
    <row r="140" spans="11:45" x14ac:dyDescent="0.35">
      <c r="K140" s="374">
        <v>46015</v>
      </c>
      <c r="L140" t="s">
        <v>450</v>
      </c>
      <c r="M140" t="s">
        <v>451</v>
      </c>
      <c r="N140" t="s">
        <v>2277</v>
      </c>
      <c r="O140" t="s">
        <v>638</v>
      </c>
      <c r="P140" t="s">
        <v>408</v>
      </c>
      <c r="Q140" t="s">
        <v>349</v>
      </c>
      <c r="R140">
        <v>24159.43</v>
      </c>
      <c r="S140">
        <v>1457807.4</v>
      </c>
      <c r="T140" t="s">
        <v>693</v>
      </c>
      <c r="U140" t="s">
        <v>350</v>
      </c>
      <c r="V140">
        <v>10000000</v>
      </c>
      <c r="W140">
        <v>0</v>
      </c>
      <c r="X140" t="s">
        <v>266</v>
      </c>
      <c r="Y140" t="s">
        <v>2086</v>
      </c>
      <c r="AH140" t="s">
        <v>1951</v>
      </c>
      <c r="AI140" t="s">
        <v>450</v>
      </c>
      <c r="AJ140" t="s">
        <v>968</v>
      </c>
      <c r="AK140" t="s">
        <v>2341</v>
      </c>
      <c r="AL140" t="s">
        <v>1278</v>
      </c>
      <c r="AM140" t="s">
        <v>1279</v>
      </c>
      <c r="AN140" t="s">
        <v>1141</v>
      </c>
      <c r="AO140">
        <v>9063</v>
      </c>
      <c r="AP140">
        <v>9063</v>
      </c>
      <c r="AQ140" t="s">
        <v>1142</v>
      </c>
      <c r="AR140" t="s">
        <v>266</v>
      </c>
      <c r="AS140" t="s">
        <v>978</v>
      </c>
    </row>
    <row r="141" spans="11:45" x14ac:dyDescent="0.35">
      <c r="K141" s="374">
        <v>46015</v>
      </c>
      <c r="L141" t="s">
        <v>450</v>
      </c>
      <c r="M141" t="s">
        <v>451</v>
      </c>
      <c r="N141" t="s">
        <v>2278</v>
      </c>
      <c r="O141" t="s">
        <v>637</v>
      </c>
      <c r="P141" t="s">
        <v>409</v>
      </c>
      <c r="Q141" t="s">
        <v>375</v>
      </c>
      <c r="R141">
        <v>270.25</v>
      </c>
      <c r="S141">
        <v>121706.6</v>
      </c>
      <c r="T141" t="s">
        <v>693</v>
      </c>
      <c r="U141" t="s">
        <v>376</v>
      </c>
      <c r="V141">
        <v>20000000</v>
      </c>
      <c r="W141">
        <v>0</v>
      </c>
      <c r="X141" t="s">
        <v>266</v>
      </c>
      <c r="Y141" t="s">
        <v>2086</v>
      </c>
      <c r="AH141" t="s">
        <v>1951</v>
      </c>
      <c r="AI141" t="s">
        <v>450</v>
      </c>
      <c r="AJ141" t="s">
        <v>968</v>
      </c>
      <c r="AK141" t="s">
        <v>2341</v>
      </c>
      <c r="AL141" t="s">
        <v>1278</v>
      </c>
      <c r="AM141" t="s">
        <v>1280</v>
      </c>
      <c r="AN141" t="s">
        <v>1141</v>
      </c>
      <c r="AO141">
        <v>6103</v>
      </c>
      <c r="AP141">
        <v>6103</v>
      </c>
      <c r="AQ141" t="s">
        <v>1142</v>
      </c>
      <c r="AR141" t="s">
        <v>266</v>
      </c>
      <c r="AS141" t="s">
        <v>978</v>
      </c>
    </row>
    <row r="142" spans="11:45" x14ac:dyDescent="0.35">
      <c r="K142" s="374">
        <v>46016</v>
      </c>
      <c r="L142" t="s">
        <v>450</v>
      </c>
      <c r="M142" t="s">
        <v>451</v>
      </c>
      <c r="N142" t="s">
        <v>2277</v>
      </c>
      <c r="O142" t="s">
        <v>638</v>
      </c>
      <c r="P142" t="s">
        <v>410</v>
      </c>
      <c r="Q142" t="s">
        <v>373</v>
      </c>
      <c r="R142">
        <v>8205.6</v>
      </c>
      <c r="S142">
        <v>835356.6</v>
      </c>
      <c r="T142" t="s">
        <v>683</v>
      </c>
      <c r="U142" t="s">
        <v>374</v>
      </c>
      <c r="V142">
        <v>30000000</v>
      </c>
      <c r="W142">
        <v>0</v>
      </c>
      <c r="X142" t="s">
        <v>266</v>
      </c>
      <c r="Y142" t="s">
        <v>2086</v>
      </c>
      <c r="AH142" t="s">
        <v>539</v>
      </c>
      <c r="AI142" t="s">
        <v>450</v>
      </c>
      <c r="AJ142" t="s">
        <v>968</v>
      </c>
      <c r="AK142" t="s">
        <v>2156</v>
      </c>
      <c r="AL142" t="s">
        <v>542</v>
      </c>
      <c r="AM142" t="s">
        <v>1281</v>
      </c>
      <c r="AN142" t="s">
        <v>1141</v>
      </c>
      <c r="AO142">
        <v>6670</v>
      </c>
      <c r="AP142">
        <v>6670</v>
      </c>
      <c r="AQ142" t="s">
        <v>1142</v>
      </c>
      <c r="AR142" t="s">
        <v>266</v>
      </c>
      <c r="AS142" t="s">
        <v>978</v>
      </c>
    </row>
    <row r="143" spans="11:45" x14ac:dyDescent="0.35">
      <c r="K143" s="374">
        <v>46016</v>
      </c>
      <c r="L143" t="s">
        <v>450</v>
      </c>
      <c r="M143" t="s">
        <v>451</v>
      </c>
      <c r="N143" t="s">
        <v>2277</v>
      </c>
      <c r="O143" t="s">
        <v>638</v>
      </c>
      <c r="P143" t="s">
        <v>411</v>
      </c>
      <c r="Q143" t="s">
        <v>373</v>
      </c>
      <c r="R143">
        <v>8152.2</v>
      </c>
      <c r="S143">
        <v>823343.2</v>
      </c>
      <c r="T143" t="s">
        <v>683</v>
      </c>
      <c r="U143" t="s">
        <v>374</v>
      </c>
      <c r="V143">
        <v>30000000</v>
      </c>
      <c r="W143">
        <v>0</v>
      </c>
      <c r="X143" t="s">
        <v>266</v>
      </c>
      <c r="Y143" t="s">
        <v>2086</v>
      </c>
      <c r="AH143" t="s">
        <v>539</v>
      </c>
      <c r="AI143" t="s">
        <v>450</v>
      </c>
      <c r="AJ143" t="s">
        <v>968</v>
      </c>
      <c r="AK143" t="s">
        <v>2156</v>
      </c>
      <c r="AL143" t="s">
        <v>542</v>
      </c>
      <c r="AM143" t="s">
        <v>1282</v>
      </c>
      <c r="AN143" t="s">
        <v>1141</v>
      </c>
      <c r="AO143">
        <v>3841</v>
      </c>
      <c r="AP143">
        <v>3841</v>
      </c>
      <c r="AQ143" t="s">
        <v>1142</v>
      </c>
      <c r="AR143" t="s">
        <v>266</v>
      </c>
      <c r="AS143" t="s">
        <v>978</v>
      </c>
    </row>
    <row r="144" spans="11:45" x14ac:dyDescent="0.35">
      <c r="K144" s="374">
        <v>46017</v>
      </c>
      <c r="L144" t="s">
        <v>450</v>
      </c>
      <c r="M144" t="s">
        <v>451</v>
      </c>
      <c r="N144" t="s">
        <v>925</v>
      </c>
      <c r="O144" t="s">
        <v>639</v>
      </c>
      <c r="P144" t="s">
        <v>414</v>
      </c>
      <c r="Q144" t="s">
        <v>375</v>
      </c>
      <c r="R144">
        <v>1820.63</v>
      </c>
      <c r="S144">
        <v>182011.6</v>
      </c>
      <c r="T144" t="s">
        <v>693</v>
      </c>
      <c r="U144" t="s">
        <v>376</v>
      </c>
      <c r="V144">
        <v>20000000</v>
      </c>
      <c r="W144">
        <v>0</v>
      </c>
      <c r="X144" t="s">
        <v>266</v>
      </c>
      <c r="Y144" t="s">
        <v>2086</v>
      </c>
      <c r="AH144" t="s">
        <v>539</v>
      </c>
      <c r="AI144" t="s">
        <v>450</v>
      </c>
      <c r="AJ144" t="s">
        <v>968</v>
      </c>
      <c r="AK144" t="s">
        <v>2156</v>
      </c>
      <c r="AL144" t="s">
        <v>542</v>
      </c>
      <c r="AM144" t="s">
        <v>1283</v>
      </c>
      <c r="AN144" t="s">
        <v>1141</v>
      </c>
      <c r="AO144">
        <v>10182</v>
      </c>
      <c r="AP144">
        <v>10182</v>
      </c>
      <c r="AQ144" t="s">
        <v>1142</v>
      </c>
      <c r="AR144" t="s">
        <v>266</v>
      </c>
      <c r="AS144" t="s">
        <v>978</v>
      </c>
    </row>
    <row r="145" spans="11:45" x14ac:dyDescent="0.35">
      <c r="K145" s="374">
        <v>46021</v>
      </c>
      <c r="L145" t="s">
        <v>450</v>
      </c>
      <c r="M145" t="s">
        <v>451</v>
      </c>
      <c r="N145" t="s">
        <v>2279</v>
      </c>
      <c r="O145" t="s">
        <v>642</v>
      </c>
      <c r="P145" t="s">
        <v>421</v>
      </c>
      <c r="Q145" t="s">
        <v>373</v>
      </c>
      <c r="R145">
        <v>8351.7999999999993</v>
      </c>
      <c r="S145">
        <v>843508.8</v>
      </c>
      <c r="T145" t="s">
        <v>683</v>
      </c>
      <c r="U145" t="s">
        <v>374</v>
      </c>
      <c r="V145">
        <v>30000000</v>
      </c>
      <c r="W145">
        <v>0</v>
      </c>
      <c r="X145" t="s">
        <v>266</v>
      </c>
      <c r="Y145" t="s">
        <v>2086</v>
      </c>
      <c r="AH145" t="s">
        <v>1284</v>
      </c>
      <c r="AI145" t="s">
        <v>450</v>
      </c>
      <c r="AJ145" t="s">
        <v>968</v>
      </c>
      <c r="AK145" t="s">
        <v>2342</v>
      </c>
      <c r="AL145" t="s">
        <v>1284</v>
      </c>
      <c r="AM145" t="s">
        <v>1285</v>
      </c>
      <c r="AN145" t="s">
        <v>1286</v>
      </c>
      <c r="AO145">
        <v>37220.44</v>
      </c>
      <c r="AP145">
        <v>453804.4</v>
      </c>
      <c r="AQ145" t="s">
        <v>1287</v>
      </c>
      <c r="AR145" t="s">
        <v>266</v>
      </c>
      <c r="AS145" t="s">
        <v>1021</v>
      </c>
    </row>
    <row r="146" spans="11:45" x14ac:dyDescent="0.35">
      <c r="K146" s="374">
        <v>46022</v>
      </c>
      <c r="L146" t="s">
        <v>450</v>
      </c>
      <c r="M146" t="s">
        <v>451</v>
      </c>
      <c r="N146" t="s">
        <v>2167</v>
      </c>
      <c r="O146" t="s">
        <v>641</v>
      </c>
      <c r="P146" t="s">
        <v>422</v>
      </c>
      <c r="Q146" t="s">
        <v>375</v>
      </c>
      <c r="R146">
        <v>1365.8</v>
      </c>
      <c r="S146">
        <v>127188.6</v>
      </c>
      <c r="T146" t="s">
        <v>693</v>
      </c>
      <c r="U146" t="s">
        <v>376</v>
      </c>
      <c r="V146">
        <v>20000000</v>
      </c>
      <c r="W146">
        <v>0</v>
      </c>
      <c r="X146" t="s">
        <v>266</v>
      </c>
      <c r="Y146" t="s">
        <v>2086</v>
      </c>
      <c r="AH146" t="s">
        <v>1952</v>
      </c>
      <c r="AI146" t="s">
        <v>450</v>
      </c>
      <c r="AJ146" t="s">
        <v>968</v>
      </c>
      <c r="AK146" t="s">
        <v>2343</v>
      </c>
      <c r="AL146" t="s">
        <v>1288</v>
      </c>
      <c r="AM146" t="s">
        <v>1289</v>
      </c>
      <c r="AN146" t="s">
        <v>1290</v>
      </c>
      <c r="AO146">
        <v>5400</v>
      </c>
      <c r="AP146">
        <v>49950</v>
      </c>
      <c r="AQ146" t="s">
        <v>1291</v>
      </c>
      <c r="AR146" t="s">
        <v>266</v>
      </c>
      <c r="AS146" t="s">
        <v>978</v>
      </c>
    </row>
    <row r="147" spans="11:45" x14ac:dyDescent="0.35">
      <c r="K147" s="374">
        <v>46019</v>
      </c>
      <c r="L147" t="s">
        <v>450</v>
      </c>
      <c r="M147" t="s">
        <v>451</v>
      </c>
      <c r="N147" t="s">
        <v>2280</v>
      </c>
      <c r="O147" t="s">
        <v>646</v>
      </c>
      <c r="P147" t="s">
        <v>415</v>
      </c>
      <c r="Q147" t="s">
        <v>219</v>
      </c>
      <c r="R147">
        <v>100670.6</v>
      </c>
      <c r="S147">
        <v>752084.8</v>
      </c>
      <c r="T147" t="s">
        <v>693</v>
      </c>
      <c r="U147" t="s">
        <v>279</v>
      </c>
      <c r="V147">
        <v>30000000</v>
      </c>
      <c r="W147">
        <v>0</v>
      </c>
      <c r="X147" t="s">
        <v>266</v>
      </c>
      <c r="Y147" t="s">
        <v>2086</v>
      </c>
      <c r="AH147" t="s">
        <v>1952</v>
      </c>
      <c r="AI147" t="s">
        <v>450</v>
      </c>
      <c r="AJ147" t="s">
        <v>968</v>
      </c>
      <c r="AK147" t="s">
        <v>2343</v>
      </c>
      <c r="AL147" t="s">
        <v>1288</v>
      </c>
      <c r="AM147" t="s">
        <v>1292</v>
      </c>
      <c r="AN147" t="s">
        <v>1293</v>
      </c>
      <c r="AO147">
        <v>69365.440000000002</v>
      </c>
      <c r="AP147">
        <v>544719.27</v>
      </c>
      <c r="AQ147" t="s">
        <v>1294</v>
      </c>
      <c r="AR147" t="s">
        <v>266</v>
      </c>
      <c r="AS147" t="s">
        <v>978</v>
      </c>
    </row>
    <row r="148" spans="11:45" x14ac:dyDescent="0.35">
      <c r="K148" s="374">
        <v>46026</v>
      </c>
      <c r="L148" t="s">
        <v>450</v>
      </c>
      <c r="M148" t="s">
        <v>451</v>
      </c>
      <c r="N148" t="s">
        <v>2100</v>
      </c>
      <c r="O148" t="s">
        <v>643</v>
      </c>
      <c r="P148" t="s">
        <v>423</v>
      </c>
      <c r="Q148" t="s">
        <v>373</v>
      </c>
      <c r="R148">
        <v>7951.6</v>
      </c>
      <c r="S148">
        <v>803177.6</v>
      </c>
      <c r="T148" t="s">
        <v>683</v>
      </c>
      <c r="U148" t="s">
        <v>374</v>
      </c>
      <c r="V148">
        <v>30000000</v>
      </c>
      <c r="W148">
        <v>0</v>
      </c>
      <c r="X148" t="s">
        <v>266</v>
      </c>
      <c r="Y148" t="s">
        <v>2086</v>
      </c>
      <c r="AH148" t="s">
        <v>1953</v>
      </c>
      <c r="AI148" t="s">
        <v>450</v>
      </c>
      <c r="AJ148" t="s">
        <v>968</v>
      </c>
      <c r="AK148" t="s">
        <v>2140</v>
      </c>
      <c r="AL148" t="s">
        <v>571</v>
      </c>
      <c r="AM148" t="s">
        <v>1295</v>
      </c>
      <c r="AN148" t="s">
        <v>1107</v>
      </c>
      <c r="AO148">
        <v>4741.43</v>
      </c>
      <c r="AP148">
        <v>99569.93</v>
      </c>
      <c r="AQ148" t="s">
        <v>1108</v>
      </c>
      <c r="AR148" t="s">
        <v>266</v>
      </c>
      <c r="AS148" t="s">
        <v>978</v>
      </c>
    </row>
    <row r="149" spans="11:45" x14ac:dyDescent="0.35">
      <c r="K149" s="374">
        <v>46027</v>
      </c>
      <c r="L149" t="s">
        <v>450</v>
      </c>
      <c r="M149" t="s">
        <v>451</v>
      </c>
      <c r="N149" t="s">
        <v>2281</v>
      </c>
      <c r="O149" t="s">
        <v>644</v>
      </c>
      <c r="P149" t="s">
        <v>424</v>
      </c>
      <c r="Q149" t="s">
        <v>373</v>
      </c>
      <c r="R149">
        <v>7692.8</v>
      </c>
      <c r="S149">
        <v>777005.8</v>
      </c>
      <c r="T149" t="s">
        <v>683</v>
      </c>
      <c r="U149" t="s">
        <v>374</v>
      </c>
      <c r="V149">
        <v>30000000</v>
      </c>
      <c r="W149">
        <v>0</v>
      </c>
      <c r="X149" t="s">
        <v>266</v>
      </c>
      <c r="Y149" t="s">
        <v>2086</v>
      </c>
      <c r="AH149" t="s">
        <v>1296</v>
      </c>
      <c r="AI149" t="s">
        <v>450</v>
      </c>
      <c r="AJ149" t="s">
        <v>968</v>
      </c>
      <c r="AK149" t="s">
        <v>2160</v>
      </c>
      <c r="AL149" t="s">
        <v>1296</v>
      </c>
      <c r="AM149" t="s">
        <v>1297</v>
      </c>
      <c r="AN149" t="s">
        <v>1298</v>
      </c>
      <c r="AO149">
        <v>119427.22</v>
      </c>
      <c r="AP149">
        <v>805420.8</v>
      </c>
      <c r="AQ149" t="s">
        <v>1299</v>
      </c>
      <c r="AR149" t="s">
        <v>266</v>
      </c>
      <c r="AS149" t="s">
        <v>978</v>
      </c>
    </row>
    <row r="150" spans="11:45" x14ac:dyDescent="0.35">
      <c r="K150" s="374">
        <v>46028</v>
      </c>
      <c r="L150" t="s">
        <v>450</v>
      </c>
      <c r="M150" t="s">
        <v>451</v>
      </c>
      <c r="N150" t="s">
        <v>1747</v>
      </c>
      <c r="O150" t="s">
        <v>649</v>
      </c>
      <c r="P150" t="s">
        <v>425</v>
      </c>
      <c r="Q150" t="s">
        <v>373</v>
      </c>
      <c r="R150">
        <v>16676</v>
      </c>
      <c r="S150">
        <v>845225</v>
      </c>
      <c r="T150" t="s">
        <v>683</v>
      </c>
      <c r="U150" t="s">
        <v>374</v>
      </c>
      <c r="V150">
        <v>30000000</v>
      </c>
      <c r="W150">
        <v>0</v>
      </c>
      <c r="X150" t="s">
        <v>266</v>
      </c>
      <c r="Y150" t="s">
        <v>2086</v>
      </c>
      <c r="AH150" t="s">
        <v>1954</v>
      </c>
      <c r="AI150" t="s">
        <v>450</v>
      </c>
      <c r="AJ150" t="s">
        <v>968</v>
      </c>
      <c r="AK150" t="s">
        <v>2344</v>
      </c>
      <c r="AL150" t="s">
        <v>1300</v>
      </c>
      <c r="AM150" t="s">
        <v>878</v>
      </c>
      <c r="AN150" t="s">
        <v>1208</v>
      </c>
      <c r="AO150">
        <v>58921.14</v>
      </c>
      <c r="AP150">
        <v>456111.3</v>
      </c>
      <c r="AQ150" t="s">
        <v>1209</v>
      </c>
      <c r="AR150" t="s">
        <v>266</v>
      </c>
      <c r="AS150" t="s">
        <v>1021</v>
      </c>
    </row>
    <row r="151" spans="11:45" x14ac:dyDescent="0.35">
      <c r="K151" s="374">
        <v>46031</v>
      </c>
      <c r="L151" t="s">
        <v>450</v>
      </c>
      <c r="M151" t="s">
        <v>451</v>
      </c>
      <c r="N151" t="s">
        <v>2105</v>
      </c>
      <c r="O151" t="s">
        <v>645</v>
      </c>
      <c r="P151" t="s">
        <v>427</v>
      </c>
      <c r="Q151" t="s">
        <v>373</v>
      </c>
      <c r="R151">
        <v>6849.8</v>
      </c>
      <c r="S151">
        <v>789877.8</v>
      </c>
      <c r="T151" t="s">
        <v>683</v>
      </c>
      <c r="U151" t="s">
        <v>374</v>
      </c>
      <c r="V151">
        <v>30000000</v>
      </c>
      <c r="W151">
        <v>0</v>
      </c>
      <c r="X151" t="s">
        <v>266</v>
      </c>
      <c r="Y151" t="s">
        <v>2086</v>
      </c>
      <c r="AH151" t="s">
        <v>1954</v>
      </c>
      <c r="AI151" t="s">
        <v>450</v>
      </c>
      <c r="AJ151" t="s">
        <v>968</v>
      </c>
      <c r="AK151" t="s">
        <v>2344</v>
      </c>
      <c r="AL151" t="s">
        <v>1300</v>
      </c>
      <c r="AM151" t="s">
        <v>1301</v>
      </c>
      <c r="AN151" t="s">
        <v>1302</v>
      </c>
      <c r="AO151">
        <v>10770.57</v>
      </c>
      <c r="AP151">
        <v>843829.8</v>
      </c>
      <c r="AQ151" t="s">
        <v>1303</v>
      </c>
      <c r="AR151" t="s">
        <v>266</v>
      </c>
      <c r="AS151" t="s">
        <v>1021</v>
      </c>
    </row>
    <row r="152" spans="11:45" x14ac:dyDescent="0.35">
      <c r="K152" s="374">
        <v>46031</v>
      </c>
      <c r="L152" t="s">
        <v>450</v>
      </c>
      <c r="M152" t="s">
        <v>451</v>
      </c>
      <c r="N152" t="s">
        <v>2105</v>
      </c>
      <c r="O152" t="s">
        <v>645</v>
      </c>
      <c r="P152" t="s">
        <v>426</v>
      </c>
      <c r="Q152" t="s">
        <v>373</v>
      </c>
      <c r="R152">
        <v>25656.6</v>
      </c>
      <c r="S152">
        <v>863244.6</v>
      </c>
      <c r="T152" t="s">
        <v>683</v>
      </c>
      <c r="U152" t="s">
        <v>374</v>
      </c>
      <c r="V152">
        <v>30000000</v>
      </c>
      <c r="W152">
        <v>0</v>
      </c>
      <c r="X152" t="s">
        <v>266</v>
      </c>
      <c r="Y152" t="s">
        <v>2086</v>
      </c>
      <c r="AH152" t="s">
        <v>1955</v>
      </c>
      <c r="AI152" t="s">
        <v>450</v>
      </c>
      <c r="AJ152" t="s">
        <v>968</v>
      </c>
      <c r="AK152" t="s">
        <v>2345</v>
      </c>
      <c r="AL152" t="s">
        <v>1304</v>
      </c>
      <c r="AM152" t="s">
        <v>934</v>
      </c>
      <c r="AN152" t="s">
        <v>1208</v>
      </c>
      <c r="AO152">
        <v>93783.66</v>
      </c>
      <c r="AP152">
        <v>802010.6</v>
      </c>
      <c r="AQ152" t="s">
        <v>1209</v>
      </c>
      <c r="AR152" t="s">
        <v>266</v>
      </c>
      <c r="AS152" t="s">
        <v>1021</v>
      </c>
    </row>
    <row r="153" spans="11:45" x14ac:dyDescent="0.35">
      <c r="K153" s="374">
        <v>46032</v>
      </c>
      <c r="L153" t="s">
        <v>450</v>
      </c>
      <c r="M153" t="s">
        <v>451</v>
      </c>
      <c r="N153" t="s">
        <v>2282</v>
      </c>
      <c r="O153" t="s">
        <v>647</v>
      </c>
      <c r="P153" t="s">
        <v>428</v>
      </c>
      <c r="Q153" t="s">
        <v>373</v>
      </c>
      <c r="R153">
        <v>74126.679999999993</v>
      </c>
      <c r="S153">
        <v>921166.6</v>
      </c>
      <c r="T153" t="s">
        <v>683</v>
      </c>
      <c r="U153" t="s">
        <v>374</v>
      </c>
      <c r="V153">
        <v>30000000</v>
      </c>
      <c r="W153">
        <v>0</v>
      </c>
      <c r="X153" t="s">
        <v>266</v>
      </c>
      <c r="Y153" t="s">
        <v>2086</v>
      </c>
      <c r="AH153" t="s">
        <v>1304</v>
      </c>
      <c r="AI153" t="s">
        <v>450</v>
      </c>
      <c r="AJ153" t="s">
        <v>968</v>
      </c>
      <c r="AK153" t="s">
        <v>2161</v>
      </c>
      <c r="AL153" t="s">
        <v>1305</v>
      </c>
      <c r="AM153" t="s">
        <v>1306</v>
      </c>
      <c r="AN153" t="s">
        <v>1307</v>
      </c>
      <c r="AO153">
        <v>80343.72</v>
      </c>
      <c r="AP153">
        <v>540510.81999999995</v>
      </c>
      <c r="AQ153" t="s">
        <v>1308</v>
      </c>
      <c r="AR153" t="s">
        <v>266</v>
      </c>
      <c r="AS153" t="s">
        <v>978</v>
      </c>
    </row>
    <row r="154" spans="11:45" x14ac:dyDescent="0.35">
      <c r="K154" s="374">
        <v>46034</v>
      </c>
      <c r="L154" t="s">
        <v>450</v>
      </c>
      <c r="M154" t="s">
        <v>451</v>
      </c>
      <c r="N154" t="s">
        <v>2169</v>
      </c>
      <c r="O154" t="s">
        <v>648</v>
      </c>
      <c r="P154" t="s">
        <v>431</v>
      </c>
      <c r="Q154" t="s">
        <v>373</v>
      </c>
      <c r="R154">
        <v>6428.4</v>
      </c>
      <c r="S154">
        <v>807897.4</v>
      </c>
      <c r="T154" t="s">
        <v>683</v>
      </c>
      <c r="U154" t="s">
        <v>374</v>
      </c>
      <c r="V154">
        <v>30000000</v>
      </c>
      <c r="W154">
        <v>0</v>
      </c>
      <c r="X154" t="s">
        <v>266</v>
      </c>
      <c r="Y154" t="s">
        <v>2086</v>
      </c>
      <c r="AH154" t="s">
        <v>1956</v>
      </c>
      <c r="AI154" t="s">
        <v>450</v>
      </c>
      <c r="AJ154" t="s">
        <v>968</v>
      </c>
      <c r="AK154" t="s">
        <v>2198</v>
      </c>
      <c r="AL154" t="s">
        <v>1309</v>
      </c>
      <c r="AM154" t="s">
        <v>957</v>
      </c>
      <c r="AN154" t="s">
        <v>1208</v>
      </c>
      <c r="AO154">
        <v>53329.27</v>
      </c>
      <c r="AP154">
        <v>379473.84</v>
      </c>
      <c r="AQ154" t="s">
        <v>1209</v>
      </c>
      <c r="AR154" t="s">
        <v>266</v>
      </c>
      <c r="AS154" t="s">
        <v>1021</v>
      </c>
    </row>
    <row r="155" spans="11:45" x14ac:dyDescent="0.35">
      <c r="K155" s="374">
        <v>46039</v>
      </c>
      <c r="L155" t="s">
        <v>450</v>
      </c>
      <c r="M155" t="s">
        <v>451</v>
      </c>
      <c r="N155" t="s">
        <v>945</v>
      </c>
      <c r="O155" t="s">
        <v>650</v>
      </c>
      <c r="P155" t="s">
        <v>432</v>
      </c>
      <c r="Q155" t="s">
        <v>373</v>
      </c>
      <c r="R155">
        <v>6463.2</v>
      </c>
      <c r="S155">
        <v>849086.2</v>
      </c>
      <c r="T155" t="s">
        <v>683</v>
      </c>
      <c r="U155" t="s">
        <v>374</v>
      </c>
      <c r="V155">
        <v>30000000</v>
      </c>
      <c r="W155">
        <v>0</v>
      </c>
      <c r="X155" t="s">
        <v>266</v>
      </c>
      <c r="Y155" t="s">
        <v>2086</v>
      </c>
      <c r="AH155" t="s">
        <v>1957</v>
      </c>
      <c r="AI155" t="s">
        <v>450</v>
      </c>
      <c r="AJ155" t="s">
        <v>968</v>
      </c>
      <c r="AK155" t="s">
        <v>2346</v>
      </c>
      <c r="AL155" t="s">
        <v>1310</v>
      </c>
      <c r="AM155" t="s">
        <v>1311</v>
      </c>
      <c r="AN155" t="s">
        <v>1141</v>
      </c>
      <c r="AO155">
        <v>4851</v>
      </c>
      <c r="AP155">
        <v>4851</v>
      </c>
      <c r="AQ155" t="s">
        <v>1142</v>
      </c>
      <c r="AR155" t="s">
        <v>266</v>
      </c>
      <c r="AS155" t="s">
        <v>978</v>
      </c>
    </row>
    <row r="156" spans="11:45" x14ac:dyDescent="0.35">
      <c r="K156" s="374">
        <v>46039</v>
      </c>
      <c r="L156" t="s">
        <v>450</v>
      </c>
      <c r="M156" t="s">
        <v>451</v>
      </c>
      <c r="N156" t="s">
        <v>2283</v>
      </c>
      <c r="O156" t="s">
        <v>653</v>
      </c>
      <c r="P156" t="s">
        <v>434</v>
      </c>
      <c r="Q156" t="s">
        <v>398</v>
      </c>
      <c r="R156">
        <v>17567</v>
      </c>
      <c r="S156">
        <v>1049225.03</v>
      </c>
      <c r="T156" t="s">
        <v>693</v>
      </c>
      <c r="U156" t="s">
        <v>200</v>
      </c>
      <c r="V156">
        <v>60000000</v>
      </c>
      <c r="W156">
        <v>0</v>
      </c>
      <c r="X156" t="s">
        <v>266</v>
      </c>
      <c r="Y156" t="s">
        <v>2086</v>
      </c>
      <c r="AH156" t="s">
        <v>1958</v>
      </c>
      <c r="AI156" t="s">
        <v>450</v>
      </c>
      <c r="AJ156" t="s">
        <v>968</v>
      </c>
      <c r="AK156" t="s">
        <v>2141</v>
      </c>
      <c r="AL156" t="s">
        <v>1312</v>
      </c>
      <c r="AM156" t="s">
        <v>1313</v>
      </c>
      <c r="AN156" t="s">
        <v>1314</v>
      </c>
      <c r="AO156">
        <v>57849.52</v>
      </c>
      <c r="AP156">
        <v>511282.2</v>
      </c>
      <c r="AQ156" t="s">
        <v>1315</v>
      </c>
      <c r="AR156" t="s">
        <v>266</v>
      </c>
      <c r="AS156" t="s">
        <v>978</v>
      </c>
    </row>
    <row r="157" spans="11:45" x14ac:dyDescent="0.35">
      <c r="K157" s="374">
        <v>46039</v>
      </c>
      <c r="L157" t="s">
        <v>450</v>
      </c>
      <c r="M157" t="s">
        <v>451</v>
      </c>
      <c r="N157" t="s">
        <v>2169</v>
      </c>
      <c r="O157" t="s">
        <v>648</v>
      </c>
      <c r="P157" t="s">
        <v>433</v>
      </c>
      <c r="Q157" t="s">
        <v>375</v>
      </c>
      <c r="R157">
        <v>34.78</v>
      </c>
      <c r="S157">
        <v>134863.79999999999</v>
      </c>
      <c r="T157" t="s">
        <v>693</v>
      </c>
      <c r="U157" t="s">
        <v>376</v>
      </c>
      <c r="V157">
        <v>20000000</v>
      </c>
      <c r="W157">
        <v>0</v>
      </c>
      <c r="X157" t="s">
        <v>266</v>
      </c>
      <c r="Y157" t="s">
        <v>2086</v>
      </c>
      <c r="AH157" t="s">
        <v>1316</v>
      </c>
      <c r="AI157" t="s">
        <v>450</v>
      </c>
      <c r="AJ157" t="s">
        <v>968</v>
      </c>
      <c r="AK157" t="s">
        <v>2347</v>
      </c>
      <c r="AL157" t="s">
        <v>1316</v>
      </c>
      <c r="AM157" t="s">
        <v>1317</v>
      </c>
      <c r="AN157" t="s">
        <v>1141</v>
      </c>
      <c r="AO157">
        <v>8375</v>
      </c>
      <c r="AP157">
        <v>8375</v>
      </c>
      <c r="AQ157" t="s">
        <v>1142</v>
      </c>
      <c r="AR157" t="s">
        <v>266</v>
      </c>
      <c r="AS157" t="s">
        <v>978</v>
      </c>
    </row>
    <row r="158" spans="11:45" x14ac:dyDescent="0.35">
      <c r="K158" s="374">
        <v>46043</v>
      </c>
      <c r="L158" t="s">
        <v>450</v>
      </c>
      <c r="M158" t="s">
        <v>451</v>
      </c>
      <c r="N158" t="s">
        <v>2125</v>
      </c>
      <c r="O158" t="s">
        <v>651</v>
      </c>
      <c r="P158" t="s">
        <v>435</v>
      </c>
      <c r="Q158" t="s">
        <v>373</v>
      </c>
      <c r="R158">
        <v>16945.2</v>
      </c>
      <c r="S158">
        <v>885555.19999999995</v>
      </c>
      <c r="T158" t="s">
        <v>683</v>
      </c>
      <c r="U158" t="s">
        <v>374</v>
      </c>
      <c r="V158">
        <v>30000000</v>
      </c>
      <c r="W158">
        <v>0</v>
      </c>
      <c r="X158" t="s">
        <v>266</v>
      </c>
      <c r="Y158" t="s">
        <v>2086</v>
      </c>
      <c r="AH158" t="s">
        <v>1318</v>
      </c>
      <c r="AI158" t="s">
        <v>450</v>
      </c>
      <c r="AJ158" t="s">
        <v>968</v>
      </c>
      <c r="AK158" t="s">
        <v>2348</v>
      </c>
      <c r="AL158" t="s">
        <v>1318</v>
      </c>
      <c r="AM158" t="s">
        <v>1319</v>
      </c>
      <c r="AN158" t="s">
        <v>1141</v>
      </c>
      <c r="AO158">
        <v>5316</v>
      </c>
      <c r="AP158">
        <v>5316</v>
      </c>
      <c r="AQ158" t="s">
        <v>1142</v>
      </c>
      <c r="AR158" t="s">
        <v>266</v>
      </c>
      <c r="AS158" t="s">
        <v>978</v>
      </c>
    </row>
    <row r="159" spans="11:45" x14ac:dyDescent="0.35">
      <c r="K159" s="374">
        <v>46050</v>
      </c>
      <c r="L159" t="s">
        <v>450</v>
      </c>
      <c r="M159" t="s">
        <v>451</v>
      </c>
      <c r="N159" t="s">
        <v>2284</v>
      </c>
      <c r="O159" t="s">
        <v>652</v>
      </c>
      <c r="P159" t="s">
        <v>437</v>
      </c>
      <c r="Q159" t="s">
        <v>370</v>
      </c>
      <c r="R159">
        <v>31279.54</v>
      </c>
      <c r="S159">
        <v>666652.80000000005</v>
      </c>
      <c r="U159" t="s">
        <v>371</v>
      </c>
      <c r="V159">
        <v>5000000</v>
      </c>
      <c r="W159">
        <v>0</v>
      </c>
      <c r="X159" t="s">
        <v>266</v>
      </c>
      <c r="Y159" t="s">
        <v>2086</v>
      </c>
      <c r="AH159" t="s">
        <v>1320</v>
      </c>
      <c r="AI159" t="s">
        <v>450</v>
      </c>
      <c r="AJ159" t="s">
        <v>968</v>
      </c>
      <c r="AK159" t="s">
        <v>2349</v>
      </c>
      <c r="AL159" t="s">
        <v>1320</v>
      </c>
      <c r="AM159" t="s">
        <v>1321</v>
      </c>
      <c r="AN159" t="s">
        <v>1141</v>
      </c>
      <c r="AO159">
        <v>7930</v>
      </c>
      <c r="AP159">
        <v>7930</v>
      </c>
      <c r="AQ159" t="s">
        <v>1142</v>
      </c>
      <c r="AR159" t="s">
        <v>266</v>
      </c>
      <c r="AS159" t="s">
        <v>978</v>
      </c>
    </row>
    <row r="160" spans="11:45" x14ac:dyDescent="0.35">
      <c r="K160" s="374">
        <v>46051</v>
      </c>
      <c r="L160" t="s">
        <v>450</v>
      </c>
      <c r="M160" t="s">
        <v>451</v>
      </c>
      <c r="N160" t="s">
        <v>946</v>
      </c>
      <c r="O160" t="s">
        <v>654</v>
      </c>
      <c r="P160" t="s">
        <v>438</v>
      </c>
      <c r="Q160" t="s">
        <v>315</v>
      </c>
      <c r="R160">
        <v>415998.21</v>
      </c>
      <c r="S160">
        <v>429924.3</v>
      </c>
      <c r="T160" t="s">
        <v>693</v>
      </c>
      <c r="U160" t="s">
        <v>316</v>
      </c>
      <c r="V160">
        <v>8000000</v>
      </c>
      <c r="W160">
        <v>0</v>
      </c>
      <c r="X160" t="s">
        <v>266</v>
      </c>
      <c r="Y160" t="s">
        <v>2086</v>
      </c>
      <c r="AH160" t="s">
        <v>1322</v>
      </c>
      <c r="AI160" t="s">
        <v>450</v>
      </c>
      <c r="AJ160" t="s">
        <v>968</v>
      </c>
      <c r="AK160" t="s">
        <v>2350</v>
      </c>
      <c r="AL160" t="s">
        <v>1322</v>
      </c>
      <c r="AM160" t="s">
        <v>1323</v>
      </c>
      <c r="AN160" t="s">
        <v>1125</v>
      </c>
      <c r="AO160">
        <v>5916</v>
      </c>
      <c r="AP160">
        <v>54230</v>
      </c>
      <c r="AQ160" t="s">
        <v>1126</v>
      </c>
      <c r="AR160" t="s">
        <v>266</v>
      </c>
      <c r="AS160" t="s">
        <v>978</v>
      </c>
    </row>
    <row r="161" spans="11:45" x14ac:dyDescent="0.35">
      <c r="K161" s="374">
        <v>46052</v>
      </c>
      <c r="L161" t="s">
        <v>450</v>
      </c>
      <c r="M161" t="s">
        <v>451</v>
      </c>
      <c r="N161" t="s">
        <v>1552</v>
      </c>
      <c r="O161" t="s">
        <v>656</v>
      </c>
      <c r="P161" t="s">
        <v>441</v>
      </c>
      <c r="Q161" t="s">
        <v>315</v>
      </c>
      <c r="R161">
        <v>540645.68999999994</v>
      </c>
      <c r="S161">
        <v>569239.4</v>
      </c>
      <c r="T161" t="s">
        <v>693</v>
      </c>
      <c r="U161" t="s">
        <v>316</v>
      </c>
      <c r="V161">
        <v>8000000</v>
      </c>
      <c r="W161">
        <v>0</v>
      </c>
      <c r="X161" t="s">
        <v>266</v>
      </c>
      <c r="Y161" t="s">
        <v>2086</v>
      </c>
      <c r="AH161" t="s">
        <v>1959</v>
      </c>
      <c r="AI161" t="s">
        <v>450</v>
      </c>
      <c r="AJ161" t="s">
        <v>968</v>
      </c>
      <c r="AK161" t="s">
        <v>2199</v>
      </c>
      <c r="AL161" t="s">
        <v>1324</v>
      </c>
      <c r="AM161" t="s">
        <v>1325</v>
      </c>
      <c r="AN161" t="s">
        <v>1290</v>
      </c>
      <c r="AO161">
        <v>9600</v>
      </c>
      <c r="AP161">
        <v>88800</v>
      </c>
      <c r="AQ161" t="s">
        <v>1291</v>
      </c>
      <c r="AR161" t="s">
        <v>266</v>
      </c>
      <c r="AS161" t="s">
        <v>978</v>
      </c>
    </row>
    <row r="162" spans="11:45" x14ac:dyDescent="0.35">
      <c r="K162" s="374">
        <v>46052</v>
      </c>
      <c r="L162" t="s">
        <v>450</v>
      </c>
      <c r="M162" t="s">
        <v>451</v>
      </c>
      <c r="N162" t="s">
        <v>1552</v>
      </c>
      <c r="O162" t="s">
        <v>656</v>
      </c>
      <c r="P162" t="s">
        <v>440</v>
      </c>
      <c r="Q162" t="s">
        <v>315</v>
      </c>
      <c r="R162">
        <v>360507.2</v>
      </c>
      <c r="S162">
        <v>360507.2</v>
      </c>
      <c r="T162" t="s">
        <v>693</v>
      </c>
      <c r="U162" t="s">
        <v>316</v>
      </c>
      <c r="V162">
        <v>8000000</v>
      </c>
      <c r="W162">
        <v>0</v>
      </c>
      <c r="X162" t="s">
        <v>266</v>
      </c>
      <c r="Y162" t="s">
        <v>2086</v>
      </c>
      <c r="AH162" t="s">
        <v>1959</v>
      </c>
      <c r="AI162" t="s">
        <v>450</v>
      </c>
      <c r="AJ162" t="s">
        <v>968</v>
      </c>
      <c r="AK162" t="s">
        <v>2351</v>
      </c>
      <c r="AL162" t="s">
        <v>1326</v>
      </c>
      <c r="AM162" t="s">
        <v>1327</v>
      </c>
      <c r="AN162" t="s">
        <v>1328</v>
      </c>
      <c r="AO162">
        <v>43233.279999999999</v>
      </c>
      <c r="AP162">
        <v>664425.56000000006</v>
      </c>
      <c r="AQ162" t="s">
        <v>1329</v>
      </c>
      <c r="AR162" t="s">
        <v>266</v>
      </c>
      <c r="AS162" t="s">
        <v>1021</v>
      </c>
    </row>
    <row r="163" spans="11:45" x14ac:dyDescent="0.35">
      <c r="K163" s="374">
        <v>46052</v>
      </c>
      <c r="L163" t="s">
        <v>450</v>
      </c>
      <c r="M163" t="s">
        <v>451</v>
      </c>
      <c r="N163" t="s">
        <v>1215</v>
      </c>
      <c r="O163" t="s">
        <v>662</v>
      </c>
      <c r="P163" t="s">
        <v>439</v>
      </c>
      <c r="Q163" t="s">
        <v>394</v>
      </c>
      <c r="R163">
        <v>350000</v>
      </c>
      <c r="S163">
        <v>550986.69999999995</v>
      </c>
      <c r="T163" t="s">
        <v>693</v>
      </c>
      <c r="U163" t="s">
        <v>206</v>
      </c>
      <c r="V163">
        <v>30000000</v>
      </c>
      <c r="W163">
        <v>0</v>
      </c>
      <c r="X163" t="s">
        <v>266</v>
      </c>
      <c r="Y163" t="s">
        <v>2086</v>
      </c>
      <c r="AH163" t="s">
        <v>1324</v>
      </c>
      <c r="AI163" t="s">
        <v>450</v>
      </c>
      <c r="AJ163" t="s">
        <v>968</v>
      </c>
      <c r="AK163" t="s">
        <v>2352</v>
      </c>
      <c r="AL163" t="s">
        <v>1330</v>
      </c>
      <c r="AM163" t="s">
        <v>1331</v>
      </c>
      <c r="AN163" t="s">
        <v>982</v>
      </c>
      <c r="AO163">
        <v>94641.57</v>
      </c>
      <c r="AP163">
        <v>663965.80000000005</v>
      </c>
      <c r="AQ163" t="s">
        <v>983</v>
      </c>
      <c r="AR163" t="s">
        <v>266</v>
      </c>
      <c r="AS163" t="s">
        <v>978</v>
      </c>
    </row>
    <row r="164" spans="11:45" x14ac:dyDescent="0.35">
      <c r="K164" s="374">
        <v>46055</v>
      </c>
      <c r="L164" t="s">
        <v>450</v>
      </c>
      <c r="M164" t="s">
        <v>451</v>
      </c>
      <c r="N164" t="s">
        <v>2285</v>
      </c>
      <c r="O164" t="s">
        <v>697</v>
      </c>
      <c r="P164" t="s">
        <v>677</v>
      </c>
      <c r="Q164" t="s">
        <v>894</v>
      </c>
      <c r="R164">
        <v>689488.85</v>
      </c>
      <c r="S164">
        <v>775560.9</v>
      </c>
      <c r="T164" t="s">
        <v>693</v>
      </c>
      <c r="U164" t="s">
        <v>215</v>
      </c>
      <c r="V164">
        <v>40000000</v>
      </c>
      <c r="W164">
        <v>0</v>
      </c>
      <c r="X164" t="s">
        <v>266</v>
      </c>
      <c r="Y164" t="s">
        <v>2086</v>
      </c>
      <c r="AH164" t="s">
        <v>1332</v>
      </c>
      <c r="AI164" t="s">
        <v>450</v>
      </c>
      <c r="AJ164" t="s">
        <v>968</v>
      </c>
      <c r="AK164" t="s">
        <v>2353</v>
      </c>
      <c r="AL164" t="s">
        <v>1332</v>
      </c>
      <c r="AM164" t="s">
        <v>1333</v>
      </c>
      <c r="AN164" t="s">
        <v>1290</v>
      </c>
      <c r="AO164">
        <v>9600</v>
      </c>
      <c r="AP164">
        <v>88800</v>
      </c>
      <c r="AQ164" t="s">
        <v>1291</v>
      </c>
      <c r="AR164" t="s">
        <v>266</v>
      </c>
      <c r="AS164" t="s">
        <v>978</v>
      </c>
    </row>
    <row r="165" spans="11:45" x14ac:dyDescent="0.35">
      <c r="K165" s="374">
        <v>46055</v>
      </c>
      <c r="L165" t="s">
        <v>450</v>
      </c>
      <c r="M165" t="s">
        <v>451</v>
      </c>
      <c r="N165" t="s">
        <v>2286</v>
      </c>
      <c r="O165" t="s">
        <v>659</v>
      </c>
      <c r="P165" t="s">
        <v>676</v>
      </c>
      <c r="Q165" t="s">
        <v>315</v>
      </c>
      <c r="R165">
        <v>680175.78</v>
      </c>
      <c r="S165">
        <v>697167.6</v>
      </c>
      <c r="T165" t="s">
        <v>693</v>
      </c>
      <c r="U165" t="s">
        <v>316</v>
      </c>
      <c r="V165">
        <v>8000000</v>
      </c>
      <c r="W165">
        <v>0</v>
      </c>
      <c r="X165" t="s">
        <v>266</v>
      </c>
      <c r="Y165" t="s">
        <v>2086</v>
      </c>
      <c r="AH165" t="s">
        <v>1332</v>
      </c>
      <c r="AI165" t="s">
        <v>450</v>
      </c>
      <c r="AJ165" t="s">
        <v>968</v>
      </c>
      <c r="AK165" t="s">
        <v>2353</v>
      </c>
      <c r="AL165" t="s">
        <v>1332</v>
      </c>
      <c r="AM165" t="s">
        <v>1334</v>
      </c>
      <c r="AN165" t="s">
        <v>1335</v>
      </c>
      <c r="AO165">
        <v>5632.8</v>
      </c>
      <c r="AP165">
        <v>58476.2</v>
      </c>
      <c r="AQ165" t="s">
        <v>1336</v>
      </c>
      <c r="AR165" t="s">
        <v>266</v>
      </c>
      <c r="AS165" t="s">
        <v>978</v>
      </c>
    </row>
    <row r="166" spans="11:45" x14ac:dyDescent="0.35">
      <c r="K166" s="374">
        <v>46056</v>
      </c>
      <c r="L166" t="s">
        <v>450</v>
      </c>
      <c r="M166" t="s">
        <v>451</v>
      </c>
      <c r="N166" t="s">
        <v>2171</v>
      </c>
      <c r="O166" t="s">
        <v>665</v>
      </c>
      <c r="P166" t="s">
        <v>678</v>
      </c>
      <c r="Q166" t="s">
        <v>894</v>
      </c>
      <c r="R166">
        <v>855628.62</v>
      </c>
      <c r="S166">
        <v>860043</v>
      </c>
      <c r="T166" t="s">
        <v>693</v>
      </c>
      <c r="U166" t="s">
        <v>215</v>
      </c>
      <c r="V166">
        <v>40000000</v>
      </c>
      <c r="W166">
        <v>0</v>
      </c>
      <c r="X166" t="s">
        <v>266</v>
      </c>
      <c r="Y166" t="s">
        <v>2086</v>
      </c>
      <c r="AH166" t="s">
        <v>1337</v>
      </c>
      <c r="AI166" t="s">
        <v>450</v>
      </c>
      <c r="AJ166" t="s">
        <v>968</v>
      </c>
      <c r="AK166" t="s">
        <v>2354</v>
      </c>
      <c r="AL166" t="s">
        <v>1337</v>
      </c>
      <c r="AM166" t="s">
        <v>1338</v>
      </c>
      <c r="AN166" t="s">
        <v>1339</v>
      </c>
      <c r="AO166">
        <v>12240</v>
      </c>
      <c r="AP166">
        <v>112200</v>
      </c>
      <c r="AQ166" t="s">
        <v>1340</v>
      </c>
      <c r="AR166" t="s">
        <v>266</v>
      </c>
      <c r="AS166" t="s">
        <v>973</v>
      </c>
    </row>
    <row r="167" spans="11:45" x14ac:dyDescent="0.35">
      <c r="K167" s="374">
        <v>46057</v>
      </c>
      <c r="L167" t="s">
        <v>450</v>
      </c>
      <c r="M167" t="s">
        <v>451</v>
      </c>
      <c r="N167" t="s">
        <v>2171</v>
      </c>
      <c r="O167" t="s">
        <v>665</v>
      </c>
      <c r="P167" t="s">
        <v>666</v>
      </c>
      <c r="Q167" t="s">
        <v>380</v>
      </c>
      <c r="R167">
        <v>6514.8</v>
      </c>
      <c r="S167">
        <v>726807.2</v>
      </c>
      <c r="T167" t="s">
        <v>695</v>
      </c>
      <c r="U167" t="s">
        <v>381</v>
      </c>
      <c r="V167">
        <v>10000000</v>
      </c>
      <c r="W167">
        <v>0</v>
      </c>
      <c r="X167" t="s">
        <v>266</v>
      </c>
      <c r="Y167" t="s">
        <v>2086</v>
      </c>
      <c r="AH167" t="s">
        <v>1337</v>
      </c>
      <c r="AI167" t="s">
        <v>450</v>
      </c>
      <c r="AJ167" t="s">
        <v>968</v>
      </c>
      <c r="AK167" t="s">
        <v>2355</v>
      </c>
      <c r="AL167" t="s">
        <v>1341</v>
      </c>
      <c r="AM167" t="s">
        <v>922</v>
      </c>
      <c r="AN167" t="s">
        <v>1107</v>
      </c>
      <c r="AO167">
        <v>5161</v>
      </c>
      <c r="AP167">
        <v>108381</v>
      </c>
      <c r="AQ167" t="s">
        <v>1108</v>
      </c>
      <c r="AR167" t="s">
        <v>266</v>
      </c>
      <c r="AS167" t="s">
        <v>978</v>
      </c>
    </row>
    <row r="168" spans="11:45" x14ac:dyDescent="0.35">
      <c r="K168" s="374">
        <v>46058</v>
      </c>
      <c r="L168" t="s">
        <v>450</v>
      </c>
      <c r="M168" t="s">
        <v>451</v>
      </c>
      <c r="N168" t="s">
        <v>949</v>
      </c>
      <c r="O168" t="s">
        <v>701</v>
      </c>
      <c r="P168" t="s">
        <v>667</v>
      </c>
      <c r="Q168" t="s">
        <v>894</v>
      </c>
      <c r="R168">
        <v>375900.04</v>
      </c>
      <c r="S168">
        <v>930064.2</v>
      </c>
      <c r="T168" t="s">
        <v>693</v>
      </c>
      <c r="U168" t="s">
        <v>215</v>
      </c>
      <c r="V168">
        <v>40000000</v>
      </c>
      <c r="W168">
        <v>0</v>
      </c>
      <c r="X168" t="s">
        <v>266</v>
      </c>
      <c r="Y168" t="s">
        <v>2086</v>
      </c>
      <c r="AH168" t="s">
        <v>1960</v>
      </c>
      <c r="AI168" t="s">
        <v>450</v>
      </c>
      <c r="AJ168" t="s">
        <v>968</v>
      </c>
      <c r="AK168" t="s">
        <v>2200</v>
      </c>
      <c r="AL168" t="s">
        <v>1342</v>
      </c>
      <c r="AM168" t="s">
        <v>1343</v>
      </c>
      <c r="AN168" t="s">
        <v>1335</v>
      </c>
      <c r="AO168">
        <v>2066.4</v>
      </c>
      <c r="AP168">
        <v>18942.400000000001</v>
      </c>
      <c r="AQ168" t="s">
        <v>1336</v>
      </c>
      <c r="AR168" t="s">
        <v>266</v>
      </c>
      <c r="AS168" t="s">
        <v>978</v>
      </c>
    </row>
    <row r="169" spans="11:45" x14ac:dyDescent="0.35">
      <c r="K169" s="374">
        <v>46058</v>
      </c>
      <c r="L169" t="s">
        <v>450</v>
      </c>
      <c r="M169" t="s">
        <v>451</v>
      </c>
      <c r="N169" t="s">
        <v>949</v>
      </c>
      <c r="O169" t="s">
        <v>701</v>
      </c>
      <c r="P169" t="s">
        <v>670</v>
      </c>
      <c r="Q169" t="s">
        <v>894</v>
      </c>
      <c r="R169">
        <v>705357.04</v>
      </c>
      <c r="S169">
        <v>713911.8</v>
      </c>
      <c r="T169" t="s">
        <v>693</v>
      </c>
      <c r="U169" t="s">
        <v>215</v>
      </c>
      <c r="V169">
        <v>40000000</v>
      </c>
      <c r="W169">
        <v>0</v>
      </c>
      <c r="X169" t="s">
        <v>266</v>
      </c>
      <c r="Y169" t="s">
        <v>2086</v>
      </c>
      <c r="AH169" t="s">
        <v>1344</v>
      </c>
      <c r="AI169" t="s">
        <v>450</v>
      </c>
      <c r="AJ169" t="s">
        <v>968</v>
      </c>
      <c r="AK169" t="s">
        <v>2356</v>
      </c>
      <c r="AL169" t="s">
        <v>1344</v>
      </c>
      <c r="AM169" t="s">
        <v>1345</v>
      </c>
      <c r="AN169" t="s">
        <v>1133</v>
      </c>
      <c r="AO169">
        <v>13828</v>
      </c>
      <c r="AP169">
        <v>13828</v>
      </c>
      <c r="AQ169" t="s">
        <v>1134</v>
      </c>
      <c r="AR169" t="s">
        <v>266</v>
      </c>
      <c r="AS169" t="s">
        <v>978</v>
      </c>
    </row>
    <row r="170" spans="11:45" x14ac:dyDescent="0.35">
      <c r="K170" s="374">
        <v>46058</v>
      </c>
      <c r="L170" t="s">
        <v>450</v>
      </c>
      <c r="M170" t="s">
        <v>451</v>
      </c>
      <c r="N170" t="s">
        <v>2127</v>
      </c>
      <c r="O170" t="s">
        <v>658</v>
      </c>
      <c r="P170" t="s">
        <v>668</v>
      </c>
      <c r="Q170" t="s">
        <v>315</v>
      </c>
      <c r="R170">
        <v>358469.4</v>
      </c>
      <c r="S170">
        <v>358469.4</v>
      </c>
      <c r="T170" t="s">
        <v>693</v>
      </c>
      <c r="U170" t="s">
        <v>316</v>
      </c>
      <c r="V170">
        <v>8000000</v>
      </c>
      <c r="W170">
        <v>0</v>
      </c>
      <c r="X170" t="s">
        <v>266</v>
      </c>
      <c r="Y170" t="s">
        <v>2086</v>
      </c>
      <c r="AH170" t="s">
        <v>1961</v>
      </c>
      <c r="AI170" t="s">
        <v>450</v>
      </c>
      <c r="AJ170" t="s">
        <v>968</v>
      </c>
      <c r="AK170" t="s">
        <v>2142</v>
      </c>
      <c r="AL170" t="s">
        <v>1346</v>
      </c>
      <c r="AM170" t="s">
        <v>1347</v>
      </c>
      <c r="AN170" t="s">
        <v>1335</v>
      </c>
      <c r="AO170">
        <v>9777.6</v>
      </c>
      <c r="AP170">
        <v>89627.6</v>
      </c>
      <c r="AQ170" t="s">
        <v>1336</v>
      </c>
      <c r="AR170" t="s">
        <v>266</v>
      </c>
      <c r="AS170" t="s">
        <v>978</v>
      </c>
    </row>
    <row r="171" spans="11:45" x14ac:dyDescent="0.35">
      <c r="K171" s="374">
        <v>46059</v>
      </c>
      <c r="L171" t="s">
        <v>450</v>
      </c>
      <c r="M171" t="s">
        <v>451</v>
      </c>
      <c r="N171" t="s">
        <v>948</v>
      </c>
      <c r="O171" t="s">
        <v>664</v>
      </c>
      <c r="P171" t="s">
        <v>671</v>
      </c>
      <c r="Q171" t="s">
        <v>383</v>
      </c>
      <c r="R171">
        <v>5307.81</v>
      </c>
      <c r="S171">
        <v>477162.5</v>
      </c>
      <c r="T171" t="s">
        <v>693</v>
      </c>
      <c r="U171" t="s">
        <v>384</v>
      </c>
      <c r="V171">
        <v>5000000</v>
      </c>
      <c r="W171">
        <v>0</v>
      </c>
      <c r="X171" t="s">
        <v>266</v>
      </c>
      <c r="Y171" t="s">
        <v>2086</v>
      </c>
      <c r="AH171" t="s">
        <v>1961</v>
      </c>
      <c r="AI171" t="s">
        <v>450</v>
      </c>
      <c r="AJ171" t="s">
        <v>968</v>
      </c>
      <c r="AK171" t="s">
        <v>2142</v>
      </c>
      <c r="AL171" t="s">
        <v>1346</v>
      </c>
      <c r="AM171" t="s">
        <v>1348</v>
      </c>
      <c r="AN171" t="s">
        <v>1335</v>
      </c>
      <c r="AO171">
        <v>499.92</v>
      </c>
      <c r="AP171">
        <v>4582.92</v>
      </c>
      <c r="AQ171" t="s">
        <v>1336</v>
      </c>
      <c r="AR171" t="s">
        <v>266</v>
      </c>
      <c r="AS171" t="s">
        <v>978</v>
      </c>
    </row>
    <row r="172" spans="11:45" x14ac:dyDescent="0.35">
      <c r="K172" s="374">
        <v>46059</v>
      </c>
      <c r="L172" t="s">
        <v>450</v>
      </c>
      <c r="M172" t="s">
        <v>451</v>
      </c>
      <c r="N172" t="s">
        <v>2094</v>
      </c>
      <c r="O172" t="s">
        <v>699</v>
      </c>
      <c r="P172" t="s">
        <v>672</v>
      </c>
      <c r="Q172" t="s">
        <v>894</v>
      </c>
      <c r="R172">
        <v>816345.2</v>
      </c>
      <c r="S172">
        <v>850909.8</v>
      </c>
      <c r="T172" t="s">
        <v>693</v>
      </c>
      <c r="U172" t="s">
        <v>215</v>
      </c>
      <c r="V172">
        <v>40000000</v>
      </c>
      <c r="W172">
        <v>0</v>
      </c>
      <c r="X172" t="s">
        <v>266</v>
      </c>
      <c r="Y172" t="s">
        <v>2086</v>
      </c>
      <c r="AH172" t="s">
        <v>1346</v>
      </c>
      <c r="AI172" t="s">
        <v>450</v>
      </c>
      <c r="AJ172" t="s">
        <v>968</v>
      </c>
      <c r="AK172" t="s">
        <v>2142</v>
      </c>
      <c r="AL172" t="s">
        <v>1346</v>
      </c>
      <c r="AM172" t="s">
        <v>1349</v>
      </c>
      <c r="AN172" t="s">
        <v>1290</v>
      </c>
      <c r="AO172">
        <v>8640</v>
      </c>
      <c r="AP172">
        <v>79920</v>
      </c>
      <c r="AQ172" t="s">
        <v>1291</v>
      </c>
      <c r="AR172" t="s">
        <v>266</v>
      </c>
      <c r="AS172" t="s">
        <v>978</v>
      </c>
    </row>
    <row r="173" spans="11:45" x14ac:dyDescent="0.35">
      <c r="K173" s="374">
        <v>46059</v>
      </c>
      <c r="L173" t="s">
        <v>450</v>
      </c>
      <c r="M173" t="s">
        <v>451</v>
      </c>
      <c r="N173" t="s">
        <v>949</v>
      </c>
      <c r="O173" t="s">
        <v>701</v>
      </c>
      <c r="P173" t="s">
        <v>673</v>
      </c>
      <c r="Q173" t="s">
        <v>334</v>
      </c>
      <c r="R173">
        <v>274926.15000000002</v>
      </c>
      <c r="S173">
        <v>848648.55</v>
      </c>
      <c r="T173" t="s">
        <v>685</v>
      </c>
      <c r="U173" t="s">
        <v>335</v>
      </c>
      <c r="V173">
        <v>13253000</v>
      </c>
      <c r="W173">
        <v>0</v>
      </c>
      <c r="X173" t="s">
        <v>266</v>
      </c>
      <c r="Y173" t="s">
        <v>2086</v>
      </c>
      <c r="AH173" t="s">
        <v>1962</v>
      </c>
      <c r="AI173" t="s">
        <v>450</v>
      </c>
      <c r="AJ173" t="s">
        <v>968</v>
      </c>
      <c r="AK173" t="s">
        <v>2357</v>
      </c>
      <c r="AL173" t="s">
        <v>1350</v>
      </c>
      <c r="AM173" t="s">
        <v>1351</v>
      </c>
      <c r="AN173" t="s">
        <v>1107</v>
      </c>
      <c r="AO173">
        <v>4504.7299999999996</v>
      </c>
      <c r="AP173">
        <v>111798.23</v>
      </c>
      <c r="AQ173" t="s">
        <v>1108</v>
      </c>
      <c r="AR173" t="s">
        <v>266</v>
      </c>
      <c r="AS173" t="s">
        <v>978</v>
      </c>
    </row>
    <row r="174" spans="11:45" x14ac:dyDescent="0.35">
      <c r="K174" s="374">
        <v>46060</v>
      </c>
      <c r="L174" t="s">
        <v>450</v>
      </c>
      <c r="M174" t="s">
        <v>451</v>
      </c>
      <c r="N174" t="s">
        <v>2127</v>
      </c>
      <c r="O174" t="s">
        <v>658</v>
      </c>
      <c r="P174" t="s">
        <v>669</v>
      </c>
      <c r="Q174" t="s">
        <v>363</v>
      </c>
      <c r="R174">
        <v>0.91</v>
      </c>
      <c r="S174">
        <v>1142266.25</v>
      </c>
      <c r="T174" t="s">
        <v>693</v>
      </c>
      <c r="U174" t="s">
        <v>202</v>
      </c>
      <c r="V174">
        <v>2500000</v>
      </c>
      <c r="W174">
        <v>0</v>
      </c>
      <c r="X174" t="s">
        <v>266</v>
      </c>
      <c r="Y174" t="s">
        <v>2086</v>
      </c>
      <c r="AH174" t="s">
        <v>1963</v>
      </c>
      <c r="AI174" t="s">
        <v>450</v>
      </c>
      <c r="AJ174" t="s">
        <v>968</v>
      </c>
      <c r="AK174" t="s">
        <v>2358</v>
      </c>
      <c r="AL174" t="s">
        <v>1352</v>
      </c>
      <c r="AM174" t="s">
        <v>945</v>
      </c>
      <c r="AN174" t="s">
        <v>1353</v>
      </c>
      <c r="AO174">
        <v>65643.58</v>
      </c>
      <c r="AP174">
        <v>430084.25</v>
      </c>
      <c r="AQ174" t="s">
        <v>1354</v>
      </c>
      <c r="AR174" t="s">
        <v>266</v>
      </c>
      <c r="AS174" t="s">
        <v>978</v>
      </c>
    </row>
    <row r="175" spans="11:45" x14ac:dyDescent="0.35">
      <c r="K175" s="374">
        <v>46060</v>
      </c>
      <c r="L175" t="s">
        <v>450</v>
      </c>
      <c r="M175" t="s">
        <v>451</v>
      </c>
      <c r="N175" t="s">
        <v>1378</v>
      </c>
      <c r="O175" t="s">
        <v>698</v>
      </c>
      <c r="P175" t="s">
        <v>675</v>
      </c>
      <c r="Q175" t="s">
        <v>894</v>
      </c>
      <c r="R175">
        <v>816736.41</v>
      </c>
      <c r="S175">
        <v>819704.7</v>
      </c>
      <c r="T175" t="s">
        <v>693</v>
      </c>
      <c r="U175" t="s">
        <v>215</v>
      </c>
      <c r="V175">
        <v>40000000</v>
      </c>
      <c r="W175">
        <v>0</v>
      </c>
      <c r="X175" t="s">
        <v>266</v>
      </c>
      <c r="Y175" t="s">
        <v>2086</v>
      </c>
      <c r="AH175" t="s">
        <v>1964</v>
      </c>
      <c r="AI175" t="s">
        <v>450</v>
      </c>
      <c r="AJ175" t="s">
        <v>968</v>
      </c>
      <c r="AK175" t="s">
        <v>2359</v>
      </c>
      <c r="AL175" t="s">
        <v>1355</v>
      </c>
      <c r="AM175" t="s">
        <v>1356</v>
      </c>
      <c r="AN175" t="s">
        <v>1357</v>
      </c>
      <c r="AO175">
        <v>19101</v>
      </c>
      <c r="AP175">
        <v>1017924.22</v>
      </c>
      <c r="AQ175" t="s">
        <v>1358</v>
      </c>
      <c r="AR175" t="s">
        <v>266</v>
      </c>
      <c r="AS175" t="s">
        <v>1021</v>
      </c>
    </row>
    <row r="176" spans="11:45" x14ac:dyDescent="0.35">
      <c r="K176" s="374">
        <v>46060</v>
      </c>
      <c r="L176" t="s">
        <v>450</v>
      </c>
      <c r="M176" t="s">
        <v>451</v>
      </c>
      <c r="N176" t="s">
        <v>1378</v>
      </c>
      <c r="O176" t="s">
        <v>698</v>
      </c>
      <c r="P176" t="s">
        <v>674</v>
      </c>
      <c r="Q176" t="s">
        <v>894</v>
      </c>
      <c r="R176">
        <v>708838.31</v>
      </c>
      <c r="S176">
        <v>727611.6</v>
      </c>
      <c r="T176" t="s">
        <v>693</v>
      </c>
      <c r="U176" t="s">
        <v>215</v>
      </c>
      <c r="V176">
        <v>40000000</v>
      </c>
      <c r="W176">
        <v>0</v>
      </c>
      <c r="X176" t="s">
        <v>266</v>
      </c>
      <c r="Y176" t="s">
        <v>2086</v>
      </c>
      <c r="AH176" t="s">
        <v>1965</v>
      </c>
      <c r="AI176" t="s">
        <v>450</v>
      </c>
      <c r="AJ176" t="s">
        <v>968</v>
      </c>
      <c r="AK176" t="s">
        <v>2360</v>
      </c>
      <c r="AL176" t="s">
        <v>1359</v>
      </c>
      <c r="AM176" t="s">
        <v>1360</v>
      </c>
      <c r="AN176" t="s">
        <v>1133</v>
      </c>
      <c r="AO176">
        <v>7056</v>
      </c>
      <c r="AP176">
        <v>7056</v>
      </c>
      <c r="AQ176" t="s">
        <v>1134</v>
      </c>
      <c r="AR176" t="s">
        <v>266</v>
      </c>
      <c r="AS176" t="s">
        <v>978</v>
      </c>
    </row>
    <row r="177" spans="11:45" x14ac:dyDescent="0.35">
      <c r="K177" s="374">
        <v>46062</v>
      </c>
      <c r="L177" t="s">
        <v>450</v>
      </c>
      <c r="M177" t="s">
        <v>451</v>
      </c>
      <c r="N177" t="s">
        <v>913</v>
      </c>
      <c r="O177" t="s">
        <v>661</v>
      </c>
      <c r="P177" t="s">
        <v>709</v>
      </c>
      <c r="Q177" t="s">
        <v>315</v>
      </c>
      <c r="R177">
        <v>476362.74</v>
      </c>
      <c r="S177">
        <v>495076.95</v>
      </c>
      <c r="T177" t="s">
        <v>693</v>
      </c>
      <c r="U177" t="s">
        <v>316</v>
      </c>
      <c r="V177">
        <v>8000000</v>
      </c>
      <c r="W177">
        <v>0</v>
      </c>
      <c r="X177" t="s">
        <v>266</v>
      </c>
      <c r="Y177" t="s">
        <v>2086</v>
      </c>
      <c r="AH177" t="s">
        <v>1966</v>
      </c>
      <c r="AI177" t="s">
        <v>450</v>
      </c>
      <c r="AJ177" t="s">
        <v>968</v>
      </c>
      <c r="AK177" t="s">
        <v>2361</v>
      </c>
      <c r="AL177" t="s">
        <v>1361</v>
      </c>
      <c r="AM177" t="s">
        <v>1362</v>
      </c>
      <c r="AN177" t="s">
        <v>1363</v>
      </c>
      <c r="AO177">
        <v>44994</v>
      </c>
      <c r="AP177">
        <v>936149.6</v>
      </c>
      <c r="AQ177" t="s">
        <v>1364</v>
      </c>
      <c r="AR177" t="s">
        <v>266</v>
      </c>
      <c r="AS177" t="s">
        <v>1021</v>
      </c>
    </row>
    <row r="178" spans="11:45" x14ac:dyDescent="0.35">
      <c r="K178" s="374">
        <v>46062</v>
      </c>
      <c r="L178" t="s">
        <v>450</v>
      </c>
      <c r="M178" t="s">
        <v>451</v>
      </c>
      <c r="N178" t="s">
        <v>2170</v>
      </c>
      <c r="O178" t="s">
        <v>702</v>
      </c>
      <c r="P178" t="s">
        <v>711</v>
      </c>
      <c r="Q178" t="s">
        <v>894</v>
      </c>
      <c r="R178">
        <v>874656.12</v>
      </c>
      <c r="S178">
        <v>878309.4</v>
      </c>
      <c r="T178" t="s">
        <v>693</v>
      </c>
      <c r="U178" t="s">
        <v>215</v>
      </c>
      <c r="V178">
        <v>40000000</v>
      </c>
      <c r="W178">
        <v>0</v>
      </c>
      <c r="X178" t="s">
        <v>266</v>
      </c>
      <c r="Y178" t="s">
        <v>2086</v>
      </c>
      <c r="AH178" t="s">
        <v>1966</v>
      </c>
      <c r="AI178" t="s">
        <v>450</v>
      </c>
      <c r="AJ178" t="s">
        <v>968</v>
      </c>
      <c r="AK178" t="s">
        <v>2361</v>
      </c>
      <c r="AL178" t="s">
        <v>1361</v>
      </c>
      <c r="AM178" t="s">
        <v>1365</v>
      </c>
      <c r="AN178" t="s">
        <v>1366</v>
      </c>
      <c r="AO178">
        <v>24261.5</v>
      </c>
      <c r="AP178">
        <v>694357.26</v>
      </c>
      <c r="AQ178" t="s">
        <v>1367</v>
      </c>
      <c r="AR178" t="s">
        <v>266</v>
      </c>
      <c r="AS178" t="s">
        <v>978</v>
      </c>
    </row>
    <row r="179" spans="11:45" x14ac:dyDescent="0.35">
      <c r="K179" s="374">
        <v>46062</v>
      </c>
      <c r="L179" t="s">
        <v>450</v>
      </c>
      <c r="M179" t="s">
        <v>451</v>
      </c>
      <c r="N179" t="s">
        <v>913</v>
      </c>
      <c r="O179" t="s">
        <v>661</v>
      </c>
      <c r="P179" t="s">
        <v>710</v>
      </c>
      <c r="Q179" t="s">
        <v>315</v>
      </c>
      <c r="R179">
        <v>386456</v>
      </c>
      <c r="S179">
        <v>392709.8</v>
      </c>
      <c r="T179" t="s">
        <v>693</v>
      </c>
      <c r="U179" t="s">
        <v>316</v>
      </c>
      <c r="V179">
        <v>8000000</v>
      </c>
      <c r="W179">
        <v>0</v>
      </c>
      <c r="X179" t="s">
        <v>266</v>
      </c>
      <c r="Y179" t="s">
        <v>2086</v>
      </c>
      <c r="AH179" t="s">
        <v>1967</v>
      </c>
      <c r="AI179" t="s">
        <v>450</v>
      </c>
      <c r="AJ179" t="s">
        <v>968</v>
      </c>
      <c r="AK179" t="s">
        <v>2201</v>
      </c>
      <c r="AL179" t="s">
        <v>1368</v>
      </c>
      <c r="AM179" t="s">
        <v>943</v>
      </c>
      <c r="AN179" t="s">
        <v>1357</v>
      </c>
      <c r="AO179">
        <v>25973</v>
      </c>
      <c r="AP179">
        <v>792246.7</v>
      </c>
      <c r="AQ179" t="s">
        <v>1358</v>
      </c>
      <c r="AR179" t="s">
        <v>266</v>
      </c>
      <c r="AS179" t="s">
        <v>1021</v>
      </c>
    </row>
    <row r="180" spans="11:45" x14ac:dyDescent="0.35">
      <c r="K180" s="374">
        <v>46063</v>
      </c>
      <c r="L180" t="s">
        <v>450</v>
      </c>
      <c r="M180" t="s">
        <v>451</v>
      </c>
      <c r="N180" t="s">
        <v>950</v>
      </c>
      <c r="O180" t="s">
        <v>703</v>
      </c>
      <c r="P180" t="s">
        <v>712</v>
      </c>
      <c r="Q180" t="s">
        <v>894</v>
      </c>
      <c r="R180">
        <v>576135.18999999994</v>
      </c>
      <c r="S180">
        <v>602410.65</v>
      </c>
      <c r="T180" t="s">
        <v>693</v>
      </c>
      <c r="U180" t="s">
        <v>215</v>
      </c>
      <c r="V180">
        <v>40000000</v>
      </c>
      <c r="W180">
        <v>0</v>
      </c>
      <c r="X180" t="s">
        <v>266</v>
      </c>
      <c r="Y180" t="s">
        <v>2086</v>
      </c>
      <c r="AH180" t="s">
        <v>1968</v>
      </c>
      <c r="AI180" t="s">
        <v>450</v>
      </c>
      <c r="AJ180" t="s">
        <v>968</v>
      </c>
      <c r="AK180" t="s">
        <v>2362</v>
      </c>
      <c r="AL180" t="s">
        <v>1369</v>
      </c>
      <c r="AM180" t="s">
        <v>1370</v>
      </c>
      <c r="AN180" t="s">
        <v>1371</v>
      </c>
      <c r="AO180">
        <v>24.02</v>
      </c>
      <c r="AP180">
        <v>222.22</v>
      </c>
      <c r="AQ180" t="s">
        <v>1372</v>
      </c>
      <c r="AR180" t="s">
        <v>266</v>
      </c>
      <c r="AS180" t="s">
        <v>1021</v>
      </c>
    </row>
    <row r="181" spans="11:45" x14ac:dyDescent="0.35">
      <c r="K181" s="374">
        <v>46063</v>
      </c>
      <c r="L181" t="s">
        <v>450</v>
      </c>
      <c r="M181" t="s">
        <v>451</v>
      </c>
      <c r="N181" t="s">
        <v>2119</v>
      </c>
      <c r="O181" t="s">
        <v>663</v>
      </c>
      <c r="P181" t="s">
        <v>713</v>
      </c>
      <c r="Q181" t="s">
        <v>239</v>
      </c>
      <c r="R181">
        <v>222476.92</v>
      </c>
      <c r="S181">
        <v>1008769.5</v>
      </c>
      <c r="T181" t="s">
        <v>693</v>
      </c>
      <c r="U181" t="s">
        <v>379</v>
      </c>
      <c r="V181">
        <v>20000000</v>
      </c>
      <c r="W181">
        <v>0</v>
      </c>
      <c r="X181" t="s">
        <v>266</v>
      </c>
      <c r="Y181" t="s">
        <v>2086</v>
      </c>
      <c r="AH181" t="s">
        <v>1968</v>
      </c>
      <c r="AI181" t="s">
        <v>450</v>
      </c>
      <c r="AJ181" t="s">
        <v>968</v>
      </c>
      <c r="AK181" t="s">
        <v>2362</v>
      </c>
      <c r="AL181" t="s">
        <v>1369</v>
      </c>
      <c r="AM181" t="s">
        <v>1373</v>
      </c>
      <c r="AN181" t="s">
        <v>1371</v>
      </c>
      <c r="AO181">
        <v>207.6</v>
      </c>
      <c r="AP181">
        <v>1920.6</v>
      </c>
      <c r="AQ181" t="s">
        <v>1372</v>
      </c>
      <c r="AR181" t="s">
        <v>266</v>
      </c>
      <c r="AS181" t="s">
        <v>1021</v>
      </c>
    </row>
    <row r="182" spans="11:45" x14ac:dyDescent="0.35">
      <c r="K182" s="374">
        <v>46064</v>
      </c>
      <c r="L182" t="s">
        <v>450</v>
      </c>
      <c r="M182" t="s">
        <v>451</v>
      </c>
      <c r="N182" t="s">
        <v>950</v>
      </c>
      <c r="O182" t="s">
        <v>703</v>
      </c>
      <c r="P182" t="s">
        <v>714</v>
      </c>
      <c r="Q182" t="s">
        <v>380</v>
      </c>
      <c r="R182">
        <v>685010.6</v>
      </c>
      <c r="S182">
        <v>685010.6</v>
      </c>
      <c r="T182" t="s">
        <v>695</v>
      </c>
      <c r="U182" t="s">
        <v>381</v>
      </c>
      <c r="V182">
        <v>10000000</v>
      </c>
      <c r="W182">
        <v>0</v>
      </c>
      <c r="X182" t="s">
        <v>266</v>
      </c>
      <c r="Y182" t="s">
        <v>2086</v>
      </c>
      <c r="AH182" t="s">
        <v>1968</v>
      </c>
      <c r="AI182" t="s">
        <v>450</v>
      </c>
      <c r="AJ182" t="s">
        <v>968</v>
      </c>
      <c r="AK182" t="s">
        <v>2363</v>
      </c>
      <c r="AL182" t="s">
        <v>1374</v>
      </c>
      <c r="AM182" t="s">
        <v>1375</v>
      </c>
      <c r="AN182" t="s">
        <v>1376</v>
      </c>
      <c r="AO182">
        <v>1633.12</v>
      </c>
      <c r="AP182">
        <v>1633.12</v>
      </c>
      <c r="AQ182" t="s">
        <v>1377</v>
      </c>
      <c r="AR182" t="s">
        <v>266</v>
      </c>
      <c r="AS182" t="s">
        <v>978</v>
      </c>
    </row>
    <row r="183" spans="11:45" x14ac:dyDescent="0.35">
      <c r="K183" s="374">
        <v>46064</v>
      </c>
      <c r="L183" t="s">
        <v>450</v>
      </c>
      <c r="M183" t="s">
        <v>451</v>
      </c>
      <c r="N183" t="s">
        <v>914</v>
      </c>
      <c r="O183" t="s">
        <v>704</v>
      </c>
      <c r="P183" t="s">
        <v>715</v>
      </c>
      <c r="Q183" t="s">
        <v>894</v>
      </c>
      <c r="R183">
        <v>849600</v>
      </c>
      <c r="S183">
        <v>858450</v>
      </c>
      <c r="T183" t="s">
        <v>693</v>
      </c>
      <c r="U183" t="s">
        <v>215</v>
      </c>
      <c r="V183">
        <v>40000000</v>
      </c>
      <c r="W183">
        <v>0</v>
      </c>
      <c r="X183" t="s">
        <v>266</v>
      </c>
      <c r="Y183" t="s">
        <v>2086</v>
      </c>
      <c r="AH183" t="s">
        <v>1969</v>
      </c>
      <c r="AI183" t="s">
        <v>450</v>
      </c>
      <c r="AJ183" t="s">
        <v>968</v>
      </c>
      <c r="AK183" t="s">
        <v>2202</v>
      </c>
      <c r="AL183" t="s">
        <v>581</v>
      </c>
      <c r="AM183" t="s">
        <v>1378</v>
      </c>
      <c r="AN183" t="s">
        <v>1379</v>
      </c>
      <c r="AO183">
        <v>66400.72</v>
      </c>
      <c r="AP183">
        <v>456953.82</v>
      </c>
      <c r="AQ183" t="s">
        <v>1380</v>
      </c>
      <c r="AR183" t="s">
        <v>266</v>
      </c>
      <c r="AS183" t="s">
        <v>978</v>
      </c>
    </row>
    <row r="184" spans="11:45" x14ac:dyDescent="0.35">
      <c r="K184" s="374">
        <v>46066</v>
      </c>
      <c r="L184" t="s">
        <v>450</v>
      </c>
      <c r="M184" t="s">
        <v>451</v>
      </c>
      <c r="N184" t="s">
        <v>2081</v>
      </c>
      <c r="O184" t="s">
        <v>722</v>
      </c>
      <c r="P184" t="s">
        <v>717</v>
      </c>
      <c r="Q184" t="s">
        <v>894</v>
      </c>
      <c r="R184">
        <v>672250.72</v>
      </c>
      <c r="S184">
        <v>717434.1</v>
      </c>
      <c r="T184" t="s">
        <v>693</v>
      </c>
      <c r="U184" t="s">
        <v>215</v>
      </c>
      <c r="V184">
        <v>40000000</v>
      </c>
      <c r="W184">
        <v>0</v>
      </c>
      <c r="X184" t="s">
        <v>266</v>
      </c>
      <c r="Y184" t="s">
        <v>2086</v>
      </c>
      <c r="AH184" t="s">
        <v>1970</v>
      </c>
      <c r="AI184" t="s">
        <v>450</v>
      </c>
      <c r="AJ184" t="s">
        <v>968</v>
      </c>
      <c r="AK184" t="s">
        <v>2251</v>
      </c>
      <c r="AL184" t="s">
        <v>576</v>
      </c>
      <c r="AM184" t="s">
        <v>1381</v>
      </c>
      <c r="AN184" t="s">
        <v>1243</v>
      </c>
      <c r="AO184">
        <v>7140</v>
      </c>
      <c r="AP184">
        <v>65450</v>
      </c>
      <c r="AQ184" t="s">
        <v>1244</v>
      </c>
      <c r="AR184" t="s">
        <v>266</v>
      </c>
      <c r="AS184" t="s">
        <v>978</v>
      </c>
    </row>
    <row r="185" spans="11:45" x14ac:dyDescent="0.35">
      <c r="K185" s="374">
        <v>46066</v>
      </c>
      <c r="L185" t="s">
        <v>450</v>
      </c>
      <c r="M185" t="s">
        <v>451</v>
      </c>
      <c r="N185" t="s">
        <v>2285</v>
      </c>
      <c r="O185" t="s">
        <v>697</v>
      </c>
      <c r="P185" t="s">
        <v>718</v>
      </c>
      <c r="Q185" t="s">
        <v>239</v>
      </c>
      <c r="R185">
        <v>981343.64</v>
      </c>
      <c r="S185">
        <v>1018905.4</v>
      </c>
      <c r="T185" t="s">
        <v>693</v>
      </c>
      <c r="U185" t="s">
        <v>379</v>
      </c>
      <c r="V185">
        <v>20000000</v>
      </c>
      <c r="W185">
        <v>0</v>
      </c>
      <c r="X185" t="s">
        <v>266</v>
      </c>
      <c r="Y185" t="s">
        <v>2086</v>
      </c>
      <c r="AH185" t="s">
        <v>1359</v>
      </c>
      <c r="AI185" t="s">
        <v>450</v>
      </c>
      <c r="AJ185" t="s">
        <v>968</v>
      </c>
      <c r="AK185" t="s">
        <v>2360</v>
      </c>
      <c r="AL185" t="s">
        <v>1359</v>
      </c>
      <c r="AM185" t="s">
        <v>942</v>
      </c>
      <c r="AN185" t="s">
        <v>1382</v>
      </c>
      <c r="AO185">
        <v>69.38</v>
      </c>
      <c r="AP185">
        <v>551726.69999999995</v>
      </c>
      <c r="AQ185" t="s">
        <v>1383</v>
      </c>
      <c r="AR185" t="s">
        <v>266</v>
      </c>
      <c r="AS185" t="s">
        <v>1021</v>
      </c>
    </row>
    <row r="186" spans="11:45" x14ac:dyDescent="0.35">
      <c r="K186" s="374">
        <v>46066</v>
      </c>
      <c r="L186" t="s">
        <v>450</v>
      </c>
      <c r="M186" t="s">
        <v>451</v>
      </c>
      <c r="N186" t="s">
        <v>2081</v>
      </c>
      <c r="O186" t="s">
        <v>722</v>
      </c>
      <c r="P186" t="s">
        <v>720</v>
      </c>
      <c r="Q186" t="s">
        <v>894</v>
      </c>
      <c r="R186">
        <v>929620.52</v>
      </c>
      <c r="S186">
        <v>935332.9</v>
      </c>
      <c r="T186" t="s">
        <v>693</v>
      </c>
      <c r="U186" t="s">
        <v>215</v>
      </c>
      <c r="V186">
        <v>40000000</v>
      </c>
      <c r="W186">
        <v>0</v>
      </c>
      <c r="X186" t="s">
        <v>266</v>
      </c>
      <c r="Y186" t="s">
        <v>2086</v>
      </c>
      <c r="AH186" t="s">
        <v>1384</v>
      </c>
      <c r="AI186" t="s">
        <v>450</v>
      </c>
      <c r="AJ186" t="s">
        <v>968</v>
      </c>
      <c r="AK186" t="s">
        <v>2364</v>
      </c>
      <c r="AL186" t="s">
        <v>1384</v>
      </c>
      <c r="AM186" t="s">
        <v>1385</v>
      </c>
      <c r="AN186" t="s">
        <v>1386</v>
      </c>
      <c r="AO186">
        <v>8400</v>
      </c>
      <c r="AP186">
        <v>77000</v>
      </c>
      <c r="AQ186" t="s">
        <v>1387</v>
      </c>
      <c r="AR186" t="s">
        <v>266</v>
      </c>
      <c r="AS186" t="s">
        <v>1174</v>
      </c>
    </row>
    <row r="187" spans="11:45" x14ac:dyDescent="0.35">
      <c r="K187" s="374">
        <v>46066</v>
      </c>
      <c r="L187" t="s">
        <v>450</v>
      </c>
      <c r="M187" t="s">
        <v>451</v>
      </c>
      <c r="N187" t="s">
        <v>2081</v>
      </c>
      <c r="O187" t="s">
        <v>722</v>
      </c>
      <c r="P187" t="s">
        <v>719</v>
      </c>
      <c r="Q187" t="s">
        <v>894</v>
      </c>
      <c r="R187">
        <v>984914.14</v>
      </c>
      <c r="S187">
        <v>994952.4</v>
      </c>
      <c r="T187" t="s">
        <v>693</v>
      </c>
      <c r="U187" t="s">
        <v>215</v>
      </c>
      <c r="V187">
        <v>40000000</v>
      </c>
      <c r="W187">
        <v>0</v>
      </c>
      <c r="X187" t="s">
        <v>266</v>
      </c>
      <c r="Y187" t="s">
        <v>2086</v>
      </c>
      <c r="AH187" t="s">
        <v>1971</v>
      </c>
      <c r="AI187" t="s">
        <v>450</v>
      </c>
      <c r="AJ187" t="s">
        <v>968</v>
      </c>
      <c r="AK187" t="s">
        <v>2365</v>
      </c>
      <c r="AL187" t="s">
        <v>1388</v>
      </c>
      <c r="AM187" t="s">
        <v>353</v>
      </c>
      <c r="AN187" t="s">
        <v>1389</v>
      </c>
      <c r="AO187">
        <v>56941.98</v>
      </c>
      <c r="AP187">
        <v>737641</v>
      </c>
      <c r="AQ187" t="s">
        <v>1390</v>
      </c>
      <c r="AR187" t="s">
        <v>266</v>
      </c>
      <c r="AS187" t="s">
        <v>978</v>
      </c>
    </row>
    <row r="188" spans="11:45" x14ac:dyDescent="0.35">
      <c r="K188" s="374">
        <v>46067</v>
      </c>
      <c r="L188" t="s">
        <v>450</v>
      </c>
      <c r="M188" t="s">
        <v>451</v>
      </c>
      <c r="N188" t="s">
        <v>927</v>
      </c>
      <c r="O188" t="s">
        <v>700</v>
      </c>
      <c r="P188" t="s">
        <v>721</v>
      </c>
      <c r="Q188" t="s">
        <v>233</v>
      </c>
      <c r="R188">
        <v>618935.25</v>
      </c>
      <c r="S188">
        <v>751102.5</v>
      </c>
      <c r="T188" t="s">
        <v>693</v>
      </c>
      <c r="U188" t="s">
        <v>272</v>
      </c>
      <c r="V188">
        <v>30000000</v>
      </c>
      <c r="W188">
        <v>697117.64</v>
      </c>
      <c r="X188" t="s">
        <v>266</v>
      </c>
      <c r="Y188" t="s">
        <v>2086</v>
      </c>
      <c r="AH188" t="s">
        <v>1972</v>
      </c>
      <c r="AI188" t="s">
        <v>450</v>
      </c>
      <c r="AJ188" t="s">
        <v>968</v>
      </c>
      <c r="AK188" t="s">
        <v>2366</v>
      </c>
      <c r="AL188" t="s">
        <v>1391</v>
      </c>
      <c r="AM188" t="s">
        <v>1392</v>
      </c>
      <c r="AN188" t="s">
        <v>1393</v>
      </c>
      <c r="AO188">
        <v>99775.91</v>
      </c>
      <c r="AP188">
        <v>776546.2</v>
      </c>
      <c r="AQ188" t="s">
        <v>1394</v>
      </c>
      <c r="AR188" t="s">
        <v>266</v>
      </c>
      <c r="AS188" t="s">
        <v>978</v>
      </c>
    </row>
    <row r="189" spans="11:45" x14ac:dyDescent="0.35">
      <c r="K189" s="374">
        <v>46067</v>
      </c>
      <c r="L189" t="s">
        <v>450</v>
      </c>
      <c r="M189" t="s">
        <v>451</v>
      </c>
      <c r="N189" t="s">
        <v>2106</v>
      </c>
      <c r="O189" t="s">
        <v>723</v>
      </c>
      <c r="P189" t="s">
        <v>716</v>
      </c>
      <c r="Q189" t="s">
        <v>894</v>
      </c>
      <c r="R189">
        <v>490166.18</v>
      </c>
      <c r="S189">
        <v>852148.8</v>
      </c>
      <c r="T189" t="s">
        <v>693</v>
      </c>
      <c r="U189" t="s">
        <v>215</v>
      </c>
      <c r="V189">
        <v>40000000</v>
      </c>
      <c r="W189">
        <v>0</v>
      </c>
      <c r="X189" t="s">
        <v>266</v>
      </c>
      <c r="Y189" t="s">
        <v>2086</v>
      </c>
      <c r="AH189" t="s">
        <v>1973</v>
      </c>
      <c r="AI189" t="s">
        <v>450</v>
      </c>
      <c r="AJ189" t="s">
        <v>968</v>
      </c>
      <c r="AK189" t="s">
        <v>1892</v>
      </c>
      <c r="AL189" t="s">
        <v>1395</v>
      </c>
      <c r="AM189" t="s">
        <v>1396</v>
      </c>
      <c r="AN189" t="s">
        <v>1393</v>
      </c>
      <c r="AO189">
        <v>103568.38</v>
      </c>
      <c r="AP189">
        <v>777001.68</v>
      </c>
      <c r="AQ189" t="s">
        <v>1394</v>
      </c>
      <c r="AR189" t="s">
        <v>266</v>
      </c>
      <c r="AS189" t="s">
        <v>978</v>
      </c>
    </row>
    <row r="190" spans="11:45" x14ac:dyDescent="0.35">
      <c r="K190" s="374">
        <v>46068</v>
      </c>
      <c r="L190" t="s">
        <v>450</v>
      </c>
      <c r="M190" t="s">
        <v>451</v>
      </c>
      <c r="N190" t="s">
        <v>2106</v>
      </c>
      <c r="O190" t="s">
        <v>723</v>
      </c>
      <c r="P190" t="s">
        <v>707</v>
      </c>
      <c r="Q190" t="s">
        <v>334</v>
      </c>
      <c r="R190">
        <v>887828.05</v>
      </c>
      <c r="S190">
        <v>887828.05</v>
      </c>
      <c r="T190" t="s">
        <v>685</v>
      </c>
      <c r="U190" t="s">
        <v>335</v>
      </c>
      <c r="V190">
        <v>13253000</v>
      </c>
      <c r="W190">
        <v>0</v>
      </c>
      <c r="X190" t="s">
        <v>266</v>
      </c>
      <c r="Y190" t="s">
        <v>2086</v>
      </c>
      <c r="AH190" t="s">
        <v>1973</v>
      </c>
      <c r="AI190" t="s">
        <v>450</v>
      </c>
      <c r="AJ190" t="s">
        <v>968</v>
      </c>
      <c r="AK190" t="s">
        <v>1892</v>
      </c>
      <c r="AL190" t="s">
        <v>1395</v>
      </c>
      <c r="AM190" t="s">
        <v>1397</v>
      </c>
      <c r="AN190" t="s">
        <v>1393</v>
      </c>
      <c r="AO190">
        <v>67987.990000000005</v>
      </c>
      <c r="AP190">
        <v>713497.62</v>
      </c>
      <c r="AQ190" t="s">
        <v>1394</v>
      </c>
      <c r="AR190" t="s">
        <v>266</v>
      </c>
      <c r="AS190" t="s">
        <v>978</v>
      </c>
    </row>
    <row r="191" spans="11:45" x14ac:dyDescent="0.35">
      <c r="K191" s="374">
        <v>46068</v>
      </c>
      <c r="L191" t="s">
        <v>450</v>
      </c>
      <c r="M191" t="s">
        <v>451</v>
      </c>
      <c r="N191" t="s">
        <v>1900</v>
      </c>
      <c r="O191" t="s">
        <v>696</v>
      </c>
      <c r="P191" t="s">
        <v>706</v>
      </c>
      <c r="Q191" t="s">
        <v>239</v>
      </c>
      <c r="R191">
        <v>897670.41</v>
      </c>
      <c r="S191">
        <v>926029</v>
      </c>
      <c r="T191" t="s">
        <v>693</v>
      </c>
      <c r="U191" t="s">
        <v>379</v>
      </c>
      <c r="V191">
        <v>20000000</v>
      </c>
      <c r="W191">
        <v>0</v>
      </c>
      <c r="X191" t="s">
        <v>266</v>
      </c>
      <c r="Y191" t="s">
        <v>2086</v>
      </c>
      <c r="AH191" t="s">
        <v>1974</v>
      </c>
      <c r="AI191" t="s">
        <v>450</v>
      </c>
      <c r="AJ191" t="s">
        <v>968</v>
      </c>
      <c r="AK191" t="s">
        <v>1892</v>
      </c>
      <c r="AL191" t="s">
        <v>1395</v>
      </c>
      <c r="AM191" t="s">
        <v>1398</v>
      </c>
      <c r="AN191" t="s">
        <v>1393</v>
      </c>
      <c r="AO191">
        <v>94061.54</v>
      </c>
      <c r="AP191">
        <v>673656.1</v>
      </c>
      <c r="AQ191" t="s">
        <v>1394</v>
      </c>
      <c r="AR191" t="s">
        <v>266</v>
      </c>
      <c r="AS191" t="s">
        <v>978</v>
      </c>
    </row>
    <row r="192" spans="11:45" x14ac:dyDescent="0.35">
      <c r="K192" s="374">
        <v>46068</v>
      </c>
      <c r="L192" t="s">
        <v>450</v>
      </c>
      <c r="M192" t="s">
        <v>451</v>
      </c>
      <c r="N192" t="s">
        <v>1900</v>
      </c>
      <c r="O192" t="s">
        <v>696</v>
      </c>
      <c r="P192" t="s">
        <v>708</v>
      </c>
      <c r="Q192" t="s">
        <v>239</v>
      </c>
      <c r="R192">
        <v>407583.4</v>
      </c>
      <c r="S192">
        <v>474312.4</v>
      </c>
      <c r="T192" t="s">
        <v>693</v>
      </c>
      <c r="U192" t="s">
        <v>379</v>
      </c>
      <c r="V192">
        <v>20000000</v>
      </c>
      <c r="W192">
        <v>0</v>
      </c>
      <c r="X192" t="s">
        <v>266</v>
      </c>
      <c r="Y192" t="s">
        <v>2086</v>
      </c>
      <c r="AH192" t="s">
        <v>1391</v>
      </c>
      <c r="AI192" t="s">
        <v>450</v>
      </c>
      <c r="AJ192" t="s">
        <v>968</v>
      </c>
      <c r="AK192" t="s">
        <v>2367</v>
      </c>
      <c r="AL192" t="s">
        <v>1399</v>
      </c>
      <c r="AM192" t="s">
        <v>1400</v>
      </c>
      <c r="AN192" t="s">
        <v>1393</v>
      </c>
      <c r="AO192">
        <v>14189.5</v>
      </c>
      <c r="AP192">
        <v>779017.12</v>
      </c>
      <c r="AQ192" t="s">
        <v>1394</v>
      </c>
      <c r="AR192" t="s">
        <v>266</v>
      </c>
      <c r="AS192" t="s">
        <v>978</v>
      </c>
    </row>
    <row r="193" spans="11:45" x14ac:dyDescent="0.35">
      <c r="K193" s="374">
        <v>46069</v>
      </c>
      <c r="L193" t="s">
        <v>450</v>
      </c>
      <c r="M193" t="s">
        <v>451</v>
      </c>
      <c r="N193" t="s">
        <v>949</v>
      </c>
      <c r="O193" t="s">
        <v>701</v>
      </c>
      <c r="P193" t="s">
        <v>725</v>
      </c>
      <c r="Q193" t="s">
        <v>226</v>
      </c>
      <c r="R193">
        <v>24635.599999999999</v>
      </c>
      <c r="S193">
        <v>530172</v>
      </c>
      <c r="T193" t="s">
        <v>687</v>
      </c>
      <c r="U193" t="s">
        <v>401</v>
      </c>
      <c r="V193">
        <v>15000000</v>
      </c>
      <c r="W193">
        <v>0</v>
      </c>
      <c r="X193" t="s">
        <v>266</v>
      </c>
      <c r="Y193" t="s">
        <v>2086</v>
      </c>
      <c r="AH193" t="s">
        <v>1975</v>
      </c>
      <c r="AI193" t="s">
        <v>450</v>
      </c>
      <c r="AJ193" t="s">
        <v>968</v>
      </c>
      <c r="AK193" t="s">
        <v>2368</v>
      </c>
      <c r="AL193" t="s">
        <v>1401</v>
      </c>
      <c r="AM193" t="s">
        <v>1402</v>
      </c>
      <c r="AN193" t="s">
        <v>1403</v>
      </c>
      <c r="AO193">
        <v>52081.84</v>
      </c>
      <c r="AP193">
        <v>438452.6</v>
      </c>
      <c r="AQ193" t="s">
        <v>1404</v>
      </c>
      <c r="AR193" t="s">
        <v>266</v>
      </c>
      <c r="AS193" t="s">
        <v>978</v>
      </c>
    </row>
    <row r="194" spans="11:45" x14ac:dyDescent="0.35">
      <c r="K194" s="374">
        <v>46070</v>
      </c>
      <c r="L194" t="s">
        <v>450</v>
      </c>
      <c r="M194" t="s">
        <v>451</v>
      </c>
      <c r="N194" t="s">
        <v>1922</v>
      </c>
      <c r="O194" t="s">
        <v>744</v>
      </c>
      <c r="P194" t="s">
        <v>726</v>
      </c>
      <c r="Q194" t="s">
        <v>894</v>
      </c>
      <c r="R194">
        <v>901391.38</v>
      </c>
      <c r="S194">
        <v>908157.5</v>
      </c>
      <c r="T194" t="s">
        <v>693</v>
      </c>
      <c r="U194" t="s">
        <v>215</v>
      </c>
      <c r="V194">
        <v>40000000</v>
      </c>
      <c r="W194">
        <v>0</v>
      </c>
      <c r="X194" t="s">
        <v>266</v>
      </c>
      <c r="Y194" t="s">
        <v>2086</v>
      </c>
      <c r="AH194" t="s">
        <v>1976</v>
      </c>
      <c r="AI194" t="s">
        <v>450</v>
      </c>
      <c r="AJ194" t="s">
        <v>968</v>
      </c>
      <c r="AK194" t="s">
        <v>2369</v>
      </c>
      <c r="AL194" t="s">
        <v>1405</v>
      </c>
      <c r="AM194" t="s">
        <v>1203</v>
      </c>
      <c r="AN194" t="s">
        <v>1406</v>
      </c>
      <c r="AO194">
        <v>27172.799999999999</v>
      </c>
      <c r="AP194">
        <v>178132.8</v>
      </c>
      <c r="AQ194" t="s">
        <v>1407</v>
      </c>
      <c r="AR194" t="s">
        <v>266</v>
      </c>
      <c r="AS194" t="s">
        <v>1021</v>
      </c>
    </row>
    <row r="195" spans="11:45" x14ac:dyDescent="0.35">
      <c r="K195" s="374">
        <v>46071</v>
      </c>
      <c r="L195" t="s">
        <v>450</v>
      </c>
      <c r="M195" t="s">
        <v>451</v>
      </c>
      <c r="N195" t="s">
        <v>1881</v>
      </c>
      <c r="O195" t="s">
        <v>746</v>
      </c>
      <c r="P195" t="s">
        <v>727</v>
      </c>
      <c r="Q195" t="s">
        <v>894</v>
      </c>
      <c r="R195">
        <v>967499.7</v>
      </c>
      <c r="S195">
        <v>970272.7</v>
      </c>
      <c r="T195" t="s">
        <v>693</v>
      </c>
      <c r="U195" t="s">
        <v>215</v>
      </c>
      <c r="V195">
        <v>40000000</v>
      </c>
      <c r="W195">
        <v>0</v>
      </c>
      <c r="X195" t="s">
        <v>266</v>
      </c>
      <c r="Y195" t="s">
        <v>2086</v>
      </c>
      <c r="AH195" t="s">
        <v>1977</v>
      </c>
      <c r="AI195" t="s">
        <v>450</v>
      </c>
      <c r="AJ195" t="s">
        <v>968</v>
      </c>
      <c r="AK195" t="s">
        <v>2370</v>
      </c>
      <c r="AL195" t="s">
        <v>1408</v>
      </c>
      <c r="AM195" t="s">
        <v>1072</v>
      </c>
      <c r="AN195" t="s">
        <v>1406</v>
      </c>
      <c r="AO195">
        <v>66442.95</v>
      </c>
      <c r="AP195">
        <v>435570.45</v>
      </c>
      <c r="AQ195" t="s">
        <v>1407</v>
      </c>
      <c r="AR195" t="s">
        <v>266</v>
      </c>
      <c r="AS195" t="s">
        <v>1021</v>
      </c>
    </row>
    <row r="196" spans="11:45" x14ac:dyDescent="0.35">
      <c r="K196" s="374">
        <v>46071</v>
      </c>
      <c r="L196" t="s">
        <v>450</v>
      </c>
      <c r="M196" t="s">
        <v>451</v>
      </c>
      <c r="N196" t="s">
        <v>1881</v>
      </c>
      <c r="O196" t="s">
        <v>746</v>
      </c>
      <c r="P196" t="s">
        <v>728</v>
      </c>
      <c r="Q196" t="s">
        <v>894</v>
      </c>
      <c r="R196">
        <v>831788.43</v>
      </c>
      <c r="S196">
        <v>841705.8</v>
      </c>
      <c r="T196" t="s">
        <v>693</v>
      </c>
      <c r="U196" t="s">
        <v>215</v>
      </c>
      <c r="V196">
        <v>40000000</v>
      </c>
      <c r="W196">
        <v>0</v>
      </c>
      <c r="X196" t="s">
        <v>266</v>
      </c>
      <c r="Y196" t="s">
        <v>2086</v>
      </c>
      <c r="AH196" t="s">
        <v>1408</v>
      </c>
      <c r="AI196" t="s">
        <v>450</v>
      </c>
      <c r="AJ196" t="s">
        <v>968</v>
      </c>
      <c r="AK196" t="s">
        <v>2204</v>
      </c>
      <c r="AL196" t="s">
        <v>1409</v>
      </c>
      <c r="AM196" t="s">
        <v>1410</v>
      </c>
      <c r="AN196" t="s">
        <v>1393</v>
      </c>
      <c r="AO196">
        <v>5078</v>
      </c>
      <c r="AP196">
        <v>360626.88</v>
      </c>
      <c r="AQ196" t="s">
        <v>1394</v>
      </c>
      <c r="AR196" t="s">
        <v>266</v>
      </c>
      <c r="AS196" t="s">
        <v>978</v>
      </c>
    </row>
    <row r="197" spans="11:45" x14ac:dyDescent="0.35">
      <c r="K197" s="374">
        <v>46071</v>
      </c>
      <c r="L197" t="s">
        <v>450</v>
      </c>
      <c r="M197" t="s">
        <v>451</v>
      </c>
      <c r="N197" t="s">
        <v>1922</v>
      </c>
      <c r="O197" t="s">
        <v>744</v>
      </c>
      <c r="P197" t="s">
        <v>741</v>
      </c>
      <c r="Q197" t="s">
        <v>255</v>
      </c>
      <c r="R197">
        <v>226827.9</v>
      </c>
      <c r="S197">
        <v>792305.1</v>
      </c>
      <c r="T197" t="s">
        <v>693</v>
      </c>
      <c r="U197" t="s">
        <v>267</v>
      </c>
      <c r="V197">
        <v>10000000</v>
      </c>
      <c r="W197">
        <v>0</v>
      </c>
      <c r="X197" t="s">
        <v>266</v>
      </c>
      <c r="Y197" t="s">
        <v>2086</v>
      </c>
      <c r="AH197" t="s">
        <v>1978</v>
      </c>
      <c r="AI197" t="s">
        <v>450</v>
      </c>
      <c r="AJ197" t="s">
        <v>968</v>
      </c>
      <c r="AK197" t="s">
        <v>2205</v>
      </c>
      <c r="AL197" t="s">
        <v>1411</v>
      </c>
      <c r="AM197" t="s">
        <v>963</v>
      </c>
      <c r="AN197" t="s">
        <v>1406</v>
      </c>
      <c r="AO197">
        <v>30718.63</v>
      </c>
      <c r="AP197">
        <v>202414.25</v>
      </c>
      <c r="AQ197" t="s">
        <v>1407</v>
      </c>
      <c r="AR197" t="s">
        <v>266</v>
      </c>
      <c r="AS197" t="s">
        <v>1021</v>
      </c>
    </row>
    <row r="198" spans="11:45" x14ac:dyDescent="0.35">
      <c r="K198" s="374">
        <v>46072</v>
      </c>
      <c r="L198" t="s">
        <v>450</v>
      </c>
      <c r="M198" t="s">
        <v>451</v>
      </c>
      <c r="N198" t="s">
        <v>2287</v>
      </c>
      <c r="O198" t="s">
        <v>660</v>
      </c>
      <c r="P198" t="s">
        <v>740</v>
      </c>
      <c r="Q198" t="s">
        <v>429</v>
      </c>
      <c r="R198">
        <v>642339.32999999996</v>
      </c>
      <c r="S198">
        <v>1168294.3999999999</v>
      </c>
      <c r="T198" t="s">
        <v>693</v>
      </c>
      <c r="U198" t="s">
        <v>430</v>
      </c>
      <c r="V198">
        <v>5000000</v>
      </c>
      <c r="W198">
        <v>0</v>
      </c>
      <c r="X198" t="s">
        <v>266</v>
      </c>
      <c r="Y198" t="s">
        <v>2086</v>
      </c>
      <c r="AH198" t="s">
        <v>1409</v>
      </c>
      <c r="AI198" t="s">
        <v>450</v>
      </c>
      <c r="AJ198" t="s">
        <v>968</v>
      </c>
      <c r="AK198" t="s">
        <v>2204</v>
      </c>
      <c r="AL198" t="s">
        <v>1409</v>
      </c>
      <c r="AM198" t="s">
        <v>1050</v>
      </c>
      <c r="AN198" t="s">
        <v>1406</v>
      </c>
      <c r="AO198">
        <v>56682.94</v>
      </c>
      <c r="AP198">
        <v>386827.6</v>
      </c>
      <c r="AQ198" t="s">
        <v>1407</v>
      </c>
      <c r="AR198" t="s">
        <v>266</v>
      </c>
      <c r="AS198" t="s">
        <v>1021</v>
      </c>
    </row>
    <row r="199" spans="11:45" x14ac:dyDescent="0.35">
      <c r="K199" s="374">
        <v>46072</v>
      </c>
      <c r="L199" t="s">
        <v>450</v>
      </c>
      <c r="M199" t="s">
        <v>451</v>
      </c>
      <c r="N199" t="s">
        <v>2288</v>
      </c>
      <c r="O199" t="s">
        <v>747</v>
      </c>
      <c r="P199" t="s">
        <v>731</v>
      </c>
      <c r="Q199" t="s">
        <v>894</v>
      </c>
      <c r="R199">
        <v>667147.23</v>
      </c>
      <c r="S199">
        <v>675290.4</v>
      </c>
      <c r="T199" t="s">
        <v>693</v>
      </c>
      <c r="U199" t="s">
        <v>215</v>
      </c>
      <c r="V199">
        <v>40000000</v>
      </c>
      <c r="W199">
        <v>0</v>
      </c>
      <c r="X199" t="s">
        <v>266</v>
      </c>
      <c r="Y199" t="s">
        <v>2086</v>
      </c>
      <c r="AH199" t="s">
        <v>1412</v>
      </c>
      <c r="AI199" t="s">
        <v>450</v>
      </c>
      <c r="AJ199" t="s">
        <v>968</v>
      </c>
      <c r="AK199" t="s">
        <v>2371</v>
      </c>
      <c r="AL199" t="s">
        <v>1412</v>
      </c>
      <c r="AM199" t="s">
        <v>1413</v>
      </c>
      <c r="AN199" t="s">
        <v>1414</v>
      </c>
      <c r="AO199">
        <v>12408</v>
      </c>
      <c r="AP199">
        <v>12408</v>
      </c>
      <c r="AQ199" t="s">
        <v>1415</v>
      </c>
      <c r="AR199" t="s">
        <v>266</v>
      </c>
      <c r="AS199" t="s">
        <v>973</v>
      </c>
    </row>
    <row r="200" spans="11:45" x14ac:dyDescent="0.35">
      <c r="K200" s="374">
        <v>46072</v>
      </c>
      <c r="L200" t="s">
        <v>450</v>
      </c>
      <c r="M200" t="s">
        <v>451</v>
      </c>
      <c r="N200" t="s">
        <v>2288</v>
      </c>
      <c r="O200" t="s">
        <v>747</v>
      </c>
      <c r="P200" t="s">
        <v>730</v>
      </c>
      <c r="Q200" t="s">
        <v>894</v>
      </c>
      <c r="R200">
        <v>720924.54</v>
      </c>
      <c r="S200">
        <v>723198.4</v>
      </c>
      <c r="T200" t="s">
        <v>693</v>
      </c>
      <c r="U200" t="s">
        <v>215</v>
      </c>
      <c r="V200">
        <v>40000000</v>
      </c>
      <c r="W200">
        <v>0</v>
      </c>
      <c r="X200" t="s">
        <v>266</v>
      </c>
      <c r="Y200" t="s">
        <v>2086</v>
      </c>
      <c r="AH200" t="s">
        <v>1416</v>
      </c>
      <c r="AI200" t="s">
        <v>450</v>
      </c>
      <c r="AJ200" t="s">
        <v>968</v>
      </c>
      <c r="AK200" t="s">
        <v>2372</v>
      </c>
      <c r="AL200" t="s">
        <v>1416</v>
      </c>
      <c r="AM200" t="s">
        <v>1417</v>
      </c>
      <c r="AN200" t="s">
        <v>1335</v>
      </c>
      <c r="AO200">
        <v>695.52</v>
      </c>
      <c r="AP200">
        <v>6433.52</v>
      </c>
      <c r="AQ200" t="s">
        <v>1336</v>
      </c>
      <c r="AR200" t="s">
        <v>266</v>
      </c>
      <c r="AS200" t="s">
        <v>978</v>
      </c>
    </row>
    <row r="201" spans="11:45" x14ac:dyDescent="0.35">
      <c r="K201" s="374">
        <v>46072</v>
      </c>
      <c r="L201" t="s">
        <v>450</v>
      </c>
      <c r="M201" t="s">
        <v>451</v>
      </c>
      <c r="N201" t="s">
        <v>2288</v>
      </c>
      <c r="O201" t="s">
        <v>747</v>
      </c>
      <c r="P201" t="s">
        <v>729</v>
      </c>
      <c r="Q201" t="s">
        <v>894</v>
      </c>
      <c r="R201">
        <v>832288.22</v>
      </c>
      <c r="S201">
        <v>834950.3</v>
      </c>
      <c r="T201" t="s">
        <v>693</v>
      </c>
      <c r="U201" t="s">
        <v>215</v>
      </c>
      <c r="V201">
        <v>40000000</v>
      </c>
      <c r="W201">
        <v>0</v>
      </c>
      <c r="X201" t="s">
        <v>266</v>
      </c>
      <c r="Y201" t="s">
        <v>2086</v>
      </c>
      <c r="AH201" t="s">
        <v>1416</v>
      </c>
      <c r="AI201" t="s">
        <v>450</v>
      </c>
      <c r="AJ201" t="s">
        <v>968</v>
      </c>
      <c r="AK201" t="s">
        <v>2373</v>
      </c>
      <c r="AL201" t="s">
        <v>1418</v>
      </c>
      <c r="AM201" t="s">
        <v>1419</v>
      </c>
      <c r="AN201" t="s">
        <v>1420</v>
      </c>
      <c r="AO201">
        <v>58931.89</v>
      </c>
      <c r="AP201">
        <v>511792.2</v>
      </c>
      <c r="AQ201" t="s">
        <v>1421</v>
      </c>
      <c r="AR201" t="s">
        <v>266</v>
      </c>
      <c r="AS201" t="s">
        <v>978</v>
      </c>
    </row>
    <row r="202" spans="11:45" x14ac:dyDescent="0.35">
      <c r="K202" s="374">
        <v>46073</v>
      </c>
      <c r="L202" t="s">
        <v>450</v>
      </c>
      <c r="M202" t="s">
        <v>451</v>
      </c>
      <c r="N202" t="s">
        <v>2288</v>
      </c>
      <c r="O202" t="s">
        <v>747</v>
      </c>
      <c r="P202" t="s">
        <v>733</v>
      </c>
      <c r="Q202" t="s">
        <v>334</v>
      </c>
      <c r="R202">
        <v>915886.2</v>
      </c>
      <c r="S202">
        <v>915886.2</v>
      </c>
      <c r="T202" t="s">
        <v>685</v>
      </c>
      <c r="U202" t="s">
        <v>335</v>
      </c>
      <c r="V202">
        <v>13253000</v>
      </c>
      <c r="W202">
        <v>0</v>
      </c>
      <c r="X202" t="s">
        <v>266</v>
      </c>
      <c r="Y202" t="s">
        <v>2086</v>
      </c>
      <c r="AH202" t="s">
        <v>1979</v>
      </c>
      <c r="AI202" t="s">
        <v>450</v>
      </c>
      <c r="AJ202" t="s">
        <v>968</v>
      </c>
      <c r="AK202" t="s">
        <v>2163</v>
      </c>
      <c r="AL202" t="s">
        <v>1422</v>
      </c>
      <c r="AM202" t="s">
        <v>1423</v>
      </c>
      <c r="AN202" t="s">
        <v>1424</v>
      </c>
      <c r="AO202">
        <v>2313</v>
      </c>
      <c r="AP202">
        <v>21500</v>
      </c>
      <c r="AQ202" t="s">
        <v>1425</v>
      </c>
      <c r="AR202" t="s">
        <v>266</v>
      </c>
      <c r="AS202" t="s">
        <v>978</v>
      </c>
    </row>
    <row r="203" spans="11:45" x14ac:dyDescent="0.35">
      <c r="K203" s="374">
        <v>46073</v>
      </c>
      <c r="L203" t="s">
        <v>450</v>
      </c>
      <c r="M203" t="s">
        <v>451</v>
      </c>
      <c r="N203" t="s">
        <v>2170</v>
      </c>
      <c r="O203" t="s">
        <v>702</v>
      </c>
      <c r="P203" t="s">
        <v>734</v>
      </c>
      <c r="Q203" t="s">
        <v>239</v>
      </c>
      <c r="R203">
        <v>861409.01</v>
      </c>
      <c r="S203">
        <v>892464.25</v>
      </c>
      <c r="T203" t="s">
        <v>693</v>
      </c>
      <c r="U203" t="s">
        <v>379</v>
      </c>
      <c r="V203">
        <v>20000000</v>
      </c>
      <c r="W203">
        <v>0</v>
      </c>
      <c r="X203" t="s">
        <v>266</v>
      </c>
      <c r="Y203" t="s">
        <v>2086</v>
      </c>
      <c r="AH203" t="s">
        <v>1426</v>
      </c>
      <c r="AI203" t="s">
        <v>450</v>
      </c>
      <c r="AJ203" t="s">
        <v>968</v>
      </c>
      <c r="AK203" t="s">
        <v>2374</v>
      </c>
      <c r="AL203" t="s">
        <v>1426</v>
      </c>
      <c r="AM203" t="s">
        <v>1427</v>
      </c>
      <c r="AN203" t="s">
        <v>1428</v>
      </c>
      <c r="AO203">
        <v>1260</v>
      </c>
      <c r="AP203">
        <v>11760</v>
      </c>
      <c r="AQ203" t="s">
        <v>1429</v>
      </c>
      <c r="AR203" t="s">
        <v>266</v>
      </c>
      <c r="AS203" t="s">
        <v>978</v>
      </c>
    </row>
    <row r="204" spans="11:45" x14ac:dyDescent="0.35">
      <c r="K204" s="374">
        <v>46073</v>
      </c>
      <c r="L204" t="s">
        <v>450</v>
      </c>
      <c r="M204" t="s">
        <v>451</v>
      </c>
      <c r="N204" t="s">
        <v>2170</v>
      </c>
      <c r="O204" t="s">
        <v>702</v>
      </c>
      <c r="P204" t="s">
        <v>732</v>
      </c>
      <c r="Q204" t="s">
        <v>239</v>
      </c>
      <c r="R204">
        <v>634458.55000000005</v>
      </c>
      <c r="S204">
        <v>673867.6</v>
      </c>
      <c r="T204" t="s">
        <v>693</v>
      </c>
      <c r="U204" t="s">
        <v>379</v>
      </c>
      <c r="V204">
        <v>20000000</v>
      </c>
      <c r="W204">
        <v>0</v>
      </c>
      <c r="X204" t="s">
        <v>266</v>
      </c>
      <c r="Y204" t="s">
        <v>2086</v>
      </c>
      <c r="AH204" t="s">
        <v>1426</v>
      </c>
      <c r="AI204" t="s">
        <v>450</v>
      </c>
      <c r="AJ204" t="s">
        <v>968</v>
      </c>
      <c r="AK204" t="s">
        <v>2374</v>
      </c>
      <c r="AL204" t="s">
        <v>1426</v>
      </c>
      <c r="AM204" t="s">
        <v>1430</v>
      </c>
      <c r="AN204" t="s">
        <v>1428</v>
      </c>
      <c r="AO204">
        <v>1260</v>
      </c>
      <c r="AP204">
        <v>11760</v>
      </c>
      <c r="AQ204" t="s">
        <v>1429</v>
      </c>
      <c r="AR204" t="s">
        <v>266</v>
      </c>
      <c r="AS204" t="s">
        <v>978</v>
      </c>
    </row>
    <row r="205" spans="11:45" x14ac:dyDescent="0.35">
      <c r="K205" s="374">
        <v>46073</v>
      </c>
      <c r="L205" t="s">
        <v>450</v>
      </c>
      <c r="M205" t="s">
        <v>451</v>
      </c>
      <c r="N205" t="s">
        <v>2107</v>
      </c>
      <c r="O205" t="s">
        <v>742</v>
      </c>
      <c r="P205" t="s">
        <v>735</v>
      </c>
      <c r="Q205" t="s">
        <v>894</v>
      </c>
      <c r="R205">
        <v>625187.6</v>
      </c>
      <c r="S205">
        <v>627624.30000000005</v>
      </c>
      <c r="T205" t="s">
        <v>693</v>
      </c>
      <c r="U205" t="s">
        <v>215</v>
      </c>
      <c r="V205">
        <v>40000000</v>
      </c>
      <c r="W205">
        <v>0</v>
      </c>
      <c r="X205" t="s">
        <v>266</v>
      </c>
      <c r="Y205" t="s">
        <v>2086</v>
      </c>
      <c r="AH205" t="s">
        <v>1980</v>
      </c>
      <c r="AI205" t="s">
        <v>450</v>
      </c>
      <c r="AJ205" t="s">
        <v>968</v>
      </c>
      <c r="AK205" t="s">
        <v>2122</v>
      </c>
      <c r="AL205" t="s">
        <v>1431</v>
      </c>
      <c r="AM205" t="s">
        <v>1203</v>
      </c>
      <c r="AN205" t="s">
        <v>1403</v>
      </c>
      <c r="AO205">
        <v>40898.559999999998</v>
      </c>
      <c r="AP205">
        <v>416233.2</v>
      </c>
      <c r="AQ205" t="s">
        <v>1404</v>
      </c>
      <c r="AR205" t="s">
        <v>266</v>
      </c>
      <c r="AS205" t="s">
        <v>978</v>
      </c>
    </row>
    <row r="206" spans="11:45" x14ac:dyDescent="0.35">
      <c r="K206" s="374">
        <v>46074</v>
      </c>
      <c r="L206" t="s">
        <v>450</v>
      </c>
      <c r="M206" t="s">
        <v>451</v>
      </c>
      <c r="N206" t="s">
        <v>2107</v>
      </c>
      <c r="O206" t="s">
        <v>742</v>
      </c>
      <c r="P206" t="s">
        <v>738</v>
      </c>
      <c r="Q206" t="s">
        <v>255</v>
      </c>
      <c r="R206">
        <v>708964.65</v>
      </c>
      <c r="S206">
        <v>713531.25</v>
      </c>
      <c r="T206" t="s">
        <v>693</v>
      </c>
      <c r="U206" t="s">
        <v>267</v>
      </c>
      <c r="V206">
        <v>10000000</v>
      </c>
      <c r="W206">
        <v>0</v>
      </c>
      <c r="X206" t="s">
        <v>266</v>
      </c>
      <c r="Y206" t="s">
        <v>2086</v>
      </c>
      <c r="AH206" t="s">
        <v>1981</v>
      </c>
      <c r="AI206" t="s">
        <v>450</v>
      </c>
      <c r="AJ206" t="s">
        <v>968</v>
      </c>
      <c r="AK206" t="s">
        <v>2375</v>
      </c>
      <c r="AL206" t="s">
        <v>1432</v>
      </c>
      <c r="AM206" t="s">
        <v>937</v>
      </c>
      <c r="AN206" t="s">
        <v>1433</v>
      </c>
      <c r="AO206">
        <v>29516.94</v>
      </c>
      <c r="AP206">
        <v>438771.20000000001</v>
      </c>
      <c r="AQ206" t="s">
        <v>1434</v>
      </c>
      <c r="AR206" t="s">
        <v>266</v>
      </c>
      <c r="AS206" t="s">
        <v>978</v>
      </c>
    </row>
    <row r="207" spans="11:45" x14ac:dyDescent="0.35">
      <c r="K207" s="374">
        <v>46075</v>
      </c>
      <c r="L207" t="s">
        <v>450</v>
      </c>
      <c r="M207" t="s">
        <v>451</v>
      </c>
      <c r="N207" t="s">
        <v>914</v>
      </c>
      <c r="O207" t="s">
        <v>704</v>
      </c>
      <c r="P207" t="s">
        <v>739</v>
      </c>
      <c r="Q207" t="s">
        <v>239</v>
      </c>
      <c r="R207">
        <v>490049.82</v>
      </c>
      <c r="S207">
        <v>508794.75</v>
      </c>
      <c r="T207" t="s">
        <v>693</v>
      </c>
      <c r="U207" t="s">
        <v>379</v>
      </c>
      <c r="V207">
        <v>20000000</v>
      </c>
      <c r="W207">
        <v>0</v>
      </c>
      <c r="X207" t="s">
        <v>266</v>
      </c>
      <c r="Y207" t="s">
        <v>2086</v>
      </c>
      <c r="AH207" t="s">
        <v>1982</v>
      </c>
      <c r="AI207" t="s">
        <v>450</v>
      </c>
      <c r="AJ207" t="s">
        <v>968</v>
      </c>
      <c r="AK207" t="s">
        <v>2376</v>
      </c>
      <c r="AL207" t="s">
        <v>1435</v>
      </c>
      <c r="AM207" t="s">
        <v>1436</v>
      </c>
      <c r="AN207" t="s">
        <v>1437</v>
      </c>
      <c r="AO207">
        <v>12525.9</v>
      </c>
      <c r="AP207">
        <v>260573.5</v>
      </c>
      <c r="AQ207" t="s">
        <v>1438</v>
      </c>
      <c r="AR207" t="s">
        <v>266</v>
      </c>
      <c r="AS207" t="s">
        <v>1439</v>
      </c>
    </row>
    <row r="208" spans="11:45" x14ac:dyDescent="0.35">
      <c r="K208" s="374">
        <v>46080</v>
      </c>
      <c r="L208" t="s">
        <v>450</v>
      </c>
      <c r="M208" t="s">
        <v>451</v>
      </c>
      <c r="N208" t="s">
        <v>915</v>
      </c>
      <c r="O208" t="s">
        <v>724</v>
      </c>
      <c r="P208" t="s">
        <v>753</v>
      </c>
      <c r="Q208" t="s">
        <v>239</v>
      </c>
      <c r="R208">
        <v>750633.36</v>
      </c>
      <c r="S208">
        <v>781806.25</v>
      </c>
      <c r="T208" t="s">
        <v>693</v>
      </c>
      <c r="U208" t="s">
        <v>379</v>
      </c>
      <c r="V208">
        <v>20000000</v>
      </c>
      <c r="W208">
        <v>0</v>
      </c>
      <c r="X208" t="s">
        <v>266</v>
      </c>
      <c r="Y208" t="s">
        <v>2086</v>
      </c>
      <c r="AH208" t="s">
        <v>1440</v>
      </c>
      <c r="AI208" t="s">
        <v>450</v>
      </c>
      <c r="AJ208" t="s">
        <v>968</v>
      </c>
      <c r="AK208" t="s">
        <v>2377</v>
      </c>
      <c r="AL208" t="s">
        <v>1440</v>
      </c>
      <c r="AM208" t="s">
        <v>1094</v>
      </c>
      <c r="AN208" t="s">
        <v>1441</v>
      </c>
      <c r="AO208">
        <v>30213.34</v>
      </c>
      <c r="AP208">
        <v>295088.5</v>
      </c>
      <c r="AQ208" t="s">
        <v>1442</v>
      </c>
      <c r="AR208" t="s">
        <v>266</v>
      </c>
      <c r="AS208" t="s">
        <v>978</v>
      </c>
    </row>
    <row r="209" spans="11:45" x14ac:dyDescent="0.35">
      <c r="K209" s="374">
        <v>46081</v>
      </c>
      <c r="L209" t="s">
        <v>450</v>
      </c>
      <c r="M209" t="s">
        <v>451</v>
      </c>
      <c r="N209" t="s">
        <v>1922</v>
      </c>
      <c r="O209" t="s">
        <v>744</v>
      </c>
      <c r="P209" t="s">
        <v>758</v>
      </c>
      <c r="Q209" t="s">
        <v>239</v>
      </c>
      <c r="R209">
        <v>321681.91999999998</v>
      </c>
      <c r="S209">
        <v>325123</v>
      </c>
      <c r="T209" t="s">
        <v>693</v>
      </c>
      <c r="U209" t="s">
        <v>379</v>
      </c>
      <c r="V209">
        <v>20000000</v>
      </c>
      <c r="W209">
        <v>0</v>
      </c>
      <c r="X209" t="s">
        <v>266</v>
      </c>
      <c r="Y209" t="s">
        <v>2086</v>
      </c>
      <c r="AH209" t="s">
        <v>1435</v>
      </c>
      <c r="AI209" t="s">
        <v>450</v>
      </c>
      <c r="AJ209" t="s">
        <v>968</v>
      </c>
      <c r="AK209" t="s">
        <v>2376</v>
      </c>
      <c r="AL209" t="s">
        <v>1435</v>
      </c>
      <c r="AM209" t="s">
        <v>1443</v>
      </c>
      <c r="AN209" t="s">
        <v>1444</v>
      </c>
      <c r="AO209">
        <v>7200</v>
      </c>
      <c r="AP209">
        <v>66600</v>
      </c>
      <c r="AQ209" t="s">
        <v>1445</v>
      </c>
      <c r="AR209" t="s">
        <v>266</v>
      </c>
      <c r="AS209" t="s">
        <v>978</v>
      </c>
    </row>
    <row r="210" spans="11:45" x14ac:dyDescent="0.35">
      <c r="K210" s="374">
        <v>46081</v>
      </c>
      <c r="L210" t="s">
        <v>450</v>
      </c>
      <c r="M210" t="s">
        <v>451</v>
      </c>
      <c r="N210" t="s">
        <v>1922</v>
      </c>
      <c r="O210" t="s">
        <v>744</v>
      </c>
      <c r="P210" t="s">
        <v>756</v>
      </c>
      <c r="Q210" t="s">
        <v>239</v>
      </c>
      <c r="R210">
        <v>360122.75</v>
      </c>
      <c r="S210">
        <v>380315.8</v>
      </c>
      <c r="T210" t="s">
        <v>693</v>
      </c>
      <c r="U210" t="s">
        <v>379</v>
      </c>
      <c r="V210">
        <v>20000000</v>
      </c>
      <c r="W210">
        <v>0</v>
      </c>
      <c r="X210" t="s">
        <v>266</v>
      </c>
      <c r="Y210" t="s">
        <v>2086</v>
      </c>
      <c r="AH210" t="s">
        <v>1983</v>
      </c>
      <c r="AI210" t="s">
        <v>450</v>
      </c>
      <c r="AJ210" t="s">
        <v>968</v>
      </c>
      <c r="AK210" t="s">
        <v>2378</v>
      </c>
      <c r="AL210" t="s">
        <v>1446</v>
      </c>
      <c r="AM210" t="s">
        <v>1447</v>
      </c>
      <c r="AN210" t="s">
        <v>1448</v>
      </c>
      <c r="AO210">
        <v>4230.32</v>
      </c>
      <c r="AP210">
        <v>56073.599999999999</v>
      </c>
      <c r="AQ210" t="s">
        <v>1449</v>
      </c>
      <c r="AR210" t="s">
        <v>266</v>
      </c>
      <c r="AS210" t="s">
        <v>1021</v>
      </c>
    </row>
    <row r="211" spans="11:45" x14ac:dyDescent="0.35">
      <c r="K211" s="374">
        <v>46081</v>
      </c>
      <c r="L211" t="s">
        <v>450</v>
      </c>
      <c r="M211" t="s">
        <v>451</v>
      </c>
      <c r="N211" t="s">
        <v>1922</v>
      </c>
      <c r="O211" t="s">
        <v>744</v>
      </c>
      <c r="P211" t="s">
        <v>757</v>
      </c>
      <c r="Q211" t="s">
        <v>239</v>
      </c>
      <c r="R211">
        <v>871593.53</v>
      </c>
      <c r="S211">
        <v>938751.5</v>
      </c>
      <c r="T211" t="s">
        <v>693</v>
      </c>
      <c r="U211" t="s">
        <v>379</v>
      </c>
      <c r="V211">
        <v>20000000</v>
      </c>
      <c r="W211">
        <v>0</v>
      </c>
      <c r="X211" t="s">
        <v>266</v>
      </c>
      <c r="Y211" t="s">
        <v>2086</v>
      </c>
      <c r="AH211" t="s">
        <v>1446</v>
      </c>
      <c r="AI211" t="s">
        <v>450</v>
      </c>
      <c r="AJ211" t="s">
        <v>968</v>
      </c>
      <c r="AK211" t="s">
        <v>2378</v>
      </c>
      <c r="AL211" t="s">
        <v>1446</v>
      </c>
      <c r="AM211" t="s">
        <v>1450</v>
      </c>
      <c r="AN211" t="s">
        <v>1451</v>
      </c>
      <c r="AO211">
        <v>96399.72</v>
      </c>
      <c r="AP211">
        <v>631953.72</v>
      </c>
      <c r="AQ211" t="s">
        <v>1452</v>
      </c>
      <c r="AR211" t="s">
        <v>266</v>
      </c>
      <c r="AS211" t="s">
        <v>978</v>
      </c>
    </row>
    <row r="212" spans="11:45" x14ac:dyDescent="0.35">
      <c r="K212" s="374">
        <v>46090</v>
      </c>
      <c r="L212" t="s">
        <v>450</v>
      </c>
      <c r="M212" t="s">
        <v>451</v>
      </c>
      <c r="N212" t="s">
        <v>2081</v>
      </c>
      <c r="O212" t="s">
        <v>722</v>
      </c>
      <c r="P212" t="s">
        <v>2088</v>
      </c>
      <c r="Q212" t="s">
        <v>2089</v>
      </c>
      <c r="R212">
        <v>40614.9</v>
      </c>
      <c r="S212">
        <v>420941.4</v>
      </c>
      <c r="T212" t="s">
        <v>689</v>
      </c>
      <c r="U212" t="s">
        <v>2090</v>
      </c>
      <c r="V212">
        <v>0.01</v>
      </c>
      <c r="W212">
        <v>0</v>
      </c>
      <c r="X212" t="s">
        <v>2091</v>
      </c>
      <c r="Y212" t="s">
        <v>2086</v>
      </c>
      <c r="AH212" t="s">
        <v>1446</v>
      </c>
      <c r="AI212" t="s">
        <v>450</v>
      </c>
      <c r="AJ212" t="s">
        <v>968</v>
      </c>
      <c r="AK212" t="s">
        <v>2379</v>
      </c>
      <c r="AL212" t="s">
        <v>1453</v>
      </c>
      <c r="AM212" t="s">
        <v>964</v>
      </c>
      <c r="AN212" t="s">
        <v>1454</v>
      </c>
      <c r="AO212">
        <v>317.25</v>
      </c>
      <c r="AP212">
        <v>2079.75</v>
      </c>
      <c r="AQ212" t="s">
        <v>1455</v>
      </c>
      <c r="AR212" t="s">
        <v>266</v>
      </c>
      <c r="AS212" t="s">
        <v>978</v>
      </c>
    </row>
    <row r="213" spans="11:45" x14ac:dyDescent="0.35">
      <c r="K213" s="374">
        <v>46092</v>
      </c>
      <c r="L213" t="s">
        <v>450</v>
      </c>
      <c r="M213" t="s">
        <v>451</v>
      </c>
      <c r="N213" t="s">
        <v>1402</v>
      </c>
      <c r="O213" t="s">
        <v>2092</v>
      </c>
      <c r="P213" t="s">
        <v>2093</v>
      </c>
      <c r="Q213" t="s">
        <v>2089</v>
      </c>
      <c r="R213">
        <v>336087.6</v>
      </c>
      <c r="S213">
        <v>336087.6</v>
      </c>
      <c r="T213" t="s">
        <v>689</v>
      </c>
      <c r="U213" t="s">
        <v>2090</v>
      </c>
      <c r="V213">
        <v>0.01</v>
      </c>
      <c r="W213">
        <v>0</v>
      </c>
      <c r="X213" t="s">
        <v>2091</v>
      </c>
      <c r="Y213" t="s">
        <v>2086</v>
      </c>
      <c r="AH213" t="s">
        <v>1984</v>
      </c>
      <c r="AI213" t="s">
        <v>450</v>
      </c>
      <c r="AJ213" t="s">
        <v>968</v>
      </c>
      <c r="AK213" t="s">
        <v>2143</v>
      </c>
      <c r="AL213" t="s">
        <v>1456</v>
      </c>
      <c r="AM213" t="s">
        <v>926</v>
      </c>
      <c r="AN213" t="s">
        <v>1457</v>
      </c>
      <c r="AO213">
        <v>756.39</v>
      </c>
      <c r="AP213">
        <v>282895.56</v>
      </c>
      <c r="AQ213" t="s">
        <v>1458</v>
      </c>
      <c r="AR213" t="s">
        <v>266</v>
      </c>
      <c r="AS213" t="s">
        <v>978</v>
      </c>
    </row>
    <row r="214" spans="11:45" x14ac:dyDescent="0.35">
      <c r="K214" s="374">
        <v>46075</v>
      </c>
      <c r="L214" t="s">
        <v>450</v>
      </c>
      <c r="M214" t="s">
        <v>451</v>
      </c>
      <c r="N214" t="s">
        <v>951</v>
      </c>
      <c r="O214" t="s">
        <v>743</v>
      </c>
      <c r="P214" t="s">
        <v>736</v>
      </c>
      <c r="Q214" t="s">
        <v>219</v>
      </c>
      <c r="R214">
        <v>98662.78</v>
      </c>
      <c r="S214">
        <v>646793.4</v>
      </c>
      <c r="T214" t="s">
        <v>693</v>
      </c>
      <c r="U214" t="s">
        <v>279</v>
      </c>
      <c r="V214">
        <v>30000000</v>
      </c>
      <c r="W214">
        <v>0</v>
      </c>
      <c r="X214" t="s">
        <v>266</v>
      </c>
      <c r="Y214" t="s">
        <v>2086</v>
      </c>
      <c r="AH214" t="s">
        <v>1984</v>
      </c>
      <c r="AI214" t="s">
        <v>450</v>
      </c>
      <c r="AJ214" t="s">
        <v>968</v>
      </c>
      <c r="AK214" t="s">
        <v>2143</v>
      </c>
      <c r="AL214" t="s">
        <v>1456</v>
      </c>
      <c r="AM214" t="s">
        <v>1459</v>
      </c>
      <c r="AN214" t="s">
        <v>1460</v>
      </c>
      <c r="AO214">
        <v>124631.64</v>
      </c>
      <c r="AP214">
        <v>816337.64</v>
      </c>
      <c r="AQ214" t="s">
        <v>1461</v>
      </c>
      <c r="AR214" t="s">
        <v>266</v>
      </c>
      <c r="AS214" t="s">
        <v>1021</v>
      </c>
    </row>
    <row r="215" spans="11:45" x14ac:dyDescent="0.35">
      <c r="K215" s="374">
        <v>46075</v>
      </c>
      <c r="L215" t="s">
        <v>450</v>
      </c>
      <c r="M215" t="s">
        <v>451</v>
      </c>
      <c r="N215" t="s">
        <v>2128</v>
      </c>
      <c r="O215" t="s">
        <v>745</v>
      </c>
      <c r="P215" t="s">
        <v>737</v>
      </c>
      <c r="Q215" t="s">
        <v>894</v>
      </c>
      <c r="R215">
        <v>738514.8</v>
      </c>
      <c r="S215">
        <v>741205.2</v>
      </c>
      <c r="T215" t="s">
        <v>693</v>
      </c>
      <c r="U215" t="s">
        <v>215</v>
      </c>
      <c r="V215">
        <v>40000000</v>
      </c>
      <c r="W215">
        <v>0</v>
      </c>
      <c r="X215" t="s">
        <v>266</v>
      </c>
      <c r="Y215" t="s">
        <v>2086</v>
      </c>
      <c r="AH215" t="s">
        <v>1985</v>
      </c>
      <c r="AI215" t="s">
        <v>450</v>
      </c>
      <c r="AJ215" t="s">
        <v>968</v>
      </c>
      <c r="AK215" t="s">
        <v>2164</v>
      </c>
      <c r="AL215" t="s">
        <v>1462</v>
      </c>
      <c r="AM215" t="s">
        <v>940</v>
      </c>
      <c r="AN215" t="s">
        <v>1463</v>
      </c>
      <c r="AO215">
        <v>46273.67</v>
      </c>
      <c r="AP215">
        <v>365306.76</v>
      </c>
      <c r="AQ215" t="s">
        <v>1464</v>
      </c>
      <c r="AR215" t="s">
        <v>266</v>
      </c>
      <c r="AS215" t="s">
        <v>1439</v>
      </c>
    </row>
    <row r="216" spans="11:45" x14ac:dyDescent="0.35">
      <c r="K216" s="374">
        <v>46076</v>
      </c>
      <c r="L216" t="s">
        <v>450</v>
      </c>
      <c r="M216" t="s">
        <v>451</v>
      </c>
      <c r="N216" t="s">
        <v>2128</v>
      </c>
      <c r="O216" t="s">
        <v>745</v>
      </c>
      <c r="P216" t="s">
        <v>749</v>
      </c>
      <c r="Q216" t="s">
        <v>373</v>
      </c>
      <c r="R216">
        <v>35276.800000000003</v>
      </c>
      <c r="S216">
        <v>895852.4</v>
      </c>
      <c r="T216" t="s">
        <v>683</v>
      </c>
      <c r="U216" t="s">
        <v>374</v>
      </c>
      <c r="V216">
        <v>30000000</v>
      </c>
      <c r="W216">
        <v>0</v>
      </c>
      <c r="X216" t="s">
        <v>266</v>
      </c>
      <c r="Y216" t="s">
        <v>2086</v>
      </c>
      <c r="AH216" t="s">
        <v>1462</v>
      </c>
      <c r="AI216" t="s">
        <v>450</v>
      </c>
      <c r="AJ216" t="s">
        <v>968</v>
      </c>
      <c r="AK216" t="s">
        <v>2380</v>
      </c>
      <c r="AL216" t="s">
        <v>1465</v>
      </c>
      <c r="AM216" t="s">
        <v>952</v>
      </c>
      <c r="AN216" t="s">
        <v>1466</v>
      </c>
      <c r="AO216">
        <v>66938.320000000007</v>
      </c>
      <c r="AP216">
        <v>490387.3</v>
      </c>
      <c r="AQ216" t="s">
        <v>1467</v>
      </c>
      <c r="AR216" t="s">
        <v>266</v>
      </c>
      <c r="AS216" t="s">
        <v>1021</v>
      </c>
    </row>
    <row r="217" spans="11:45" x14ac:dyDescent="0.35">
      <c r="K217" s="374">
        <v>46076</v>
      </c>
      <c r="L217" t="s">
        <v>450</v>
      </c>
      <c r="M217" t="s">
        <v>451</v>
      </c>
      <c r="N217" t="s">
        <v>2128</v>
      </c>
      <c r="O217" t="s">
        <v>745</v>
      </c>
      <c r="P217" t="s">
        <v>751</v>
      </c>
      <c r="Q217" t="s">
        <v>380</v>
      </c>
      <c r="R217">
        <v>773216.4</v>
      </c>
      <c r="S217">
        <v>773216.4</v>
      </c>
      <c r="T217" t="s">
        <v>695</v>
      </c>
      <c r="U217" t="s">
        <v>381</v>
      </c>
      <c r="V217">
        <v>10000000</v>
      </c>
      <c r="W217">
        <v>0</v>
      </c>
      <c r="X217" t="s">
        <v>266</v>
      </c>
      <c r="Y217" t="s">
        <v>2086</v>
      </c>
      <c r="AH217" t="s">
        <v>1468</v>
      </c>
      <c r="AI217" t="s">
        <v>450</v>
      </c>
      <c r="AJ217" t="s">
        <v>968</v>
      </c>
      <c r="AK217" t="s">
        <v>2084</v>
      </c>
      <c r="AL217" t="s">
        <v>1468</v>
      </c>
      <c r="AM217" t="s">
        <v>1085</v>
      </c>
      <c r="AN217" t="s">
        <v>1451</v>
      </c>
      <c r="AO217">
        <v>43032.5</v>
      </c>
      <c r="AP217">
        <v>352495.5</v>
      </c>
      <c r="AQ217" t="s">
        <v>1452</v>
      </c>
      <c r="AR217" t="s">
        <v>266</v>
      </c>
      <c r="AS217" t="s">
        <v>978</v>
      </c>
    </row>
    <row r="218" spans="11:45" x14ac:dyDescent="0.35">
      <c r="K218" s="374">
        <v>46077</v>
      </c>
      <c r="L218" t="s">
        <v>450</v>
      </c>
      <c r="M218" t="s">
        <v>451</v>
      </c>
      <c r="N218" t="s">
        <v>2087</v>
      </c>
      <c r="O218" t="s">
        <v>760</v>
      </c>
      <c r="P218" t="s">
        <v>750</v>
      </c>
      <c r="Q218" t="s">
        <v>894</v>
      </c>
      <c r="R218">
        <v>774853.36</v>
      </c>
      <c r="S218">
        <v>784924.2</v>
      </c>
      <c r="T218" t="s">
        <v>693</v>
      </c>
      <c r="U218" t="s">
        <v>215</v>
      </c>
      <c r="V218">
        <v>40000000</v>
      </c>
      <c r="W218">
        <v>0</v>
      </c>
      <c r="X218" t="s">
        <v>266</v>
      </c>
      <c r="Y218" t="s">
        <v>2086</v>
      </c>
      <c r="AH218" t="s">
        <v>1986</v>
      </c>
      <c r="AI218" t="s">
        <v>450</v>
      </c>
      <c r="AJ218" t="s">
        <v>968</v>
      </c>
      <c r="AK218" t="s">
        <v>2123</v>
      </c>
      <c r="AL218" t="s">
        <v>1469</v>
      </c>
      <c r="AM218" t="s">
        <v>1470</v>
      </c>
      <c r="AN218" t="s">
        <v>1471</v>
      </c>
      <c r="AO218">
        <v>22227.5</v>
      </c>
      <c r="AP218">
        <v>388380.7</v>
      </c>
      <c r="AQ218" t="s">
        <v>1472</v>
      </c>
      <c r="AR218" t="s">
        <v>266</v>
      </c>
      <c r="AS218" t="s">
        <v>1439</v>
      </c>
    </row>
    <row r="219" spans="11:45" x14ac:dyDescent="0.35">
      <c r="K219" s="374">
        <v>46078</v>
      </c>
      <c r="L219" t="s">
        <v>450</v>
      </c>
      <c r="M219" t="s">
        <v>451</v>
      </c>
      <c r="N219" t="s">
        <v>953</v>
      </c>
      <c r="O219" t="s">
        <v>748</v>
      </c>
      <c r="P219" t="s">
        <v>752</v>
      </c>
      <c r="Q219" t="s">
        <v>894</v>
      </c>
      <c r="R219">
        <v>346993.35</v>
      </c>
      <c r="S219">
        <v>357941.2</v>
      </c>
      <c r="T219" t="s">
        <v>693</v>
      </c>
      <c r="U219" t="s">
        <v>215</v>
      </c>
      <c r="V219">
        <v>40000000</v>
      </c>
      <c r="W219">
        <v>0</v>
      </c>
      <c r="X219" t="s">
        <v>266</v>
      </c>
      <c r="Y219" t="s">
        <v>2086</v>
      </c>
      <c r="AH219" t="s">
        <v>1986</v>
      </c>
      <c r="AI219" t="s">
        <v>450</v>
      </c>
      <c r="AJ219" t="s">
        <v>968</v>
      </c>
      <c r="AK219" t="s">
        <v>2381</v>
      </c>
      <c r="AL219" t="s">
        <v>1473</v>
      </c>
      <c r="AM219" t="s">
        <v>1474</v>
      </c>
      <c r="AN219" t="s">
        <v>1475</v>
      </c>
      <c r="AO219">
        <v>22841.1</v>
      </c>
      <c r="AP219">
        <v>323735.40000000002</v>
      </c>
      <c r="AQ219" t="s">
        <v>1476</v>
      </c>
      <c r="AR219" t="s">
        <v>266</v>
      </c>
      <c r="AS219" t="s">
        <v>978</v>
      </c>
    </row>
    <row r="220" spans="11:45" x14ac:dyDescent="0.35">
      <c r="K220" s="374">
        <v>46080</v>
      </c>
      <c r="L220" t="s">
        <v>450</v>
      </c>
      <c r="M220" t="s">
        <v>451</v>
      </c>
      <c r="N220" t="s">
        <v>2172</v>
      </c>
      <c r="O220" t="s">
        <v>763</v>
      </c>
      <c r="P220" t="s">
        <v>755</v>
      </c>
      <c r="Q220" t="s">
        <v>334</v>
      </c>
      <c r="R220">
        <v>644969.55000000005</v>
      </c>
      <c r="S220">
        <v>644969.55000000005</v>
      </c>
      <c r="T220" t="s">
        <v>685</v>
      </c>
      <c r="U220" t="s">
        <v>335</v>
      </c>
      <c r="V220">
        <v>13253000</v>
      </c>
      <c r="W220">
        <v>0</v>
      </c>
      <c r="X220" t="s">
        <v>266</v>
      </c>
      <c r="Y220" t="s">
        <v>2086</v>
      </c>
      <c r="AH220" t="s">
        <v>1986</v>
      </c>
      <c r="AI220" t="s">
        <v>450</v>
      </c>
      <c r="AJ220" t="s">
        <v>968</v>
      </c>
      <c r="AK220" t="s">
        <v>2381</v>
      </c>
      <c r="AL220" t="s">
        <v>1473</v>
      </c>
      <c r="AM220" t="s">
        <v>1477</v>
      </c>
      <c r="AN220" t="s">
        <v>1466</v>
      </c>
      <c r="AO220">
        <v>51944.68</v>
      </c>
      <c r="AP220">
        <v>479122.4</v>
      </c>
      <c r="AQ220" t="s">
        <v>1467</v>
      </c>
      <c r="AR220" t="s">
        <v>266</v>
      </c>
      <c r="AS220" t="s">
        <v>1021</v>
      </c>
    </row>
    <row r="221" spans="11:45" x14ac:dyDescent="0.35">
      <c r="K221" s="374">
        <v>46080</v>
      </c>
      <c r="L221" t="s">
        <v>450</v>
      </c>
      <c r="M221" t="s">
        <v>451</v>
      </c>
      <c r="N221" t="s">
        <v>955</v>
      </c>
      <c r="O221" t="s">
        <v>759</v>
      </c>
      <c r="P221" t="s">
        <v>754</v>
      </c>
      <c r="Q221" t="s">
        <v>894</v>
      </c>
      <c r="R221">
        <v>836781.66</v>
      </c>
      <c r="S221">
        <v>841422.6</v>
      </c>
      <c r="T221" t="s">
        <v>693</v>
      </c>
      <c r="U221" t="s">
        <v>215</v>
      </c>
      <c r="V221">
        <v>40000000</v>
      </c>
      <c r="W221">
        <v>0</v>
      </c>
      <c r="X221" t="s">
        <v>266</v>
      </c>
      <c r="Y221" t="s">
        <v>2086</v>
      </c>
      <c r="AH221" t="s">
        <v>1478</v>
      </c>
      <c r="AI221" t="s">
        <v>450</v>
      </c>
      <c r="AJ221" t="s">
        <v>968</v>
      </c>
      <c r="AK221" t="s">
        <v>2382</v>
      </c>
      <c r="AL221" t="s">
        <v>1478</v>
      </c>
      <c r="AM221" t="s">
        <v>1479</v>
      </c>
      <c r="AN221" t="s">
        <v>1475</v>
      </c>
      <c r="AO221">
        <v>28473.599999999999</v>
      </c>
      <c r="AP221">
        <v>213753.59</v>
      </c>
      <c r="AQ221" t="s">
        <v>1476</v>
      </c>
      <c r="AR221" t="s">
        <v>266</v>
      </c>
      <c r="AS221" t="s">
        <v>978</v>
      </c>
    </row>
    <row r="222" spans="11:45" x14ac:dyDescent="0.35">
      <c r="K222" s="374">
        <v>46082</v>
      </c>
      <c r="L222" t="s">
        <v>450</v>
      </c>
      <c r="M222" t="s">
        <v>451</v>
      </c>
      <c r="N222" t="s">
        <v>930</v>
      </c>
      <c r="O222" t="s">
        <v>761</v>
      </c>
      <c r="P222" t="s">
        <v>765</v>
      </c>
      <c r="Q222" t="s">
        <v>255</v>
      </c>
      <c r="R222">
        <v>758436.15</v>
      </c>
      <c r="S222">
        <v>766427.7</v>
      </c>
      <c r="T222" t="s">
        <v>693</v>
      </c>
      <c r="U222" t="s">
        <v>267</v>
      </c>
      <c r="V222">
        <v>10000000</v>
      </c>
      <c r="W222">
        <v>0</v>
      </c>
      <c r="X222" t="s">
        <v>266</v>
      </c>
      <c r="Y222" t="s">
        <v>2086</v>
      </c>
      <c r="AH222" t="s">
        <v>1478</v>
      </c>
      <c r="AI222" t="s">
        <v>450</v>
      </c>
      <c r="AJ222" t="s">
        <v>968</v>
      </c>
      <c r="AK222" t="s">
        <v>2207</v>
      </c>
      <c r="AL222" t="s">
        <v>1480</v>
      </c>
      <c r="AM222" t="s">
        <v>878</v>
      </c>
      <c r="AN222" t="s">
        <v>1433</v>
      </c>
      <c r="AO222">
        <v>1948.65</v>
      </c>
      <c r="AP222">
        <v>460837.2</v>
      </c>
      <c r="AQ222" t="s">
        <v>1434</v>
      </c>
      <c r="AR222" t="s">
        <v>266</v>
      </c>
      <c r="AS222" t="s">
        <v>978</v>
      </c>
    </row>
    <row r="223" spans="11:45" x14ac:dyDescent="0.35">
      <c r="K223" s="374">
        <v>46083</v>
      </c>
      <c r="L223" t="s">
        <v>450</v>
      </c>
      <c r="M223" t="s">
        <v>451</v>
      </c>
      <c r="N223" t="s">
        <v>932</v>
      </c>
      <c r="O223" t="s">
        <v>762</v>
      </c>
      <c r="P223" t="s">
        <v>767</v>
      </c>
      <c r="Q223" t="s">
        <v>894</v>
      </c>
      <c r="R223">
        <v>726797.44</v>
      </c>
      <c r="S223">
        <v>748603.8</v>
      </c>
      <c r="T223" t="s">
        <v>693</v>
      </c>
      <c r="U223" t="s">
        <v>215</v>
      </c>
      <c r="V223">
        <v>40000000</v>
      </c>
      <c r="W223">
        <v>0</v>
      </c>
      <c r="X223" t="s">
        <v>266</v>
      </c>
      <c r="Y223" t="s">
        <v>2086</v>
      </c>
      <c r="AH223" t="s">
        <v>1481</v>
      </c>
      <c r="AI223" t="s">
        <v>450</v>
      </c>
      <c r="AJ223" t="s">
        <v>968</v>
      </c>
      <c r="AK223" t="s">
        <v>2383</v>
      </c>
      <c r="AL223" t="s">
        <v>1481</v>
      </c>
      <c r="AM223" t="s">
        <v>1482</v>
      </c>
      <c r="AN223" t="s">
        <v>1483</v>
      </c>
      <c r="AO223">
        <v>12563</v>
      </c>
      <c r="AP223">
        <v>12563</v>
      </c>
      <c r="AQ223" t="s">
        <v>1484</v>
      </c>
      <c r="AR223" t="s">
        <v>266</v>
      </c>
      <c r="AS223" t="s">
        <v>1021</v>
      </c>
    </row>
    <row r="224" spans="11:45" x14ac:dyDescent="0.35">
      <c r="K224" s="374">
        <v>46084</v>
      </c>
      <c r="L224" t="s">
        <v>450</v>
      </c>
      <c r="M224" t="s">
        <v>451</v>
      </c>
      <c r="N224" t="s">
        <v>932</v>
      </c>
      <c r="O224" t="s">
        <v>762</v>
      </c>
      <c r="P224" t="s">
        <v>766</v>
      </c>
      <c r="Q224" t="s">
        <v>334</v>
      </c>
      <c r="R224">
        <v>709502.6</v>
      </c>
      <c r="S224">
        <v>709502.6</v>
      </c>
      <c r="T224" t="s">
        <v>685</v>
      </c>
      <c r="U224" t="s">
        <v>335</v>
      </c>
      <c r="V224">
        <v>13253000</v>
      </c>
      <c r="W224">
        <v>0</v>
      </c>
      <c r="X224" t="s">
        <v>266</v>
      </c>
      <c r="Y224" t="s">
        <v>2086</v>
      </c>
      <c r="AH224" t="s">
        <v>1481</v>
      </c>
      <c r="AI224" t="s">
        <v>450</v>
      </c>
      <c r="AJ224" t="s">
        <v>968</v>
      </c>
      <c r="AK224" t="s">
        <v>2383</v>
      </c>
      <c r="AL224" t="s">
        <v>1481</v>
      </c>
      <c r="AM224" t="s">
        <v>1485</v>
      </c>
      <c r="AN224" t="s">
        <v>1483</v>
      </c>
      <c r="AO224">
        <v>13276</v>
      </c>
      <c r="AP224">
        <v>13276</v>
      </c>
      <c r="AQ224" t="s">
        <v>1484</v>
      </c>
      <c r="AR224" t="s">
        <v>266</v>
      </c>
      <c r="AS224" t="s">
        <v>1021</v>
      </c>
    </row>
    <row r="225" spans="11:45" x14ac:dyDescent="0.35">
      <c r="K225" s="374">
        <v>46085</v>
      </c>
      <c r="L225" t="s">
        <v>450</v>
      </c>
      <c r="M225" t="s">
        <v>451</v>
      </c>
      <c r="N225" t="s">
        <v>916</v>
      </c>
      <c r="O225" t="s">
        <v>773</v>
      </c>
      <c r="P225" t="s">
        <v>768</v>
      </c>
      <c r="Q225" t="s">
        <v>894</v>
      </c>
      <c r="R225">
        <v>646166.81999999995</v>
      </c>
      <c r="S225">
        <v>648386.4</v>
      </c>
      <c r="T225" t="s">
        <v>693</v>
      </c>
      <c r="U225" t="s">
        <v>215</v>
      </c>
      <c r="V225">
        <v>40000000</v>
      </c>
      <c r="W225">
        <v>0</v>
      </c>
      <c r="X225" t="s">
        <v>266</v>
      </c>
      <c r="Y225" t="s">
        <v>2086</v>
      </c>
      <c r="AH225" t="s">
        <v>1987</v>
      </c>
      <c r="AI225" t="s">
        <v>450</v>
      </c>
      <c r="AJ225" t="s">
        <v>968</v>
      </c>
      <c r="AK225" t="s">
        <v>2384</v>
      </c>
      <c r="AL225" t="s">
        <v>1486</v>
      </c>
      <c r="AM225" t="s">
        <v>353</v>
      </c>
      <c r="AN225" t="s">
        <v>1487</v>
      </c>
      <c r="AO225">
        <v>35164.6</v>
      </c>
      <c r="AP225">
        <v>406453.36</v>
      </c>
      <c r="AQ225" t="s">
        <v>1488</v>
      </c>
      <c r="AR225" t="s">
        <v>266</v>
      </c>
      <c r="AS225" t="s">
        <v>978</v>
      </c>
    </row>
    <row r="226" spans="11:45" x14ac:dyDescent="0.35">
      <c r="K226" s="374">
        <v>46087</v>
      </c>
      <c r="L226" t="s">
        <v>450</v>
      </c>
      <c r="M226" t="s">
        <v>451</v>
      </c>
      <c r="N226" t="s">
        <v>952</v>
      </c>
      <c r="O226" t="s">
        <v>775</v>
      </c>
      <c r="P226" t="s">
        <v>769</v>
      </c>
      <c r="Q226" t="s">
        <v>334</v>
      </c>
      <c r="R226">
        <v>577551.9</v>
      </c>
      <c r="S226">
        <v>577551.9</v>
      </c>
      <c r="T226" t="s">
        <v>685</v>
      </c>
      <c r="U226" t="s">
        <v>335</v>
      </c>
      <c r="V226">
        <v>13253000</v>
      </c>
      <c r="W226">
        <v>0</v>
      </c>
      <c r="X226" t="s">
        <v>266</v>
      </c>
      <c r="Y226" t="s">
        <v>2086</v>
      </c>
      <c r="AH226" t="s">
        <v>1987</v>
      </c>
      <c r="AI226" t="s">
        <v>450</v>
      </c>
      <c r="AJ226" t="s">
        <v>968</v>
      </c>
      <c r="AK226" t="s">
        <v>2104</v>
      </c>
      <c r="AL226" t="s">
        <v>1489</v>
      </c>
      <c r="AM226" t="s">
        <v>1490</v>
      </c>
      <c r="AN226" t="s">
        <v>1475</v>
      </c>
      <c r="AO226">
        <v>28660.99</v>
      </c>
      <c r="AP226">
        <v>214772.7</v>
      </c>
      <c r="AQ226" t="s">
        <v>1476</v>
      </c>
      <c r="AR226" t="s">
        <v>266</v>
      </c>
      <c r="AS226" t="s">
        <v>978</v>
      </c>
    </row>
    <row r="227" spans="11:45" x14ac:dyDescent="0.35">
      <c r="K227" s="374">
        <v>46088</v>
      </c>
      <c r="L227" t="s">
        <v>450</v>
      </c>
      <c r="M227" t="s">
        <v>451</v>
      </c>
      <c r="N227" t="s">
        <v>956</v>
      </c>
      <c r="O227" t="s">
        <v>772</v>
      </c>
      <c r="P227" t="s">
        <v>771</v>
      </c>
      <c r="Q227" t="s">
        <v>203</v>
      </c>
      <c r="R227">
        <v>449922.95</v>
      </c>
      <c r="S227">
        <v>734501.58</v>
      </c>
      <c r="T227" t="s">
        <v>693</v>
      </c>
      <c r="U227" t="s">
        <v>204</v>
      </c>
      <c r="V227">
        <v>23000000</v>
      </c>
      <c r="W227">
        <v>0</v>
      </c>
      <c r="X227" t="s">
        <v>266</v>
      </c>
      <c r="Y227" t="s">
        <v>2086</v>
      </c>
      <c r="AH227" t="s">
        <v>1486</v>
      </c>
      <c r="AI227" t="s">
        <v>450</v>
      </c>
      <c r="AJ227" t="s">
        <v>968</v>
      </c>
      <c r="AK227" t="s">
        <v>2384</v>
      </c>
      <c r="AL227" t="s">
        <v>1486</v>
      </c>
      <c r="AM227" t="s">
        <v>915</v>
      </c>
      <c r="AN227" t="s">
        <v>1491</v>
      </c>
      <c r="AO227">
        <v>4595</v>
      </c>
      <c r="AP227">
        <v>30069</v>
      </c>
      <c r="AQ227" t="s">
        <v>1492</v>
      </c>
      <c r="AR227" t="s">
        <v>266</v>
      </c>
      <c r="AS227" t="s">
        <v>1021</v>
      </c>
    </row>
    <row r="228" spans="11:45" x14ac:dyDescent="0.35">
      <c r="K228" s="374">
        <v>46089</v>
      </c>
      <c r="L228" t="s">
        <v>450</v>
      </c>
      <c r="M228" t="s">
        <v>451</v>
      </c>
      <c r="N228" t="s">
        <v>932</v>
      </c>
      <c r="O228" t="s">
        <v>762</v>
      </c>
      <c r="P228" t="s">
        <v>770</v>
      </c>
      <c r="Q228" t="s">
        <v>394</v>
      </c>
      <c r="R228">
        <v>102502.74</v>
      </c>
      <c r="S228">
        <v>1133640</v>
      </c>
      <c r="T228" t="s">
        <v>693</v>
      </c>
      <c r="U228" t="s">
        <v>206</v>
      </c>
      <c r="V228">
        <v>30000000</v>
      </c>
      <c r="W228">
        <v>0</v>
      </c>
      <c r="X228" t="s">
        <v>266</v>
      </c>
      <c r="Y228" t="s">
        <v>2086</v>
      </c>
      <c r="AH228" t="s">
        <v>1988</v>
      </c>
      <c r="AI228" t="s">
        <v>450</v>
      </c>
      <c r="AJ228" t="s">
        <v>968</v>
      </c>
      <c r="AK228" t="s">
        <v>2144</v>
      </c>
      <c r="AL228" t="s">
        <v>1493</v>
      </c>
      <c r="AM228" t="s">
        <v>1494</v>
      </c>
      <c r="AN228" t="s">
        <v>1495</v>
      </c>
      <c r="AO228">
        <v>14904.74</v>
      </c>
      <c r="AP228">
        <v>104612.9</v>
      </c>
      <c r="AQ228" t="s">
        <v>1496</v>
      </c>
      <c r="AR228" t="s">
        <v>266</v>
      </c>
      <c r="AS228" t="s">
        <v>978</v>
      </c>
    </row>
    <row r="229" spans="11:45" x14ac:dyDescent="0.35">
      <c r="K229" s="374">
        <v>46090</v>
      </c>
      <c r="L229" t="s">
        <v>450</v>
      </c>
      <c r="M229" t="s">
        <v>451</v>
      </c>
      <c r="N229" t="s">
        <v>929</v>
      </c>
      <c r="O229" t="s">
        <v>779</v>
      </c>
      <c r="P229" t="s">
        <v>777</v>
      </c>
      <c r="Q229" t="s">
        <v>334</v>
      </c>
      <c r="R229">
        <v>580797.44999999995</v>
      </c>
      <c r="S229">
        <v>580797.44999999995</v>
      </c>
      <c r="T229" t="s">
        <v>685</v>
      </c>
      <c r="U229" t="s">
        <v>335</v>
      </c>
      <c r="V229">
        <v>13253000</v>
      </c>
      <c r="W229">
        <v>0</v>
      </c>
      <c r="X229" t="s">
        <v>266</v>
      </c>
      <c r="Y229" t="s">
        <v>2086</v>
      </c>
      <c r="AH229" t="s">
        <v>1989</v>
      </c>
      <c r="AI229" t="s">
        <v>450</v>
      </c>
      <c r="AJ229" t="s">
        <v>968</v>
      </c>
      <c r="AK229" t="s">
        <v>2385</v>
      </c>
      <c r="AL229" t="s">
        <v>1497</v>
      </c>
      <c r="AM229" t="s">
        <v>1498</v>
      </c>
      <c r="AN229" t="s">
        <v>1495</v>
      </c>
      <c r="AO229">
        <v>8381.44</v>
      </c>
      <c r="AP229">
        <v>58905.599999999999</v>
      </c>
      <c r="AQ229" t="s">
        <v>1496</v>
      </c>
      <c r="AR229" t="s">
        <v>266</v>
      </c>
      <c r="AS229" t="s">
        <v>978</v>
      </c>
    </row>
    <row r="230" spans="11:45" x14ac:dyDescent="0.35">
      <c r="K230" s="374">
        <v>46091</v>
      </c>
      <c r="L230" t="s">
        <v>450</v>
      </c>
      <c r="M230" t="s">
        <v>451</v>
      </c>
      <c r="N230" t="s">
        <v>933</v>
      </c>
      <c r="O230" t="s">
        <v>774</v>
      </c>
      <c r="P230" t="s">
        <v>776</v>
      </c>
      <c r="Q230" t="s">
        <v>253</v>
      </c>
      <c r="R230">
        <v>16978.27</v>
      </c>
      <c r="S230">
        <v>620904.4</v>
      </c>
      <c r="T230" t="s">
        <v>693</v>
      </c>
      <c r="U230" t="s">
        <v>289</v>
      </c>
      <c r="V230">
        <v>10000000</v>
      </c>
      <c r="W230">
        <v>0</v>
      </c>
      <c r="X230" t="s">
        <v>266</v>
      </c>
      <c r="Y230" t="s">
        <v>2086</v>
      </c>
      <c r="AH230" t="s">
        <v>1497</v>
      </c>
      <c r="AI230" t="s">
        <v>450</v>
      </c>
      <c r="AJ230" t="s">
        <v>968</v>
      </c>
      <c r="AK230" t="s">
        <v>2113</v>
      </c>
      <c r="AL230" t="s">
        <v>1499</v>
      </c>
      <c r="AM230" t="s">
        <v>1500</v>
      </c>
      <c r="AN230" t="s">
        <v>1475</v>
      </c>
      <c r="AO230">
        <v>44463.3</v>
      </c>
      <c r="AP230">
        <v>311718.56</v>
      </c>
      <c r="AQ230" t="s">
        <v>1476</v>
      </c>
      <c r="AR230" t="s">
        <v>266</v>
      </c>
      <c r="AS230" t="s">
        <v>978</v>
      </c>
    </row>
    <row r="231" spans="11:45" x14ac:dyDescent="0.35">
      <c r="K231" s="374">
        <v>46092</v>
      </c>
      <c r="L231" t="s">
        <v>450</v>
      </c>
      <c r="M231" t="s">
        <v>451</v>
      </c>
      <c r="N231" t="s">
        <v>954</v>
      </c>
      <c r="O231" t="s">
        <v>780</v>
      </c>
      <c r="P231" t="s">
        <v>778</v>
      </c>
      <c r="Q231" t="s">
        <v>380</v>
      </c>
      <c r="R231">
        <v>666984.19999999995</v>
      </c>
      <c r="S231">
        <v>673497.8</v>
      </c>
      <c r="T231" t="s">
        <v>695</v>
      </c>
      <c r="U231" t="s">
        <v>381</v>
      </c>
      <c r="V231">
        <v>10000000</v>
      </c>
      <c r="W231">
        <v>0</v>
      </c>
      <c r="X231" t="s">
        <v>266</v>
      </c>
      <c r="Y231" t="s">
        <v>2086</v>
      </c>
      <c r="AH231" t="s">
        <v>1499</v>
      </c>
      <c r="AI231" t="s">
        <v>450</v>
      </c>
      <c r="AJ231" t="s">
        <v>968</v>
      </c>
      <c r="AK231" t="s">
        <v>2386</v>
      </c>
      <c r="AL231" t="s">
        <v>1501</v>
      </c>
      <c r="AM231" t="s">
        <v>1502</v>
      </c>
      <c r="AN231" t="s">
        <v>1475</v>
      </c>
      <c r="AO231">
        <v>36189.440000000002</v>
      </c>
      <c r="AP231">
        <v>258865.52</v>
      </c>
      <c r="AQ231" t="s">
        <v>1476</v>
      </c>
      <c r="AR231" t="s">
        <v>266</v>
      </c>
      <c r="AS231" t="s">
        <v>978</v>
      </c>
    </row>
    <row r="232" spans="11:45" x14ac:dyDescent="0.35">
      <c r="K232" s="374">
        <v>46093</v>
      </c>
      <c r="L232" t="s">
        <v>450</v>
      </c>
      <c r="M232" t="s">
        <v>451</v>
      </c>
      <c r="N232" t="s">
        <v>956</v>
      </c>
      <c r="O232" t="s">
        <v>772</v>
      </c>
      <c r="P232" t="s">
        <v>781</v>
      </c>
      <c r="Q232" t="s">
        <v>394</v>
      </c>
      <c r="R232">
        <v>882707.5</v>
      </c>
      <c r="S232">
        <v>903628.9</v>
      </c>
      <c r="T232" t="s">
        <v>693</v>
      </c>
      <c r="U232" t="s">
        <v>206</v>
      </c>
      <c r="V232">
        <v>30000000</v>
      </c>
      <c r="W232">
        <v>0</v>
      </c>
      <c r="X232" t="s">
        <v>266</v>
      </c>
      <c r="Y232" t="s">
        <v>2086</v>
      </c>
      <c r="AH232" t="s">
        <v>1990</v>
      </c>
      <c r="AI232" t="s">
        <v>450</v>
      </c>
      <c r="AJ232" t="s">
        <v>968</v>
      </c>
      <c r="AK232" t="s">
        <v>2208</v>
      </c>
      <c r="AL232" t="s">
        <v>1503</v>
      </c>
      <c r="AM232" t="s">
        <v>1504</v>
      </c>
      <c r="AN232" t="s">
        <v>1471</v>
      </c>
      <c r="AO232">
        <v>59750.43</v>
      </c>
      <c r="AP232">
        <v>566439.19999999995</v>
      </c>
      <c r="AQ232" t="s">
        <v>1472</v>
      </c>
      <c r="AR232" t="s">
        <v>266</v>
      </c>
      <c r="AS232" t="s">
        <v>1439</v>
      </c>
    </row>
    <row r="233" spans="11:45" x14ac:dyDescent="0.35">
      <c r="K233" s="374">
        <v>46093</v>
      </c>
      <c r="L233" t="s">
        <v>450</v>
      </c>
      <c r="M233" t="s">
        <v>451</v>
      </c>
      <c r="N233" t="s">
        <v>957</v>
      </c>
      <c r="O233" t="s">
        <v>784</v>
      </c>
      <c r="P233" t="s">
        <v>783</v>
      </c>
      <c r="Q233" t="s">
        <v>203</v>
      </c>
      <c r="R233">
        <v>723244</v>
      </c>
      <c r="S233">
        <v>723244</v>
      </c>
      <c r="T233" t="s">
        <v>693</v>
      </c>
      <c r="U233" t="s">
        <v>204</v>
      </c>
      <c r="V233">
        <v>23000000</v>
      </c>
      <c r="W233">
        <v>0</v>
      </c>
      <c r="X233" t="s">
        <v>266</v>
      </c>
      <c r="Y233" t="s">
        <v>2086</v>
      </c>
      <c r="AH233" t="s">
        <v>1991</v>
      </c>
      <c r="AI233" t="s">
        <v>450</v>
      </c>
      <c r="AJ233" t="s">
        <v>968</v>
      </c>
      <c r="AK233" t="s">
        <v>2387</v>
      </c>
      <c r="AL233" t="s">
        <v>1505</v>
      </c>
      <c r="AM233" t="s">
        <v>1506</v>
      </c>
      <c r="AN233" t="s">
        <v>1495</v>
      </c>
      <c r="AO233">
        <v>10650.2</v>
      </c>
      <c r="AP233">
        <v>77785.600000000006</v>
      </c>
      <c r="AQ233" t="s">
        <v>1496</v>
      </c>
      <c r="AR233" t="s">
        <v>266</v>
      </c>
      <c r="AS233" t="s">
        <v>978</v>
      </c>
    </row>
    <row r="234" spans="11:45" x14ac:dyDescent="0.35">
      <c r="K234" s="374">
        <v>46093</v>
      </c>
      <c r="L234" t="s">
        <v>450</v>
      </c>
      <c r="M234" t="s">
        <v>451</v>
      </c>
      <c r="N234" t="s">
        <v>917</v>
      </c>
      <c r="O234" t="s">
        <v>785</v>
      </c>
      <c r="P234" t="s">
        <v>782</v>
      </c>
      <c r="Q234" t="s">
        <v>894</v>
      </c>
      <c r="R234">
        <v>375445.32</v>
      </c>
      <c r="S234">
        <v>376656</v>
      </c>
      <c r="T234" t="s">
        <v>693</v>
      </c>
      <c r="U234" t="s">
        <v>215</v>
      </c>
      <c r="V234">
        <v>40000000</v>
      </c>
      <c r="W234">
        <v>0</v>
      </c>
      <c r="X234" t="s">
        <v>266</v>
      </c>
      <c r="Y234" t="s">
        <v>2086</v>
      </c>
      <c r="AH234" t="s">
        <v>1992</v>
      </c>
      <c r="AI234" t="s">
        <v>450</v>
      </c>
      <c r="AJ234" t="s">
        <v>968</v>
      </c>
      <c r="AK234" t="s">
        <v>2388</v>
      </c>
      <c r="AL234" t="s">
        <v>1507</v>
      </c>
      <c r="AM234" t="s">
        <v>343</v>
      </c>
      <c r="AN234" t="s">
        <v>1508</v>
      </c>
      <c r="AO234">
        <v>72217.58</v>
      </c>
      <c r="AP234">
        <v>488106</v>
      </c>
      <c r="AQ234" t="s">
        <v>1509</v>
      </c>
      <c r="AR234" t="s">
        <v>266</v>
      </c>
      <c r="AS234" t="s">
        <v>978</v>
      </c>
    </row>
    <row r="235" spans="11:45" x14ac:dyDescent="0.35">
      <c r="K235" s="374">
        <v>46105</v>
      </c>
      <c r="L235" t="s">
        <v>450</v>
      </c>
      <c r="M235" t="s">
        <v>584</v>
      </c>
      <c r="N235" t="s">
        <v>2289</v>
      </c>
      <c r="O235" t="s">
        <v>903</v>
      </c>
      <c r="P235" t="s">
        <v>904</v>
      </c>
      <c r="Q235" t="s">
        <v>894</v>
      </c>
      <c r="R235">
        <v>95875</v>
      </c>
      <c r="S235">
        <v>95875</v>
      </c>
      <c r="T235" t="s">
        <v>693</v>
      </c>
      <c r="U235" t="s">
        <v>215</v>
      </c>
      <c r="V235">
        <v>40000000</v>
      </c>
      <c r="W235">
        <v>0</v>
      </c>
      <c r="X235" t="s">
        <v>266</v>
      </c>
      <c r="Y235" t="s">
        <v>2086</v>
      </c>
      <c r="AH235" t="s">
        <v>1993</v>
      </c>
      <c r="AI235" t="s">
        <v>450</v>
      </c>
      <c r="AJ235" t="s">
        <v>968</v>
      </c>
      <c r="AK235" t="s">
        <v>2259</v>
      </c>
      <c r="AL235" t="s">
        <v>602</v>
      </c>
      <c r="AM235" t="s">
        <v>1510</v>
      </c>
      <c r="AN235" t="s">
        <v>1475</v>
      </c>
      <c r="AO235">
        <v>42484.23</v>
      </c>
      <c r="AP235">
        <v>297505.65999999997</v>
      </c>
      <c r="AQ235" t="s">
        <v>1476</v>
      </c>
      <c r="AR235" t="s">
        <v>266</v>
      </c>
      <c r="AS235" t="s">
        <v>978</v>
      </c>
    </row>
    <row r="236" spans="11:45" x14ac:dyDescent="0.35">
      <c r="K236" s="374">
        <v>46105</v>
      </c>
      <c r="L236" t="s">
        <v>450</v>
      </c>
      <c r="M236" t="s">
        <v>584</v>
      </c>
      <c r="N236" t="s">
        <v>2289</v>
      </c>
      <c r="O236" t="s">
        <v>903</v>
      </c>
      <c r="P236" t="s">
        <v>905</v>
      </c>
      <c r="Q236" t="s">
        <v>894</v>
      </c>
      <c r="R236">
        <v>155170</v>
      </c>
      <c r="S236">
        <v>155170</v>
      </c>
      <c r="T236" t="s">
        <v>693</v>
      </c>
      <c r="U236" t="s">
        <v>215</v>
      </c>
      <c r="V236">
        <v>40000000</v>
      </c>
      <c r="W236">
        <v>0</v>
      </c>
      <c r="X236" t="s">
        <v>266</v>
      </c>
      <c r="Y236" t="s">
        <v>2086</v>
      </c>
      <c r="AH236" t="s">
        <v>1994</v>
      </c>
      <c r="AI236" t="s">
        <v>450</v>
      </c>
      <c r="AJ236" t="s">
        <v>968</v>
      </c>
      <c r="AK236" t="s">
        <v>2389</v>
      </c>
      <c r="AL236" t="s">
        <v>1511</v>
      </c>
      <c r="AM236" t="s">
        <v>1512</v>
      </c>
      <c r="AN236" t="s">
        <v>1513</v>
      </c>
      <c r="AO236">
        <v>8100</v>
      </c>
      <c r="AP236">
        <v>53100</v>
      </c>
      <c r="AQ236" t="s">
        <v>1514</v>
      </c>
      <c r="AR236" t="s">
        <v>266</v>
      </c>
      <c r="AS236" t="s">
        <v>978</v>
      </c>
    </row>
    <row r="237" spans="11:45" x14ac:dyDescent="0.35">
      <c r="K237" s="374">
        <v>46108</v>
      </c>
      <c r="L237" t="s">
        <v>450</v>
      </c>
      <c r="M237" t="s">
        <v>584</v>
      </c>
      <c r="N237" t="s">
        <v>2290</v>
      </c>
      <c r="O237" t="s">
        <v>906</v>
      </c>
      <c r="P237" t="s">
        <v>907</v>
      </c>
      <c r="Q237" t="s">
        <v>894</v>
      </c>
      <c r="R237">
        <v>13003.6</v>
      </c>
      <c r="S237">
        <v>13003.6</v>
      </c>
      <c r="T237" t="s">
        <v>693</v>
      </c>
      <c r="U237" t="s">
        <v>215</v>
      </c>
      <c r="V237">
        <v>40000000</v>
      </c>
      <c r="W237">
        <v>0</v>
      </c>
      <c r="X237" t="s">
        <v>266</v>
      </c>
      <c r="Y237" t="s">
        <v>2086</v>
      </c>
      <c r="AH237" t="s">
        <v>1995</v>
      </c>
      <c r="AI237" t="s">
        <v>450</v>
      </c>
      <c r="AJ237" t="s">
        <v>968</v>
      </c>
      <c r="AK237" t="s">
        <v>2390</v>
      </c>
      <c r="AL237" t="s">
        <v>1515</v>
      </c>
      <c r="AM237" t="s">
        <v>362</v>
      </c>
      <c r="AN237" t="s">
        <v>1516</v>
      </c>
      <c r="AO237">
        <v>47633.34</v>
      </c>
      <c r="AP237">
        <v>396852.88</v>
      </c>
      <c r="AQ237" t="s">
        <v>1517</v>
      </c>
      <c r="AR237" t="s">
        <v>266</v>
      </c>
      <c r="AS237" t="s">
        <v>1021</v>
      </c>
    </row>
    <row r="238" spans="11:45" x14ac:dyDescent="0.35">
      <c r="K238" s="374">
        <v>46108</v>
      </c>
      <c r="L238" t="s">
        <v>450</v>
      </c>
      <c r="M238" t="s">
        <v>584</v>
      </c>
      <c r="N238" t="s">
        <v>2290</v>
      </c>
      <c r="O238" t="s">
        <v>906</v>
      </c>
      <c r="P238" t="s">
        <v>908</v>
      </c>
      <c r="Q238" t="s">
        <v>894</v>
      </c>
      <c r="R238">
        <v>20083.599999999999</v>
      </c>
      <c r="S238">
        <v>20083.599999999999</v>
      </c>
      <c r="T238" t="s">
        <v>693</v>
      </c>
      <c r="U238" t="s">
        <v>215</v>
      </c>
      <c r="V238">
        <v>40000000</v>
      </c>
      <c r="W238">
        <v>0</v>
      </c>
      <c r="X238" t="s">
        <v>266</v>
      </c>
      <c r="Y238" t="s">
        <v>2086</v>
      </c>
      <c r="AH238" t="s">
        <v>1996</v>
      </c>
      <c r="AI238" t="s">
        <v>450</v>
      </c>
      <c r="AJ238" t="s">
        <v>968</v>
      </c>
      <c r="AK238" t="s">
        <v>2391</v>
      </c>
      <c r="AL238" t="s">
        <v>1518</v>
      </c>
      <c r="AM238" t="s">
        <v>1519</v>
      </c>
      <c r="AN238" t="s">
        <v>1475</v>
      </c>
      <c r="AO238">
        <v>28177.02</v>
      </c>
      <c r="AP238">
        <v>184559.02</v>
      </c>
      <c r="AQ238" t="s">
        <v>1476</v>
      </c>
      <c r="AR238" t="s">
        <v>266</v>
      </c>
      <c r="AS238" t="s">
        <v>978</v>
      </c>
    </row>
    <row r="239" spans="11:45" x14ac:dyDescent="0.35">
      <c r="K239" s="374">
        <v>46115</v>
      </c>
      <c r="L239" t="s">
        <v>450</v>
      </c>
      <c r="M239" t="s">
        <v>451</v>
      </c>
      <c r="N239" t="s">
        <v>961</v>
      </c>
      <c r="O239" t="s">
        <v>811</v>
      </c>
      <c r="P239" t="s">
        <v>789</v>
      </c>
      <c r="Q239" t="s">
        <v>236</v>
      </c>
      <c r="R239">
        <v>127862.05</v>
      </c>
      <c r="S239">
        <v>854974.05</v>
      </c>
      <c r="T239" t="s">
        <v>693</v>
      </c>
      <c r="U239" t="s">
        <v>386</v>
      </c>
      <c r="V239">
        <v>7500000</v>
      </c>
      <c r="W239">
        <v>0</v>
      </c>
      <c r="X239" t="s">
        <v>266</v>
      </c>
      <c r="Y239" t="s">
        <v>2086</v>
      </c>
      <c r="AH239" t="s">
        <v>1997</v>
      </c>
      <c r="AI239" t="s">
        <v>450</v>
      </c>
      <c r="AJ239" t="s">
        <v>968</v>
      </c>
      <c r="AK239" t="s">
        <v>2392</v>
      </c>
      <c r="AL239" t="s">
        <v>1520</v>
      </c>
      <c r="AM239" t="s">
        <v>1521</v>
      </c>
      <c r="AN239" t="s">
        <v>1522</v>
      </c>
      <c r="AO239">
        <v>17895.52</v>
      </c>
      <c r="AP239">
        <v>248906.18</v>
      </c>
      <c r="AQ239" t="s">
        <v>1523</v>
      </c>
      <c r="AR239" t="s">
        <v>266</v>
      </c>
      <c r="AS239" t="s">
        <v>1021</v>
      </c>
    </row>
    <row r="240" spans="11:45" x14ac:dyDescent="0.35">
      <c r="K240" s="374">
        <v>46122</v>
      </c>
      <c r="L240" t="s">
        <v>450</v>
      </c>
      <c r="M240" t="s">
        <v>451</v>
      </c>
      <c r="N240" t="s">
        <v>362</v>
      </c>
      <c r="O240" t="s">
        <v>843</v>
      </c>
      <c r="P240" t="s">
        <v>823</v>
      </c>
      <c r="Q240" t="s">
        <v>213</v>
      </c>
      <c r="R240">
        <v>10104.1</v>
      </c>
      <c r="S240">
        <v>1079930.1000000001</v>
      </c>
      <c r="T240" t="s">
        <v>693</v>
      </c>
      <c r="U240" t="s">
        <v>214</v>
      </c>
      <c r="V240">
        <v>40000000</v>
      </c>
      <c r="W240">
        <v>0</v>
      </c>
      <c r="X240" t="s">
        <v>266</v>
      </c>
      <c r="Y240" t="s">
        <v>2086</v>
      </c>
      <c r="AH240" t="s">
        <v>1520</v>
      </c>
      <c r="AI240" t="s">
        <v>450</v>
      </c>
      <c r="AJ240" t="s">
        <v>968</v>
      </c>
      <c r="AK240" t="s">
        <v>2209</v>
      </c>
      <c r="AL240" t="s">
        <v>1524</v>
      </c>
      <c r="AM240" t="s">
        <v>1525</v>
      </c>
      <c r="AN240" t="s">
        <v>1460</v>
      </c>
      <c r="AO240">
        <v>44450.26</v>
      </c>
      <c r="AP240">
        <v>308630.14</v>
      </c>
      <c r="AQ240" t="s">
        <v>1461</v>
      </c>
      <c r="AR240" t="s">
        <v>266</v>
      </c>
      <c r="AS240" t="s">
        <v>1021</v>
      </c>
    </row>
    <row r="241" spans="11:45" x14ac:dyDescent="0.35">
      <c r="K241" s="374">
        <v>46125</v>
      </c>
      <c r="L241" t="s">
        <v>450</v>
      </c>
      <c r="M241" t="s">
        <v>584</v>
      </c>
      <c r="N241" t="s">
        <v>901</v>
      </c>
      <c r="O241" t="s">
        <v>909</v>
      </c>
      <c r="P241" t="s">
        <v>844</v>
      </c>
      <c r="Q241" t="s">
        <v>255</v>
      </c>
      <c r="R241">
        <v>718209.4</v>
      </c>
      <c r="S241">
        <v>718209.4</v>
      </c>
      <c r="T241" t="s">
        <v>693</v>
      </c>
      <c r="U241" t="s">
        <v>267</v>
      </c>
      <c r="V241">
        <v>10000000</v>
      </c>
      <c r="W241">
        <v>0</v>
      </c>
      <c r="X241" t="s">
        <v>266</v>
      </c>
      <c r="Y241" t="s">
        <v>2086</v>
      </c>
      <c r="AH241" t="s">
        <v>1520</v>
      </c>
      <c r="AI241" t="s">
        <v>450</v>
      </c>
      <c r="AJ241" t="s">
        <v>968</v>
      </c>
      <c r="AK241" t="s">
        <v>2393</v>
      </c>
      <c r="AL241" t="s">
        <v>1526</v>
      </c>
      <c r="AM241" t="s">
        <v>1527</v>
      </c>
      <c r="AN241" t="s">
        <v>1528</v>
      </c>
      <c r="AO241">
        <v>4315.3</v>
      </c>
      <c r="AP241">
        <v>628685.12</v>
      </c>
      <c r="AQ241" t="s">
        <v>1529</v>
      </c>
      <c r="AR241" t="s">
        <v>266</v>
      </c>
      <c r="AS241" t="s">
        <v>978</v>
      </c>
    </row>
    <row r="242" spans="11:45" x14ac:dyDescent="0.35">
      <c r="K242" s="374">
        <v>46125</v>
      </c>
      <c r="L242" t="s">
        <v>450</v>
      </c>
      <c r="M242" t="s">
        <v>584</v>
      </c>
      <c r="N242" t="s">
        <v>901</v>
      </c>
      <c r="O242" t="s">
        <v>909</v>
      </c>
      <c r="P242" t="s">
        <v>848</v>
      </c>
      <c r="Q242" t="s">
        <v>334</v>
      </c>
      <c r="R242">
        <v>890928.32</v>
      </c>
      <c r="S242">
        <v>890928.32</v>
      </c>
      <c r="T242" t="s">
        <v>685</v>
      </c>
      <c r="U242" t="s">
        <v>335</v>
      </c>
      <c r="V242">
        <v>13253000</v>
      </c>
      <c r="W242">
        <v>0</v>
      </c>
      <c r="X242" t="s">
        <v>266</v>
      </c>
      <c r="Y242" t="s">
        <v>2086</v>
      </c>
      <c r="AH242" t="s">
        <v>1518</v>
      </c>
      <c r="AI242" t="s">
        <v>450</v>
      </c>
      <c r="AJ242" t="s">
        <v>968</v>
      </c>
      <c r="AK242" t="s">
        <v>2394</v>
      </c>
      <c r="AL242" t="s">
        <v>1530</v>
      </c>
      <c r="AM242" t="s">
        <v>1531</v>
      </c>
      <c r="AN242" t="s">
        <v>1532</v>
      </c>
      <c r="AO242">
        <v>10000</v>
      </c>
      <c r="AP242">
        <v>383081.1</v>
      </c>
      <c r="AQ242" t="s">
        <v>1533</v>
      </c>
      <c r="AR242" t="s">
        <v>266</v>
      </c>
      <c r="AS242" t="s">
        <v>978</v>
      </c>
    </row>
    <row r="243" spans="11:45" x14ac:dyDescent="0.35">
      <c r="K243" s="374">
        <v>46136</v>
      </c>
      <c r="L243" t="s">
        <v>450</v>
      </c>
      <c r="M243" t="s">
        <v>451</v>
      </c>
      <c r="N243" t="s">
        <v>939</v>
      </c>
      <c r="O243" t="s">
        <v>910</v>
      </c>
      <c r="P243" t="s">
        <v>892</v>
      </c>
      <c r="Q243" t="s">
        <v>894</v>
      </c>
      <c r="R243">
        <v>121610.9</v>
      </c>
      <c r="S243">
        <v>718915.9</v>
      </c>
      <c r="T243" t="s">
        <v>693</v>
      </c>
      <c r="U243" t="s">
        <v>215</v>
      </c>
      <c r="V243">
        <v>40000000</v>
      </c>
      <c r="W243">
        <v>0</v>
      </c>
      <c r="X243" t="s">
        <v>266</v>
      </c>
      <c r="Y243" t="s">
        <v>2086</v>
      </c>
      <c r="AH243" t="s">
        <v>1998</v>
      </c>
      <c r="AI243" t="s">
        <v>450</v>
      </c>
      <c r="AJ243" t="s">
        <v>968</v>
      </c>
      <c r="AK243" t="s">
        <v>2210</v>
      </c>
      <c r="AL243" t="s">
        <v>1534</v>
      </c>
      <c r="AM243" t="s">
        <v>1535</v>
      </c>
      <c r="AN243" t="s">
        <v>1475</v>
      </c>
      <c r="AO243">
        <v>35979.040000000001</v>
      </c>
      <c r="AP243">
        <v>265015.40000000002</v>
      </c>
      <c r="AQ243" t="s">
        <v>1476</v>
      </c>
      <c r="AR243" t="s">
        <v>266</v>
      </c>
      <c r="AS243" t="s">
        <v>978</v>
      </c>
    </row>
    <row r="244" spans="11:45" x14ac:dyDescent="0.35">
      <c r="K244" s="374">
        <v>46188</v>
      </c>
      <c r="L244" t="s">
        <v>450</v>
      </c>
      <c r="M244" t="s">
        <v>584</v>
      </c>
      <c r="N244" t="s">
        <v>2291</v>
      </c>
      <c r="O244" t="s">
        <v>2292</v>
      </c>
      <c r="P244" t="s">
        <v>2293</v>
      </c>
      <c r="Q244" t="s">
        <v>397</v>
      </c>
      <c r="R244">
        <v>23706.2</v>
      </c>
      <c r="S244">
        <v>23706.2</v>
      </c>
      <c r="T244" t="s">
        <v>693</v>
      </c>
      <c r="U244" t="s">
        <v>2294</v>
      </c>
      <c r="V244">
        <v>20000000</v>
      </c>
      <c r="W244">
        <v>28702.49</v>
      </c>
      <c r="X244" t="s">
        <v>266</v>
      </c>
      <c r="Y244" t="s">
        <v>2086</v>
      </c>
      <c r="AH244" t="s">
        <v>1999</v>
      </c>
      <c r="AI244" t="s">
        <v>450</v>
      </c>
      <c r="AJ244" t="s">
        <v>968</v>
      </c>
      <c r="AK244" t="s">
        <v>2395</v>
      </c>
      <c r="AL244" t="s">
        <v>1536</v>
      </c>
      <c r="AM244" t="s">
        <v>1537</v>
      </c>
      <c r="AN244" t="s">
        <v>1538</v>
      </c>
      <c r="AO244">
        <v>6000</v>
      </c>
      <c r="AP244">
        <v>668696.56000000006</v>
      </c>
      <c r="AQ244" t="s">
        <v>1539</v>
      </c>
      <c r="AR244" t="s">
        <v>266</v>
      </c>
      <c r="AS244" t="s">
        <v>978</v>
      </c>
    </row>
    <row r="245" spans="11:45" x14ac:dyDescent="0.35">
      <c r="AH245" t="s">
        <v>2000</v>
      </c>
      <c r="AI245" t="s">
        <v>450</v>
      </c>
      <c r="AJ245" t="s">
        <v>968</v>
      </c>
      <c r="AK245" t="s">
        <v>2396</v>
      </c>
      <c r="AL245" t="s">
        <v>1540</v>
      </c>
      <c r="AM245" t="s">
        <v>1541</v>
      </c>
      <c r="AN245" t="s">
        <v>1542</v>
      </c>
      <c r="AO245">
        <v>84809.38</v>
      </c>
      <c r="AP245">
        <v>711806.65</v>
      </c>
      <c r="AQ245" t="s">
        <v>1543</v>
      </c>
      <c r="AR245" t="s">
        <v>266</v>
      </c>
      <c r="AS245" t="s">
        <v>978</v>
      </c>
    </row>
    <row r="246" spans="11:45" x14ac:dyDescent="0.35">
      <c r="AH246" t="s">
        <v>1536</v>
      </c>
      <c r="AI246" t="s">
        <v>450</v>
      </c>
      <c r="AJ246" t="s">
        <v>968</v>
      </c>
      <c r="AK246" t="s">
        <v>2395</v>
      </c>
      <c r="AL246" t="s">
        <v>1536</v>
      </c>
      <c r="AM246" t="s">
        <v>1544</v>
      </c>
      <c r="AN246" t="s">
        <v>1475</v>
      </c>
      <c r="AO246">
        <v>33047.15</v>
      </c>
      <c r="AP246">
        <v>231906.64</v>
      </c>
      <c r="AQ246" t="s">
        <v>1476</v>
      </c>
      <c r="AR246" t="s">
        <v>266</v>
      </c>
      <c r="AS246" t="s">
        <v>978</v>
      </c>
    </row>
    <row r="247" spans="11:45" x14ac:dyDescent="0.35">
      <c r="AH247" t="s">
        <v>2001</v>
      </c>
      <c r="AI247" t="s">
        <v>450</v>
      </c>
      <c r="AJ247" t="s">
        <v>968</v>
      </c>
      <c r="AK247" t="s">
        <v>2211</v>
      </c>
      <c r="AL247" t="s">
        <v>1545</v>
      </c>
      <c r="AM247" t="s">
        <v>325</v>
      </c>
      <c r="AN247" t="s">
        <v>1546</v>
      </c>
      <c r="AO247">
        <v>31.74</v>
      </c>
      <c r="AP247">
        <v>148591.5</v>
      </c>
      <c r="AQ247" t="s">
        <v>1547</v>
      </c>
      <c r="AR247" t="s">
        <v>266</v>
      </c>
      <c r="AS247" t="s">
        <v>978</v>
      </c>
    </row>
    <row r="248" spans="11:45" x14ac:dyDescent="0.35">
      <c r="AH248" t="s">
        <v>2002</v>
      </c>
      <c r="AI248" t="s">
        <v>450</v>
      </c>
      <c r="AJ248" t="s">
        <v>968</v>
      </c>
      <c r="AK248" t="s">
        <v>2397</v>
      </c>
      <c r="AL248" t="s">
        <v>1548</v>
      </c>
      <c r="AM248" t="s">
        <v>947</v>
      </c>
      <c r="AN248" t="s">
        <v>1549</v>
      </c>
      <c r="AO248">
        <v>16842.32</v>
      </c>
      <c r="AP248">
        <v>310953.59999999998</v>
      </c>
      <c r="AQ248" t="s">
        <v>1550</v>
      </c>
      <c r="AR248" t="s">
        <v>266</v>
      </c>
      <c r="AS248" t="s">
        <v>1021</v>
      </c>
    </row>
    <row r="249" spans="11:45" x14ac:dyDescent="0.35">
      <c r="AH249" t="s">
        <v>2002</v>
      </c>
      <c r="AI249" t="s">
        <v>450</v>
      </c>
      <c r="AJ249" t="s">
        <v>968</v>
      </c>
      <c r="AK249" t="s">
        <v>2398</v>
      </c>
      <c r="AL249" t="s">
        <v>1551</v>
      </c>
      <c r="AM249" t="s">
        <v>1552</v>
      </c>
      <c r="AN249" t="s">
        <v>1549</v>
      </c>
      <c r="AO249">
        <v>8776.08</v>
      </c>
      <c r="AP249">
        <v>231303.6</v>
      </c>
      <c r="AQ249" t="s">
        <v>1550</v>
      </c>
      <c r="AR249" t="s">
        <v>266</v>
      </c>
      <c r="AS249" t="s">
        <v>1021</v>
      </c>
    </row>
    <row r="250" spans="11:45" x14ac:dyDescent="0.35">
      <c r="AH250" t="s">
        <v>2002</v>
      </c>
      <c r="AI250" t="s">
        <v>450</v>
      </c>
      <c r="AJ250" t="s">
        <v>968</v>
      </c>
      <c r="AK250" t="s">
        <v>2399</v>
      </c>
      <c r="AL250" t="s">
        <v>1553</v>
      </c>
      <c r="AM250" t="s">
        <v>1554</v>
      </c>
      <c r="AN250" t="s">
        <v>1475</v>
      </c>
      <c r="AO250">
        <v>22938.66</v>
      </c>
      <c r="AP250">
        <v>183255.35</v>
      </c>
      <c r="AQ250" t="s">
        <v>1476</v>
      </c>
      <c r="AR250" t="s">
        <v>266</v>
      </c>
      <c r="AS250" t="s">
        <v>978</v>
      </c>
    </row>
    <row r="251" spans="11:45" x14ac:dyDescent="0.35">
      <c r="AH251" t="s">
        <v>1548</v>
      </c>
      <c r="AI251" t="s">
        <v>450</v>
      </c>
      <c r="AJ251" t="s">
        <v>968</v>
      </c>
      <c r="AK251" t="s">
        <v>2212</v>
      </c>
      <c r="AL251" t="s">
        <v>1555</v>
      </c>
      <c r="AM251" t="s">
        <v>1556</v>
      </c>
      <c r="AN251" t="s">
        <v>1538</v>
      </c>
      <c r="AO251">
        <v>108076.5</v>
      </c>
      <c r="AP251">
        <v>707901.5</v>
      </c>
      <c r="AQ251" t="s">
        <v>1539</v>
      </c>
      <c r="AR251" t="s">
        <v>266</v>
      </c>
      <c r="AS251" t="s">
        <v>978</v>
      </c>
    </row>
    <row r="252" spans="11:45" x14ac:dyDescent="0.35">
      <c r="AH252" t="s">
        <v>2003</v>
      </c>
      <c r="AI252" t="s">
        <v>450</v>
      </c>
      <c r="AJ252" t="s">
        <v>968</v>
      </c>
      <c r="AK252" t="s">
        <v>2400</v>
      </c>
      <c r="AL252" t="s">
        <v>1557</v>
      </c>
      <c r="AM252" t="s">
        <v>1079</v>
      </c>
      <c r="AN252" t="s">
        <v>1558</v>
      </c>
      <c r="AO252">
        <v>34356.239999999998</v>
      </c>
      <c r="AP252">
        <v>313502.40000000002</v>
      </c>
      <c r="AQ252" t="s">
        <v>1559</v>
      </c>
      <c r="AR252" t="s">
        <v>266</v>
      </c>
      <c r="AS252" t="s">
        <v>978</v>
      </c>
    </row>
    <row r="253" spans="11:45" x14ac:dyDescent="0.35">
      <c r="AH253" t="s">
        <v>2003</v>
      </c>
      <c r="AI253" t="s">
        <v>450</v>
      </c>
      <c r="AJ253" t="s">
        <v>968</v>
      </c>
      <c r="AK253" t="s">
        <v>2212</v>
      </c>
      <c r="AL253" t="s">
        <v>1555</v>
      </c>
      <c r="AM253" t="s">
        <v>1560</v>
      </c>
      <c r="AN253" t="s">
        <v>1107</v>
      </c>
      <c r="AO253">
        <v>6406.81</v>
      </c>
      <c r="AP253">
        <v>134542.91</v>
      </c>
      <c r="AQ253" t="s">
        <v>1108</v>
      </c>
      <c r="AR253" t="s">
        <v>266</v>
      </c>
      <c r="AS253" t="s">
        <v>978</v>
      </c>
    </row>
    <row r="254" spans="11:45" x14ac:dyDescent="0.35">
      <c r="AH254" t="s">
        <v>2004</v>
      </c>
      <c r="AI254" t="s">
        <v>450</v>
      </c>
      <c r="AJ254" t="s">
        <v>968</v>
      </c>
      <c r="AK254" t="s">
        <v>2400</v>
      </c>
      <c r="AL254" t="s">
        <v>1557</v>
      </c>
      <c r="AM254" t="s">
        <v>946</v>
      </c>
      <c r="AN254" t="s">
        <v>1549</v>
      </c>
      <c r="AO254">
        <v>7642.08</v>
      </c>
      <c r="AP254">
        <v>299059.20000000001</v>
      </c>
      <c r="AQ254" t="s">
        <v>1550</v>
      </c>
      <c r="AR254" t="s">
        <v>266</v>
      </c>
      <c r="AS254" t="s">
        <v>1021</v>
      </c>
    </row>
    <row r="255" spans="11:45" x14ac:dyDescent="0.35">
      <c r="AH255" t="s">
        <v>1561</v>
      </c>
      <c r="AI255" t="s">
        <v>450</v>
      </c>
      <c r="AJ255" t="s">
        <v>968</v>
      </c>
      <c r="AK255" t="s">
        <v>2401</v>
      </c>
      <c r="AL255" t="s">
        <v>1561</v>
      </c>
      <c r="AM255" t="s">
        <v>1562</v>
      </c>
      <c r="AN255" t="s">
        <v>1243</v>
      </c>
      <c r="AO255">
        <v>2244</v>
      </c>
      <c r="AP255">
        <v>22644</v>
      </c>
      <c r="AQ255" t="s">
        <v>1244</v>
      </c>
      <c r="AR255" t="s">
        <v>266</v>
      </c>
      <c r="AS255" t="s">
        <v>978</v>
      </c>
    </row>
    <row r="256" spans="11:45" x14ac:dyDescent="0.35">
      <c r="AH256" t="s">
        <v>2005</v>
      </c>
      <c r="AI256" t="s">
        <v>450</v>
      </c>
      <c r="AJ256" t="s">
        <v>968</v>
      </c>
      <c r="AK256" t="s">
        <v>2402</v>
      </c>
      <c r="AL256" t="s">
        <v>1563</v>
      </c>
      <c r="AM256" t="s">
        <v>1564</v>
      </c>
      <c r="AN256" t="s">
        <v>1565</v>
      </c>
      <c r="AO256">
        <v>10762.5</v>
      </c>
      <c r="AP256">
        <v>226012.5</v>
      </c>
      <c r="AQ256" t="s">
        <v>1566</v>
      </c>
      <c r="AR256" t="s">
        <v>266</v>
      </c>
      <c r="AS256" t="s">
        <v>973</v>
      </c>
    </row>
    <row r="257" spans="11:45" x14ac:dyDescent="0.35">
      <c r="AH257" t="s">
        <v>2006</v>
      </c>
      <c r="AI257" t="s">
        <v>450</v>
      </c>
      <c r="AJ257" t="s">
        <v>968</v>
      </c>
      <c r="AK257" t="s">
        <v>2213</v>
      </c>
      <c r="AL257" t="s">
        <v>1567</v>
      </c>
      <c r="AM257" t="s">
        <v>1568</v>
      </c>
      <c r="AN257" t="s">
        <v>1107</v>
      </c>
      <c r="AO257">
        <v>6368.7</v>
      </c>
      <c r="AP257">
        <v>133742.70000000001</v>
      </c>
      <c r="AQ257" t="s">
        <v>1108</v>
      </c>
      <c r="AR257" t="s">
        <v>266</v>
      </c>
      <c r="AS257" t="s">
        <v>978</v>
      </c>
    </row>
    <row r="258" spans="11:45" x14ac:dyDescent="0.35">
      <c r="AH258" t="s">
        <v>2007</v>
      </c>
      <c r="AI258" t="s">
        <v>450</v>
      </c>
      <c r="AJ258" t="s">
        <v>968</v>
      </c>
      <c r="AK258" t="s">
        <v>2403</v>
      </c>
      <c r="AL258" t="s">
        <v>1569</v>
      </c>
      <c r="AM258" t="s">
        <v>940</v>
      </c>
      <c r="AN258" t="s">
        <v>1570</v>
      </c>
      <c r="AO258">
        <v>57579.47</v>
      </c>
      <c r="AP258">
        <v>396723.08</v>
      </c>
      <c r="AQ258" t="s">
        <v>1571</v>
      </c>
      <c r="AR258" t="s">
        <v>266</v>
      </c>
      <c r="AS258" t="s">
        <v>978</v>
      </c>
    </row>
    <row r="259" spans="11:45" x14ac:dyDescent="0.35">
      <c r="K259" s="373"/>
      <c r="L259" s="372"/>
      <c r="M259" s="372"/>
      <c r="N259" s="372"/>
      <c r="O259" s="372"/>
      <c r="P259" s="372"/>
      <c r="Q259" s="372"/>
      <c r="R259" s="372"/>
      <c r="S259" s="372"/>
      <c r="T259" s="372"/>
      <c r="U259" s="372"/>
      <c r="V259" s="372"/>
      <c r="W259" s="372"/>
      <c r="X259" s="372"/>
      <c r="Y259" s="372"/>
      <c r="AH259" t="s">
        <v>2008</v>
      </c>
      <c r="AI259" t="s">
        <v>450</v>
      </c>
      <c r="AJ259" t="s">
        <v>968</v>
      </c>
      <c r="AK259" t="s">
        <v>2404</v>
      </c>
      <c r="AL259" t="s">
        <v>1572</v>
      </c>
      <c r="AM259" t="s">
        <v>1573</v>
      </c>
      <c r="AN259" t="s">
        <v>1112</v>
      </c>
      <c r="AO259">
        <v>69538.41</v>
      </c>
      <c r="AP259">
        <v>645620</v>
      </c>
      <c r="AQ259" t="s">
        <v>1113</v>
      </c>
      <c r="AR259" t="s">
        <v>266</v>
      </c>
      <c r="AS259" t="s">
        <v>1021</v>
      </c>
    </row>
    <row r="260" spans="11:45" x14ac:dyDescent="0.35">
      <c r="K260" s="373"/>
      <c r="L260" s="372"/>
      <c r="M260" s="372"/>
      <c r="N260" s="372"/>
      <c r="O260" s="372"/>
      <c r="P260" s="372"/>
      <c r="Q260" s="372"/>
      <c r="R260" s="372"/>
      <c r="S260" s="372"/>
      <c r="T260" s="372"/>
      <c r="U260" s="372"/>
      <c r="V260" s="372"/>
      <c r="W260" s="372"/>
      <c r="X260" s="372"/>
      <c r="Y260" s="372"/>
      <c r="AH260" t="s">
        <v>2009</v>
      </c>
      <c r="AI260" t="s">
        <v>450</v>
      </c>
      <c r="AJ260" t="s">
        <v>968</v>
      </c>
      <c r="AK260" t="s">
        <v>2215</v>
      </c>
      <c r="AL260" t="s">
        <v>1574</v>
      </c>
      <c r="AM260" t="s">
        <v>326</v>
      </c>
      <c r="AN260" t="s">
        <v>1570</v>
      </c>
      <c r="AO260">
        <v>47600.68</v>
      </c>
      <c r="AP260">
        <v>426297.68</v>
      </c>
      <c r="AQ260" t="s">
        <v>1571</v>
      </c>
      <c r="AR260" t="s">
        <v>266</v>
      </c>
      <c r="AS260" t="s">
        <v>978</v>
      </c>
    </row>
    <row r="261" spans="11:45" x14ac:dyDescent="0.35">
      <c r="K261" s="373"/>
      <c r="L261" s="372"/>
      <c r="M261" s="372"/>
      <c r="N261" s="372"/>
      <c r="O261" s="372"/>
      <c r="P261" s="372"/>
      <c r="Q261" s="372"/>
      <c r="R261" s="372"/>
      <c r="S261" s="372"/>
      <c r="T261" s="372"/>
      <c r="U261" s="372"/>
      <c r="V261" s="372"/>
      <c r="W261" s="372"/>
      <c r="X261" s="372"/>
      <c r="Y261" s="372"/>
      <c r="AH261" t="s">
        <v>2009</v>
      </c>
      <c r="AI261" t="s">
        <v>450</v>
      </c>
      <c r="AJ261" t="s">
        <v>968</v>
      </c>
      <c r="AK261" t="s">
        <v>2405</v>
      </c>
      <c r="AL261" t="s">
        <v>1575</v>
      </c>
      <c r="AM261" t="s">
        <v>1576</v>
      </c>
      <c r="AN261" t="s">
        <v>1577</v>
      </c>
      <c r="AO261">
        <v>3679.02</v>
      </c>
      <c r="AP261">
        <v>23914.02</v>
      </c>
      <c r="AQ261" t="s">
        <v>1578</v>
      </c>
      <c r="AR261" t="s">
        <v>266</v>
      </c>
      <c r="AS261" t="s">
        <v>978</v>
      </c>
    </row>
    <row r="262" spans="11:45" x14ac:dyDescent="0.35">
      <c r="K262" s="373"/>
      <c r="L262" s="372"/>
      <c r="M262" s="372"/>
      <c r="N262" s="372"/>
      <c r="O262" s="372"/>
      <c r="P262" s="372"/>
      <c r="Q262" s="372"/>
      <c r="R262" s="372"/>
      <c r="S262" s="372"/>
      <c r="T262" s="372"/>
      <c r="U262" s="372"/>
      <c r="V262" s="372"/>
      <c r="W262" s="372"/>
      <c r="X262" s="372"/>
      <c r="Y262" s="372"/>
      <c r="AH262" t="s">
        <v>1572</v>
      </c>
      <c r="AI262" t="s">
        <v>450</v>
      </c>
      <c r="AJ262" t="s">
        <v>968</v>
      </c>
      <c r="AK262" t="s">
        <v>2406</v>
      </c>
      <c r="AL262" t="s">
        <v>1579</v>
      </c>
      <c r="AM262" t="s">
        <v>962</v>
      </c>
      <c r="AN262" t="s">
        <v>1570</v>
      </c>
      <c r="AO262">
        <v>53917.34</v>
      </c>
      <c r="AP262">
        <v>414377.88</v>
      </c>
      <c r="AQ262" t="s">
        <v>1571</v>
      </c>
      <c r="AR262" t="s">
        <v>266</v>
      </c>
      <c r="AS262" t="s">
        <v>978</v>
      </c>
    </row>
    <row r="263" spans="11:45" x14ac:dyDescent="0.35">
      <c r="K263" s="373"/>
      <c r="L263" s="372"/>
      <c r="M263" s="372"/>
      <c r="N263" s="372"/>
      <c r="O263" s="372"/>
      <c r="P263" s="372"/>
      <c r="Q263" s="372"/>
      <c r="R263" s="372"/>
      <c r="S263" s="372"/>
      <c r="T263" s="372"/>
      <c r="U263" s="372"/>
      <c r="V263" s="372"/>
      <c r="W263" s="372"/>
      <c r="X263" s="372"/>
      <c r="Y263" s="372"/>
      <c r="AH263" t="s">
        <v>1572</v>
      </c>
      <c r="AI263" t="s">
        <v>450</v>
      </c>
      <c r="AJ263" t="s">
        <v>968</v>
      </c>
      <c r="AK263" t="s">
        <v>2407</v>
      </c>
      <c r="AL263" t="s">
        <v>1580</v>
      </c>
      <c r="AM263" t="s">
        <v>921</v>
      </c>
      <c r="AN263" t="s">
        <v>1570</v>
      </c>
      <c r="AO263">
        <v>60074.93</v>
      </c>
      <c r="AP263">
        <v>411504.04</v>
      </c>
      <c r="AQ263" t="s">
        <v>1571</v>
      </c>
      <c r="AR263" t="s">
        <v>266</v>
      </c>
      <c r="AS263" t="s">
        <v>978</v>
      </c>
    </row>
    <row r="264" spans="11:45" x14ac:dyDescent="0.35">
      <c r="K264" s="373"/>
      <c r="L264" s="372"/>
      <c r="M264" s="372"/>
      <c r="N264" s="372"/>
      <c r="O264" s="372"/>
      <c r="P264" s="372"/>
      <c r="Q264" s="372"/>
      <c r="R264" s="372"/>
      <c r="S264" s="372"/>
      <c r="T264" s="372"/>
      <c r="U264" s="372"/>
      <c r="V264" s="372"/>
      <c r="W264" s="372"/>
      <c r="X264" s="372"/>
      <c r="Y264" s="372"/>
      <c r="AH264" t="s">
        <v>2010</v>
      </c>
      <c r="AI264" t="s">
        <v>450</v>
      </c>
      <c r="AJ264" t="s">
        <v>968</v>
      </c>
      <c r="AK264" t="s">
        <v>2408</v>
      </c>
      <c r="AL264" t="s">
        <v>1581</v>
      </c>
      <c r="AM264" t="s">
        <v>1582</v>
      </c>
      <c r="AN264" t="s">
        <v>1112</v>
      </c>
      <c r="AO264">
        <v>71070.320000000007</v>
      </c>
      <c r="AP264">
        <v>589352.5</v>
      </c>
      <c r="AQ264" t="s">
        <v>1113</v>
      </c>
      <c r="AR264" t="s">
        <v>266</v>
      </c>
      <c r="AS264" t="s">
        <v>1021</v>
      </c>
    </row>
    <row r="265" spans="11:45" x14ac:dyDescent="0.35">
      <c r="K265" s="373"/>
      <c r="L265" s="372"/>
      <c r="M265" s="372"/>
      <c r="N265" s="372"/>
      <c r="O265" s="372"/>
      <c r="P265" s="372"/>
      <c r="Q265" s="372"/>
      <c r="R265" s="372"/>
      <c r="S265" s="372"/>
      <c r="T265" s="372"/>
      <c r="U265" s="372"/>
      <c r="V265" s="372"/>
      <c r="W265" s="372"/>
      <c r="X265" s="372"/>
      <c r="Y265" s="372"/>
      <c r="AH265" t="s">
        <v>2011</v>
      </c>
      <c r="AI265" t="s">
        <v>450</v>
      </c>
      <c r="AJ265" t="s">
        <v>968</v>
      </c>
      <c r="AK265" t="s">
        <v>2406</v>
      </c>
      <c r="AL265" t="s">
        <v>1579</v>
      </c>
      <c r="AM265" t="s">
        <v>939</v>
      </c>
      <c r="AN265" t="s">
        <v>1570</v>
      </c>
      <c r="AO265">
        <v>48990.73</v>
      </c>
      <c r="AP265">
        <v>375056.52</v>
      </c>
      <c r="AQ265" t="s">
        <v>1571</v>
      </c>
      <c r="AR265" t="s">
        <v>266</v>
      </c>
      <c r="AS265" t="s">
        <v>978</v>
      </c>
    </row>
    <row r="266" spans="11:45" x14ac:dyDescent="0.35">
      <c r="K266" s="373"/>
      <c r="L266" s="372"/>
      <c r="M266" s="372"/>
      <c r="N266" s="372"/>
      <c r="O266" s="372"/>
      <c r="P266" s="372"/>
      <c r="Q266" s="372"/>
      <c r="R266" s="372"/>
      <c r="S266" s="372"/>
      <c r="T266" s="372"/>
      <c r="U266" s="372"/>
      <c r="V266" s="372"/>
      <c r="W266" s="372"/>
      <c r="X266" s="372"/>
      <c r="Y266" s="372"/>
      <c r="AH266" t="s">
        <v>1580</v>
      </c>
      <c r="AI266" t="s">
        <v>450</v>
      </c>
      <c r="AJ266" t="s">
        <v>968</v>
      </c>
      <c r="AK266" t="s">
        <v>2407</v>
      </c>
      <c r="AL266" t="s">
        <v>1580</v>
      </c>
      <c r="AM266" t="s">
        <v>1583</v>
      </c>
      <c r="AN266" t="s">
        <v>1243</v>
      </c>
      <c r="AO266">
        <v>2700</v>
      </c>
      <c r="AP266">
        <v>24975</v>
      </c>
      <c r="AQ266" t="s">
        <v>1244</v>
      </c>
      <c r="AR266" t="s">
        <v>266</v>
      </c>
      <c r="AS266" t="s">
        <v>978</v>
      </c>
    </row>
    <row r="267" spans="11:45" x14ac:dyDescent="0.35">
      <c r="K267" s="373"/>
      <c r="L267" s="372"/>
      <c r="M267" s="372"/>
      <c r="N267" s="372"/>
      <c r="O267" s="372"/>
      <c r="P267" s="372"/>
      <c r="Q267" s="372"/>
      <c r="R267" s="372"/>
      <c r="S267" s="372"/>
      <c r="T267" s="372"/>
      <c r="U267" s="372"/>
      <c r="V267" s="372"/>
      <c r="W267" s="372"/>
      <c r="X267" s="372"/>
      <c r="Y267" s="372"/>
      <c r="AH267" t="s">
        <v>2012</v>
      </c>
      <c r="AI267" t="s">
        <v>450</v>
      </c>
      <c r="AJ267" t="s">
        <v>968</v>
      </c>
      <c r="AK267" t="s">
        <v>2409</v>
      </c>
      <c r="AL267" t="s">
        <v>1584</v>
      </c>
      <c r="AM267" t="s">
        <v>1585</v>
      </c>
      <c r="AN267" t="s">
        <v>1586</v>
      </c>
      <c r="AO267">
        <v>61389.37</v>
      </c>
      <c r="AP267">
        <v>452803.76</v>
      </c>
      <c r="AQ267" t="s">
        <v>1587</v>
      </c>
      <c r="AR267" t="s">
        <v>266</v>
      </c>
      <c r="AS267" t="s">
        <v>978</v>
      </c>
    </row>
    <row r="268" spans="11:45" x14ac:dyDescent="0.35">
      <c r="K268" s="373"/>
      <c r="L268" s="372"/>
      <c r="M268" s="372"/>
      <c r="N268" s="372"/>
      <c r="O268" s="372"/>
      <c r="P268" s="372"/>
      <c r="Q268" s="372"/>
      <c r="R268" s="372"/>
      <c r="S268" s="372"/>
      <c r="T268" s="372"/>
      <c r="U268" s="372"/>
      <c r="V268" s="372"/>
      <c r="W268" s="372"/>
      <c r="X268" s="372"/>
      <c r="Y268" s="372"/>
      <c r="AH268" t="s">
        <v>2013</v>
      </c>
      <c r="AI268" t="s">
        <v>450</v>
      </c>
      <c r="AJ268" t="s">
        <v>968</v>
      </c>
      <c r="AK268" t="s">
        <v>2214</v>
      </c>
      <c r="AL268" t="s">
        <v>1588</v>
      </c>
      <c r="AM268" t="s">
        <v>1275</v>
      </c>
      <c r="AN268" t="s">
        <v>1538</v>
      </c>
      <c r="AO268">
        <v>99493.2</v>
      </c>
      <c r="AP268">
        <v>663505.6</v>
      </c>
      <c r="AQ268" t="s">
        <v>1539</v>
      </c>
      <c r="AR268" t="s">
        <v>266</v>
      </c>
      <c r="AS268" t="s">
        <v>978</v>
      </c>
    </row>
    <row r="269" spans="11:45" x14ac:dyDescent="0.35">
      <c r="K269" s="373"/>
      <c r="L269" s="372"/>
      <c r="M269" s="372"/>
      <c r="N269" s="372"/>
      <c r="O269" s="372"/>
      <c r="P269" s="372"/>
      <c r="Q269" s="372"/>
      <c r="R269" s="372"/>
      <c r="S269" s="372"/>
      <c r="T269" s="372"/>
      <c r="U269" s="372"/>
      <c r="V269" s="372"/>
      <c r="W269" s="372"/>
      <c r="X269" s="372"/>
      <c r="Y269" s="372"/>
      <c r="AH269" t="s">
        <v>1588</v>
      </c>
      <c r="AI269" t="s">
        <v>450</v>
      </c>
      <c r="AJ269" t="s">
        <v>968</v>
      </c>
      <c r="AK269" t="s">
        <v>2214</v>
      </c>
      <c r="AL269" t="s">
        <v>1588</v>
      </c>
      <c r="AM269" t="s">
        <v>1589</v>
      </c>
      <c r="AN269" t="s">
        <v>1590</v>
      </c>
      <c r="AO269">
        <v>45937.5</v>
      </c>
      <c r="AP269">
        <v>324077.5</v>
      </c>
      <c r="AQ269" t="s">
        <v>1591</v>
      </c>
      <c r="AR269" t="s">
        <v>266</v>
      </c>
      <c r="AS269" t="s">
        <v>978</v>
      </c>
    </row>
    <row r="270" spans="11:45" x14ac:dyDescent="0.35">
      <c r="K270" s="373"/>
      <c r="L270" s="372"/>
      <c r="M270" s="372"/>
      <c r="N270" s="372"/>
      <c r="O270" s="372"/>
      <c r="P270" s="372"/>
      <c r="Q270" s="372"/>
      <c r="R270" s="372"/>
      <c r="S270" s="372"/>
      <c r="T270" s="372"/>
      <c r="U270" s="372"/>
      <c r="V270" s="372"/>
      <c r="W270" s="372"/>
      <c r="X270" s="372"/>
      <c r="Y270" s="372"/>
      <c r="AH270" t="s">
        <v>1588</v>
      </c>
      <c r="AI270" t="s">
        <v>450</v>
      </c>
      <c r="AJ270" t="s">
        <v>968</v>
      </c>
      <c r="AK270" t="s">
        <v>2410</v>
      </c>
      <c r="AL270" t="s">
        <v>1592</v>
      </c>
      <c r="AM270" t="s">
        <v>1593</v>
      </c>
      <c r="AN270" t="s">
        <v>1528</v>
      </c>
      <c r="AO270">
        <v>84574.48</v>
      </c>
      <c r="AP270">
        <v>793909.9</v>
      </c>
      <c r="AQ270" t="s">
        <v>1529</v>
      </c>
      <c r="AR270" t="s">
        <v>266</v>
      </c>
      <c r="AS270" t="s">
        <v>978</v>
      </c>
    </row>
    <row r="271" spans="11:45" x14ac:dyDescent="0.35">
      <c r="K271" s="373"/>
      <c r="L271" s="372"/>
      <c r="M271" s="372"/>
      <c r="N271" s="372"/>
      <c r="O271" s="372"/>
      <c r="P271" s="372"/>
      <c r="Q271" s="372"/>
      <c r="R271" s="372"/>
      <c r="S271" s="372"/>
      <c r="T271" s="372"/>
      <c r="U271" s="372"/>
      <c r="V271" s="372"/>
      <c r="W271" s="372"/>
      <c r="X271" s="372"/>
      <c r="Y271" s="372"/>
      <c r="AH271" t="s">
        <v>2014</v>
      </c>
      <c r="AI271" t="s">
        <v>450</v>
      </c>
      <c r="AJ271" t="s">
        <v>968</v>
      </c>
      <c r="AK271" t="s">
        <v>2410</v>
      </c>
      <c r="AL271" t="s">
        <v>1592</v>
      </c>
      <c r="AM271" t="s">
        <v>1594</v>
      </c>
      <c r="AN271" t="s">
        <v>1538</v>
      </c>
      <c r="AO271">
        <v>89079.53</v>
      </c>
      <c r="AP271">
        <v>759373.36</v>
      </c>
      <c r="AQ271" t="s">
        <v>1539</v>
      </c>
      <c r="AR271" t="s">
        <v>266</v>
      </c>
      <c r="AS271" t="s">
        <v>978</v>
      </c>
    </row>
    <row r="272" spans="11:45" x14ac:dyDescent="0.35">
      <c r="K272" s="373"/>
      <c r="L272" s="372"/>
      <c r="M272" s="372"/>
      <c r="N272" s="372"/>
      <c r="O272" s="372"/>
      <c r="P272" s="372"/>
      <c r="Q272" s="372"/>
      <c r="R272" s="372"/>
      <c r="S272" s="372"/>
      <c r="T272" s="372"/>
      <c r="U272" s="372"/>
      <c r="V272" s="372"/>
      <c r="W272" s="372"/>
      <c r="X272" s="372"/>
      <c r="Y272" s="372"/>
      <c r="AH272" t="s">
        <v>1592</v>
      </c>
      <c r="AI272" t="s">
        <v>450</v>
      </c>
      <c r="AJ272" t="s">
        <v>968</v>
      </c>
      <c r="AK272" t="s">
        <v>2411</v>
      </c>
      <c r="AL272" t="s">
        <v>1595</v>
      </c>
      <c r="AM272" t="s">
        <v>1105</v>
      </c>
      <c r="AN272" t="s">
        <v>1596</v>
      </c>
      <c r="AO272">
        <v>206.04</v>
      </c>
      <c r="AP272">
        <v>227666.26</v>
      </c>
      <c r="AQ272" t="s">
        <v>1597</v>
      </c>
      <c r="AR272" t="s">
        <v>266</v>
      </c>
      <c r="AS272" t="s">
        <v>978</v>
      </c>
    </row>
    <row r="273" spans="11:45" x14ac:dyDescent="0.35">
      <c r="K273" s="373"/>
      <c r="L273" s="372"/>
      <c r="M273" s="372"/>
      <c r="N273" s="372"/>
      <c r="O273" s="372"/>
      <c r="P273" s="372"/>
      <c r="Q273" s="372"/>
      <c r="R273" s="372"/>
      <c r="S273" s="372"/>
      <c r="T273" s="372"/>
      <c r="U273" s="372"/>
      <c r="V273" s="372"/>
      <c r="W273" s="372"/>
      <c r="X273" s="372"/>
      <c r="Y273" s="372"/>
      <c r="AH273" t="s">
        <v>2015</v>
      </c>
      <c r="AI273" t="s">
        <v>450</v>
      </c>
      <c r="AJ273" t="s">
        <v>968</v>
      </c>
      <c r="AK273" t="s">
        <v>2216</v>
      </c>
      <c r="AL273" t="s">
        <v>1598</v>
      </c>
      <c r="AM273" t="s">
        <v>1599</v>
      </c>
      <c r="AN273" t="s">
        <v>1538</v>
      </c>
      <c r="AO273">
        <v>97647.07</v>
      </c>
      <c r="AP273">
        <v>703150.1</v>
      </c>
      <c r="AQ273" t="s">
        <v>1539</v>
      </c>
      <c r="AR273" t="s">
        <v>266</v>
      </c>
      <c r="AS273" t="s">
        <v>978</v>
      </c>
    </row>
    <row r="274" spans="11:45" x14ac:dyDescent="0.35">
      <c r="K274" s="373"/>
      <c r="L274" s="372"/>
      <c r="M274" s="372"/>
      <c r="N274" s="372"/>
      <c r="O274" s="372"/>
      <c r="P274" s="372"/>
      <c r="Q274" s="372"/>
      <c r="R274" s="372"/>
      <c r="S274" s="372"/>
      <c r="T274" s="372"/>
      <c r="U274" s="372"/>
      <c r="V274" s="372"/>
      <c r="W274" s="372"/>
      <c r="X274" s="372"/>
      <c r="Y274" s="372"/>
      <c r="AH274" t="s">
        <v>1598</v>
      </c>
      <c r="AI274" t="s">
        <v>450</v>
      </c>
      <c r="AJ274" t="s">
        <v>968</v>
      </c>
      <c r="AK274" t="s">
        <v>2412</v>
      </c>
      <c r="AL274" t="s">
        <v>1600</v>
      </c>
      <c r="AM274" t="s">
        <v>924</v>
      </c>
      <c r="AN274" t="s">
        <v>1538</v>
      </c>
      <c r="AO274">
        <v>110970.46</v>
      </c>
      <c r="AP274">
        <v>726855.96</v>
      </c>
      <c r="AQ274" t="s">
        <v>1539</v>
      </c>
      <c r="AR274" t="s">
        <v>266</v>
      </c>
      <c r="AS274" t="s">
        <v>978</v>
      </c>
    </row>
    <row r="275" spans="11:45" x14ac:dyDescent="0.35">
      <c r="K275" s="373"/>
      <c r="L275" s="372"/>
      <c r="M275" s="372"/>
      <c r="N275" s="372"/>
      <c r="O275" s="372"/>
      <c r="P275" s="372"/>
      <c r="Q275" s="372"/>
      <c r="R275" s="372"/>
      <c r="S275" s="372"/>
      <c r="T275" s="372"/>
      <c r="U275" s="372"/>
      <c r="V275" s="372"/>
      <c r="W275" s="372"/>
      <c r="X275" s="372"/>
      <c r="Y275" s="372"/>
      <c r="AH275" t="s">
        <v>2016</v>
      </c>
      <c r="AI275" t="s">
        <v>450</v>
      </c>
      <c r="AJ275" t="s">
        <v>968</v>
      </c>
      <c r="AK275" t="s">
        <v>2145</v>
      </c>
      <c r="AL275" t="s">
        <v>1601</v>
      </c>
      <c r="AM275" t="s">
        <v>1602</v>
      </c>
      <c r="AN275" t="s">
        <v>1538</v>
      </c>
      <c r="AO275">
        <v>91584.1</v>
      </c>
      <c r="AP275">
        <v>721182.2</v>
      </c>
      <c r="AQ275" t="s">
        <v>1539</v>
      </c>
      <c r="AR275" t="s">
        <v>266</v>
      </c>
      <c r="AS275" t="s">
        <v>978</v>
      </c>
    </row>
    <row r="276" spans="11:45" x14ac:dyDescent="0.35">
      <c r="K276" s="373"/>
      <c r="L276" s="372"/>
      <c r="M276" s="372"/>
      <c r="N276" s="372"/>
      <c r="O276" s="372"/>
      <c r="P276" s="372"/>
      <c r="Q276" s="372"/>
      <c r="R276" s="372"/>
      <c r="S276" s="372"/>
      <c r="T276" s="372"/>
      <c r="U276" s="372"/>
      <c r="V276" s="372"/>
      <c r="W276" s="372"/>
      <c r="X276" s="372"/>
      <c r="Y276" s="372"/>
      <c r="AH276" t="s">
        <v>1603</v>
      </c>
      <c r="AI276" t="s">
        <v>450</v>
      </c>
      <c r="AJ276" t="s">
        <v>968</v>
      </c>
      <c r="AK276" t="s">
        <v>2413</v>
      </c>
      <c r="AL276" t="s">
        <v>1603</v>
      </c>
      <c r="AM276" t="s">
        <v>1604</v>
      </c>
      <c r="AN276" t="s">
        <v>1605</v>
      </c>
      <c r="AO276">
        <v>6096.36</v>
      </c>
      <c r="AP276">
        <v>753024.05</v>
      </c>
      <c r="AQ276" t="s">
        <v>1606</v>
      </c>
      <c r="AR276" t="s">
        <v>266</v>
      </c>
      <c r="AS276" t="s">
        <v>1021</v>
      </c>
    </row>
    <row r="277" spans="11:45" x14ac:dyDescent="0.35">
      <c r="K277" s="373"/>
      <c r="L277" s="372"/>
      <c r="M277" s="372"/>
      <c r="N277" s="372"/>
      <c r="O277" s="372"/>
      <c r="P277" s="372"/>
      <c r="Q277" s="372"/>
      <c r="R277" s="372"/>
      <c r="S277" s="372"/>
      <c r="T277" s="372"/>
      <c r="U277" s="372"/>
      <c r="V277" s="372"/>
      <c r="W277" s="372"/>
      <c r="X277" s="372"/>
      <c r="Y277" s="372"/>
      <c r="AH277" t="s">
        <v>2017</v>
      </c>
      <c r="AI277" t="s">
        <v>450</v>
      </c>
      <c r="AJ277" t="s">
        <v>968</v>
      </c>
      <c r="AK277" t="s">
        <v>2414</v>
      </c>
      <c r="AL277" t="s">
        <v>1607</v>
      </c>
      <c r="AM277" t="s">
        <v>1608</v>
      </c>
      <c r="AN277" t="s">
        <v>1538</v>
      </c>
      <c r="AO277">
        <v>94740.6</v>
      </c>
      <c r="AP277">
        <v>639621.76</v>
      </c>
      <c r="AQ277" t="s">
        <v>1539</v>
      </c>
      <c r="AR277" t="s">
        <v>266</v>
      </c>
      <c r="AS277" t="s">
        <v>978</v>
      </c>
    </row>
    <row r="278" spans="11:45" x14ac:dyDescent="0.35">
      <c r="K278" s="373"/>
      <c r="L278" s="372"/>
      <c r="M278" s="372"/>
      <c r="N278" s="372"/>
      <c r="O278" s="372"/>
      <c r="P278" s="372"/>
      <c r="Q278" s="372"/>
      <c r="R278" s="372"/>
      <c r="S278" s="372"/>
      <c r="T278" s="372"/>
      <c r="U278" s="372"/>
      <c r="V278" s="372"/>
      <c r="W278" s="372"/>
      <c r="X278" s="372"/>
      <c r="Y278" s="372"/>
      <c r="AH278" t="s">
        <v>1607</v>
      </c>
      <c r="AI278" t="s">
        <v>450</v>
      </c>
      <c r="AJ278" t="s">
        <v>968</v>
      </c>
      <c r="AK278" t="s">
        <v>2146</v>
      </c>
      <c r="AL278" t="s">
        <v>1609</v>
      </c>
      <c r="AM278" t="s">
        <v>1610</v>
      </c>
      <c r="AN278" t="s">
        <v>1611</v>
      </c>
      <c r="AO278">
        <v>1217.7</v>
      </c>
      <c r="AP278">
        <v>748503.5</v>
      </c>
      <c r="AQ278" t="s">
        <v>1612</v>
      </c>
      <c r="AR278" t="s">
        <v>266</v>
      </c>
      <c r="AS278" t="s">
        <v>978</v>
      </c>
    </row>
    <row r="279" spans="11:45" x14ac:dyDescent="0.35">
      <c r="K279" s="373"/>
      <c r="L279" s="372"/>
      <c r="M279" s="372"/>
      <c r="N279" s="372"/>
      <c r="O279" s="372"/>
      <c r="P279" s="372"/>
      <c r="Q279" s="372"/>
      <c r="R279" s="372"/>
      <c r="S279" s="372"/>
      <c r="T279" s="372"/>
      <c r="U279" s="372"/>
      <c r="V279" s="372"/>
      <c r="W279" s="372"/>
      <c r="X279" s="372"/>
      <c r="Y279" s="372"/>
      <c r="AH279" t="s">
        <v>1607</v>
      </c>
      <c r="AI279" t="s">
        <v>450</v>
      </c>
      <c r="AJ279" t="s">
        <v>968</v>
      </c>
      <c r="AK279" t="s">
        <v>2218</v>
      </c>
      <c r="AL279" t="s">
        <v>1613</v>
      </c>
      <c r="AM279" t="s">
        <v>1614</v>
      </c>
      <c r="AN279" t="s">
        <v>1611</v>
      </c>
      <c r="AO279">
        <v>42289.919999999998</v>
      </c>
      <c r="AP279">
        <v>333904.59999999998</v>
      </c>
      <c r="AQ279" t="s">
        <v>1612</v>
      </c>
      <c r="AR279" t="s">
        <v>266</v>
      </c>
      <c r="AS279" t="s">
        <v>978</v>
      </c>
    </row>
    <row r="280" spans="11:45" x14ac:dyDescent="0.35">
      <c r="K280" s="373"/>
      <c r="L280" s="372"/>
      <c r="M280" s="372"/>
      <c r="N280" s="372"/>
      <c r="O280" s="372"/>
      <c r="P280" s="372"/>
      <c r="Q280" s="372"/>
      <c r="R280" s="372"/>
      <c r="S280" s="372"/>
      <c r="T280" s="372"/>
      <c r="U280" s="372"/>
      <c r="V280" s="372"/>
      <c r="W280" s="372"/>
      <c r="X280" s="372"/>
      <c r="Y280" s="372"/>
      <c r="AH280" t="s">
        <v>1615</v>
      </c>
      <c r="AI280" t="s">
        <v>450</v>
      </c>
      <c r="AJ280" t="s">
        <v>968</v>
      </c>
      <c r="AK280" t="s">
        <v>2217</v>
      </c>
      <c r="AL280" t="s">
        <v>1615</v>
      </c>
      <c r="AM280" t="s">
        <v>1616</v>
      </c>
      <c r="AN280" t="s">
        <v>1605</v>
      </c>
      <c r="AO280">
        <v>115820.02</v>
      </c>
      <c r="AP280">
        <v>784330</v>
      </c>
      <c r="AQ280" t="s">
        <v>1606</v>
      </c>
      <c r="AR280" t="s">
        <v>266</v>
      </c>
      <c r="AS280" t="s">
        <v>1021</v>
      </c>
    </row>
    <row r="281" spans="11:45" x14ac:dyDescent="0.35">
      <c r="K281" s="373"/>
      <c r="L281" s="372"/>
      <c r="M281" s="372"/>
      <c r="N281" s="372"/>
      <c r="O281" s="372"/>
      <c r="P281" s="372"/>
      <c r="Q281" s="372"/>
      <c r="R281" s="372"/>
      <c r="S281" s="372"/>
      <c r="T281" s="372"/>
      <c r="U281" s="372"/>
      <c r="V281" s="372"/>
      <c r="W281" s="372"/>
      <c r="X281" s="372"/>
      <c r="Y281" s="372"/>
      <c r="AH281" t="s">
        <v>1615</v>
      </c>
      <c r="AI281" t="s">
        <v>450</v>
      </c>
      <c r="AJ281" t="s">
        <v>968</v>
      </c>
      <c r="AK281" t="s">
        <v>2217</v>
      </c>
      <c r="AL281" t="s">
        <v>1615</v>
      </c>
      <c r="AM281" t="s">
        <v>1617</v>
      </c>
      <c r="AN281" t="s">
        <v>1605</v>
      </c>
      <c r="AO281">
        <v>104265.27</v>
      </c>
      <c r="AP281">
        <v>737121.33</v>
      </c>
      <c r="AQ281" t="s">
        <v>1606</v>
      </c>
      <c r="AR281" t="s">
        <v>266</v>
      </c>
      <c r="AS281" t="s">
        <v>1021</v>
      </c>
    </row>
    <row r="282" spans="11:45" x14ac:dyDescent="0.35">
      <c r="K282" s="373"/>
      <c r="L282" s="372"/>
      <c r="M282" s="372"/>
      <c r="N282" s="372"/>
      <c r="O282" s="372"/>
      <c r="P282" s="372"/>
      <c r="Q282" s="372"/>
      <c r="R282" s="372"/>
      <c r="S282" s="372"/>
      <c r="T282" s="372"/>
      <c r="U282" s="372"/>
      <c r="V282" s="372"/>
      <c r="W282" s="372"/>
      <c r="X282" s="372"/>
      <c r="Y282" s="372"/>
      <c r="AH282" t="s">
        <v>1615</v>
      </c>
      <c r="AI282" t="s">
        <v>450</v>
      </c>
      <c r="AJ282" t="s">
        <v>968</v>
      </c>
      <c r="AK282" t="s">
        <v>2415</v>
      </c>
      <c r="AL282" t="s">
        <v>1618</v>
      </c>
      <c r="AM282" t="s">
        <v>1619</v>
      </c>
      <c r="AN282" t="s">
        <v>1605</v>
      </c>
      <c r="AO282">
        <v>60342.42</v>
      </c>
      <c r="AP282">
        <v>421492</v>
      </c>
      <c r="AQ282" t="s">
        <v>1606</v>
      </c>
      <c r="AR282" t="s">
        <v>266</v>
      </c>
      <c r="AS282" t="s">
        <v>1021</v>
      </c>
    </row>
    <row r="283" spans="11:45" x14ac:dyDescent="0.35">
      <c r="K283" s="373"/>
      <c r="L283" s="372"/>
      <c r="M283" s="372"/>
      <c r="N283" s="372"/>
      <c r="O283" s="372"/>
      <c r="P283" s="372"/>
      <c r="Q283" s="372"/>
      <c r="R283" s="372"/>
      <c r="S283" s="372"/>
      <c r="T283" s="372"/>
      <c r="U283" s="372"/>
      <c r="V283" s="372"/>
      <c r="W283" s="372"/>
      <c r="X283" s="372"/>
      <c r="Y283" s="372"/>
      <c r="AH283" t="s">
        <v>1618</v>
      </c>
      <c r="AI283" t="s">
        <v>450</v>
      </c>
      <c r="AJ283" t="s">
        <v>968</v>
      </c>
      <c r="AK283" t="s">
        <v>2415</v>
      </c>
      <c r="AL283" t="s">
        <v>1618</v>
      </c>
      <c r="AM283" t="s">
        <v>1620</v>
      </c>
      <c r="AN283" t="s">
        <v>1605</v>
      </c>
      <c r="AO283">
        <v>49322.99</v>
      </c>
      <c r="AP283">
        <v>373551.25</v>
      </c>
      <c r="AQ283" t="s">
        <v>1606</v>
      </c>
      <c r="AR283" t="s">
        <v>266</v>
      </c>
      <c r="AS283" t="s">
        <v>1021</v>
      </c>
    </row>
    <row r="284" spans="11:45" x14ac:dyDescent="0.35">
      <c r="K284" s="373"/>
      <c r="L284" s="372"/>
      <c r="M284" s="372"/>
      <c r="N284" s="372"/>
      <c r="O284" s="372"/>
      <c r="P284" s="372"/>
      <c r="Q284" s="372"/>
      <c r="R284" s="372"/>
      <c r="S284" s="372"/>
      <c r="T284" s="372"/>
      <c r="U284" s="372"/>
      <c r="V284" s="372"/>
      <c r="W284" s="372"/>
      <c r="X284" s="372"/>
      <c r="Y284" s="372"/>
      <c r="AH284" t="s">
        <v>1618</v>
      </c>
      <c r="AI284" t="s">
        <v>450</v>
      </c>
      <c r="AJ284" t="s">
        <v>968</v>
      </c>
      <c r="AK284" t="s">
        <v>2415</v>
      </c>
      <c r="AL284" t="s">
        <v>1618</v>
      </c>
      <c r="AM284" t="s">
        <v>1621</v>
      </c>
      <c r="AN284" t="s">
        <v>1605</v>
      </c>
      <c r="AO284">
        <v>57397.82</v>
      </c>
      <c r="AP284">
        <v>423148.9</v>
      </c>
      <c r="AQ284" t="s">
        <v>1606</v>
      </c>
      <c r="AR284" t="s">
        <v>266</v>
      </c>
      <c r="AS284" t="s">
        <v>1021</v>
      </c>
    </row>
    <row r="285" spans="11:45" x14ac:dyDescent="0.35">
      <c r="K285" s="373"/>
      <c r="L285" s="372"/>
      <c r="M285" s="372"/>
      <c r="N285" s="372"/>
      <c r="O285" s="372"/>
      <c r="P285" s="372"/>
      <c r="Q285" s="372"/>
      <c r="R285" s="372"/>
      <c r="S285" s="372"/>
      <c r="T285" s="372"/>
      <c r="U285" s="372"/>
      <c r="V285" s="372"/>
      <c r="W285" s="372"/>
      <c r="X285" s="372"/>
      <c r="Y285" s="372"/>
      <c r="AH285" t="s">
        <v>1613</v>
      </c>
      <c r="AI285" t="s">
        <v>450</v>
      </c>
      <c r="AJ285" t="s">
        <v>968</v>
      </c>
      <c r="AK285" t="s">
        <v>2218</v>
      </c>
      <c r="AL285" t="s">
        <v>1613</v>
      </c>
      <c r="AM285" t="s">
        <v>953</v>
      </c>
      <c r="AN285" t="s">
        <v>1622</v>
      </c>
      <c r="AO285">
        <v>350.21</v>
      </c>
      <c r="AP285">
        <v>431467</v>
      </c>
      <c r="AQ285" t="s">
        <v>1623</v>
      </c>
      <c r="AR285" t="s">
        <v>266</v>
      </c>
      <c r="AS285" t="s">
        <v>1021</v>
      </c>
    </row>
    <row r="286" spans="11:45" x14ac:dyDescent="0.35">
      <c r="K286" s="373"/>
      <c r="L286" s="372"/>
      <c r="M286" s="372"/>
      <c r="N286" s="372"/>
      <c r="O286" s="372"/>
      <c r="P286" s="372"/>
      <c r="Q286" s="372"/>
      <c r="R286" s="372"/>
      <c r="S286" s="372"/>
      <c r="T286" s="372"/>
      <c r="U286" s="372"/>
      <c r="V286" s="372"/>
      <c r="W286" s="372"/>
      <c r="X286" s="372"/>
      <c r="Y286" s="372"/>
      <c r="AH286" t="s">
        <v>1624</v>
      </c>
      <c r="AI286" t="s">
        <v>450</v>
      </c>
      <c r="AJ286" t="s">
        <v>968</v>
      </c>
      <c r="AK286" t="s">
        <v>2416</v>
      </c>
      <c r="AL286" t="s">
        <v>1624</v>
      </c>
      <c r="AM286" t="s">
        <v>1625</v>
      </c>
      <c r="AN286" t="s">
        <v>1605</v>
      </c>
      <c r="AO286">
        <v>102116.37</v>
      </c>
      <c r="AP286">
        <v>782004.45</v>
      </c>
      <c r="AQ286" t="s">
        <v>1606</v>
      </c>
      <c r="AR286" t="s">
        <v>266</v>
      </c>
      <c r="AS286" t="s">
        <v>1021</v>
      </c>
    </row>
    <row r="287" spans="11:45" x14ac:dyDescent="0.35">
      <c r="K287" s="373"/>
      <c r="L287" s="372"/>
      <c r="M287" s="372"/>
      <c r="N287" s="372"/>
      <c r="O287" s="372"/>
      <c r="P287" s="372"/>
      <c r="Q287" s="372"/>
      <c r="R287" s="372"/>
      <c r="S287" s="372"/>
      <c r="T287" s="372"/>
      <c r="U287" s="372"/>
      <c r="V287" s="372"/>
      <c r="W287" s="372"/>
      <c r="X287" s="372"/>
      <c r="Y287" s="372"/>
      <c r="AH287" t="s">
        <v>1624</v>
      </c>
      <c r="AI287" t="s">
        <v>450</v>
      </c>
      <c r="AJ287" t="s">
        <v>968</v>
      </c>
      <c r="AK287" t="s">
        <v>2098</v>
      </c>
      <c r="AL287" t="s">
        <v>1626</v>
      </c>
      <c r="AM287" t="s">
        <v>1627</v>
      </c>
      <c r="AN287" t="s">
        <v>1605</v>
      </c>
      <c r="AO287">
        <v>95960.05</v>
      </c>
      <c r="AP287">
        <v>728686.9</v>
      </c>
      <c r="AQ287" t="s">
        <v>1606</v>
      </c>
      <c r="AR287" t="s">
        <v>266</v>
      </c>
      <c r="AS287" t="s">
        <v>1021</v>
      </c>
    </row>
    <row r="288" spans="11:45" x14ac:dyDescent="0.35">
      <c r="K288" s="373"/>
      <c r="L288" s="372"/>
      <c r="M288" s="372"/>
      <c r="N288" s="372"/>
      <c r="O288" s="372"/>
      <c r="P288" s="372"/>
      <c r="Q288" s="372"/>
      <c r="R288" s="372"/>
      <c r="S288" s="372"/>
      <c r="T288" s="372"/>
      <c r="U288" s="372"/>
      <c r="V288" s="372"/>
      <c r="W288" s="372"/>
      <c r="X288" s="372"/>
      <c r="Y288" s="372"/>
      <c r="AH288" t="s">
        <v>2018</v>
      </c>
      <c r="AI288" t="s">
        <v>450</v>
      </c>
      <c r="AJ288" t="s">
        <v>968</v>
      </c>
      <c r="AK288" t="s">
        <v>2146</v>
      </c>
      <c r="AL288" t="s">
        <v>1609</v>
      </c>
      <c r="AM288" t="s">
        <v>1628</v>
      </c>
      <c r="AN288" t="s">
        <v>1605</v>
      </c>
      <c r="AO288">
        <v>46700.52</v>
      </c>
      <c r="AP288">
        <v>336775.1</v>
      </c>
      <c r="AQ288" t="s">
        <v>1606</v>
      </c>
      <c r="AR288" t="s">
        <v>266</v>
      </c>
      <c r="AS288" t="s">
        <v>1021</v>
      </c>
    </row>
    <row r="289" spans="11:45" x14ac:dyDescent="0.35">
      <c r="K289" s="373"/>
      <c r="L289" s="372"/>
      <c r="M289" s="372"/>
      <c r="N289" s="372"/>
      <c r="O289" s="372"/>
      <c r="P289" s="372"/>
      <c r="Q289" s="372"/>
      <c r="R289" s="372"/>
      <c r="S289" s="372"/>
      <c r="T289" s="372"/>
      <c r="U289" s="372"/>
      <c r="V289" s="372"/>
      <c r="W289" s="372"/>
      <c r="X289" s="372"/>
      <c r="Y289" s="372"/>
      <c r="AH289" t="s">
        <v>608</v>
      </c>
      <c r="AI289" t="s">
        <v>450</v>
      </c>
      <c r="AJ289" t="s">
        <v>968</v>
      </c>
      <c r="AK289" t="s">
        <v>2114</v>
      </c>
      <c r="AL289" t="s">
        <v>1629</v>
      </c>
      <c r="AM289" t="s">
        <v>1630</v>
      </c>
      <c r="AN289" t="s">
        <v>1631</v>
      </c>
      <c r="AO289">
        <v>59679.63</v>
      </c>
      <c r="AP289">
        <v>392418.2</v>
      </c>
      <c r="AQ289" t="s">
        <v>1632</v>
      </c>
      <c r="AR289" t="s">
        <v>266</v>
      </c>
      <c r="AS289" t="s">
        <v>978</v>
      </c>
    </row>
    <row r="290" spans="11:45" x14ac:dyDescent="0.35">
      <c r="K290" s="373"/>
      <c r="L290" s="372"/>
      <c r="M290" s="372"/>
      <c r="N290" s="372"/>
      <c r="O290" s="372"/>
      <c r="P290" s="372"/>
      <c r="Q290" s="372"/>
      <c r="R290" s="372"/>
      <c r="S290" s="372"/>
      <c r="T290" s="372"/>
      <c r="U290" s="372"/>
      <c r="V290" s="372"/>
      <c r="W290" s="372"/>
      <c r="X290" s="372"/>
      <c r="Y290" s="372"/>
      <c r="AH290" t="s">
        <v>2019</v>
      </c>
      <c r="AI290" t="s">
        <v>450</v>
      </c>
      <c r="AJ290" t="s">
        <v>968</v>
      </c>
      <c r="AK290" t="s">
        <v>2114</v>
      </c>
      <c r="AL290" t="s">
        <v>1629</v>
      </c>
      <c r="AM290" t="s">
        <v>936</v>
      </c>
      <c r="AN290" t="s">
        <v>1307</v>
      </c>
      <c r="AO290">
        <v>62709.15</v>
      </c>
      <c r="AP290">
        <v>420078</v>
      </c>
      <c r="AQ290" t="s">
        <v>1633</v>
      </c>
      <c r="AR290" t="s">
        <v>266</v>
      </c>
      <c r="AS290" t="s">
        <v>978</v>
      </c>
    </row>
    <row r="291" spans="11:45" x14ac:dyDescent="0.35">
      <c r="K291" s="373"/>
      <c r="L291" s="372"/>
      <c r="M291" s="372"/>
      <c r="N291" s="372"/>
      <c r="O291" s="372"/>
      <c r="P291" s="372"/>
      <c r="Q291" s="372"/>
      <c r="R291" s="372"/>
      <c r="S291" s="372"/>
      <c r="T291" s="372"/>
      <c r="U291" s="372"/>
      <c r="V291" s="372"/>
      <c r="W291" s="372"/>
      <c r="X291" s="372"/>
      <c r="Y291" s="372"/>
      <c r="AH291" t="s">
        <v>1629</v>
      </c>
      <c r="AI291" t="s">
        <v>450</v>
      </c>
      <c r="AJ291" t="s">
        <v>968</v>
      </c>
      <c r="AK291" t="s">
        <v>2114</v>
      </c>
      <c r="AL291" t="s">
        <v>1629</v>
      </c>
      <c r="AM291" t="s">
        <v>919</v>
      </c>
      <c r="AN291" t="s">
        <v>1634</v>
      </c>
      <c r="AO291">
        <v>40549.78</v>
      </c>
      <c r="AP291">
        <v>276578.73</v>
      </c>
      <c r="AQ291" t="s">
        <v>1635</v>
      </c>
      <c r="AR291" t="s">
        <v>266</v>
      </c>
      <c r="AS291" t="s">
        <v>978</v>
      </c>
    </row>
    <row r="292" spans="11:45" x14ac:dyDescent="0.35">
      <c r="K292" s="373"/>
      <c r="L292" s="372"/>
      <c r="M292" s="372"/>
      <c r="N292" s="372"/>
      <c r="O292" s="372"/>
      <c r="P292" s="372"/>
      <c r="Q292" s="372"/>
      <c r="R292" s="372"/>
      <c r="S292" s="372"/>
      <c r="T292" s="372"/>
      <c r="U292" s="372"/>
      <c r="V292" s="372"/>
      <c r="W292" s="372"/>
      <c r="X292" s="372"/>
      <c r="Y292" s="372"/>
      <c r="AH292" t="s">
        <v>1629</v>
      </c>
      <c r="AI292" t="s">
        <v>450</v>
      </c>
      <c r="AJ292" t="s">
        <v>968</v>
      </c>
      <c r="AK292" t="s">
        <v>2114</v>
      </c>
      <c r="AL292" t="s">
        <v>1629</v>
      </c>
      <c r="AM292" t="s">
        <v>935</v>
      </c>
      <c r="AN292" t="s">
        <v>1634</v>
      </c>
      <c r="AO292">
        <v>31511.3</v>
      </c>
      <c r="AP292">
        <v>229422.98</v>
      </c>
      <c r="AQ292" t="s">
        <v>1635</v>
      </c>
      <c r="AR292" t="s">
        <v>266</v>
      </c>
      <c r="AS292" t="s">
        <v>978</v>
      </c>
    </row>
    <row r="293" spans="11:45" x14ac:dyDescent="0.35">
      <c r="K293" s="373"/>
      <c r="L293" s="372"/>
      <c r="M293" s="372"/>
      <c r="N293" s="372"/>
      <c r="O293" s="372"/>
      <c r="P293" s="372"/>
      <c r="Q293" s="372"/>
      <c r="R293" s="372"/>
      <c r="S293" s="372"/>
      <c r="T293" s="372"/>
      <c r="U293" s="372"/>
      <c r="V293" s="372"/>
      <c r="W293" s="372"/>
      <c r="X293" s="372"/>
      <c r="Y293" s="372"/>
      <c r="AH293" t="s">
        <v>1629</v>
      </c>
      <c r="AI293" t="s">
        <v>450</v>
      </c>
      <c r="AJ293" t="s">
        <v>968</v>
      </c>
      <c r="AK293" t="s">
        <v>2114</v>
      </c>
      <c r="AL293" t="s">
        <v>1629</v>
      </c>
      <c r="AM293" t="s">
        <v>1636</v>
      </c>
      <c r="AN293" t="s">
        <v>1605</v>
      </c>
      <c r="AO293">
        <v>18497.43</v>
      </c>
      <c r="AP293">
        <v>448828.78</v>
      </c>
      <c r="AQ293" t="s">
        <v>1606</v>
      </c>
      <c r="AR293" t="s">
        <v>266</v>
      </c>
      <c r="AS293" t="s">
        <v>1021</v>
      </c>
    </row>
    <row r="294" spans="11:45" x14ac:dyDescent="0.35">
      <c r="K294" s="373"/>
      <c r="L294" s="372"/>
      <c r="M294" s="372"/>
      <c r="N294" s="372"/>
      <c r="O294" s="372"/>
      <c r="P294" s="372"/>
      <c r="Q294" s="372"/>
      <c r="R294" s="372"/>
      <c r="S294" s="372"/>
      <c r="T294" s="372"/>
      <c r="U294" s="372"/>
      <c r="V294" s="372"/>
      <c r="W294" s="372"/>
      <c r="X294" s="372"/>
      <c r="Y294" s="372"/>
      <c r="AH294" t="s">
        <v>1629</v>
      </c>
      <c r="AI294" t="s">
        <v>450</v>
      </c>
      <c r="AJ294" t="s">
        <v>968</v>
      </c>
      <c r="AK294" t="s">
        <v>2261</v>
      </c>
      <c r="AL294" t="s">
        <v>612</v>
      </c>
      <c r="AM294" t="s">
        <v>1637</v>
      </c>
      <c r="AN294" t="s">
        <v>1638</v>
      </c>
      <c r="AO294">
        <v>93229.22</v>
      </c>
      <c r="AP294">
        <v>666845.54</v>
      </c>
      <c r="AQ294" t="s">
        <v>1639</v>
      </c>
      <c r="AR294" t="s">
        <v>266</v>
      </c>
      <c r="AS294" t="s">
        <v>978</v>
      </c>
    </row>
    <row r="295" spans="11:45" x14ac:dyDescent="0.35">
      <c r="K295" s="373"/>
      <c r="L295" s="372"/>
      <c r="M295" s="372"/>
      <c r="N295" s="372"/>
      <c r="O295" s="372"/>
      <c r="P295" s="372"/>
      <c r="Q295" s="372"/>
      <c r="R295" s="372"/>
      <c r="S295" s="372"/>
      <c r="T295" s="372"/>
      <c r="U295" s="372"/>
      <c r="V295" s="372"/>
      <c r="W295" s="372"/>
      <c r="X295" s="372"/>
      <c r="Y295" s="372"/>
      <c r="AH295" t="s">
        <v>612</v>
      </c>
      <c r="AI295" t="s">
        <v>450</v>
      </c>
      <c r="AJ295" t="s">
        <v>968</v>
      </c>
      <c r="AK295" t="s">
        <v>2261</v>
      </c>
      <c r="AL295" t="s">
        <v>612</v>
      </c>
      <c r="AM295" t="s">
        <v>1640</v>
      </c>
      <c r="AN295" t="s">
        <v>1641</v>
      </c>
      <c r="AO295">
        <v>36932</v>
      </c>
      <c r="AP295">
        <v>205350</v>
      </c>
      <c r="AQ295" t="s">
        <v>1642</v>
      </c>
      <c r="AR295" t="s">
        <v>266</v>
      </c>
      <c r="AS295" t="s">
        <v>1021</v>
      </c>
    </row>
    <row r="296" spans="11:45" x14ac:dyDescent="0.35">
      <c r="K296" s="373"/>
      <c r="L296" s="372"/>
      <c r="M296" s="372"/>
      <c r="N296" s="372"/>
      <c r="O296" s="372"/>
      <c r="P296" s="372"/>
      <c r="Q296" s="372"/>
      <c r="R296" s="372"/>
      <c r="S296" s="372"/>
      <c r="T296" s="372"/>
      <c r="U296" s="372"/>
      <c r="V296" s="372"/>
      <c r="W296" s="372"/>
      <c r="X296" s="372"/>
      <c r="Y296" s="372"/>
      <c r="AH296" t="s">
        <v>612</v>
      </c>
      <c r="AI296" t="s">
        <v>450</v>
      </c>
      <c r="AJ296" t="s">
        <v>968</v>
      </c>
      <c r="AK296" t="s">
        <v>2261</v>
      </c>
      <c r="AL296" t="s">
        <v>612</v>
      </c>
      <c r="AM296" t="s">
        <v>1643</v>
      </c>
      <c r="AN296" t="s">
        <v>1107</v>
      </c>
      <c r="AO296">
        <v>731.88</v>
      </c>
      <c r="AP296">
        <v>15369.48</v>
      </c>
      <c r="AQ296" t="s">
        <v>1108</v>
      </c>
      <c r="AR296" t="s">
        <v>266</v>
      </c>
      <c r="AS296" t="s">
        <v>978</v>
      </c>
    </row>
    <row r="297" spans="11:45" x14ac:dyDescent="0.35">
      <c r="K297" s="373"/>
      <c r="L297" s="372"/>
      <c r="M297" s="372"/>
      <c r="N297" s="372"/>
      <c r="O297" s="372"/>
      <c r="P297" s="372"/>
      <c r="Q297" s="372"/>
      <c r="R297" s="372"/>
      <c r="S297" s="372"/>
      <c r="T297" s="372"/>
      <c r="U297" s="372"/>
      <c r="V297" s="372"/>
      <c r="W297" s="372"/>
      <c r="X297" s="372"/>
      <c r="Y297" s="372"/>
      <c r="AH297" t="s">
        <v>612</v>
      </c>
      <c r="AI297" t="s">
        <v>450</v>
      </c>
      <c r="AJ297" t="s">
        <v>968</v>
      </c>
      <c r="AK297" t="s">
        <v>2261</v>
      </c>
      <c r="AL297" t="s">
        <v>612</v>
      </c>
      <c r="AM297" t="s">
        <v>1644</v>
      </c>
      <c r="AN297" t="s">
        <v>1605</v>
      </c>
      <c r="AO297">
        <v>59598</v>
      </c>
      <c r="AP297">
        <v>390367</v>
      </c>
      <c r="AQ297" t="s">
        <v>1606</v>
      </c>
      <c r="AR297" t="s">
        <v>266</v>
      </c>
      <c r="AS297" t="s">
        <v>1021</v>
      </c>
    </row>
    <row r="298" spans="11:45" x14ac:dyDescent="0.35">
      <c r="K298" s="373"/>
      <c r="L298" s="372"/>
      <c r="M298" s="372"/>
      <c r="N298" s="372"/>
      <c r="O298" s="372"/>
      <c r="P298" s="372"/>
      <c r="Q298" s="372"/>
      <c r="R298" s="372"/>
      <c r="S298" s="372"/>
      <c r="T298" s="372"/>
      <c r="U298" s="372"/>
      <c r="V298" s="372"/>
      <c r="W298" s="372"/>
      <c r="X298" s="372"/>
      <c r="Y298" s="372"/>
      <c r="AH298" t="s">
        <v>612</v>
      </c>
      <c r="AI298" t="s">
        <v>450</v>
      </c>
      <c r="AJ298" t="s">
        <v>968</v>
      </c>
      <c r="AK298" t="s">
        <v>2261</v>
      </c>
      <c r="AL298" t="s">
        <v>612</v>
      </c>
      <c r="AM298" t="s">
        <v>1645</v>
      </c>
      <c r="AN298" t="s">
        <v>1605</v>
      </c>
      <c r="AO298">
        <v>47822.95</v>
      </c>
      <c r="AP298">
        <v>407244.7</v>
      </c>
      <c r="AQ298" t="s">
        <v>1606</v>
      </c>
      <c r="AR298" t="s">
        <v>266</v>
      </c>
      <c r="AS298" t="s">
        <v>1021</v>
      </c>
    </row>
    <row r="299" spans="11:45" x14ac:dyDescent="0.35">
      <c r="K299" s="373"/>
      <c r="L299" s="372"/>
      <c r="M299" s="372"/>
      <c r="N299" s="372"/>
      <c r="O299" s="372"/>
      <c r="P299" s="372"/>
      <c r="Q299" s="372"/>
      <c r="R299" s="372"/>
      <c r="S299" s="372"/>
      <c r="T299" s="372"/>
      <c r="U299" s="372"/>
      <c r="V299" s="372"/>
      <c r="W299" s="372"/>
      <c r="X299" s="372"/>
      <c r="Y299" s="372"/>
      <c r="AH299" t="s">
        <v>1646</v>
      </c>
      <c r="AI299" t="s">
        <v>450</v>
      </c>
      <c r="AJ299" t="s">
        <v>968</v>
      </c>
      <c r="AK299" t="s">
        <v>2115</v>
      </c>
      <c r="AL299" t="s">
        <v>1646</v>
      </c>
      <c r="AM299" t="s">
        <v>1647</v>
      </c>
      <c r="AN299" t="s">
        <v>1605</v>
      </c>
      <c r="AO299">
        <v>93504.45</v>
      </c>
      <c r="AP299">
        <v>701086.1</v>
      </c>
      <c r="AQ299" t="s">
        <v>1606</v>
      </c>
      <c r="AR299" t="s">
        <v>266</v>
      </c>
      <c r="AS299" t="s">
        <v>1021</v>
      </c>
    </row>
    <row r="300" spans="11:45" x14ac:dyDescent="0.35">
      <c r="K300" s="373"/>
      <c r="L300" s="372"/>
      <c r="M300" s="372"/>
      <c r="N300" s="372"/>
      <c r="O300" s="372"/>
      <c r="P300" s="372"/>
      <c r="Q300" s="372"/>
      <c r="R300" s="372"/>
      <c r="S300" s="372"/>
      <c r="T300" s="372"/>
      <c r="U300" s="372"/>
      <c r="V300" s="372"/>
      <c r="W300" s="372"/>
      <c r="X300" s="372"/>
      <c r="Y300" s="372"/>
      <c r="AH300" t="s">
        <v>1646</v>
      </c>
      <c r="AI300" t="s">
        <v>450</v>
      </c>
      <c r="AJ300" t="s">
        <v>968</v>
      </c>
      <c r="AK300" t="s">
        <v>2115</v>
      </c>
      <c r="AL300" t="s">
        <v>1646</v>
      </c>
      <c r="AM300" t="s">
        <v>1648</v>
      </c>
      <c r="AN300" t="s">
        <v>1605</v>
      </c>
      <c r="AO300">
        <v>95448.45</v>
      </c>
      <c r="AP300">
        <v>717819.25</v>
      </c>
      <c r="AQ300" t="s">
        <v>1606</v>
      </c>
      <c r="AR300" t="s">
        <v>266</v>
      </c>
      <c r="AS300" t="s">
        <v>1021</v>
      </c>
    </row>
    <row r="301" spans="11:45" x14ac:dyDescent="0.35">
      <c r="K301" s="373"/>
      <c r="L301" s="372"/>
      <c r="M301" s="372"/>
      <c r="N301" s="372"/>
      <c r="O301" s="372"/>
      <c r="P301" s="372"/>
      <c r="Q301" s="372"/>
      <c r="R301" s="372"/>
      <c r="S301" s="372"/>
      <c r="T301" s="372"/>
      <c r="U301" s="372"/>
      <c r="V301" s="372"/>
      <c r="W301" s="372"/>
      <c r="X301" s="372"/>
      <c r="Y301" s="372"/>
      <c r="AH301" t="s">
        <v>1646</v>
      </c>
      <c r="AI301" t="s">
        <v>450</v>
      </c>
      <c r="AJ301" t="s">
        <v>968</v>
      </c>
      <c r="AK301" t="s">
        <v>2115</v>
      </c>
      <c r="AL301" t="s">
        <v>1646</v>
      </c>
      <c r="AM301" t="s">
        <v>1649</v>
      </c>
      <c r="AN301" t="s">
        <v>1605</v>
      </c>
      <c r="AO301">
        <v>102227.15</v>
      </c>
      <c r="AP301">
        <v>724646.93</v>
      </c>
      <c r="AQ301" t="s">
        <v>1606</v>
      </c>
      <c r="AR301" t="s">
        <v>266</v>
      </c>
      <c r="AS301" t="s">
        <v>1021</v>
      </c>
    </row>
    <row r="302" spans="11:45" x14ac:dyDescent="0.35">
      <c r="K302" s="373"/>
      <c r="L302" s="372"/>
      <c r="M302" s="372"/>
      <c r="N302" s="372"/>
      <c r="O302" s="372"/>
      <c r="P302" s="372"/>
      <c r="Q302" s="372"/>
      <c r="R302" s="372"/>
      <c r="S302" s="372"/>
      <c r="T302" s="372"/>
      <c r="U302" s="372"/>
      <c r="V302" s="372"/>
      <c r="W302" s="372"/>
      <c r="X302" s="372"/>
      <c r="Y302" s="372"/>
      <c r="AH302" t="s">
        <v>1646</v>
      </c>
      <c r="AI302" t="s">
        <v>450</v>
      </c>
      <c r="AJ302" t="s">
        <v>968</v>
      </c>
      <c r="AK302" t="s">
        <v>2115</v>
      </c>
      <c r="AL302" t="s">
        <v>1646</v>
      </c>
      <c r="AM302" t="s">
        <v>1650</v>
      </c>
      <c r="AN302" t="s">
        <v>1605</v>
      </c>
      <c r="AO302">
        <v>90336.1</v>
      </c>
      <c r="AP302">
        <v>725992.6</v>
      </c>
      <c r="AQ302" t="s">
        <v>1606</v>
      </c>
      <c r="AR302" t="s">
        <v>266</v>
      </c>
      <c r="AS302" t="s">
        <v>1021</v>
      </c>
    </row>
    <row r="303" spans="11:45" x14ac:dyDescent="0.35">
      <c r="K303" s="373"/>
      <c r="L303" s="372"/>
      <c r="M303" s="372"/>
      <c r="N303" s="372"/>
      <c r="O303" s="372"/>
      <c r="P303" s="372"/>
      <c r="Q303" s="372"/>
      <c r="R303" s="372"/>
      <c r="S303" s="372"/>
      <c r="T303" s="372"/>
      <c r="U303" s="372"/>
      <c r="V303" s="372"/>
      <c r="W303" s="372"/>
      <c r="X303" s="372"/>
      <c r="Y303" s="372"/>
      <c r="AH303" t="s">
        <v>1651</v>
      </c>
      <c r="AI303" t="s">
        <v>450</v>
      </c>
      <c r="AJ303" t="s">
        <v>968</v>
      </c>
      <c r="AK303" t="s">
        <v>2148</v>
      </c>
      <c r="AL303" t="s">
        <v>1651</v>
      </c>
      <c r="AM303" t="s">
        <v>1652</v>
      </c>
      <c r="AN303" t="s">
        <v>1653</v>
      </c>
      <c r="AO303">
        <v>340.2</v>
      </c>
      <c r="AP303">
        <v>133812</v>
      </c>
      <c r="AQ303" t="s">
        <v>1654</v>
      </c>
      <c r="AR303" t="s">
        <v>266</v>
      </c>
      <c r="AS303" t="s">
        <v>1021</v>
      </c>
    </row>
    <row r="304" spans="11:45" x14ac:dyDescent="0.35">
      <c r="K304" s="373"/>
      <c r="L304" s="372"/>
      <c r="M304" s="372"/>
      <c r="N304" s="372"/>
      <c r="O304" s="372"/>
      <c r="P304" s="372"/>
      <c r="Q304" s="372"/>
      <c r="R304" s="372"/>
      <c r="S304" s="372"/>
      <c r="T304" s="372"/>
      <c r="U304" s="372"/>
      <c r="V304" s="372"/>
      <c r="W304" s="372"/>
      <c r="X304" s="372"/>
      <c r="Y304" s="372"/>
      <c r="AH304" t="s">
        <v>1651</v>
      </c>
      <c r="AI304" t="s">
        <v>450</v>
      </c>
      <c r="AJ304" t="s">
        <v>968</v>
      </c>
      <c r="AK304" t="s">
        <v>2116</v>
      </c>
      <c r="AL304" t="s">
        <v>1655</v>
      </c>
      <c r="AM304" t="s">
        <v>1656</v>
      </c>
      <c r="AN304" t="s">
        <v>1605</v>
      </c>
      <c r="AO304">
        <v>96180.22</v>
      </c>
      <c r="AP304">
        <v>729423.4</v>
      </c>
      <c r="AQ304" t="s">
        <v>1606</v>
      </c>
      <c r="AR304" t="s">
        <v>266</v>
      </c>
      <c r="AS304" t="s">
        <v>1021</v>
      </c>
    </row>
    <row r="305" spans="11:45" x14ac:dyDescent="0.35">
      <c r="K305" s="373"/>
      <c r="L305" s="372"/>
      <c r="M305" s="372"/>
      <c r="N305" s="372"/>
      <c r="O305" s="372"/>
      <c r="P305" s="372"/>
      <c r="Q305" s="372"/>
      <c r="R305" s="372"/>
      <c r="S305" s="372"/>
      <c r="T305" s="372"/>
      <c r="U305" s="372"/>
      <c r="V305" s="372"/>
      <c r="W305" s="372"/>
      <c r="X305" s="372"/>
      <c r="Y305" s="372"/>
      <c r="AH305" t="s">
        <v>1655</v>
      </c>
      <c r="AI305" t="s">
        <v>450</v>
      </c>
      <c r="AJ305" t="s">
        <v>968</v>
      </c>
      <c r="AK305" t="s">
        <v>2116</v>
      </c>
      <c r="AL305" t="s">
        <v>1655</v>
      </c>
      <c r="AM305" t="s">
        <v>1657</v>
      </c>
      <c r="AN305" t="s">
        <v>1605</v>
      </c>
      <c r="AO305">
        <v>87352.87</v>
      </c>
      <c r="AP305">
        <v>723369.1</v>
      </c>
      <c r="AQ305" t="s">
        <v>1606</v>
      </c>
      <c r="AR305" t="s">
        <v>266</v>
      </c>
      <c r="AS305" t="s">
        <v>1021</v>
      </c>
    </row>
    <row r="306" spans="11:45" x14ac:dyDescent="0.35">
      <c r="K306" s="373"/>
      <c r="L306" s="372"/>
      <c r="M306" s="372"/>
      <c r="N306" s="372"/>
      <c r="O306" s="372"/>
      <c r="P306" s="372"/>
      <c r="Q306" s="372"/>
      <c r="R306" s="372"/>
      <c r="S306" s="372"/>
      <c r="T306" s="372"/>
      <c r="U306" s="372"/>
      <c r="V306" s="372"/>
      <c r="W306" s="372"/>
      <c r="X306" s="372"/>
      <c r="Y306" s="372"/>
      <c r="AH306" t="s">
        <v>1655</v>
      </c>
      <c r="AI306" t="s">
        <v>450</v>
      </c>
      <c r="AJ306" t="s">
        <v>968</v>
      </c>
      <c r="AK306" t="s">
        <v>2099</v>
      </c>
      <c r="AL306" t="s">
        <v>1658</v>
      </c>
      <c r="AM306" t="s">
        <v>920</v>
      </c>
      <c r="AN306" t="s">
        <v>1659</v>
      </c>
      <c r="AO306">
        <v>2011.13</v>
      </c>
      <c r="AP306">
        <v>241658.1</v>
      </c>
      <c r="AQ306" t="s">
        <v>1660</v>
      </c>
      <c r="AR306" t="s">
        <v>266</v>
      </c>
      <c r="AS306" t="s">
        <v>1439</v>
      </c>
    </row>
    <row r="307" spans="11:45" x14ac:dyDescent="0.35">
      <c r="K307" s="373"/>
      <c r="L307" s="372"/>
      <c r="M307" s="372"/>
      <c r="N307" s="372"/>
      <c r="O307" s="372"/>
      <c r="P307" s="372"/>
      <c r="Q307" s="372"/>
      <c r="R307" s="372"/>
      <c r="S307" s="372"/>
      <c r="T307" s="372"/>
      <c r="U307" s="372"/>
      <c r="V307" s="372"/>
      <c r="W307" s="372"/>
      <c r="X307" s="372"/>
      <c r="Y307" s="372"/>
      <c r="AH307" t="s">
        <v>1658</v>
      </c>
      <c r="AI307" t="s">
        <v>450</v>
      </c>
      <c r="AJ307" t="s">
        <v>968</v>
      </c>
      <c r="AK307" t="s">
        <v>2165</v>
      </c>
      <c r="AL307" t="s">
        <v>1661</v>
      </c>
      <c r="AM307" t="s">
        <v>1662</v>
      </c>
      <c r="AN307" t="s">
        <v>1605</v>
      </c>
      <c r="AO307">
        <v>100199.17</v>
      </c>
      <c r="AP307">
        <v>739401.15</v>
      </c>
      <c r="AQ307" t="s">
        <v>1606</v>
      </c>
      <c r="AR307" t="s">
        <v>266</v>
      </c>
      <c r="AS307" t="s">
        <v>1021</v>
      </c>
    </row>
    <row r="308" spans="11:45" x14ac:dyDescent="0.35">
      <c r="K308" s="373"/>
      <c r="L308" s="372"/>
      <c r="M308" s="372"/>
      <c r="N308" s="372"/>
      <c r="O308" s="372"/>
      <c r="P308" s="372"/>
      <c r="Q308" s="372"/>
      <c r="R308" s="372"/>
      <c r="S308" s="372"/>
      <c r="T308" s="372"/>
      <c r="U308" s="372"/>
      <c r="V308" s="372"/>
      <c r="W308" s="372"/>
      <c r="X308" s="372"/>
      <c r="Y308" s="372"/>
      <c r="AH308" t="s">
        <v>1661</v>
      </c>
      <c r="AI308" t="s">
        <v>450</v>
      </c>
      <c r="AJ308" t="s">
        <v>968</v>
      </c>
      <c r="AK308" t="s">
        <v>2417</v>
      </c>
      <c r="AL308" t="s">
        <v>1663</v>
      </c>
      <c r="AM308" t="s">
        <v>1664</v>
      </c>
      <c r="AN308" t="s">
        <v>1665</v>
      </c>
      <c r="AO308">
        <v>79651.42</v>
      </c>
      <c r="AP308">
        <v>746214.3</v>
      </c>
      <c r="AQ308" t="s">
        <v>1666</v>
      </c>
      <c r="AR308" t="s">
        <v>266</v>
      </c>
      <c r="AS308" t="s">
        <v>1021</v>
      </c>
    </row>
    <row r="309" spans="11:45" x14ac:dyDescent="0.35">
      <c r="K309" s="373"/>
      <c r="L309" s="372"/>
      <c r="M309" s="372"/>
      <c r="N309" s="372"/>
      <c r="O309" s="372"/>
      <c r="P309" s="372"/>
      <c r="Q309" s="372"/>
      <c r="R309" s="372"/>
      <c r="S309" s="372"/>
      <c r="T309" s="372"/>
      <c r="U309" s="372"/>
      <c r="V309" s="372"/>
      <c r="W309" s="372"/>
      <c r="X309" s="372"/>
      <c r="Y309" s="372"/>
      <c r="AH309" t="s">
        <v>1667</v>
      </c>
      <c r="AI309" t="s">
        <v>450</v>
      </c>
      <c r="AJ309" t="s">
        <v>968</v>
      </c>
      <c r="AK309" t="s">
        <v>2118</v>
      </c>
      <c r="AL309" t="s">
        <v>1667</v>
      </c>
      <c r="AM309" t="s">
        <v>1668</v>
      </c>
      <c r="AN309" t="s">
        <v>1605</v>
      </c>
      <c r="AO309">
        <v>61202.879999999997</v>
      </c>
      <c r="AP309">
        <v>712646</v>
      </c>
      <c r="AQ309" t="s">
        <v>1606</v>
      </c>
      <c r="AR309" t="s">
        <v>266</v>
      </c>
      <c r="AS309" t="s">
        <v>1021</v>
      </c>
    </row>
    <row r="310" spans="11:45" x14ac:dyDescent="0.35">
      <c r="K310" s="373"/>
      <c r="L310" s="372"/>
      <c r="M310" s="372"/>
      <c r="N310" s="372"/>
      <c r="O310" s="372"/>
      <c r="P310" s="372"/>
      <c r="Q310" s="372"/>
      <c r="R310" s="372"/>
      <c r="S310" s="372"/>
      <c r="T310" s="372"/>
      <c r="U310" s="372"/>
      <c r="V310" s="372"/>
      <c r="W310" s="372"/>
      <c r="X310" s="372"/>
      <c r="Y310" s="372"/>
      <c r="AH310" t="s">
        <v>2020</v>
      </c>
      <c r="AI310" t="s">
        <v>450</v>
      </c>
      <c r="AJ310" t="s">
        <v>968</v>
      </c>
      <c r="AK310" t="s">
        <v>2117</v>
      </c>
      <c r="AL310" t="s">
        <v>1669</v>
      </c>
      <c r="AM310" t="s">
        <v>1670</v>
      </c>
      <c r="AN310" t="s">
        <v>1671</v>
      </c>
      <c r="AO310">
        <v>35386.78</v>
      </c>
      <c r="AP310">
        <v>358106.4</v>
      </c>
      <c r="AQ310" t="s">
        <v>1672</v>
      </c>
      <c r="AR310" t="s">
        <v>266</v>
      </c>
      <c r="AS310" t="s">
        <v>978</v>
      </c>
    </row>
    <row r="311" spans="11:45" x14ac:dyDescent="0.35">
      <c r="K311" s="373"/>
      <c r="L311" s="372"/>
      <c r="M311" s="372"/>
      <c r="N311" s="372"/>
      <c r="O311" s="372"/>
      <c r="P311" s="372"/>
      <c r="Q311" s="372"/>
      <c r="R311" s="372"/>
      <c r="S311" s="372"/>
      <c r="T311" s="372"/>
      <c r="U311" s="372"/>
      <c r="V311" s="372"/>
      <c r="W311" s="372"/>
      <c r="X311" s="372"/>
      <c r="Y311" s="372"/>
      <c r="AH311" t="s">
        <v>2021</v>
      </c>
      <c r="AI311" t="s">
        <v>450</v>
      </c>
      <c r="AJ311" t="s">
        <v>968</v>
      </c>
      <c r="AK311" t="s">
        <v>2418</v>
      </c>
      <c r="AL311" t="s">
        <v>1673</v>
      </c>
      <c r="AM311" t="s">
        <v>948</v>
      </c>
      <c r="AN311" t="s">
        <v>1307</v>
      </c>
      <c r="AO311">
        <v>56232.75</v>
      </c>
      <c r="AP311">
        <v>445131</v>
      </c>
      <c r="AQ311" t="s">
        <v>1633</v>
      </c>
      <c r="AR311" t="s">
        <v>266</v>
      </c>
      <c r="AS311" t="s">
        <v>978</v>
      </c>
    </row>
    <row r="312" spans="11:45" x14ac:dyDescent="0.35">
      <c r="K312" s="373"/>
      <c r="L312" s="372"/>
      <c r="M312" s="372"/>
      <c r="N312" s="372"/>
      <c r="O312" s="372"/>
      <c r="P312" s="372"/>
      <c r="Q312" s="372"/>
      <c r="R312" s="372"/>
      <c r="S312" s="372"/>
      <c r="T312" s="372"/>
      <c r="U312" s="372"/>
      <c r="V312" s="372"/>
      <c r="W312" s="372"/>
      <c r="X312" s="372"/>
      <c r="Y312" s="372"/>
      <c r="AH312" t="s">
        <v>1674</v>
      </c>
      <c r="AI312" t="s">
        <v>450</v>
      </c>
      <c r="AJ312" t="s">
        <v>968</v>
      </c>
      <c r="AK312" t="s">
        <v>2419</v>
      </c>
      <c r="AL312" t="s">
        <v>1674</v>
      </c>
      <c r="AM312" t="s">
        <v>1675</v>
      </c>
      <c r="AN312" t="s">
        <v>1676</v>
      </c>
      <c r="AO312">
        <v>20322.8</v>
      </c>
      <c r="AP312">
        <v>50807</v>
      </c>
      <c r="AQ312" t="s">
        <v>1677</v>
      </c>
      <c r="AR312" t="s">
        <v>266</v>
      </c>
      <c r="AS312" t="s">
        <v>1021</v>
      </c>
    </row>
    <row r="313" spans="11:45" x14ac:dyDescent="0.35">
      <c r="K313" s="373"/>
      <c r="L313" s="372"/>
      <c r="M313" s="372"/>
      <c r="N313" s="372"/>
      <c r="O313" s="372"/>
      <c r="P313" s="372"/>
      <c r="Q313" s="372"/>
      <c r="R313" s="372"/>
      <c r="S313" s="372"/>
      <c r="T313" s="372"/>
      <c r="U313" s="372"/>
      <c r="V313" s="372"/>
      <c r="W313" s="372"/>
      <c r="X313" s="372"/>
      <c r="Y313" s="372"/>
      <c r="AH313" t="s">
        <v>1674</v>
      </c>
      <c r="AI313" t="s">
        <v>450</v>
      </c>
      <c r="AJ313" t="s">
        <v>968</v>
      </c>
      <c r="AK313" t="s">
        <v>2420</v>
      </c>
      <c r="AL313" t="s">
        <v>1678</v>
      </c>
      <c r="AM313" t="s">
        <v>1679</v>
      </c>
      <c r="AN313" t="s">
        <v>857</v>
      </c>
      <c r="AO313">
        <v>61747.59</v>
      </c>
      <c r="AP313">
        <v>422685.75</v>
      </c>
      <c r="AQ313" t="s">
        <v>1680</v>
      </c>
      <c r="AR313" t="s">
        <v>266</v>
      </c>
      <c r="AS313" t="s">
        <v>978</v>
      </c>
    </row>
    <row r="314" spans="11:45" x14ac:dyDescent="0.35">
      <c r="K314" s="373"/>
      <c r="L314" s="372"/>
      <c r="M314" s="372"/>
      <c r="N314" s="372"/>
      <c r="O314" s="372"/>
      <c r="P314" s="372"/>
      <c r="Q314" s="372"/>
      <c r="R314" s="372"/>
      <c r="S314" s="372"/>
      <c r="T314" s="372"/>
      <c r="U314" s="372"/>
      <c r="V314" s="372"/>
      <c r="W314" s="372"/>
      <c r="X314" s="372"/>
      <c r="Y314" s="372"/>
      <c r="AH314" t="s">
        <v>1673</v>
      </c>
      <c r="AI314" t="s">
        <v>450</v>
      </c>
      <c r="AJ314" t="s">
        <v>968</v>
      </c>
      <c r="AK314" t="s">
        <v>2418</v>
      </c>
      <c r="AL314" t="s">
        <v>1673</v>
      </c>
      <c r="AM314" t="s">
        <v>886</v>
      </c>
      <c r="AN314" t="s">
        <v>1681</v>
      </c>
      <c r="AO314">
        <v>11625.77</v>
      </c>
      <c r="AP314">
        <v>549957.88</v>
      </c>
      <c r="AQ314" t="s">
        <v>1682</v>
      </c>
      <c r="AR314" t="s">
        <v>266</v>
      </c>
      <c r="AS314" t="s">
        <v>1021</v>
      </c>
    </row>
    <row r="315" spans="11:45" x14ac:dyDescent="0.35">
      <c r="K315" s="373"/>
      <c r="L315" s="372"/>
      <c r="M315" s="372"/>
      <c r="N315" s="372"/>
      <c r="O315" s="372"/>
      <c r="P315" s="372"/>
      <c r="Q315" s="372"/>
      <c r="R315" s="372"/>
      <c r="S315" s="372"/>
      <c r="T315" s="372"/>
      <c r="U315" s="372"/>
      <c r="V315" s="372"/>
      <c r="W315" s="372"/>
      <c r="X315" s="372"/>
      <c r="Y315" s="372"/>
      <c r="AH315" t="s">
        <v>1683</v>
      </c>
      <c r="AI315" t="s">
        <v>450</v>
      </c>
      <c r="AJ315" t="s">
        <v>968</v>
      </c>
      <c r="AK315" t="s">
        <v>2421</v>
      </c>
      <c r="AL315" t="s">
        <v>1683</v>
      </c>
      <c r="AM315" t="s">
        <v>1684</v>
      </c>
      <c r="AN315" t="s">
        <v>1685</v>
      </c>
      <c r="AO315">
        <v>10119.530000000001</v>
      </c>
      <c r="AP315">
        <v>453120</v>
      </c>
      <c r="AQ315" t="s">
        <v>1686</v>
      </c>
      <c r="AR315" t="s">
        <v>266</v>
      </c>
      <c r="AS315" t="s">
        <v>978</v>
      </c>
    </row>
    <row r="316" spans="11:45" x14ac:dyDescent="0.35">
      <c r="K316" s="373"/>
      <c r="L316" s="372"/>
      <c r="M316" s="372"/>
      <c r="N316" s="372"/>
      <c r="O316" s="372"/>
      <c r="P316" s="372"/>
      <c r="Q316" s="372"/>
      <c r="R316" s="372"/>
      <c r="S316" s="372"/>
      <c r="T316" s="372"/>
      <c r="U316" s="372"/>
      <c r="V316" s="372"/>
      <c r="W316" s="372"/>
      <c r="X316" s="372"/>
      <c r="Y316" s="372"/>
      <c r="AH316" t="s">
        <v>2022</v>
      </c>
      <c r="AI316" t="s">
        <v>450</v>
      </c>
      <c r="AJ316" t="s">
        <v>968</v>
      </c>
      <c r="AK316" t="s">
        <v>2422</v>
      </c>
      <c r="AL316" t="s">
        <v>1687</v>
      </c>
      <c r="AM316" t="s">
        <v>328</v>
      </c>
      <c r="AN316" t="s">
        <v>1688</v>
      </c>
      <c r="AO316">
        <v>71184.03</v>
      </c>
      <c r="AP316">
        <v>497272.06</v>
      </c>
      <c r="AQ316" t="s">
        <v>1689</v>
      </c>
      <c r="AR316" t="s">
        <v>266</v>
      </c>
      <c r="AS316" t="s">
        <v>1021</v>
      </c>
    </row>
    <row r="317" spans="11:45" x14ac:dyDescent="0.35">
      <c r="K317" s="373"/>
      <c r="L317" s="372"/>
      <c r="M317" s="372"/>
      <c r="N317" s="372"/>
      <c r="O317" s="372"/>
      <c r="P317" s="372"/>
      <c r="Q317" s="372"/>
      <c r="R317" s="372"/>
      <c r="S317" s="372"/>
      <c r="T317" s="372"/>
      <c r="U317" s="372"/>
      <c r="V317" s="372"/>
      <c r="W317" s="372"/>
      <c r="X317" s="372"/>
      <c r="Y317" s="372"/>
      <c r="AH317" t="s">
        <v>1687</v>
      </c>
      <c r="AI317" t="s">
        <v>450</v>
      </c>
      <c r="AJ317" t="s">
        <v>968</v>
      </c>
      <c r="AK317" t="s">
        <v>2422</v>
      </c>
      <c r="AL317" t="s">
        <v>1687</v>
      </c>
      <c r="AM317" t="s">
        <v>1690</v>
      </c>
      <c r="AN317" t="s">
        <v>1691</v>
      </c>
      <c r="AO317">
        <v>1872</v>
      </c>
      <c r="AP317">
        <v>17316</v>
      </c>
      <c r="AQ317" t="s">
        <v>1692</v>
      </c>
      <c r="AR317" t="s">
        <v>266</v>
      </c>
      <c r="AS317" t="s">
        <v>973</v>
      </c>
    </row>
    <row r="318" spans="11:45" x14ac:dyDescent="0.35">
      <c r="K318" s="373"/>
      <c r="L318" s="372"/>
      <c r="M318" s="372"/>
      <c r="N318" s="372"/>
      <c r="O318" s="372"/>
      <c r="P318" s="372"/>
      <c r="Q318" s="372"/>
      <c r="R318" s="372"/>
      <c r="S318" s="372"/>
      <c r="T318" s="372"/>
      <c r="U318" s="372"/>
      <c r="V318" s="372"/>
      <c r="W318" s="372"/>
      <c r="X318" s="372"/>
      <c r="Y318" s="372"/>
      <c r="AH318" t="s">
        <v>1693</v>
      </c>
      <c r="AI318" t="s">
        <v>450</v>
      </c>
      <c r="AJ318" t="s">
        <v>968</v>
      </c>
      <c r="AK318" t="s">
        <v>2423</v>
      </c>
      <c r="AL318" t="s">
        <v>1693</v>
      </c>
      <c r="AM318" t="s">
        <v>1694</v>
      </c>
      <c r="AN318" t="s">
        <v>1243</v>
      </c>
      <c r="AO318">
        <v>2640</v>
      </c>
      <c r="AP318">
        <v>24420</v>
      </c>
      <c r="AQ318" t="s">
        <v>1244</v>
      </c>
      <c r="AR318" t="s">
        <v>266</v>
      </c>
      <c r="AS318" t="s">
        <v>978</v>
      </c>
    </row>
    <row r="319" spans="11:45" x14ac:dyDescent="0.35">
      <c r="K319" s="373"/>
      <c r="L319" s="372"/>
      <c r="M319" s="372"/>
      <c r="N319" s="372"/>
      <c r="O319" s="372"/>
      <c r="P319" s="372"/>
      <c r="Q319" s="372"/>
      <c r="R319" s="372"/>
      <c r="S319" s="372"/>
      <c r="T319" s="372"/>
      <c r="U319" s="372"/>
      <c r="V319" s="372"/>
      <c r="W319" s="372"/>
      <c r="X319" s="372"/>
      <c r="Y319" s="372"/>
      <c r="AH319" t="s">
        <v>2023</v>
      </c>
      <c r="AI319" t="s">
        <v>450</v>
      </c>
      <c r="AJ319" t="s">
        <v>968</v>
      </c>
      <c r="AK319" t="s">
        <v>2424</v>
      </c>
      <c r="AL319" t="s">
        <v>1695</v>
      </c>
      <c r="AM319" t="s">
        <v>1696</v>
      </c>
      <c r="AN319" t="s">
        <v>1697</v>
      </c>
      <c r="AO319">
        <v>130855.2</v>
      </c>
      <c r="AP319">
        <v>893566.8</v>
      </c>
      <c r="AQ319" t="s">
        <v>1698</v>
      </c>
      <c r="AR319" t="s">
        <v>266</v>
      </c>
      <c r="AS319" t="s">
        <v>978</v>
      </c>
    </row>
    <row r="320" spans="11:45" x14ac:dyDescent="0.35">
      <c r="K320" s="373"/>
      <c r="L320" s="372"/>
      <c r="M320" s="372"/>
      <c r="N320" s="372"/>
      <c r="O320" s="372"/>
      <c r="P320" s="372"/>
      <c r="Q320" s="372"/>
      <c r="R320" s="372"/>
      <c r="S320" s="372"/>
      <c r="T320" s="372"/>
      <c r="U320" s="372"/>
      <c r="V320" s="372"/>
      <c r="W320" s="372"/>
      <c r="X320" s="372"/>
      <c r="Y320" s="372"/>
      <c r="AH320" t="s">
        <v>2024</v>
      </c>
      <c r="AI320" t="s">
        <v>450</v>
      </c>
      <c r="AJ320" t="s">
        <v>968</v>
      </c>
      <c r="AK320" t="s">
        <v>2425</v>
      </c>
      <c r="AL320" t="s">
        <v>1699</v>
      </c>
      <c r="AM320" t="s">
        <v>1700</v>
      </c>
      <c r="AN320" t="s">
        <v>1701</v>
      </c>
      <c r="AO320">
        <v>42341.67</v>
      </c>
      <c r="AP320">
        <v>323691.7</v>
      </c>
      <c r="AQ320" t="s">
        <v>1702</v>
      </c>
      <c r="AR320" t="s">
        <v>266</v>
      </c>
      <c r="AS320" t="s">
        <v>978</v>
      </c>
    </row>
    <row r="321" spans="11:45" x14ac:dyDescent="0.35">
      <c r="K321" s="373"/>
      <c r="L321" s="372"/>
      <c r="M321" s="372"/>
      <c r="N321" s="372"/>
      <c r="O321" s="372"/>
      <c r="P321" s="372"/>
      <c r="Q321" s="372"/>
      <c r="R321" s="372"/>
      <c r="S321" s="372"/>
      <c r="T321" s="372"/>
      <c r="U321" s="372"/>
      <c r="V321" s="372"/>
      <c r="W321" s="372"/>
      <c r="X321" s="372"/>
      <c r="Y321" s="372"/>
      <c r="AH321" t="s">
        <v>2025</v>
      </c>
      <c r="AI321" t="s">
        <v>450</v>
      </c>
      <c r="AJ321" t="s">
        <v>968</v>
      </c>
      <c r="AK321" t="s">
        <v>2425</v>
      </c>
      <c r="AL321" t="s">
        <v>1699</v>
      </c>
      <c r="AM321" t="s">
        <v>1703</v>
      </c>
      <c r="AN321" t="s">
        <v>1528</v>
      </c>
      <c r="AO321">
        <v>110187.3</v>
      </c>
      <c r="AP321">
        <v>800178.15</v>
      </c>
      <c r="AQ321" t="s">
        <v>1529</v>
      </c>
      <c r="AR321" t="s">
        <v>266</v>
      </c>
      <c r="AS321" t="s">
        <v>978</v>
      </c>
    </row>
    <row r="322" spans="11:45" x14ac:dyDescent="0.35">
      <c r="K322" s="373"/>
      <c r="L322" s="372"/>
      <c r="M322" s="372"/>
      <c r="N322" s="372"/>
      <c r="O322" s="372"/>
      <c r="P322" s="372"/>
      <c r="Q322" s="372"/>
      <c r="R322" s="372"/>
      <c r="S322" s="372"/>
      <c r="T322" s="372"/>
      <c r="U322" s="372"/>
      <c r="V322" s="372"/>
      <c r="W322" s="372"/>
      <c r="X322" s="372"/>
      <c r="Y322" s="372"/>
      <c r="AH322" t="s">
        <v>1704</v>
      </c>
      <c r="AI322" t="s">
        <v>450</v>
      </c>
      <c r="AJ322" t="s">
        <v>968</v>
      </c>
      <c r="AK322" t="s">
        <v>2222</v>
      </c>
      <c r="AL322" t="s">
        <v>1704</v>
      </c>
      <c r="AM322" t="s">
        <v>1705</v>
      </c>
      <c r="AN322" t="s">
        <v>1697</v>
      </c>
      <c r="AO322">
        <v>54988.19</v>
      </c>
      <c r="AP322">
        <v>387162.72</v>
      </c>
      <c r="AQ322" t="s">
        <v>1698</v>
      </c>
      <c r="AR322" t="s">
        <v>266</v>
      </c>
      <c r="AS322" t="s">
        <v>978</v>
      </c>
    </row>
    <row r="323" spans="11:45" x14ac:dyDescent="0.35">
      <c r="K323" s="373"/>
      <c r="L323" s="372"/>
      <c r="M323" s="372"/>
      <c r="N323" s="372"/>
      <c r="O323" s="372"/>
      <c r="P323" s="372"/>
      <c r="Q323" s="372"/>
      <c r="R323" s="372"/>
      <c r="S323" s="372"/>
      <c r="T323" s="372"/>
      <c r="U323" s="372"/>
      <c r="V323" s="372"/>
      <c r="W323" s="372"/>
      <c r="X323" s="372"/>
      <c r="Y323" s="372"/>
      <c r="AH323" t="s">
        <v>1706</v>
      </c>
      <c r="AI323" t="s">
        <v>450</v>
      </c>
      <c r="AJ323" t="s">
        <v>968</v>
      </c>
      <c r="AK323" t="s">
        <v>2221</v>
      </c>
      <c r="AL323" t="s">
        <v>1706</v>
      </c>
      <c r="AM323" t="s">
        <v>1707</v>
      </c>
      <c r="AN323" t="s">
        <v>1697</v>
      </c>
      <c r="AO323">
        <v>48539.79</v>
      </c>
      <c r="AP323">
        <v>325179.68</v>
      </c>
      <c r="AQ323" t="s">
        <v>1698</v>
      </c>
      <c r="AR323" t="s">
        <v>266</v>
      </c>
      <c r="AS323" t="s">
        <v>978</v>
      </c>
    </row>
    <row r="324" spans="11:45" x14ac:dyDescent="0.35">
      <c r="K324" s="373"/>
      <c r="L324" s="372"/>
      <c r="M324" s="372"/>
      <c r="N324" s="372"/>
      <c r="O324" s="372"/>
      <c r="P324" s="372"/>
      <c r="Q324" s="372"/>
      <c r="R324" s="372"/>
      <c r="S324" s="372"/>
      <c r="T324" s="372"/>
      <c r="U324" s="372"/>
      <c r="V324" s="372"/>
      <c r="W324" s="372"/>
      <c r="X324" s="372"/>
      <c r="Y324" s="372"/>
      <c r="AH324" t="s">
        <v>2026</v>
      </c>
      <c r="AI324" t="s">
        <v>450</v>
      </c>
      <c r="AJ324" t="s">
        <v>968</v>
      </c>
      <c r="AK324" t="s">
        <v>2426</v>
      </c>
      <c r="AL324" t="s">
        <v>1708</v>
      </c>
      <c r="AM324" t="s">
        <v>1709</v>
      </c>
      <c r="AN324" t="s">
        <v>1710</v>
      </c>
      <c r="AO324">
        <v>42814.44</v>
      </c>
      <c r="AP324">
        <v>426362.32</v>
      </c>
      <c r="AQ324" t="s">
        <v>1711</v>
      </c>
      <c r="AR324" t="s">
        <v>266</v>
      </c>
      <c r="AS324" t="s">
        <v>978</v>
      </c>
    </row>
    <row r="325" spans="11:45" x14ac:dyDescent="0.35">
      <c r="K325" s="373"/>
      <c r="L325" s="372"/>
      <c r="M325" s="372"/>
      <c r="N325" s="372"/>
      <c r="O325" s="372"/>
      <c r="P325" s="372"/>
      <c r="Q325" s="372"/>
      <c r="R325" s="372"/>
      <c r="S325" s="372"/>
      <c r="T325" s="372"/>
      <c r="U325" s="372"/>
      <c r="V325" s="372"/>
      <c r="W325" s="372"/>
      <c r="X325" s="372"/>
      <c r="Y325" s="372"/>
      <c r="AH325" t="s">
        <v>2027</v>
      </c>
      <c r="AI325" t="s">
        <v>450</v>
      </c>
      <c r="AJ325" t="s">
        <v>968</v>
      </c>
      <c r="AK325" t="s">
        <v>2223</v>
      </c>
      <c r="AL325" t="s">
        <v>1712</v>
      </c>
      <c r="AM325" t="s">
        <v>1713</v>
      </c>
      <c r="AN325" t="s">
        <v>1276</v>
      </c>
      <c r="AO325">
        <v>108363.2</v>
      </c>
      <c r="AP325">
        <v>755247.2</v>
      </c>
      <c r="AQ325" t="s">
        <v>1277</v>
      </c>
      <c r="AR325" t="s">
        <v>266</v>
      </c>
      <c r="AS325" t="s">
        <v>1021</v>
      </c>
    </row>
    <row r="326" spans="11:45" x14ac:dyDescent="0.35">
      <c r="K326" s="373"/>
      <c r="L326" s="372"/>
      <c r="M326" s="372"/>
      <c r="N326" s="372"/>
      <c r="O326" s="372"/>
      <c r="P326" s="372"/>
      <c r="Q326" s="372"/>
      <c r="R326" s="372"/>
      <c r="S326" s="372"/>
      <c r="T326" s="372"/>
      <c r="U326" s="372"/>
      <c r="V326" s="372"/>
      <c r="W326" s="372"/>
      <c r="X326" s="372"/>
      <c r="Y326" s="372"/>
      <c r="AH326" t="s">
        <v>2027</v>
      </c>
      <c r="AI326" t="s">
        <v>450</v>
      </c>
      <c r="AJ326" t="s">
        <v>968</v>
      </c>
      <c r="AK326" t="s">
        <v>2149</v>
      </c>
      <c r="AL326" t="s">
        <v>1714</v>
      </c>
      <c r="AM326" t="s">
        <v>1715</v>
      </c>
      <c r="AN326" t="s">
        <v>1697</v>
      </c>
      <c r="AO326">
        <v>57942.64</v>
      </c>
      <c r="AP326">
        <v>411466</v>
      </c>
      <c r="AQ326" t="s">
        <v>1698</v>
      </c>
      <c r="AR326" t="s">
        <v>266</v>
      </c>
      <c r="AS326" t="s">
        <v>978</v>
      </c>
    </row>
    <row r="327" spans="11:45" x14ac:dyDescent="0.35">
      <c r="K327" s="373"/>
      <c r="L327" s="372"/>
      <c r="M327" s="372"/>
      <c r="N327" s="372"/>
      <c r="O327" s="372"/>
      <c r="P327" s="372"/>
      <c r="Q327" s="372"/>
      <c r="R327" s="372"/>
      <c r="S327" s="372"/>
      <c r="T327" s="372"/>
      <c r="U327" s="372"/>
      <c r="V327" s="372"/>
      <c r="W327" s="372"/>
      <c r="X327" s="372"/>
      <c r="Y327" s="372"/>
      <c r="AH327" t="s">
        <v>2028</v>
      </c>
      <c r="AI327" t="s">
        <v>450</v>
      </c>
      <c r="AJ327" t="s">
        <v>968</v>
      </c>
      <c r="AK327" t="s">
        <v>2427</v>
      </c>
      <c r="AL327" t="s">
        <v>1716</v>
      </c>
      <c r="AM327" t="s">
        <v>993</v>
      </c>
      <c r="AN327" t="s">
        <v>1717</v>
      </c>
      <c r="AO327">
        <v>107149.5</v>
      </c>
      <c r="AP327">
        <v>758468.6</v>
      </c>
      <c r="AQ327" t="s">
        <v>1718</v>
      </c>
      <c r="AR327" t="s">
        <v>266</v>
      </c>
      <c r="AS327" t="s">
        <v>978</v>
      </c>
    </row>
    <row r="328" spans="11:45" x14ac:dyDescent="0.35">
      <c r="K328" s="373"/>
      <c r="L328" s="372"/>
      <c r="M328" s="372"/>
      <c r="N328" s="372"/>
      <c r="O328" s="372"/>
      <c r="P328" s="372"/>
      <c r="Q328" s="372"/>
      <c r="R328" s="372"/>
      <c r="S328" s="372"/>
      <c r="T328" s="372"/>
      <c r="U328" s="372"/>
      <c r="V328" s="372"/>
      <c r="W328" s="372"/>
      <c r="X328" s="372"/>
      <c r="Y328" s="372"/>
      <c r="AH328" t="s">
        <v>2028</v>
      </c>
      <c r="AI328" t="s">
        <v>450</v>
      </c>
      <c r="AJ328" t="s">
        <v>968</v>
      </c>
      <c r="AK328" t="s">
        <v>2428</v>
      </c>
      <c r="AL328" t="s">
        <v>1719</v>
      </c>
      <c r="AM328" t="s">
        <v>1005</v>
      </c>
      <c r="AN328" t="s">
        <v>1717</v>
      </c>
      <c r="AO328">
        <v>122590.92</v>
      </c>
      <c r="AP328">
        <v>819219.43</v>
      </c>
      <c r="AQ328" t="s">
        <v>1718</v>
      </c>
      <c r="AR328" t="s">
        <v>266</v>
      </c>
      <c r="AS328" t="s">
        <v>978</v>
      </c>
    </row>
    <row r="329" spans="11:45" x14ac:dyDescent="0.35">
      <c r="K329" s="373"/>
      <c r="L329" s="372"/>
      <c r="M329" s="372"/>
      <c r="N329" s="372"/>
      <c r="O329" s="372"/>
      <c r="P329" s="372"/>
      <c r="Q329" s="372"/>
      <c r="R329" s="372"/>
      <c r="S329" s="372"/>
      <c r="T329" s="372"/>
      <c r="U329" s="372"/>
      <c r="V329" s="372"/>
      <c r="W329" s="372"/>
      <c r="X329" s="372"/>
      <c r="Y329" s="372"/>
      <c r="AH329" t="s">
        <v>2029</v>
      </c>
      <c r="AI329" t="s">
        <v>450</v>
      </c>
      <c r="AJ329" t="s">
        <v>968</v>
      </c>
      <c r="AK329" t="s">
        <v>2429</v>
      </c>
      <c r="AL329" t="s">
        <v>1720</v>
      </c>
      <c r="AM329" t="s">
        <v>1721</v>
      </c>
      <c r="AN329" t="s">
        <v>1697</v>
      </c>
      <c r="AO329">
        <v>53415.27</v>
      </c>
      <c r="AP329">
        <v>387488.4</v>
      </c>
      <c r="AQ329" t="s">
        <v>1698</v>
      </c>
      <c r="AR329" t="s">
        <v>266</v>
      </c>
      <c r="AS329" t="s">
        <v>978</v>
      </c>
    </row>
    <row r="330" spans="11:45" x14ac:dyDescent="0.35">
      <c r="K330" s="373"/>
      <c r="L330" s="372"/>
      <c r="M330" s="372"/>
      <c r="N330" s="372"/>
      <c r="O330" s="372"/>
      <c r="P330" s="372"/>
      <c r="Q330" s="372"/>
      <c r="R330" s="372"/>
      <c r="S330" s="372"/>
      <c r="T330" s="372"/>
      <c r="U330" s="372"/>
      <c r="V330" s="372"/>
      <c r="W330" s="372"/>
      <c r="X330" s="372"/>
      <c r="Y330" s="372"/>
      <c r="AH330" t="s">
        <v>2030</v>
      </c>
      <c r="AI330" t="s">
        <v>450</v>
      </c>
      <c r="AJ330" t="s">
        <v>968</v>
      </c>
      <c r="AK330" t="s">
        <v>2429</v>
      </c>
      <c r="AL330" t="s">
        <v>1720</v>
      </c>
      <c r="AM330" t="s">
        <v>1722</v>
      </c>
      <c r="AN330" t="s">
        <v>1697</v>
      </c>
      <c r="AO330">
        <v>59723.8</v>
      </c>
      <c r="AP330">
        <v>409578</v>
      </c>
      <c r="AQ330" t="s">
        <v>1698</v>
      </c>
      <c r="AR330" t="s">
        <v>266</v>
      </c>
      <c r="AS330" t="s">
        <v>978</v>
      </c>
    </row>
    <row r="331" spans="11:45" x14ac:dyDescent="0.35">
      <c r="K331" s="373"/>
      <c r="L331" s="372"/>
      <c r="M331" s="372"/>
      <c r="N331" s="372"/>
      <c r="O331" s="372"/>
      <c r="P331" s="372"/>
      <c r="Q331" s="372"/>
      <c r="R331" s="372"/>
      <c r="S331" s="372"/>
      <c r="T331" s="372"/>
      <c r="U331" s="372"/>
      <c r="V331" s="372"/>
      <c r="W331" s="372"/>
      <c r="X331" s="372"/>
      <c r="Y331" s="372"/>
      <c r="AH331" t="s">
        <v>1720</v>
      </c>
      <c r="AI331" t="s">
        <v>450</v>
      </c>
      <c r="AJ331" t="s">
        <v>968</v>
      </c>
      <c r="AK331" t="s">
        <v>2429</v>
      </c>
      <c r="AL331" t="s">
        <v>1720</v>
      </c>
      <c r="AM331" t="s">
        <v>1723</v>
      </c>
      <c r="AN331" t="s">
        <v>1150</v>
      </c>
      <c r="AO331">
        <v>4950</v>
      </c>
      <c r="AP331">
        <v>4950</v>
      </c>
      <c r="AQ331" t="s">
        <v>1151</v>
      </c>
      <c r="AR331" t="s">
        <v>266</v>
      </c>
      <c r="AS331" t="s">
        <v>978</v>
      </c>
    </row>
    <row r="332" spans="11:45" x14ac:dyDescent="0.35">
      <c r="K332" s="373"/>
      <c r="L332" s="372"/>
      <c r="M332" s="372"/>
      <c r="N332" s="372"/>
      <c r="O332" s="372"/>
      <c r="P332" s="372"/>
      <c r="Q332" s="372"/>
      <c r="R332" s="372"/>
      <c r="S332" s="372"/>
      <c r="T332" s="372"/>
      <c r="U332" s="372"/>
      <c r="V332" s="372"/>
      <c r="W332" s="372"/>
      <c r="X332" s="372"/>
      <c r="Y332" s="372"/>
      <c r="AH332" t="s">
        <v>2031</v>
      </c>
      <c r="AI332" t="s">
        <v>450</v>
      </c>
      <c r="AJ332" t="s">
        <v>968</v>
      </c>
      <c r="AK332" t="s">
        <v>2430</v>
      </c>
      <c r="AL332" t="s">
        <v>1724</v>
      </c>
      <c r="AM332" t="s">
        <v>1351</v>
      </c>
      <c r="AN332" t="s">
        <v>1717</v>
      </c>
      <c r="AO332">
        <v>118778.96</v>
      </c>
      <c r="AP332">
        <v>791116.26</v>
      </c>
      <c r="AQ332" t="s">
        <v>1718</v>
      </c>
      <c r="AR332" t="s">
        <v>266</v>
      </c>
      <c r="AS332" t="s">
        <v>978</v>
      </c>
    </row>
    <row r="333" spans="11:45" x14ac:dyDescent="0.35">
      <c r="K333" s="373"/>
      <c r="L333" s="372"/>
      <c r="M333" s="372"/>
      <c r="N333" s="372"/>
      <c r="O333" s="372"/>
      <c r="P333" s="372"/>
      <c r="Q333" s="372"/>
      <c r="R333" s="372"/>
      <c r="S333" s="372"/>
      <c r="T333" s="372"/>
      <c r="U333" s="372"/>
      <c r="V333" s="372"/>
      <c r="W333" s="372"/>
      <c r="X333" s="372"/>
      <c r="Y333" s="372"/>
      <c r="AH333" t="s">
        <v>1725</v>
      </c>
      <c r="AI333" t="s">
        <v>450</v>
      </c>
      <c r="AJ333" t="s">
        <v>968</v>
      </c>
      <c r="AK333" t="s">
        <v>2431</v>
      </c>
      <c r="AL333" t="s">
        <v>1725</v>
      </c>
      <c r="AM333" t="s">
        <v>1726</v>
      </c>
      <c r="AN333" t="s">
        <v>1243</v>
      </c>
      <c r="AO333">
        <v>5280</v>
      </c>
      <c r="AP333">
        <v>48840</v>
      </c>
      <c r="AQ333" t="s">
        <v>1244</v>
      </c>
      <c r="AR333" t="s">
        <v>266</v>
      </c>
      <c r="AS333" t="s">
        <v>978</v>
      </c>
    </row>
    <row r="334" spans="11:45" x14ac:dyDescent="0.35">
      <c r="K334" s="373"/>
      <c r="L334" s="372"/>
      <c r="M334" s="372"/>
      <c r="N334" s="372"/>
      <c r="O334" s="372"/>
      <c r="P334" s="372"/>
      <c r="Q334" s="372"/>
      <c r="R334" s="372"/>
      <c r="S334" s="372"/>
      <c r="T334" s="372"/>
      <c r="U334" s="372"/>
      <c r="V334" s="372"/>
      <c r="W334" s="372"/>
      <c r="X334" s="372"/>
      <c r="Y334" s="372"/>
      <c r="AH334" t="s">
        <v>1727</v>
      </c>
      <c r="AI334" t="s">
        <v>450</v>
      </c>
      <c r="AJ334" t="s">
        <v>968</v>
      </c>
      <c r="AK334" t="s">
        <v>1345</v>
      </c>
      <c r="AL334" t="s">
        <v>1727</v>
      </c>
      <c r="AM334" t="s">
        <v>1728</v>
      </c>
      <c r="AN334" t="s">
        <v>1590</v>
      </c>
      <c r="AO334">
        <v>7896.06</v>
      </c>
      <c r="AP334">
        <v>51719.06</v>
      </c>
      <c r="AQ334" t="s">
        <v>1591</v>
      </c>
      <c r="AR334" t="s">
        <v>266</v>
      </c>
      <c r="AS334" t="s">
        <v>978</v>
      </c>
    </row>
    <row r="335" spans="11:45" x14ac:dyDescent="0.35">
      <c r="K335" s="373"/>
      <c r="L335" s="372"/>
      <c r="M335" s="372"/>
      <c r="N335" s="372"/>
      <c r="O335" s="372"/>
      <c r="P335" s="372"/>
      <c r="Q335" s="372"/>
      <c r="R335" s="372"/>
      <c r="S335" s="372"/>
      <c r="T335" s="372"/>
      <c r="U335" s="372"/>
      <c r="V335" s="372"/>
      <c r="W335" s="372"/>
      <c r="X335" s="372"/>
      <c r="Y335" s="372"/>
      <c r="AH335" t="s">
        <v>2032</v>
      </c>
      <c r="AI335" t="s">
        <v>450</v>
      </c>
      <c r="AJ335" t="s">
        <v>968</v>
      </c>
      <c r="AK335" t="s">
        <v>2432</v>
      </c>
      <c r="AL335" t="s">
        <v>1729</v>
      </c>
      <c r="AM335" t="s">
        <v>1730</v>
      </c>
      <c r="AN335" t="s">
        <v>1731</v>
      </c>
      <c r="AO335">
        <v>18305.580000000002</v>
      </c>
      <c r="AP335">
        <v>418321.8</v>
      </c>
      <c r="AQ335" t="s">
        <v>1732</v>
      </c>
      <c r="AR335" t="s">
        <v>266</v>
      </c>
      <c r="AS335" t="s">
        <v>1021</v>
      </c>
    </row>
    <row r="336" spans="11:45" x14ac:dyDescent="0.35">
      <c r="K336" s="373"/>
      <c r="L336" s="372"/>
      <c r="M336" s="372"/>
      <c r="N336" s="372"/>
      <c r="O336" s="372"/>
      <c r="P336" s="372"/>
      <c r="Q336" s="372"/>
      <c r="R336" s="372"/>
      <c r="S336" s="372"/>
      <c r="T336" s="372"/>
      <c r="U336" s="372"/>
      <c r="V336" s="372"/>
      <c r="W336" s="372"/>
      <c r="X336" s="372"/>
      <c r="Y336" s="372"/>
      <c r="AH336" t="s">
        <v>2033</v>
      </c>
      <c r="AI336" t="s">
        <v>450</v>
      </c>
      <c r="AJ336" t="s">
        <v>968</v>
      </c>
      <c r="AK336" t="s">
        <v>2433</v>
      </c>
      <c r="AL336" t="s">
        <v>1733</v>
      </c>
      <c r="AM336" t="s">
        <v>941</v>
      </c>
      <c r="AN336" t="s">
        <v>1731</v>
      </c>
      <c r="AO336">
        <v>52569.4</v>
      </c>
      <c r="AP336">
        <v>343769.4</v>
      </c>
      <c r="AQ336" t="s">
        <v>1732</v>
      </c>
      <c r="AR336" t="s">
        <v>266</v>
      </c>
      <c r="AS336" t="s">
        <v>1021</v>
      </c>
    </row>
    <row r="337" spans="11:45" x14ac:dyDescent="0.35">
      <c r="K337" s="373"/>
      <c r="L337" s="372"/>
      <c r="M337" s="372"/>
      <c r="N337" s="372"/>
      <c r="O337" s="372"/>
      <c r="P337" s="372"/>
      <c r="Q337" s="372"/>
      <c r="R337" s="372"/>
      <c r="S337" s="372"/>
      <c r="T337" s="372"/>
      <c r="U337" s="372"/>
      <c r="V337" s="372"/>
      <c r="W337" s="372"/>
      <c r="X337" s="372"/>
      <c r="Y337" s="372"/>
      <c r="AH337" t="s">
        <v>1733</v>
      </c>
      <c r="AI337" t="s">
        <v>450</v>
      </c>
      <c r="AJ337" t="s">
        <v>968</v>
      </c>
      <c r="AK337" t="s">
        <v>2434</v>
      </c>
      <c r="AL337" t="s">
        <v>1734</v>
      </c>
      <c r="AM337" t="s">
        <v>1203</v>
      </c>
      <c r="AN337" t="s">
        <v>1731</v>
      </c>
      <c r="AO337">
        <v>52591.5</v>
      </c>
      <c r="AP337">
        <v>376443.6</v>
      </c>
      <c r="AQ337" t="s">
        <v>1732</v>
      </c>
      <c r="AR337" t="s">
        <v>266</v>
      </c>
      <c r="AS337" t="s">
        <v>1021</v>
      </c>
    </row>
    <row r="338" spans="11:45" x14ac:dyDescent="0.35">
      <c r="K338" s="373"/>
      <c r="L338" s="372"/>
      <c r="M338" s="372"/>
      <c r="N338" s="372"/>
      <c r="O338" s="372"/>
      <c r="P338" s="372"/>
      <c r="Q338" s="372"/>
      <c r="R338" s="372"/>
      <c r="S338" s="372"/>
      <c r="T338" s="372"/>
      <c r="U338" s="372"/>
      <c r="V338" s="372"/>
      <c r="W338" s="372"/>
      <c r="X338" s="372"/>
      <c r="Y338" s="372"/>
      <c r="AH338" t="s">
        <v>2034</v>
      </c>
      <c r="AI338" t="s">
        <v>450</v>
      </c>
      <c r="AJ338" t="s">
        <v>968</v>
      </c>
      <c r="AK338" t="s">
        <v>2435</v>
      </c>
      <c r="AL338" t="s">
        <v>1735</v>
      </c>
      <c r="AM338" t="s">
        <v>1736</v>
      </c>
      <c r="AN338" t="s">
        <v>1737</v>
      </c>
      <c r="AO338">
        <v>121266.9</v>
      </c>
      <c r="AP338">
        <v>836294.5</v>
      </c>
      <c r="AQ338" t="s">
        <v>1738</v>
      </c>
      <c r="AR338" t="s">
        <v>266</v>
      </c>
      <c r="AS338" t="s">
        <v>1021</v>
      </c>
    </row>
    <row r="339" spans="11:45" x14ac:dyDescent="0.35">
      <c r="K339" s="373"/>
      <c r="L339" s="372"/>
      <c r="M339" s="372"/>
      <c r="N339" s="372"/>
      <c r="O339" s="372"/>
      <c r="P339" s="372"/>
      <c r="Q339" s="372"/>
      <c r="R339" s="372"/>
      <c r="S339" s="372"/>
      <c r="T339" s="372"/>
      <c r="U339" s="372"/>
      <c r="V339" s="372"/>
      <c r="W339" s="372"/>
      <c r="X339" s="372"/>
      <c r="Y339" s="372"/>
      <c r="AH339" t="s">
        <v>2035</v>
      </c>
      <c r="AI339" t="s">
        <v>450</v>
      </c>
      <c r="AJ339" t="s">
        <v>968</v>
      </c>
      <c r="AK339" t="s">
        <v>2435</v>
      </c>
      <c r="AL339" t="s">
        <v>1735</v>
      </c>
      <c r="AM339" t="s">
        <v>1739</v>
      </c>
      <c r="AN339" t="s">
        <v>1737</v>
      </c>
      <c r="AO339">
        <v>95848.79</v>
      </c>
      <c r="AP339">
        <v>836359.4</v>
      </c>
      <c r="AQ339" t="s">
        <v>1738</v>
      </c>
      <c r="AR339" t="s">
        <v>266</v>
      </c>
      <c r="AS339" t="s">
        <v>1021</v>
      </c>
    </row>
    <row r="340" spans="11:45" x14ac:dyDescent="0.35">
      <c r="K340" s="373"/>
      <c r="L340" s="372"/>
      <c r="M340" s="372"/>
      <c r="N340" s="372"/>
      <c r="O340" s="372"/>
      <c r="P340" s="372"/>
      <c r="Q340" s="372"/>
      <c r="R340" s="372"/>
      <c r="S340" s="372"/>
      <c r="T340" s="372"/>
      <c r="U340" s="372"/>
      <c r="V340" s="372"/>
      <c r="W340" s="372"/>
      <c r="X340" s="372"/>
      <c r="Y340" s="372"/>
      <c r="AH340" t="s">
        <v>2036</v>
      </c>
      <c r="AI340" t="s">
        <v>450</v>
      </c>
      <c r="AJ340" t="s">
        <v>968</v>
      </c>
      <c r="AK340" t="s">
        <v>2436</v>
      </c>
      <c r="AL340" t="s">
        <v>1740</v>
      </c>
      <c r="AM340" t="s">
        <v>1741</v>
      </c>
      <c r="AN340" t="s">
        <v>1742</v>
      </c>
      <c r="AO340">
        <v>12916.75</v>
      </c>
      <c r="AP340">
        <v>824147.55</v>
      </c>
      <c r="AQ340" t="s">
        <v>1743</v>
      </c>
      <c r="AR340" t="s">
        <v>266</v>
      </c>
      <c r="AS340" t="s">
        <v>1021</v>
      </c>
    </row>
    <row r="341" spans="11:45" x14ac:dyDescent="0.35">
      <c r="K341" s="373"/>
      <c r="L341" s="372"/>
      <c r="M341" s="372"/>
      <c r="N341" s="372"/>
      <c r="O341" s="372"/>
      <c r="P341" s="372"/>
      <c r="Q341" s="372"/>
      <c r="R341" s="372"/>
      <c r="S341" s="372"/>
      <c r="T341" s="372"/>
      <c r="U341" s="372"/>
      <c r="V341" s="372"/>
      <c r="W341" s="372"/>
      <c r="X341" s="372"/>
      <c r="Y341" s="372"/>
      <c r="AH341" t="s">
        <v>2037</v>
      </c>
      <c r="AI341" t="s">
        <v>450</v>
      </c>
      <c r="AJ341" t="s">
        <v>968</v>
      </c>
      <c r="AK341" t="s">
        <v>2437</v>
      </c>
      <c r="AL341" t="s">
        <v>1744</v>
      </c>
      <c r="AM341" t="s">
        <v>944</v>
      </c>
      <c r="AN341" t="s">
        <v>1742</v>
      </c>
      <c r="AO341">
        <v>72130.100000000006</v>
      </c>
      <c r="AP341">
        <v>741852.96</v>
      </c>
      <c r="AQ341" t="s">
        <v>1743</v>
      </c>
      <c r="AR341" t="s">
        <v>266</v>
      </c>
      <c r="AS341" t="s">
        <v>1021</v>
      </c>
    </row>
    <row r="342" spans="11:45" x14ac:dyDescent="0.35">
      <c r="K342" s="373"/>
      <c r="L342" s="372"/>
      <c r="M342" s="372"/>
      <c r="N342" s="372"/>
      <c r="O342" s="372"/>
      <c r="P342" s="372"/>
      <c r="Q342" s="372"/>
      <c r="R342" s="372"/>
      <c r="S342" s="372"/>
      <c r="T342" s="372"/>
      <c r="U342" s="372"/>
      <c r="V342" s="372"/>
      <c r="W342" s="372"/>
      <c r="X342" s="372"/>
      <c r="Y342" s="372"/>
      <c r="AH342" t="s">
        <v>2038</v>
      </c>
      <c r="AI342" t="s">
        <v>450</v>
      </c>
      <c r="AJ342" t="s">
        <v>968</v>
      </c>
      <c r="AK342" t="s">
        <v>2437</v>
      </c>
      <c r="AL342" t="s">
        <v>1744</v>
      </c>
      <c r="AM342" t="s">
        <v>1745</v>
      </c>
      <c r="AN342" t="s">
        <v>1441</v>
      </c>
      <c r="AO342">
        <v>35482.400000000001</v>
      </c>
      <c r="AP342">
        <v>371228</v>
      </c>
      <c r="AQ342" t="s">
        <v>1442</v>
      </c>
      <c r="AR342" t="s">
        <v>266</v>
      </c>
      <c r="AS342" t="s">
        <v>978</v>
      </c>
    </row>
    <row r="343" spans="11:45" x14ac:dyDescent="0.35">
      <c r="K343" s="373"/>
      <c r="L343" s="372"/>
      <c r="M343" s="372"/>
      <c r="N343" s="372"/>
      <c r="O343" s="372"/>
      <c r="P343" s="372"/>
      <c r="Q343" s="372"/>
      <c r="R343" s="372"/>
      <c r="S343" s="372"/>
      <c r="T343" s="372"/>
      <c r="U343" s="372"/>
      <c r="V343" s="372"/>
      <c r="W343" s="372"/>
      <c r="X343" s="372"/>
      <c r="Y343" s="372"/>
      <c r="AH343" t="s">
        <v>2039</v>
      </c>
      <c r="AI343" t="s">
        <v>450</v>
      </c>
      <c r="AJ343" t="s">
        <v>968</v>
      </c>
      <c r="AK343" t="s">
        <v>2438</v>
      </c>
      <c r="AL343" t="s">
        <v>1746</v>
      </c>
      <c r="AM343" t="s">
        <v>1747</v>
      </c>
      <c r="AN343" t="s">
        <v>1742</v>
      </c>
      <c r="AO343">
        <v>43296.24</v>
      </c>
      <c r="AP343">
        <v>559699.31999999995</v>
      </c>
      <c r="AQ343" t="s">
        <v>1743</v>
      </c>
      <c r="AR343" t="s">
        <v>266</v>
      </c>
      <c r="AS343" t="s">
        <v>1021</v>
      </c>
    </row>
    <row r="344" spans="11:45" x14ac:dyDescent="0.35">
      <c r="K344" s="373"/>
      <c r="L344" s="372"/>
      <c r="M344" s="372"/>
      <c r="N344" s="372"/>
      <c r="O344" s="372"/>
      <c r="P344" s="372"/>
      <c r="Q344" s="372"/>
      <c r="R344" s="372"/>
      <c r="S344" s="372"/>
      <c r="T344" s="372"/>
      <c r="U344" s="372"/>
      <c r="V344" s="372"/>
      <c r="W344" s="372"/>
      <c r="X344" s="372"/>
      <c r="Y344" s="372"/>
      <c r="AH344" t="s">
        <v>2040</v>
      </c>
      <c r="AI344" t="s">
        <v>450</v>
      </c>
      <c r="AJ344" t="s">
        <v>968</v>
      </c>
      <c r="AK344" t="s">
        <v>2439</v>
      </c>
      <c r="AL344" t="s">
        <v>1748</v>
      </c>
      <c r="AM344" t="s">
        <v>1730</v>
      </c>
      <c r="AN344" t="s">
        <v>1749</v>
      </c>
      <c r="AO344">
        <v>203295.32</v>
      </c>
      <c r="AP344">
        <v>1397575.48</v>
      </c>
      <c r="AQ344" t="s">
        <v>1750</v>
      </c>
      <c r="AR344" t="s">
        <v>266</v>
      </c>
      <c r="AS344" t="s">
        <v>1021</v>
      </c>
    </row>
    <row r="345" spans="11:45" x14ac:dyDescent="0.35">
      <c r="K345" s="373"/>
      <c r="L345" s="372"/>
      <c r="M345" s="372"/>
      <c r="N345" s="372"/>
      <c r="O345" s="372"/>
      <c r="P345" s="372"/>
      <c r="Q345" s="372"/>
      <c r="R345" s="372"/>
      <c r="S345" s="372"/>
      <c r="T345" s="372"/>
      <c r="U345" s="372"/>
      <c r="V345" s="372"/>
      <c r="W345" s="372"/>
      <c r="X345" s="372"/>
      <c r="Y345" s="372"/>
      <c r="AH345" t="s">
        <v>1748</v>
      </c>
      <c r="AI345" t="s">
        <v>450</v>
      </c>
      <c r="AJ345" t="s">
        <v>968</v>
      </c>
      <c r="AK345" t="s">
        <v>2439</v>
      </c>
      <c r="AL345" t="s">
        <v>1748</v>
      </c>
      <c r="AM345" t="s">
        <v>1751</v>
      </c>
      <c r="AN345" t="s">
        <v>1752</v>
      </c>
      <c r="AO345">
        <v>1800</v>
      </c>
      <c r="AP345">
        <v>16500</v>
      </c>
      <c r="AQ345" t="s">
        <v>1753</v>
      </c>
      <c r="AR345" t="s">
        <v>266</v>
      </c>
      <c r="AS345" t="s">
        <v>1021</v>
      </c>
    </row>
    <row r="346" spans="11:45" x14ac:dyDescent="0.35">
      <c r="K346" s="373"/>
      <c r="L346" s="372"/>
      <c r="M346" s="372"/>
      <c r="N346" s="372"/>
      <c r="O346" s="372"/>
      <c r="P346" s="372"/>
      <c r="Q346" s="372"/>
      <c r="R346" s="372"/>
      <c r="S346" s="372"/>
      <c r="T346" s="372"/>
      <c r="U346" s="372"/>
      <c r="V346" s="372"/>
      <c r="W346" s="372"/>
      <c r="X346" s="372"/>
      <c r="Y346" s="372"/>
      <c r="AH346" t="s">
        <v>2041</v>
      </c>
      <c r="AI346" t="s">
        <v>450</v>
      </c>
      <c r="AJ346" t="s">
        <v>968</v>
      </c>
      <c r="AK346" t="s">
        <v>2440</v>
      </c>
      <c r="AL346" t="s">
        <v>1754</v>
      </c>
      <c r="AM346" t="s">
        <v>1755</v>
      </c>
      <c r="AN346" t="s">
        <v>1756</v>
      </c>
      <c r="AO346">
        <v>77760</v>
      </c>
      <c r="AP346">
        <v>77760</v>
      </c>
      <c r="AQ346" t="s">
        <v>1757</v>
      </c>
      <c r="AR346" t="s">
        <v>266</v>
      </c>
      <c r="AS346" t="s">
        <v>1021</v>
      </c>
    </row>
    <row r="347" spans="11:45" x14ac:dyDescent="0.35">
      <c r="K347" s="373"/>
      <c r="L347" s="372"/>
      <c r="M347" s="372"/>
      <c r="N347" s="372"/>
      <c r="O347" s="372"/>
      <c r="P347" s="372"/>
      <c r="Q347" s="372"/>
      <c r="R347" s="372"/>
      <c r="S347" s="372"/>
      <c r="T347" s="372"/>
      <c r="U347" s="372"/>
      <c r="V347" s="372"/>
      <c r="W347" s="372"/>
      <c r="X347" s="372"/>
      <c r="Y347" s="372"/>
      <c r="AH347" t="s">
        <v>2042</v>
      </c>
      <c r="AI347" t="s">
        <v>450</v>
      </c>
      <c r="AJ347" t="s">
        <v>968</v>
      </c>
      <c r="AK347" t="s">
        <v>2441</v>
      </c>
      <c r="AL347" t="s">
        <v>1758</v>
      </c>
      <c r="AM347" t="s">
        <v>941</v>
      </c>
      <c r="AN347" t="s">
        <v>1749</v>
      </c>
      <c r="AO347">
        <v>162880.20000000001</v>
      </c>
      <c r="AP347">
        <v>1067770.2</v>
      </c>
      <c r="AQ347" t="s">
        <v>1750</v>
      </c>
      <c r="AR347" t="s">
        <v>266</v>
      </c>
      <c r="AS347" t="s">
        <v>1021</v>
      </c>
    </row>
    <row r="348" spans="11:45" x14ac:dyDescent="0.35">
      <c r="K348" s="373"/>
      <c r="L348" s="372"/>
      <c r="M348" s="372"/>
      <c r="N348" s="372"/>
      <c r="O348" s="372"/>
      <c r="P348" s="372"/>
      <c r="Q348" s="372"/>
      <c r="R348" s="372"/>
      <c r="S348" s="372"/>
      <c r="T348" s="372"/>
      <c r="U348" s="372"/>
      <c r="V348" s="372"/>
      <c r="W348" s="372"/>
      <c r="X348" s="372"/>
      <c r="Y348" s="372"/>
      <c r="AH348" t="s">
        <v>2043</v>
      </c>
      <c r="AI348" t="s">
        <v>450</v>
      </c>
      <c r="AJ348" t="s">
        <v>968</v>
      </c>
      <c r="AK348" t="s">
        <v>2442</v>
      </c>
      <c r="AL348" t="s">
        <v>1759</v>
      </c>
      <c r="AM348" t="s">
        <v>1760</v>
      </c>
      <c r="AN348" t="s">
        <v>1513</v>
      </c>
      <c r="AO348">
        <v>4345.2</v>
      </c>
      <c r="AP348">
        <v>28485.200000000001</v>
      </c>
      <c r="AQ348" t="s">
        <v>1514</v>
      </c>
      <c r="AR348" t="s">
        <v>266</v>
      </c>
      <c r="AS348" t="s">
        <v>978</v>
      </c>
    </row>
    <row r="349" spans="11:45" x14ac:dyDescent="0.35">
      <c r="K349" s="373"/>
      <c r="L349" s="372"/>
      <c r="M349" s="372"/>
      <c r="N349" s="372"/>
      <c r="O349" s="372"/>
      <c r="P349" s="372"/>
      <c r="Q349" s="372"/>
      <c r="R349" s="372"/>
      <c r="S349" s="372"/>
      <c r="T349" s="372"/>
      <c r="U349" s="372"/>
      <c r="V349" s="372"/>
      <c r="W349" s="372"/>
      <c r="X349" s="372"/>
      <c r="Y349" s="372"/>
      <c r="AH349" t="s">
        <v>1761</v>
      </c>
      <c r="AI349" t="s">
        <v>450</v>
      </c>
      <c r="AJ349" t="s">
        <v>968</v>
      </c>
      <c r="AK349" t="s">
        <v>2224</v>
      </c>
      <c r="AL349" t="s">
        <v>1761</v>
      </c>
      <c r="AM349" t="s">
        <v>941</v>
      </c>
      <c r="AN349" t="s">
        <v>1762</v>
      </c>
      <c r="AO349">
        <v>22804.9</v>
      </c>
      <c r="AP349">
        <v>74109.899999999994</v>
      </c>
      <c r="AQ349" t="s">
        <v>1763</v>
      </c>
      <c r="AR349" t="s">
        <v>266</v>
      </c>
      <c r="AS349" t="s">
        <v>1021</v>
      </c>
    </row>
    <row r="350" spans="11:45" x14ac:dyDescent="0.35">
      <c r="K350" s="373"/>
      <c r="L350" s="372"/>
      <c r="M350" s="372"/>
      <c r="N350" s="372"/>
      <c r="O350" s="372"/>
      <c r="P350" s="372"/>
      <c r="Q350" s="372"/>
      <c r="R350" s="372"/>
      <c r="S350" s="372"/>
      <c r="T350" s="372"/>
      <c r="U350" s="372"/>
      <c r="V350" s="372"/>
      <c r="W350" s="372"/>
      <c r="X350" s="372"/>
      <c r="Y350" s="372"/>
      <c r="AH350" t="s">
        <v>1759</v>
      </c>
      <c r="AI350" t="s">
        <v>450</v>
      </c>
      <c r="AJ350" t="s">
        <v>968</v>
      </c>
      <c r="AK350" t="s">
        <v>2443</v>
      </c>
      <c r="AL350" t="s">
        <v>1764</v>
      </c>
      <c r="AM350" t="s">
        <v>1203</v>
      </c>
      <c r="AN350" t="s">
        <v>1749</v>
      </c>
      <c r="AO350">
        <v>78432.479999999996</v>
      </c>
      <c r="AP350">
        <v>514168.48</v>
      </c>
      <c r="AQ350" t="s">
        <v>1750</v>
      </c>
      <c r="AR350" t="s">
        <v>266</v>
      </c>
      <c r="AS350" t="s">
        <v>1021</v>
      </c>
    </row>
    <row r="351" spans="11:45" x14ac:dyDescent="0.35">
      <c r="K351" s="373"/>
      <c r="L351" s="372"/>
      <c r="M351" s="372"/>
      <c r="N351" s="372"/>
      <c r="O351" s="372"/>
      <c r="P351" s="372"/>
      <c r="Q351" s="372"/>
      <c r="R351" s="372"/>
      <c r="S351" s="372"/>
      <c r="T351" s="372"/>
      <c r="U351" s="372"/>
      <c r="V351" s="372"/>
      <c r="W351" s="372"/>
      <c r="X351" s="372"/>
      <c r="Y351" s="372"/>
      <c r="AH351" t="s">
        <v>2044</v>
      </c>
      <c r="AI351" t="s">
        <v>450</v>
      </c>
      <c r="AJ351" t="s">
        <v>968</v>
      </c>
      <c r="AK351" t="s">
        <v>2444</v>
      </c>
      <c r="AL351" t="s">
        <v>1765</v>
      </c>
      <c r="AM351" t="s">
        <v>1766</v>
      </c>
      <c r="AN351" t="s">
        <v>1528</v>
      </c>
      <c r="AO351">
        <v>67897.649999999994</v>
      </c>
      <c r="AP351">
        <v>874573.15</v>
      </c>
      <c r="AQ351" t="s">
        <v>1529</v>
      </c>
      <c r="AR351" t="s">
        <v>266</v>
      </c>
      <c r="AS351" t="s">
        <v>978</v>
      </c>
    </row>
    <row r="352" spans="11:45" x14ac:dyDescent="0.35">
      <c r="K352" s="373"/>
      <c r="L352" s="372"/>
      <c r="M352" s="372"/>
      <c r="N352" s="372"/>
      <c r="O352" s="372"/>
      <c r="P352" s="372"/>
      <c r="Q352" s="372"/>
      <c r="R352" s="372"/>
      <c r="S352" s="372"/>
      <c r="T352" s="372"/>
      <c r="U352" s="372"/>
      <c r="V352" s="372"/>
      <c r="W352" s="372"/>
      <c r="X352" s="372"/>
      <c r="Y352" s="372"/>
      <c r="AH352" t="s">
        <v>2045</v>
      </c>
      <c r="AI352" t="s">
        <v>450</v>
      </c>
      <c r="AJ352" t="s">
        <v>968</v>
      </c>
      <c r="AK352" t="s">
        <v>2445</v>
      </c>
      <c r="AL352" t="s">
        <v>1767</v>
      </c>
      <c r="AM352" t="s">
        <v>1768</v>
      </c>
      <c r="AN352" t="s">
        <v>1528</v>
      </c>
      <c r="AO352">
        <v>110385.99</v>
      </c>
      <c r="AP352">
        <v>801644.48</v>
      </c>
      <c r="AQ352" t="s">
        <v>1529</v>
      </c>
      <c r="AR352" t="s">
        <v>266</v>
      </c>
      <c r="AS352" t="s">
        <v>978</v>
      </c>
    </row>
    <row r="353" spans="11:45" x14ac:dyDescent="0.35">
      <c r="K353" s="373"/>
      <c r="L353" s="372"/>
      <c r="M353" s="372"/>
      <c r="N353" s="372"/>
      <c r="O353" s="372"/>
      <c r="P353" s="372"/>
      <c r="Q353" s="372"/>
      <c r="R353" s="372"/>
      <c r="S353" s="372"/>
      <c r="T353" s="372"/>
      <c r="U353" s="372"/>
      <c r="V353" s="372"/>
      <c r="W353" s="372"/>
      <c r="X353" s="372"/>
      <c r="Y353" s="372"/>
      <c r="AH353" t="s">
        <v>1767</v>
      </c>
      <c r="AI353" t="s">
        <v>450</v>
      </c>
      <c r="AJ353" t="s">
        <v>968</v>
      </c>
      <c r="AK353" t="s">
        <v>2446</v>
      </c>
      <c r="AL353" t="s">
        <v>1769</v>
      </c>
      <c r="AM353" t="s">
        <v>963</v>
      </c>
      <c r="AN353" t="s">
        <v>1749</v>
      </c>
      <c r="AO353">
        <v>7544.5</v>
      </c>
      <c r="AP353">
        <v>528946.80000000005</v>
      </c>
      <c r="AQ353" t="s">
        <v>1750</v>
      </c>
      <c r="AR353" t="s">
        <v>266</v>
      </c>
      <c r="AS353" t="s">
        <v>1021</v>
      </c>
    </row>
    <row r="354" spans="11:45" x14ac:dyDescent="0.35">
      <c r="K354" s="373"/>
      <c r="L354" s="372"/>
      <c r="M354" s="372"/>
      <c r="N354" s="372"/>
      <c r="O354" s="372"/>
      <c r="P354" s="372"/>
      <c r="Q354" s="372"/>
      <c r="R354" s="372"/>
      <c r="S354" s="372"/>
      <c r="T354" s="372"/>
      <c r="U354" s="372"/>
      <c r="V354" s="372"/>
      <c r="W354" s="372"/>
      <c r="X354" s="372"/>
      <c r="Y354" s="372"/>
      <c r="AH354" t="s">
        <v>2046</v>
      </c>
      <c r="AI354" t="s">
        <v>450</v>
      </c>
      <c r="AJ354" t="s">
        <v>968</v>
      </c>
      <c r="AK354" t="s">
        <v>2447</v>
      </c>
      <c r="AL354" t="s">
        <v>1770</v>
      </c>
      <c r="AM354" t="s">
        <v>1771</v>
      </c>
      <c r="AN354" t="s">
        <v>1742</v>
      </c>
      <c r="AO354">
        <v>62958.879999999997</v>
      </c>
      <c r="AP354">
        <v>455826.96</v>
      </c>
      <c r="AQ354" t="s">
        <v>1743</v>
      </c>
      <c r="AR354" t="s">
        <v>266</v>
      </c>
      <c r="AS354" t="s">
        <v>1021</v>
      </c>
    </row>
    <row r="355" spans="11:45" x14ac:dyDescent="0.35">
      <c r="K355" s="373"/>
      <c r="L355" s="372"/>
      <c r="M355" s="372"/>
      <c r="N355" s="372"/>
      <c r="O355" s="372"/>
      <c r="P355" s="372"/>
      <c r="Q355" s="372"/>
      <c r="R355" s="372"/>
      <c r="S355" s="372"/>
      <c r="T355" s="372"/>
      <c r="U355" s="372"/>
      <c r="V355" s="372"/>
      <c r="W355" s="372"/>
      <c r="X355" s="372"/>
      <c r="Y355" s="372"/>
      <c r="AH355" t="s">
        <v>2047</v>
      </c>
      <c r="AI355" t="s">
        <v>450</v>
      </c>
      <c r="AJ355" t="s">
        <v>968</v>
      </c>
      <c r="AK355" t="s">
        <v>2225</v>
      </c>
      <c r="AL355" t="s">
        <v>1772</v>
      </c>
      <c r="AM355" t="s">
        <v>1773</v>
      </c>
      <c r="AN355" t="s">
        <v>1737</v>
      </c>
      <c r="AO355">
        <v>44108.2</v>
      </c>
      <c r="AP355">
        <v>302048.2</v>
      </c>
      <c r="AQ355" t="s">
        <v>1738</v>
      </c>
      <c r="AR355" t="s">
        <v>266</v>
      </c>
      <c r="AS355" t="s">
        <v>1021</v>
      </c>
    </row>
    <row r="356" spans="11:45" x14ac:dyDescent="0.35">
      <c r="K356" s="373"/>
      <c r="L356" s="372"/>
      <c r="M356" s="372"/>
      <c r="N356" s="372"/>
      <c r="O356" s="372"/>
      <c r="P356" s="372"/>
      <c r="Q356" s="372"/>
      <c r="R356" s="372"/>
      <c r="S356" s="372"/>
      <c r="T356" s="372"/>
      <c r="U356" s="372"/>
      <c r="V356" s="372"/>
      <c r="W356" s="372"/>
      <c r="X356" s="372"/>
      <c r="Y356" s="372"/>
      <c r="AH356" t="s">
        <v>2048</v>
      </c>
      <c r="AI356" t="s">
        <v>450</v>
      </c>
      <c r="AJ356" t="s">
        <v>968</v>
      </c>
      <c r="AK356" t="s">
        <v>2226</v>
      </c>
      <c r="AL356" t="s">
        <v>1774</v>
      </c>
      <c r="AM356" t="s">
        <v>1775</v>
      </c>
      <c r="AN356" t="s">
        <v>1528</v>
      </c>
      <c r="AO356">
        <v>145285.51</v>
      </c>
      <c r="AP356">
        <v>986220.02</v>
      </c>
      <c r="AQ356" t="s">
        <v>1529</v>
      </c>
      <c r="AR356" t="s">
        <v>266</v>
      </c>
      <c r="AS356" t="s">
        <v>978</v>
      </c>
    </row>
    <row r="357" spans="11:45" x14ac:dyDescent="0.35">
      <c r="K357" s="373"/>
      <c r="L357" s="372"/>
      <c r="M357" s="372"/>
      <c r="N357" s="372"/>
      <c r="O357" s="372"/>
      <c r="P357" s="372"/>
      <c r="Q357" s="372"/>
      <c r="R357" s="372"/>
      <c r="S357" s="372"/>
      <c r="T357" s="372"/>
      <c r="U357" s="372"/>
      <c r="V357" s="372"/>
      <c r="W357" s="372"/>
      <c r="X357" s="372"/>
      <c r="Y357" s="372"/>
      <c r="AH357" t="s">
        <v>2049</v>
      </c>
      <c r="AI357" t="s">
        <v>450</v>
      </c>
      <c r="AJ357" t="s">
        <v>968</v>
      </c>
      <c r="AK357" t="s">
        <v>2448</v>
      </c>
      <c r="AL357" t="s">
        <v>1776</v>
      </c>
      <c r="AM357" t="s">
        <v>1777</v>
      </c>
      <c r="AN357" t="s">
        <v>1528</v>
      </c>
      <c r="AO357">
        <v>70555.72</v>
      </c>
      <c r="AP357">
        <v>508019.20000000001</v>
      </c>
      <c r="AQ357" t="s">
        <v>1529</v>
      </c>
      <c r="AR357" t="s">
        <v>266</v>
      </c>
      <c r="AS357" t="s">
        <v>978</v>
      </c>
    </row>
    <row r="358" spans="11:45" x14ac:dyDescent="0.35">
      <c r="K358" s="373"/>
      <c r="L358" s="372"/>
      <c r="M358" s="372"/>
      <c r="N358" s="372"/>
      <c r="O358" s="372"/>
      <c r="P358" s="372"/>
      <c r="Q358" s="372"/>
      <c r="R358" s="372"/>
      <c r="S358" s="372"/>
      <c r="T358" s="372"/>
      <c r="U358" s="372"/>
      <c r="V358" s="372"/>
      <c r="W358" s="372"/>
      <c r="X358" s="372"/>
      <c r="Y358" s="372"/>
      <c r="AH358" t="s">
        <v>2050</v>
      </c>
      <c r="AI358" t="s">
        <v>450</v>
      </c>
      <c r="AJ358" t="s">
        <v>968</v>
      </c>
      <c r="AK358" t="s">
        <v>2227</v>
      </c>
      <c r="AL358" t="s">
        <v>1778</v>
      </c>
      <c r="AM358" t="s">
        <v>1779</v>
      </c>
      <c r="AN358" t="s">
        <v>1528</v>
      </c>
      <c r="AO358">
        <v>117667.43</v>
      </c>
      <c r="AP358">
        <v>871940.8</v>
      </c>
      <c r="AQ358" t="s">
        <v>1529</v>
      </c>
      <c r="AR358" t="s">
        <v>266</v>
      </c>
      <c r="AS358" t="s">
        <v>978</v>
      </c>
    </row>
    <row r="359" spans="11:45" x14ac:dyDescent="0.35">
      <c r="K359" s="373"/>
      <c r="L359" s="372"/>
      <c r="M359" s="372"/>
      <c r="N359" s="372"/>
      <c r="O359" s="372"/>
      <c r="P359" s="372"/>
      <c r="Q359" s="372"/>
      <c r="R359" s="372"/>
      <c r="S359" s="372"/>
      <c r="T359" s="372"/>
      <c r="U359" s="372"/>
      <c r="V359" s="372"/>
      <c r="W359" s="372"/>
      <c r="X359" s="372"/>
      <c r="Y359" s="372"/>
      <c r="AH359" t="s">
        <v>1780</v>
      </c>
      <c r="AI359" t="s">
        <v>450</v>
      </c>
      <c r="AJ359" t="s">
        <v>968</v>
      </c>
      <c r="AK359" t="s">
        <v>2449</v>
      </c>
      <c r="AL359" t="s">
        <v>1780</v>
      </c>
      <c r="AM359" t="s">
        <v>912</v>
      </c>
      <c r="AN359" t="s">
        <v>1781</v>
      </c>
      <c r="AO359">
        <v>7558.56</v>
      </c>
      <c r="AP359">
        <v>70546.559999999998</v>
      </c>
      <c r="AQ359" t="s">
        <v>1782</v>
      </c>
      <c r="AR359" t="s">
        <v>266</v>
      </c>
      <c r="AS359" t="s">
        <v>973</v>
      </c>
    </row>
    <row r="360" spans="11:45" x14ac:dyDescent="0.35">
      <c r="K360" s="373"/>
      <c r="L360" s="372"/>
      <c r="M360" s="372"/>
      <c r="N360" s="372"/>
      <c r="O360" s="372"/>
      <c r="P360" s="372"/>
      <c r="Q360" s="372"/>
      <c r="R360" s="372"/>
      <c r="S360" s="372"/>
      <c r="T360" s="372"/>
      <c r="U360" s="372"/>
      <c r="V360" s="372"/>
      <c r="W360" s="372"/>
      <c r="X360" s="372"/>
      <c r="Y360" s="372"/>
      <c r="AH360" t="s">
        <v>1780</v>
      </c>
      <c r="AI360" t="s">
        <v>450</v>
      </c>
      <c r="AJ360" t="s">
        <v>968</v>
      </c>
      <c r="AK360" t="s">
        <v>2449</v>
      </c>
      <c r="AL360" t="s">
        <v>1780</v>
      </c>
      <c r="AM360" t="s">
        <v>923</v>
      </c>
      <c r="AN360" t="s">
        <v>1781</v>
      </c>
      <c r="AO360">
        <v>8302.68</v>
      </c>
      <c r="AP360">
        <v>77491.679999999993</v>
      </c>
      <c r="AQ360" t="s">
        <v>1782</v>
      </c>
      <c r="AR360" t="s">
        <v>266</v>
      </c>
      <c r="AS360" t="s">
        <v>973</v>
      </c>
    </row>
    <row r="361" spans="11:45" x14ac:dyDescent="0.35">
      <c r="K361" s="373"/>
      <c r="L361" s="372"/>
      <c r="M361" s="372"/>
      <c r="N361" s="372"/>
      <c r="O361" s="372"/>
      <c r="P361" s="372"/>
      <c r="Q361" s="372"/>
      <c r="R361" s="372"/>
      <c r="S361" s="372"/>
      <c r="T361" s="372"/>
      <c r="U361" s="372"/>
      <c r="V361" s="372"/>
      <c r="W361" s="372"/>
      <c r="X361" s="372"/>
      <c r="Y361" s="372"/>
      <c r="AH361" t="s">
        <v>2051</v>
      </c>
      <c r="AI361" t="s">
        <v>450</v>
      </c>
      <c r="AJ361" t="s">
        <v>968</v>
      </c>
      <c r="AK361" t="s">
        <v>2450</v>
      </c>
      <c r="AL361" t="s">
        <v>1783</v>
      </c>
      <c r="AM361" t="s">
        <v>1784</v>
      </c>
      <c r="AN361" t="s">
        <v>1528</v>
      </c>
      <c r="AO361">
        <v>111778.55</v>
      </c>
      <c r="AP361">
        <v>911970.75</v>
      </c>
      <c r="AQ361" t="s">
        <v>1529</v>
      </c>
      <c r="AR361" t="s">
        <v>266</v>
      </c>
      <c r="AS361" t="s">
        <v>978</v>
      </c>
    </row>
    <row r="362" spans="11:45" x14ac:dyDescent="0.35">
      <c r="K362" s="373"/>
      <c r="L362" s="372"/>
      <c r="M362" s="372"/>
      <c r="N362" s="372"/>
      <c r="O362" s="372"/>
      <c r="P362" s="372"/>
      <c r="Q362" s="372"/>
      <c r="R362" s="372"/>
      <c r="S362" s="372"/>
      <c r="T362" s="372"/>
      <c r="U362" s="372"/>
      <c r="V362" s="372"/>
      <c r="W362" s="372"/>
      <c r="X362" s="372"/>
      <c r="Y362" s="372"/>
      <c r="AH362" t="s">
        <v>2052</v>
      </c>
      <c r="AI362" t="s">
        <v>450</v>
      </c>
      <c r="AJ362" t="s">
        <v>968</v>
      </c>
      <c r="AK362" t="s">
        <v>2451</v>
      </c>
      <c r="AL362" t="s">
        <v>1785</v>
      </c>
      <c r="AM362" t="s">
        <v>1786</v>
      </c>
      <c r="AN362" t="s">
        <v>1528</v>
      </c>
      <c r="AO362">
        <v>82330.2</v>
      </c>
      <c r="AP362">
        <v>539263.19999999995</v>
      </c>
      <c r="AQ362" t="s">
        <v>1529</v>
      </c>
      <c r="AR362" t="s">
        <v>266</v>
      </c>
      <c r="AS362" t="s">
        <v>978</v>
      </c>
    </row>
    <row r="363" spans="11:45" x14ac:dyDescent="0.35">
      <c r="K363" s="373"/>
      <c r="L363" s="372"/>
      <c r="M363" s="372"/>
      <c r="N363" s="372"/>
      <c r="O363" s="372"/>
      <c r="P363" s="372"/>
      <c r="Q363" s="372"/>
      <c r="R363" s="372"/>
      <c r="S363" s="372"/>
      <c r="T363" s="372"/>
      <c r="U363" s="372"/>
      <c r="V363" s="372"/>
      <c r="W363" s="372"/>
      <c r="X363" s="372"/>
      <c r="Y363" s="372"/>
      <c r="AH363" t="s">
        <v>2053</v>
      </c>
      <c r="AI363" t="s">
        <v>450</v>
      </c>
      <c r="AJ363" t="s">
        <v>968</v>
      </c>
      <c r="AK363" t="s">
        <v>2452</v>
      </c>
      <c r="AL363" t="s">
        <v>1787</v>
      </c>
      <c r="AM363" t="s">
        <v>1788</v>
      </c>
      <c r="AN363" t="s">
        <v>1513</v>
      </c>
      <c r="AO363">
        <v>28650.9</v>
      </c>
      <c r="AP363">
        <v>28650.9</v>
      </c>
      <c r="AQ363" t="s">
        <v>1514</v>
      </c>
      <c r="AR363" t="s">
        <v>266</v>
      </c>
      <c r="AS363" t="s">
        <v>978</v>
      </c>
    </row>
    <row r="364" spans="11:45" x14ac:dyDescent="0.35">
      <c r="K364" s="373"/>
      <c r="L364" s="372"/>
      <c r="M364" s="372"/>
      <c r="N364" s="372"/>
      <c r="O364" s="372"/>
      <c r="P364" s="372"/>
      <c r="Q364" s="372"/>
      <c r="R364" s="372"/>
      <c r="S364" s="372"/>
      <c r="T364" s="372"/>
      <c r="U364" s="372"/>
      <c r="V364" s="372"/>
      <c r="W364" s="372"/>
      <c r="X364" s="372"/>
      <c r="Y364" s="372"/>
      <c r="AH364" t="s">
        <v>2054</v>
      </c>
      <c r="AI364" t="s">
        <v>450</v>
      </c>
      <c r="AJ364" t="s">
        <v>968</v>
      </c>
      <c r="AK364" t="s">
        <v>2453</v>
      </c>
      <c r="AL364" t="s">
        <v>1789</v>
      </c>
      <c r="AM364" t="s">
        <v>931</v>
      </c>
      <c r="AN364" t="s">
        <v>1790</v>
      </c>
      <c r="AO364">
        <v>11242.7</v>
      </c>
      <c r="AP364">
        <v>593439.69999999995</v>
      </c>
      <c r="AQ364" t="s">
        <v>1791</v>
      </c>
      <c r="AR364" t="s">
        <v>266</v>
      </c>
      <c r="AS364" t="s">
        <v>1021</v>
      </c>
    </row>
    <row r="365" spans="11:45" x14ac:dyDescent="0.35">
      <c r="K365" s="373"/>
      <c r="L365" s="372"/>
      <c r="M365" s="372"/>
      <c r="N365" s="372"/>
      <c r="O365" s="372"/>
      <c r="P365" s="372"/>
      <c r="Q365" s="372"/>
      <c r="R365" s="372"/>
      <c r="S365" s="372"/>
      <c r="T365" s="372"/>
      <c r="U365" s="372"/>
      <c r="V365" s="372"/>
      <c r="W365" s="372"/>
      <c r="X365" s="372"/>
      <c r="Y365" s="372"/>
      <c r="AH365" t="s">
        <v>2055</v>
      </c>
      <c r="AI365" t="s">
        <v>450</v>
      </c>
      <c r="AJ365" t="s">
        <v>968</v>
      </c>
      <c r="AK365" t="s">
        <v>2454</v>
      </c>
      <c r="AL365" t="s">
        <v>1792</v>
      </c>
      <c r="AM365" t="s">
        <v>1793</v>
      </c>
      <c r="AN365" t="s">
        <v>1528</v>
      </c>
      <c r="AO365">
        <v>58158.5</v>
      </c>
      <c r="AP365">
        <v>464372.6</v>
      </c>
      <c r="AQ365" t="s">
        <v>1529</v>
      </c>
      <c r="AR365" t="s">
        <v>266</v>
      </c>
      <c r="AS365" t="s">
        <v>978</v>
      </c>
    </row>
    <row r="366" spans="11:45" x14ac:dyDescent="0.35">
      <c r="K366" s="373"/>
      <c r="L366" s="372"/>
      <c r="M366" s="372"/>
      <c r="N366" s="372"/>
      <c r="O366" s="372"/>
      <c r="P366" s="372"/>
      <c r="Q366" s="372"/>
      <c r="R366" s="372"/>
      <c r="S366" s="372"/>
      <c r="T366" s="372"/>
      <c r="U366" s="372"/>
      <c r="V366" s="372"/>
      <c r="W366" s="372"/>
      <c r="X366" s="372"/>
      <c r="Y366" s="372"/>
      <c r="AH366" t="s">
        <v>2056</v>
      </c>
      <c r="AI366" t="s">
        <v>450</v>
      </c>
      <c r="AJ366" t="s">
        <v>968</v>
      </c>
      <c r="AK366" t="s">
        <v>2455</v>
      </c>
      <c r="AL366" t="s">
        <v>1794</v>
      </c>
      <c r="AM366" t="s">
        <v>933</v>
      </c>
      <c r="AN366" t="s">
        <v>1790</v>
      </c>
      <c r="AO366">
        <v>56890.76</v>
      </c>
      <c r="AP366">
        <v>489664.6</v>
      </c>
      <c r="AQ366" t="s">
        <v>1791</v>
      </c>
      <c r="AR366" t="s">
        <v>266</v>
      </c>
      <c r="AS366" t="s">
        <v>1021</v>
      </c>
    </row>
    <row r="367" spans="11:45" x14ac:dyDescent="0.35">
      <c r="K367" s="373"/>
      <c r="L367" s="372"/>
      <c r="M367" s="372"/>
      <c r="N367" s="372"/>
      <c r="O367" s="372"/>
      <c r="P367" s="372"/>
      <c r="Q367" s="372"/>
      <c r="R367" s="372"/>
      <c r="S367" s="372"/>
      <c r="T367" s="372"/>
      <c r="U367" s="372"/>
      <c r="V367" s="372"/>
      <c r="W367" s="372"/>
      <c r="X367" s="372"/>
      <c r="Y367" s="372"/>
      <c r="AH367" t="s">
        <v>1795</v>
      </c>
      <c r="AI367" t="s">
        <v>450</v>
      </c>
      <c r="AJ367" t="s">
        <v>968</v>
      </c>
      <c r="AK367" t="s">
        <v>2228</v>
      </c>
      <c r="AL367" t="s">
        <v>1795</v>
      </c>
      <c r="AM367" t="s">
        <v>942</v>
      </c>
      <c r="AN367" t="s">
        <v>1796</v>
      </c>
      <c r="AO367">
        <v>8835.43</v>
      </c>
      <c r="AP367">
        <v>8835.43</v>
      </c>
      <c r="AQ367" t="s">
        <v>1797</v>
      </c>
      <c r="AR367" t="s">
        <v>266</v>
      </c>
      <c r="AS367" t="s">
        <v>1021</v>
      </c>
    </row>
    <row r="368" spans="11:45" x14ac:dyDescent="0.35">
      <c r="K368" s="373"/>
      <c r="L368" s="372"/>
      <c r="M368" s="372"/>
      <c r="N368" s="372"/>
      <c r="O368" s="372"/>
      <c r="P368" s="372"/>
      <c r="Q368" s="372"/>
      <c r="R368" s="372"/>
      <c r="S368" s="372"/>
      <c r="T368" s="372"/>
      <c r="U368" s="372"/>
      <c r="V368" s="372"/>
      <c r="W368" s="372"/>
      <c r="X368" s="372"/>
      <c r="Y368" s="372"/>
      <c r="AH368" t="s">
        <v>2057</v>
      </c>
      <c r="AI368" t="s">
        <v>450</v>
      </c>
      <c r="AJ368" t="s">
        <v>968</v>
      </c>
      <c r="AK368" t="s">
        <v>2456</v>
      </c>
      <c r="AL368" t="s">
        <v>1798</v>
      </c>
      <c r="AM368" t="s">
        <v>955</v>
      </c>
      <c r="AN368" t="s">
        <v>1790</v>
      </c>
      <c r="AO368">
        <v>76663.5</v>
      </c>
      <c r="AP368">
        <v>612735.6</v>
      </c>
      <c r="AQ368" t="s">
        <v>1791</v>
      </c>
      <c r="AR368" t="s">
        <v>266</v>
      </c>
      <c r="AS368" t="s">
        <v>1021</v>
      </c>
    </row>
    <row r="369" spans="11:45" x14ac:dyDescent="0.35">
      <c r="K369" s="373"/>
      <c r="L369" s="372"/>
      <c r="M369" s="372"/>
      <c r="N369" s="372"/>
      <c r="O369" s="372"/>
      <c r="P369" s="372"/>
      <c r="Q369" s="372"/>
      <c r="R369" s="372"/>
      <c r="S369" s="372"/>
      <c r="T369" s="372"/>
      <c r="U369" s="372"/>
      <c r="V369" s="372"/>
      <c r="W369" s="372"/>
      <c r="X369" s="372"/>
      <c r="Y369" s="372"/>
      <c r="AH369" t="s">
        <v>1799</v>
      </c>
      <c r="AI369" t="s">
        <v>450</v>
      </c>
      <c r="AJ369" t="s">
        <v>968</v>
      </c>
      <c r="AK369" t="s">
        <v>2457</v>
      </c>
      <c r="AL369" t="s">
        <v>1799</v>
      </c>
      <c r="AM369" t="s">
        <v>962</v>
      </c>
      <c r="AN369" t="s">
        <v>1800</v>
      </c>
      <c r="AO369">
        <v>2160</v>
      </c>
      <c r="AP369">
        <v>14160</v>
      </c>
      <c r="AQ369" t="s">
        <v>1801</v>
      </c>
      <c r="AR369" t="s">
        <v>266</v>
      </c>
      <c r="AS369" t="s">
        <v>978</v>
      </c>
    </row>
    <row r="370" spans="11:45" x14ac:dyDescent="0.35">
      <c r="K370" s="373"/>
      <c r="L370" s="372"/>
      <c r="M370" s="372"/>
      <c r="N370" s="372"/>
      <c r="O370" s="372"/>
      <c r="P370" s="372"/>
      <c r="Q370" s="372"/>
      <c r="R370" s="372"/>
      <c r="S370" s="372"/>
      <c r="T370" s="372"/>
      <c r="U370" s="372"/>
      <c r="V370" s="372"/>
      <c r="W370" s="372"/>
      <c r="X370" s="372"/>
      <c r="Y370" s="372"/>
      <c r="AH370" t="s">
        <v>2058</v>
      </c>
      <c r="AI370" t="s">
        <v>450</v>
      </c>
      <c r="AJ370" t="s">
        <v>968</v>
      </c>
      <c r="AK370" t="s">
        <v>2458</v>
      </c>
      <c r="AL370" t="s">
        <v>1802</v>
      </c>
      <c r="AM370" t="s">
        <v>1096</v>
      </c>
      <c r="AN370" t="s">
        <v>1803</v>
      </c>
      <c r="AO370">
        <v>7920</v>
      </c>
      <c r="AP370">
        <v>7920</v>
      </c>
      <c r="AQ370" t="s">
        <v>1804</v>
      </c>
      <c r="AR370" t="s">
        <v>266</v>
      </c>
      <c r="AS370" t="s">
        <v>1021</v>
      </c>
    </row>
    <row r="371" spans="11:45" x14ac:dyDescent="0.35">
      <c r="K371" s="373"/>
      <c r="L371" s="372"/>
      <c r="M371" s="372"/>
      <c r="N371" s="372"/>
      <c r="O371" s="372"/>
      <c r="P371" s="372"/>
      <c r="Q371" s="372"/>
      <c r="R371" s="372"/>
      <c r="S371" s="372"/>
      <c r="T371" s="372"/>
      <c r="U371" s="372"/>
      <c r="V371" s="372"/>
      <c r="W371" s="372"/>
      <c r="X371" s="372"/>
      <c r="Y371" s="372"/>
      <c r="AH371" t="s">
        <v>2058</v>
      </c>
      <c r="AI371" t="s">
        <v>450</v>
      </c>
      <c r="AJ371" t="s">
        <v>968</v>
      </c>
      <c r="AK371" t="s">
        <v>2459</v>
      </c>
      <c r="AL371" t="s">
        <v>1805</v>
      </c>
      <c r="AM371" t="s">
        <v>952</v>
      </c>
      <c r="AN371" t="s">
        <v>1803</v>
      </c>
      <c r="AO371">
        <v>13423</v>
      </c>
      <c r="AP371">
        <v>13423</v>
      </c>
      <c r="AQ371" t="s">
        <v>1804</v>
      </c>
      <c r="AR371" t="s">
        <v>266</v>
      </c>
      <c r="AS371" t="s">
        <v>1021</v>
      </c>
    </row>
    <row r="372" spans="11:45" x14ac:dyDescent="0.35">
      <c r="K372" s="373"/>
      <c r="L372" s="372"/>
      <c r="M372" s="372"/>
      <c r="N372" s="372"/>
      <c r="O372" s="372"/>
      <c r="P372" s="372"/>
      <c r="Q372" s="372"/>
      <c r="R372" s="372"/>
      <c r="S372" s="372"/>
      <c r="T372" s="372"/>
      <c r="U372" s="372"/>
      <c r="V372" s="372"/>
      <c r="W372" s="372"/>
      <c r="X372" s="372"/>
      <c r="Y372" s="372"/>
      <c r="AH372" t="s">
        <v>2058</v>
      </c>
      <c r="AI372" t="s">
        <v>450</v>
      </c>
      <c r="AJ372" t="s">
        <v>968</v>
      </c>
      <c r="AK372" t="s">
        <v>2459</v>
      </c>
      <c r="AL372" t="s">
        <v>1805</v>
      </c>
      <c r="AM372" t="s">
        <v>902</v>
      </c>
      <c r="AN372" t="s">
        <v>1803</v>
      </c>
      <c r="AO372">
        <v>9900</v>
      </c>
      <c r="AP372">
        <v>9900</v>
      </c>
      <c r="AQ372" t="s">
        <v>1804</v>
      </c>
      <c r="AR372" t="s">
        <v>266</v>
      </c>
      <c r="AS372" t="s">
        <v>1021</v>
      </c>
    </row>
    <row r="373" spans="11:45" x14ac:dyDescent="0.35">
      <c r="K373" s="373"/>
      <c r="L373" s="372"/>
      <c r="M373" s="372"/>
      <c r="N373" s="372"/>
      <c r="O373" s="372"/>
      <c r="P373" s="372"/>
      <c r="Q373" s="372"/>
      <c r="R373" s="372"/>
      <c r="S373" s="372"/>
      <c r="T373" s="372"/>
      <c r="U373" s="372"/>
      <c r="V373" s="372"/>
      <c r="W373" s="372"/>
      <c r="X373" s="372"/>
      <c r="Y373" s="372"/>
      <c r="AH373" t="s">
        <v>2058</v>
      </c>
      <c r="AI373" t="s">
        <v>450</v>
      </c>
      <c r="AJ373" t="s">
        <v>968</v>
      </c>
      <c r="AK373" t="s">
        <v>2459</v>
      </c>
      <c r="AL373" t="s">
        <v>1805</v>
      </c>
      <c r="AM373" t="s">
        <v>940</v>
      </c>
      <c r="AN373" t="s">
        <v>1803</v>
      </c>
      <c r="AO373">
        <v>9900</v>
      </c>
      <c r="AP373">
        <v>9900</v>
      </c>
      <c r="AQ373" t="s">
        <v>1804</v>
      </c>
      <c r="AR373" t="s">
        <v>266</v>
      </c>
      <c r="AS373" t="s">
        <v>1021</v>
      </c>
    </row>
    <row r="374" spans="11:45" x14ac:dyDescent="0.35">
      <c r="K374" s="373"/>
      <c r="L374" s="372"/>
      <c r="M374" s="372"/>
      <c r="N374" s="372"/>
      <c r="O374" s="372"/>
      <c r="P374" s="372"/>
      <c r="Q374" s="372"/>
      <c r="R374" s="372"/>
      <c r="S374" s="372"/>
      <c r="T374" s="372"/>
      <c r="U374" s="372"/>
      <c r="V374" s="372"/>
      <c r="W374" s="372"/>
      <c r="X374" s="372"/>
      <c r="Y374" s="372"/>
      <c r="AH374" t="s">
        <v>2058</v>
      </c>
      <c r="AI374" t="s">
        <v>450</v>
      </c>
      <c r="AJ374" t="s">
        <v>968</v>
      </c>
      <c r="AK374" t="s">
        <v>2459</v>
      </c>
      <c r="AL374" t="s">
        <v>1805</v>
      </c>
      <c r="AM374" t="s">
        <v>931</v>
      </c>
      <c r="AN374" t="s">
        <v>1803</v>
      </c>
      <c r="AO374">
        <v>14948</v>
      </c>
      <c r="AP374">
        <v>14948</v>
      </c>
      <c r="AQ374" t="s">
        <v>1804</v>
      </c>
      <c r="AR374" t="s">
        <v>266</v>
      </c>
      <c r="AS374" t="s">
        <v>1021</v>
      </c>
    </row>
    <row r="375" spans="11:45" x14ac:dyDescent="0.35">
      <c r="K375" s="373"/>
      <c r="L375" s="372"/>
      <c r="M375" s="372"/>
      <c r="N375" s="372"/>
      <c r="O375" s="372"/>
      <c r="P375" s="372"/>
      <c r="Q375" s="372"/>
      <c r="R375" s="372"/>
      <c r="S375" s="372"/>
      <c r="T375" s="372"/>
      <c r="U375" s="372"/>
      <c r="V375" s="372"/>
      <c r="W375" s="372"/>
      <c r="X375" s="372"/>
      <c r="Y375" s="372"/>
      <c r="AH375" t="s">
        <v>2058</v>
      </c>
      <c r="AI375" t="s">
        <v>450</v>
      </c>
      <c r="AJ375" t="s">
        <v>968</v>
      </c>
      <c r="AK375" t="s">
        <v>2459</v>
      </c>
      <c r="AL375" t="s">
        <v>1805</v>
      </c>
      <c r="AM375" t="s">
        <v>325</v>
      </c>
      <c r="AN375" t="s">
        <v>1803</v>
      </c>
      <c r="AO375">
        <v>11880</v>
      </c>
      <c r="AP375">
        <v>11880</v>
      </c>
      <c r="AQ375" t="s">
        <v>1804</v>
      </c>
      <c r="AR375" t="s">
        <v>266</v>
      </c>
      <c r="AS375" t="s">
        <v>1021</v>
      </c>
    </row>
    <row r="376" spans="11:45" x14ac:dyDescent="0.35">
      <c r="K376" s="373"/>
      <c r="L376" s="372"/>
      <c r="M376" s="372"/>
      <c r="N376" s="372"/>
      <c r="O376" s="372"/>
      <c r="P376" s="372"/>
      <c r="Q376" s="372"/>
      <c r="R376" s="372"/>
      <c r="S376" s="372"/>
      <c r="T376" s="372"/>
      <c r="U376" s="372"/>
      <c r="V376" s="372"/>
      <c r="W376" s="372"/>
      <c r="X376" s="372"/>
      <c r="Y376" s="372"/>
      <c r="AH376" t="s">
        <v>2058</v>
      </c>
      <c r="AI376" t="s">
        <v>450</v>
      </c>
      <c r="AJ376" t="s">
        <v>968</v>
      </c>
      <c r="AK376" t="s">
        <v>2459</v>
      </c>
      <c r="AL376" t="s">
        <v>1805</v>
      </c>
      <c r="AM376" t="s">
        <v>954</v>
      </c>
      <c r="AN376" t="s">
        <v>1803</v>
      </c>
      <c r="AO376">
        <v>13230</v>
      </c>
      <c r="AP376">
        <v>13230</v>
      </c>
      <c r="AQ376" t="s">
        <v>1804</v>
      </c>
      <c r="AR376" t="s">
        <v>266</v>
      </c>
      <c r="AS376" t="s">
        <v>1021</v>
      </c>
    </row>
    <row r="377" spans="11:45" x14ac:dyDescent="0.35">
      <c r="K377" s="373"/>
      <c r="L377" s="372"/>
      <c r="M377" s="372"/>
      <c r="N377" s="372"/>
      <c r="O377" s="372"/>
      <c r="P377" s="372"/>
      <c r="Q377" s="372"/>
      <c r="R377" s="372"/>
      <c r="S377" s="372"/>
      <c r="T377" s="372"/>
      <c r="U377" s="372"/>
      <c r="V377" s="372"/>
      <c r="W377" s="372"/>
      <c r="X377" s="372"/>
      <c r="Y377" s="372"/>
      <c r="AH377" t="s">
        <v>2058</v>
      </c>
      <c r="AI377" t="s">
        <v>450</v>
      </c>
      <c r="AJ377" t="s">
        <v>968</v>
      </c>
      <c r="AK377" t="s">
        <v>2459</v>
      </c>
      <c r="AL377" t="s">
        <v>1805</v>
      </c>
      <c r="AM377" t="s">
        <v>326</v>
      </c>
      <c r="AN377" t="s">
        <v>1803</v>
      </c>
      <c r="AO377">
        <v>20790</v>
      </c>
      <c r="AP377">
        <v>20790</v>
      </c>
      <c r="AQ377" t="s">
        <v>1804</v>
      </c>
      <c r="AR377" t="s">
        <v>266</v>
      </c>
      <c r="AS377" t="s">
        <v>1021</v>
      </c>
    </row>
    <row r="378" spans="11:45" x14ac:dyDescent="0.35">
      <c r="K378" s="373"/>
      <c r="L378" s="372"/>
      <c r="M378" s="372"/>
      <c r="N378" s="372"/>
      <c r="O378" s="372"/>
      <c r="P378" s="372"/>
      <c r="Q378" s="372"/>
      <c r="R378" s="372"/>
      <c r="S378" s="372"/>
      <c r="T378" s="372"/>
      <c r="U378" s="372"/>
      <c r="V378" s="372"/>
      <c r="W378" s="372"/>
      <c r="X378" s="372"/>
      <c r="Y378" s="372"/>
      <c r="AH378" t="s">
        <v>2058</v>
      </c>
      <c r="AI378" t="s">
        <v>450</v>
      </c>
      <c r="AJ378" t="s">
        <v>968</v>
      </c>
      <c r="AK378" t="s">
        <v>2459</v>
      </c>
      <c r="AL378" t="s">
        <v>1805</v>
      </c>
      <c r="AM378" t="s">
        <v>933</v>
      </c>
      <c r="AN378" t="s">
        <v>1803</v>
      </c>
      <c r="AO378">
        <v>12870</v>
      </c>
      <c r="AP378">
        <v>12870</v>
      </c>
      <c r="AQ378" t="s">
        <v>1804</v>
      </c>
      <c r="AR378" t="s">
        <v>266</v>
      </c>
      <c r="AS378" t="s">
        <v>1021</v>
      </c>
    </row>
    <row r="379" spans="11:45" x14ac:dyDescent="0.35">
      <c r="K379" s="373"/>
      <c r="L379" s="372"/>
      <c r="M379" s="372"/>
      <c r="N379" s="372"/>
      <c r="O379" s="372"/>
      <c r="P379" s="372"/>
      <c r="Q379" s="372"/>
      <c r="R379" s="372"/>
      <c r="S379" s="372"/>
      <c r="T379" s="372"/>
      <c r="U379" s="372"/>
      <c r="V379" s="372"/>
      <c r="W379" s="372"/>
      <c r="X379" s="372"/>
      <c r="Y379" s="372"/>
      <c r="AH379" t="s">
        <v>2059</v>
      </c>
      <c r="AI379" t="s">
        <v>450</v>
      </c>
      <c r="AJ379" t="s">
        <v>968</v>
      </c>
      <c r="AK379" t="s">
        <v>2460</v>
      </c>
      <c r="AL379" t="s">
        <v>1806</v>
      </c>
      <c r="AM379" t="s">
        <v>929</v>
      </c>
      <c r="AN379" t="s">
        <v>1803</v>
      </c>
      <c r="AO379">
        <v>7920</v>
      </c>
      <c r="AP379">
        <v>7920</v>
      </c>
      <c r="AQ379" t="s">
        <v>1804</v>
      </c>
      <c r="AR379" t="s">
        <v>266</v>
      </c>
      <c r="AS379" t="s">
        <v>1021</v>
      </c>
    </row>
    <row r="380" spans="11:45" x14ac:dyDescent="0.35">
      <c r="K380" s="373"/>
      <c r="L380" s="372"/>
      <c r="M380" s="372"/>
      <c r="N380" s="372"/>
      <c r="O380" s="372"/>
      <c r="P380" s="372"/>
      <c r="Q380" s="372"/>
      <c r="R380" s="372"/>
      <c r="S380" s="372"/>
      <c r="T380" s="372"/>
      <c r="U380" s="372"/>
      <c r="V380" s="372"/>
      <c r="W380" s="372"/>
      <c r="X380" s="372"/>
      <c r="Y380" s="372"/>
      <c r="AH380" t="s">
        <v>2059</v>
      </c>
      <c r="AI380" t="s">
        <v>450</v>
      </c>
      <c r="AJ380" t="s">
        <v>968</v>
      </c>
      <c r="AK380" t="s">
        <v>2460</v>
      </c>
      <c r="AL380" t="s">
        <v>1806</v>
      </c>
      <c r="AM380" t="s">
        <v>1807</v>
      </c>
      <c r="AN380" t="s">
        <v>1803</v>
      </c>
      <c r="AO380">
        <v>12870</v>
      </c>
      <c r="AP380">
        <v>12870</v>
      </c>
      <c r="AQ380" t="s">
        <v>1804</v>
      </c>
      <c r="AR380" t="s">
        <v>266</v>
      </c>
      <c r="AS380" t="s">
        <v>1021</v>
      </c>
    </row>
    <row r="381" spans="11:45" x14ac:dyDescent="0.35">
      <c r="K381" s="373"/>
      <c r="L381" s="372"/>
      <c r="M381" s="372"/>
      <c r="N381" s="372"/>
      <c r="O381" s="372"/>
      <c r="P381" s="372"/>
      <c r="Q381" s="372"/>
      <c r="R381" s="372"/>
      <c r="S381" s="372"/>
      <c r="T381" s="372"/>
      <c r="U381" s="372"/>
      <c r="V381" s="372"/>
      <c r="W381" s="372"/>
      <c r="X381" s="372"/>
      <c r="Y381" s="372"/>
      <c r="AH381" t="s">
        <v>2059</v>
      </c>
      <c r="AI381" t="s">
        <v>450</v>
      </c>
      <c r="AJ381" t="s">
        <v>968</v>
      </c>
      <c r="AK381" t="s">
        <v>2460</v>
      </c>
      <c r="AL381" t="s">
        <v>1806</v>
      </c>
      <c r="AM381" t="s">
        <v>921</v>
      </c>
      <c r="AN381" t="s">
        <v>1803</v>
      </c>
      <c r="AO381">
        <v>20790</v>
      </c>
      <c r="AP381">
        <v>20790</v>
      </c>
      <c r="AQ381" t="s">
        <v>1804</v>
      </c>
      <c r="AR381" t="s">
        <v>266</v>
      </c>
      <c r="AS381" t="s">
        <v>1021</v>
      </c>
    </row>
    <row r="382" spans="11:45" x14ac:dyDescent="0.35">
      <c r="K382" s="373"/>
      <c r="L382" s="372"/>
      <c r="M382" s="372"/>
      <c r="N382" s="372"/>
      <c r="O382" s="372"/>
      <c r="P382" s="372"/>
      <c r="Q382" s="372"/>
      <c r="R382" s="372"/>
      <c r="S382" s="372"/>
      <c r="T382" s="372"/>
      <c r="U382" s="372"/>
      <c r="V382" s="372"/>
      <c r="W382" s="372"/>
      <c r="X382" s="372"/>
      <c r="Y382" s="372"/>
      <c r="AH382" t="s">
        <v>2059</v>
      </c>
      <c r="AI382" t="s">
        <v>450</v>
      </c>
      <c r="AJ382" t="s">
        <v>968</v>
      </c>
      <c r="AK382" t="s">
        <v>2460</v>
      </c>
      <c r="AL382" t="s">
        <v>1806</v>
      </c>
      <c r="AM382" t="s">
        <v>938</v>
      </c>
      <c r="AN382" t="s">
        <v>1803</v>
      </c>
      <c r="AO382">
        <v>9900</v>
      </c>
      <c r="AP382">
        <v>9900</v>
      </c>
      <c r="AQ382" t="s">
        <v>1804</v>
      </c>
      <c r="AR382" t="s">
        <v>266</v>
      </c>
      <c r="AS382" t="s">
        <v>1021</v>
      </c>
    </row>
    <row r="383" spans="11:45" x14ac:dyDescent="0.35">
      <c r="K383" s="373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  <c r="AH383" t="s">
        <v>2059</v>
      </c>
      <c r="AI383" t="s">
        <v>450</v>
      </c>
      <c r="AJ383" t="s">
        <v>968</v>
      </c>
      <c r="AK383" t="s">
        <v>2460</v>
      </c>
      <c r="AL383" t="s">
        <v>1806</v>
      </c>
      <c r="AM383" t="s">
        <v>939</v>
      </c>
      <c r="AN383" t="s">
        <v>1803</v>
      </c>
      <c r="AO383">
        <v>9900</v>
      </c>
      <c r="AP383">
        <v>9900</v>
      </c>
      <c r="AQ383" t="s">
        <v>1804</v>
      </c>
      <c r="AR383" t="s">
        <v>266</v>
      </c>
      <c r="AS383" t="s">
        <v>1021</v>
      </c>
    </row>
    <row r="384" spans="11:45" x14ac:dyDescent="0.35">
      <c r="K384" s="373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  <c r="AH384" t="s">
        <v>2059</v>
      </c>
      <c r="AI384" t="s">
        <v>450</v>
      </c>
      <c r="AJ384" t="s">
        <v>968</v>
      </c>
      <c r="AK384" t="s">
        <v>2460</v>
      </c>
      <c r="AL384" t="s">
        <v>1806</v>
      </c>
      <c r="AM384" t="s">
        <v>962</v>
      </c>
      <c r="AN384" t="s">
        <v>1803</v>
      </c>
      <c r="AO384">
        <v>9900</v>
      </c>
      <c r="AP384">
        <v>9900</v>
      </c>
      <c r="AQ384" t="s">
        <v>1804</v>
      </c>
      <c r="AR384" t="s">
        <v>266</v>
      </c>
      <c r="AS384" t="s">
        <v>1021</v>
      </c>
    </row>
    <row r="385" spans="11:45" x14ac:dyDescent="0.35">
      <c r="K385" s="373"/>
      <c r="L385" s="372"/>
      <c r="M385" s="372"/>
      <c r="N385" s="372"/>
      <c r="O385" s="372"/>
      <c r="P385" s="372"/>
      <c r="Q385" s="372"/>
      <c r="R385" s="372"/>
      <c r="S385" s="372"/>
      <c r="T385" s="372"/>
      <c r="U385" s="372"/>
      <c r="V385" s="372"/>
      <c r="W385" s="372"/>
      <c r="X385" s="372"/>
      <c r="Y385" s="372"/>
      <c r="AH385" t="s">
        <v>2059</v>
      </c>
      <c r="AI385" t="s">
        <v>450</v>
      </c>
      <c r="AJ385" t="s">
        <v>968</v>
      </c>
      <c r="AK385" t="s">
        <v>2460</v>
      </c>
      <c r="AL385" t="s">
        <v>1806</v>
      </c>
      <c r="AM385" t="s">
        <v>1105</v>
      </c>
      <c r="AN385" t="s">
        <v>1803</v>
      </c>
      <c r="AO385">
        <v>7920</v>
      </c>
      <c r="AP385">
        <v>7920</v>
      </c>
      <c r="AQ385" t="s">
        <v>1804</v>
      </c>
      <c r="AR385" t="s">
        <v>266</v>
      </c>
      <c r="AS385" t="s">
        <v>1021</v>
      </c>
    </row>
    <row r="386" spans="11:45" x14ac:dyDescent="0.35">
      <c r="K386" s="373"/>
      <c r="L386" s="372"/>
      <c r="M386" s="372"/>
      <c r="N386" s="372"/>
      <c r="O386" s="372"/>
      <c r="P386" s="372"/>
      <c r="Q386" s="372"/>
      <c r="R386" s="372"/>
      <c r="S386" s="372"/>
      <c r="T386" s="372"/>
      <c r="U386" s="372"/>
      <c r="V386" s="372"/>
      <c r="W386" s="372"/>
      <c r="X386" s="372"/>
      <c r="Y386" s="372"/>
      <c r="AH386" t="s">
        <v>2059</v>
      </c>
      <c r="AI386" t="s">
        <v>450</v>
      </c>
      <c r="AJ386" t="s">
        <v>968</v>
      </c>
      <c r="AK386" t="s">
        <v>2460</v>
      </c>
      <c r="AL386" t="s">
        <v>1806</v>
      </c>
      <c r="AM386" t="s">
        <v>956</v>
      </c>
      <c r="AN386" t="s">
        <v>1803</v>
      </c>
      <c r="AO386">
        <v>12870</v>
      </c>
      <c r="AP386">
        <v>12870</v>
      </c>
      <c r="AQ386" t="s">
        <v>1804</v>
      </c>
      <c r="AR386" t="s">
        <v>266</v>
      </c>
      <c r="AS386" t="s">
        <v>1021</v>
      </c>
    </row>
    <row r="387" spans="11:45" x14ac:dyDescent="0.35">
      <c r="K387" s="373"/>
      <c r="L387" s="372"/>
      <c r="M387" s="372"/>
      <c r="N387" s="372"/>
      <c r="O387" s="372"/>
      <c r="P387" s="372"/>
      <c r="Q387" s="372"/>
      <c r="R387" s="372"/>
      <c r="S387" s="372"/>
      <c r="T387" s="372"/>
      <c r="U387" s="372"/>
      <c r="V387" s="372"/>
      <c r="W387" s="372"/>
      <c r="X387" s="372"/>
      <c r="Y387" s="372"/>
      <c r="AH387" t="s">
        <v>2059</v>
      </c>
      <c r="AI387" t="s">
        <v>450</v>
      </c>
      <c r="AJ387" t="s">
        <v>968</v>
      </c>
      <c r="AK387" t="s">
        <v>2460</v>
      </c>
      <c r="AL387" t="s">
        <v>1806</v>
      </c>
      <c r="AM387" t="s">
        <v>328</v>
      </c>
      <c r="AN387" t="s">
        <v>1803</v>
      </c>
      <c r="AO387">
        <v>9900</v>
      </c>
      <c r="AP387">
        <v>9900</v>
      </c>
      <c r="AQ387" t="s">
        <v>1804</v>
      </c>
      <c r="AR387" t="s">
        <v>266</v>
      </c>
      <c r="AS387" t="s">
        <v>1021</v>
      </c>
    </row>
    <row r="388" spans="11:45" x14ac:dyDescent="0.35">
      <c r="K388" s="373"/>
      <c r="L388" s="372"/>
      <c r="M388" s="372"/>
      <c r="N388" s="372"/>
      <c r="O388" s="372"/>
      <c r="P388" s="372"/>
      <c r="Q388" s="372"/>
      <c r="R388" s="372"/>
      <c r="S388" s="372"/>
      <c r="T388" s="372"/>
      <c r="U388" s="372"/>
      <c r="V388" s="372"/>
      <c r="W388" s="372"/>
      <c r="X388" s="372"/>
      <c r="Y388" s="372"/>
      <c r="AH388" t="s">
        <v>2060</v>
      </c>
      <c r="AI388" t="s">
        <v>450</v>
      </c>
      <c r="AJ388" t="s">
        <v>968</v>
      </c>
      <c r="AK388" t="s">
        <v>2461</v>
      </c>
      <c r="AL388" t="s">
        <v>1808</v>
      </c>
      <c r="AM388" t="s">
        <v>919</v>
      </c>
      <c r="AN388" t="s">
        <v>1803</v>
      </c>
      <c r="AO388">
        <v>14150</v>
      </c>
      <c r="AP388">
        <v>14150</v>
      </c>
      <c r="AQ388" t="s">
        <v>1804</v>
      </c>
      <c r="AR388" t="s">
        <v>266</v>
      </c>
      <c r="AS388" t="s">
        <v>1021</v>
      </c>
    </row>
    <row r="389" spans="11:45" x14ac:dyDescent="0.35">
      <c r="K389" s="373"/>
      <c r="L389" s="372"/>
      <c r="M389" s="372"/>
      <c r="N389" s="372"/>
      <c r="O389" s="372"/>
      <c r="P389" s="372"/>
      <c r="Q389" s="372"/>
      <c r="R389" s="372"/>
      <c r="S389" s="372"/>
      <c r="T389" s="372"/>
      <c r="U389" s="372"/>
      <c r="V389" s="372"/>
      <c r="W389" s="372"/>
      <c r="X389" s="372"/>
      <c r="Y389" s="372"/>
      <c r="AH389" t="s">
        <v>2060</v>
      </c>
      <c r="AI389" t="s">
        <v>450</v>
      </c>
      <c r="AJ389" t="s">
        <v>968</v>
      </c>
      <c r="AK389" t="s">
        <v>2461</v>
      </c>
      <c r="AL389" t="s">
        <v>1808</v>
      </c>
      <c r="AM389" t="s">
        <v>960</v>
      </c>
      <c r="AN389" t="s">
        <v>1803</v>
      </c>
      <c r="AO389">
        <v>20790</v>
      </c>
      <c r="AP389">
        <v>20790</v>
      </c>
      <c r="AQ389" t="s">
        <v>1804</v>
      </c>
      <c r="AR389" t="s">
        <v>266</v>
      </c>
      <c r="AS389" t="s">
        <v>1021</v>
      </c>
    </row>
    <row r="390" spans="11:45" x14ac:dyDescent="0.35">
      <c r="K390" s="373"/>
      <c r="L390" s="372"/>
      <c r="M390" s="372"/>
      <c r="N390" s="372"/>
      <c r="O390" s="372"/>
      <c r="P390" s="372"/>
      <c r="Q390" s="372"/>
      <c r="R390" s="372"/>
      <c r="S390" s="372"/>
      <c r="T390" s="372"/>
      <c r="U390" s="372"/>
      <c r="V390" s="372"/>
      <c r="W390" s="372"/>
      <c r="X390" s="372"/>
      <c r="Y390" s="372"/>
      <c r="AH390" t="s">
        <v>2060</v>
      </c>
      <c r="AI390" t="s">
        <v>450</v>
      </c>
      <c r="AJ390" t="s">
        <v>968</v>
      </c>
      <c r="AK390" t="s">
        <v>2461</v>
      </c>
      <c r="AL390" t="s">
        <v>1808</v>
      </c>
      <c r="AM390" t="s">
        <v>959</v>
      </c>
      <c r="AN390" t="s">
        <v>1803</v>
      </c>
      <c r="AO390">
        <v>9900</v>
      </c>
      <c r="AP390">
        <v>9900</v>
      </c>
      <c r="AQ390" t="s">
        <v>1804</v>
      </c>
      <c r="AR390" t="s">
        <v>266</v>
      </c>
      <c r="AS390" t="s">
        <v>1021</v>
      </c>
    </row>
    <row r="391" spans="11:45" x14ac:dyDescent="0.35">
      <c r="K391" s="373"/>
      <c r="L391" s="372"/>
      <c r="M391" s="372"/>
      <c r="N391" s="372"/>
      <c r="O391" s="372"/>
      <c r="P391" s="372"/>
      <c r="Q391" s="372"/>
      <c r="R391" s="372"/>
      <c r="S391" s="372"/>
      <c r="T391" s="372"/>
      <c r="U391" s="372"/>
      <c r="V391" s="372"/>
      <c r="W391" s="372"/>
      <c r="X391" s="372"/>
      <c r="Y391" s="372"/>
      <c r="AH391" t="s">
        <v>2060</v>
      </c>
      <c r="AI391" t="s">
        <v>450</v>
      </c>
      <c r="AJ391" t="s">
        <v>968</v>
      </c>
      <c r="AK391" t="s">
        <v>2461</v>
      </c>
      <c r="AL391" t="s">
        <v>1808</v>
      </c>
      <c r="AM391" t="s">
        <v>958</v>
      </c>
      <c r="AN391" t="s">
        <v>1803</v>
      </c>
      <c r="AO391">
        <v>12870</v>
      </c>
      <c r="AP391">
        <v>12870</v>
      </c>
      <c r="AQ391" t="s">
        <v>1804</v>
      </c>
      <c r="AR391" t="s">
        <v>266</v>
      </c>
      <c r="AS391" t="s">
        <v>1021</v>
      </c>
    </row>
    <row r="392" spans="11:45" x14ac:dyDescent="0.35">
      <c r="K392" s="373"/>
      <c r="L392" s="372"/>
      <c r="M392" s="372"/>
      <c r="N392" s="372"/>
      <c r="O392" s="372"/>
      <c r="P392" s="372"/>
      <c r="Q392" s="372"/>
      <c r="R392" s="372"/>
      <c r="S392" s="372"/>
      <c r="T392" s="372"/>
      <c r="U392" s="372"/>
      <c r="V392" s="372"/>
      <c r="W392" s="372"/>
      <c r="X392" s="372"/>
      <c r="Y392" s="372"/>
      <c r="AH392" t="s">
        <v>2060</v>
      </c>
      <c r="AI392" t="s">
        <v>450</v>
      </c>
      <c r="AJ392" t="s">
        <v>968</v>
      </c>
      <c r="AK392" t="s">
        <v>2461</v>
      </c>
      <c r="AL392" t="s">
        <v>1808</v>
      </c>
      <c r="AM392" t="s">
        <v>918</v>
      </c>
      <c r="AN392" t="s">
        <v>1803</v>
      </c>
      <c r="AO392">
        <v>13030</v>
      </c>
      <c r="AP392">
        <v>13030</v>
      </c>
      <c r="AQ392" t="s">
        <v>1804</v>
      </c>
      <c r="AR392" t="s">
        <v>266</v>
      </c>
      <c r="AS392" t="s">
        <v>1021</v>
      </c>
    </row>
    <row r="393" spans="11:45" x14ac:dyDescent="0.35">
      <c r="K393" s="373"/>
      <c r="L393" s="372"/>
      <c r="M393" s="372"/>
      <c r="N393" s="372"/>
      <c r="O393" s="372"/>
      <c r="P393" s="372"/>
      <c r="Q393" s="372"/>
      <c r="R393" s="372"/>
      <c r="S393" s="372"/>
      <c r="T393" s="372"/>
      <c r="U393" s="372"/>
      <c r="V393" s="372"/>
      <c r="W393" s="372"/>
      <c r="X393" s="372"/>
      <c r="Y393" s="372"/>
      <c r="AH393" t="s">
        <v>2060</v>
      </c>
      <c r="AI393" t="s">
        <v>450</v>
      </c>
      <c r="AJ393" t="s">
        <v>968</v>
      </c>
      <c r="AK393" t="s">
        <v>2461</v>
      </c>
      <c r="AL393" t="s">
        <v>1808</v>
      </c>
      <c r="AM393" t="s">
        <v>880</v>
      </c>
      <c r="AN393" t="s">
        <v>1803</v>
      </c>
      <c r="AO393">
        <v>12870</v>
      </c>
      <c r="AP393">
        <v>12870</v>
      </c>
      <c r="AQ393" t="s">
        <v>1804</v>
      </c>
      <c r="AR393" t="s">
        <v>266</v>
      </c>
      <c r="AS393" t="s">
        <v>1021</v>
      </c>
    </row>
    <row r="394" spans="11:45" x14ac:dyDescent="0.35">
      <c r="K394" s="373"/>
      <c r="L394" s="372"/>
      <c r="M394" s="372"/>
      <c r="N394" s="372"/>
      <c r="O394" s="372"/>
      <c r="P394" s="372"/>
      <c r="Q394" s="372"/>
      <c r="R394" s="372"/>
      <c r="S394" s="372"/>
      <c r="T394" s="372"/>
      <c r="U394" s="372"/>
      <c r="V394" s="372"/>
      <c r="W394" s="372"/>
      <c r="X394" s="372"/>
      <c r="Y394" s="372"/>
      <c r="AH394" t="s">
        <v>2060</v>
      </c>
      <c r="AI394" t="s">
        <v>450</v>
      </c>
      <c r="AJ394" t="s">
        <v>968</v>
      </c>
      <c r="AK394" t="s">
        <v>2461</v>
      </c>
      <c r="AL394" t="s">
        <v>1808</v>
      </c>
      <c r="AM394" t="s">
        <v>353</v>
      </c>
      <c r="AN394" t="s">
        <v>1803</v>
      </c>
      <c r="AO394">
        <v>13488</v>
      </c>
      <c r="AP394">
        <v>13488</v>
      </c>
      <c r="AQ394" t="s">
        <v>1804</v>
      </c>
      <c r="AR394" t="s">
        <v>266</v>
      </c>
      <c r="AS394" t="s">
        <v>1021</v>
      </c>
    </row>
    <row r="395" spans="11:45" x14ac:dyDescent="0.35">
      <c r="K395" s="373"/>
      <c r="L395" s="372"/>
      <c r="M395" s="372"/>
      <c r="N395" s="372"/>
      <c r="O395" s="372"/>
      <c r="P395" s="372"/>
      <c r="Q395" s="372"/>
      <c r="R395" s="372"/>
      <c r="S395" s="372"/>
      <c r="T395" s="372"/>
      <c r="U395" s="372"/>
      <c r="V395" s="372"/>
      <c r="W395" s="372"/>
      <c r="X395" s="372"/>
      <c r="Y395" s="372"/>
      <c r="AH395" t="s">
        <v>2060</v>
      </c>
      <c r="AI395" t="s">
        <v>450</v>
      </c>
      <c r="AJ395" t="s">
        <v>968</v>
      </c>
      <c r="AK395" t="s">
        <v>2461</v>
      </c>
      <c r="AL395" t="s">
        <v>1808</v>
      </c>
      <c r="AM395" t="s">
        <v>1088</v>
      </c>
      <c r="AN395" t="s">
        <v>1803</v>
      </c>
      <c r="AO395">
        <v>12870</v>
      </c>
      <c r="AP395">
        <v>12870</v>
      </c>
      <c r="AQ395" t="s">
        <v>1804</v>
      </c>
      <c r="AR395" t="s">
        <v>266</v>
      </c>
      <c r="AS395" t="s">
        <v>1021</v>
      </c>
    </row>
    <row r="396" spans="11:45" x14ac:dyDescent="0.35">
      <c r="K396" s="373"/>
      <c r="L396" s="372"/>
      <c r="M396" s="372"/>
      <c r="N396" s="372"/>
      <c r="O396" s="372"/>
      <c r="P396" s="372"/>
      <c r="Q396" s="372"/>
      <c r="R396" s="372"/>
      <c r="S396" s="372"/>
      <c r="T396" s="372"/>
      <c r="U396" s="372"/>
      <c r="V396" s="372"/>
      <c r="W396" s="372"/>
      <c r="X396" s="372"/>
      <c r="Y396" s="372"/>
      <c r="AH396" t="s">
        <v>1810</v>
      </c>
      <c r="AI396" t="s">
        <v>450</v>
      </c>
      <c r="AJ396" t="s">
        <v>968</v>
      </c>
      <c r="AK396" t="s">
        <v>2462</v>
      </c>
      <c r="AL396" t="s">
        <v>1809</v>
      </c>
      <c r="AM396" t="s">
        <v>957</v>
      </c>
      <c r="AN396" t="s">
        <v>1803</v>
      </c>
      <c r="AO396">
        <v>12870</v>
      </c>
      <c r="AP396">
        <v>12870</v>
      </c>
      <c r="AQ396" t="s">
        <v>1804</v>
      </c>
      <c r="AR396" t="s">
        <v>266</v>
      </c>
      <c r="AS396" t="s">
        <v>1021</v>
      </c>
    </row>
    <row r="397" spans="11:45" x14ac:dyDescent="0.35">
      <c r="K397" s="373"/>
      <c r="L397" s="372"/>
      <c r="M397" s="372"/>
      <c r="N397" s="372"/>
      <c r="O397" s="372"/>
      <c r="P397" s="372"/>
      <c r="Q397" s="372"/>
      <c r="R397" s="372"/>
      <c r="S397" s="372"/>
      <c r="T397" s="372"/>
      <c r="U397" s="372"/>
      <c r="V397" s="372"/>
      <c r="W397" s="372"/>
      <c r="X397" s="372"/>
      <c r="Y397" s="372"/>
      <c r="AH397" t="s">
        <v>1810</v>
      </c>
      <c r="AI397" t="s">
        <v>450</v>
      </c>
      <c r="AJ397" t="s">
        <v>968</v>
      </c>
      <c r="AK397" t="s">
        <v>2462</v>
      </c>
      <c r="AL397" t="s">
        <v>1809</v>
      </c>
      <c r="AM397" t="s">
        <v>885</v>
      </c>
      <c r="AN397" t="s">
        <v>1803</v>
      </c>
      <c r="AO397">
        <v>15367</v>
      </c>
      <c r="AP397">
        <v>15367</v>
      </c>
      <c r="AQ397" t="s">
        <v>1804</v>
      </c>
      <c r="AR397" t="s">
        <v>266</v>
      </c>
      <c r="AS397" t="s">
        <v>1021</v>
      </c>
    </row>
    <row r="398" spans="11:45" x14ac:dyDescent="0.35">
      <c r="K398" s="373"/>
      <c r="L398" s="372"/>
      <c r="M398" s="372"/>
      <c r="N398" s="372"/>
      <c r="O398" s="372"/>
      <c r="P398" s="372"/>
      <c r="Q398" s="372"/>
      <c r="R398" s="372"/>
      <c r="S398" s="372"/>
      <c r="T398" s="372"/>
      <c r="U398" s="372"/>
      <c r="V398" s="372"/>
      <c r="W398" s="372"/>
      <c r="X398" s="372"/>
      <c r="Y398" s="372"/>
      <c r="AH398" t="s">
        <v>1810</v>
      </c>
      <c r="AI398" t="s">
        <v>450</v>
      </c>
      <c r="AJ398" t="s">
        <v>968</v>
      </c>
      <c r="AK398" t="s">
        <v>2462</v>
      </c>
      <c r="AL398" t="s">
        <v>1809</v>
      </c>
      <c r="AM398" t="s">
        <v>337</v>
      </c>
      <c r="AN398" t="s">
        <v>1803</v>
      </c>
      <c r="AO398">
        <v>13900</v>
      </c>
      <c r="AP398">
        <v>13900</v>
      </c>
      <c r="AQ398" t="s">
        <v>1804</v>
      </c>
      <c r="AR398" t="s">
        <v>266</v>
      </c>
      <c r="AS398" t="s">
        <v>1021</v>
      </c>
    </row>
    <row r="399" spans="11:45" x14ac:dyDescent="0.35">
      <c r="K399" s="373"/>
      <c r="L399" s="372"/>
      <c r="M399" s="372"/>
      <c r="N399" s="372"/>
      <c r="O399" s="372"/>
      <c r="P399" s="372"/>
      <c r="Q399" s="372"/>
      <c r="R399" s="372"/>
      <c r="S399" s="372"/>
      <c r="T399" s="372"/>
      <c r="U399" s="372"/>
      <c r="V399" s="372"/>
      <c r="W399" s="372"/>
      <c r="X399" s="372"/>
      <c r="Y399" s="372"/>
      <c r="AH399" t="s">
        <v>1810</v>
      </c>
      <c r="AI399" t="s">
        <v>450</v>
      </c>
      <c r="AJ399" t="s">
        <v>968</v>
      </c>
      <c r="AK399" t="s">
        <v>2462</v>
      </c>
      <c r="AL399" t="s">
        <v>1809</v>
      </c>
      <c r="AM399" t="s">
        <v>916</v>
      </c>
      <c r="AN399" t="s">
        <v>1803</v>
      </c>
      <c r="AO399">
        <v>18539</v>
      </c>
      <c r="AP399">
        <v>18539</v>
      </c>
      <c r="AQ399" t="s">
        <v>1804</v>
      </c>
      <c r="AR399" t="s">
        <v>266</v>
      </c>
      <c r="AS399" t="s">
        <v>1021</v>
      </c>
    </row>
    <row r="400" spans="11:45" x14ac:dyDescent="0.35">
      <c r="K400" s="373"/>
      <c r="L400" s="372"/>
      <c r="M400" s="372"/>
      <c r="N400" s="372"/>
      <c r="O400" s="372"/>
      <c r="P400" s="372"/>
      <c r="Q400" s="372"/>
      <c r="R400" s="372"/>
      <c r="S400" s="372"/>
      <c r="T400" s="372"/>
      <c r="U400" s="372"/>
      <c r="V400" s="372"/>
      <c r="W400" s="372"/>
      <c r="X400" s="372"/>
      <c r="Y400" s="372"/>
      <c r="AH400" t="s">
        <v>1810</v>
      </c>
      <c r="AI400" t="s">
        <v>450</v>
      </c>
      <c r="AJ400" t="s">
        <v>968</v>
      </c>
      <c r="AK400" t="s">
        <v>2462</v>
      </c>
      <c r="AL400" t="s">
        <v>1809</v>
      </c>
      <c r="AM400" t="s">
        <v>878</v>
      </c>
      <c r="AN400" t="s">
        <v>1803</v>
      </c>
      <c r="AO400">
        <v>13372</v>
      </c>
      <c r="AP400">
        <v>13372</v>
      </c>
      <c r="AQ400" t="s">
        <v>1804</v>
      </c>
      <c r="AR400" t="s">
        <v>266</v>
      </c>
      <c r="AS400" t="s">
        <v>1021</v>
      </c>
    </row>
    <row r="401" spans="11:45" x14ac:dyDescent="0.35">
      <c r="K401" s="373"/>
      <c r="L401" s="372"/>
      <c r="M401" s="372"/>
      <c r="N401" s="372"/>
      <c r="O401" s="372"/>
      <c r="P401" s="372"/>
      <c r="Q401" s="372"/>
      <c r="R401" s="372"/>
      <c r="S401" s="372"/>
      <c r="T401" s="372"/>
      <c r="U401" s="372"/>
      <c r="V401" s="372"/>
      <c r="W401" s="372"/>
      <c r="X401" s="372"/>
      <c r="Y401" s="372"/>
      <c r="AH401" t="s">
        <v>1810</v>
      </c>
      <c r="AI401" t="s">
        <v>450</v>
      </c>
      <c r="AJ401" t="s">
        <v>968</v>
      </c>
      <c r="AK401" t="s">
        <v>2463</v>
      </c>
      <c r="AL401" t="s">
        <v>1810</v>
      </c>
      <c r="AM401" t="s">
        <v>928</v>
      </c>
      <c r="AN401" t="s">
        <v>1803</v>
      </c>
      <c r="AO401">
        <v>12870</v>
      </c>
      <c r="AP401">
        <v>12870</v>
      </c>
      <c r="AQ401" t="s">
        <v>1804</v>
      </c>
      <c r="AR401" t="s">
        <v>266</v>
      </c>
      <c r="AS401" t="s">
        <v>1021</v>
      </c>
    </row>
    <row r="402" spans="11:45" x14ac:dyDescent="0.35">
      <c r="K402" s="373"/>
      <c r="L402" s="372"/>
      <c r="M402" s="372"/>
      <c r="N402" s="372"/>
      <c r="O402" s="372"/>
      <c r="P402" s="372"/>
      <c r="Q402" s="372"/>
      <c r="R402" s="372"/>
      <c r="S402" s="372"/>
      <c r="T402" s="372"/>
      <c r="U402" s="372"/>
      <c r="V402" s="372"/>
      <c r="W402" s="372"/>
      <c r="X402" s="372"/>
      <c r="Y402" s="372"/>
      <c r="AH402" t="s">
        <v>1810</v>
      </c>
      <c r="AI402" t="s">
        <v>450</v>
      </c>
      <c r="AJ402" t="s">
        <v>968</v>
      </c>
      <c r="AK402" t="s">
        <v>2462</v>
      </c>
      <c r="AL402" t="s">
        <v>1809</v>
      </c>
      <c r="AM402" t="s">
        <v>917</v>
      </c>
      <c r="AN402" t="s">
        <v>1803</v>
      </c>
      <c r="AO402">
        <v>12870</v>
      </c>
      <c r="AP402">
        <v>12870</v>
      </c>
      <c r="AQ402" t="s">
        <v>1804</v>
      </c>
      <c r="AR402" t="s">
        <v>266</v>
      </c>
      <c r="AS402" t="s">
        <v>1021</v>
      </c>
    </row>
    <row r="403" spans="11:45" x14ac:dyDescent="0.35">
      <c r="K403" s="373"/>
      <c r="L403" s="372"/>
      <c r="M403" s="372"/>
      <c r="N403" s="372"/>
      <c r="O403" s="372"/>
      <c r="P403" s="372"/>
      <c r="Q403" s="372"/>
      <c r="R403" s="372"/>
      <c r="S403" s="372"/>
      <c r="T403" s="372"/>
      <c r="U403" s="372"/>
      <c r="V403" s="372"/>
      <c r="W403" s="372"/>
      <c r="X403" s="372"/>
      <c r="Y403" s="372"/>
      <c r="AH403" t="s">
        <v>1811</v>
      </c>
      <c r="AI403" t="s">
        <v>450</v>
      </c>
      <c r="AJ403" t="s">
        <v>968</v>
      </c>
      <c r="AK403" t="s">
        <v>2464</v>
      </c>
      <c r="AL403" t="s">
        <v>1811</v>
      </c>
      <c r="AM403" t="s">
        <v>1477</v>
      </c>
      <c r="AN403" t="s">
        <v>1803</v>
      </c>
      <c r="AO403">
        <v>15025</v>
      </c>
      <c r="AP403">
        <v>15025</v>
      </c>
      <c r="AQ403" t="s">
        <v>1804</v>
      </c>
      <c r="AR403" t="s">
        <v>266</v>
      </c>
      <c r="AS403" t="s">
        <v>1021</v>
      </c>
    </row>
    <row r="404" spans="11:45" x14ac:dyDescent="0.35">
      <c r="K404" s="373"/>
      <c r="L404" s="372"/>
      <c r="M404" s="372"/>
      <c r="N404" s="372"/>
      <c r="O404" s="372"/>
      <c r="P404" s="372"/>
      <c r="Q404" s="372"/>
      <c r="R404" s="372"/>
      <c r="S404" s="372"/>
      <c r="T404" s="372"/>
      <c r="U404" s="372"/>
      <c r="V404" s="372"/>
      <c r="W404" s="372"/>
      <c r="X404" s="372"/>
      <c r="Y404" s="372"/>
      <c r="AH404" t="s">
        <v>1812</v>
      </c>
      <c r="AI404" t="s">
        <v>450</v>
      </c>
      <c r="AJ404" t="s">
        <v>968</v>
      </c>
      <c r="AK404" t="s">
        <v>2230</v>
      </c>
      <c r="AL404" t="s">
        <v>1812</v>
      </c>
      <c r="AM404" t="s">
        <v>1813</v>
      </c>
      <c r="AN404" t="s">
        <v>1790</v>
      </c>
      <c r="AO404">
        <v>46617.89</v>
      </c>
      <c r="AP404">
        <v>438346.4</v>
      </c>
      <c r="AQ404" t="s">
        <v>1791</v>
      </c>
      <c r="AR404" t="s">
        <v>266</v>
      </c>
      <c r="AS404" t="s">
        <v>1021</v>
      </c>
    </row>
    <row r="405" spans="11:45" x14ac:dyDescent="0.35">
      <c r="K405" s="373"/>
      <c r="L405" s="372"/>
      <c r="M405" s="372"/>
      <c r="N405" s="372"/>
      <c r="O405" s="372"/>
      <c r="P405" s="372"/>
      <c r="Q405" s="372"/>
      <c r="R405" s="372"/>
      <c r="S405" s="372"/>
      <c r="T405" s="372"/>
      <c r="U405" s="372"/>
      <c r="V405" s="372"/>
      <c r="W405" s="372"/>
      <c r="X405" s="372"/>
      <c r="Y405" s="372"/>
      <c r="AH405" t="s">
        <v>2061</v>
      </c>
      <c r="AI405" t="s">
        <v>450</v>
      </c>
      <c r="AJ405" t="s">
        <v>968</v>
      </c>
      <c r="AK405" t="s">
        <v>2465</v>
      </c>
      <c r="AL405" t="s">
        <v>1814</v>
      </c>
      <c r="AM405" t="s">
        <v>1815</v>
      </c>
      <c r="AN405" t="s">
        <v>1816</v>
      </c>
      <c r="AO405">
        <v>86918.8</v>
      </c>
      <c r="AP405">
        <v>912305.2</v>
      </c>
      <c r="AQ405" t="s">
        <v>1817</v>
      </c>
      <c r="AR405" t="s">
        <v>266</v>
      </c>
      <c r="AS405" t="s">
        <v>973</v>
      </c>
    </row>
    <row r="406" spans="11:45" x14ac:dyDescent="0.35">
      <c r="K406" s="373"/>
      <c r="L406" s="372"/>
      <c r="M406" s="372"/>
      <c r="N406" s="372"/>
      <c r="O406" s="372"/>
      <c r="P406" s="372"/>
      <c r="Q406" s="372"/>
      <c r="R406" s="372"/>
      <c r="S406" s="372"/>
      <c r="T406" s="372"/>
      <c r="U406" s="372"/>
      <c r="V406" s="372"/>
      <c r="W406" s="372"/>
      <c r="X406" s="372"/>
      <c r="Y406" s="372"/>
      <c r="AH406" t="s">
        <v>1818</v>
      </c>
      <c r="AI406" t="s">
        <v>450</v>
      </c>
      <c r="AJ406" t="s">
        <v>968</v>
      </c>
      <c r="AK406" t="s">
        <v>2466</v>
      </c>
      <c r="AL406" t="s">
        <v>1818</v>
      </c>
      <c r="AM406" t="s">
        <v>1050</v>
      </c>
      <c r="AN406" t="s">
        <v>1790</v>
      </c>
      <c r="AO406">
        <v>42875.08</v>
      </c>
      <c r="AP406">
        <v>450819</v>
      </c>
      <c r="AQ406" t="s">
        <v>1791</v>
      </c>
      <c r="AR406" t="s">
        <v>266</v>
      </c>
      <c r="AS406" t="s">
        <v>1021</v>
      </c>
    </row>
    <row r="407" spans="11:45" x14ac:dyDescent="0.35">
      <c r="K407" s="373"/>
      <c r="L407" s="372"/>
      <c r="M407" s="372"/>
      <c r="N407" s="372"/>
      <c r="O407" s="372"/>
      <c r="P407" s="372"/>
      <c r="Q407" s="372"/>
      <c r="R407" s="372"/>
      <c r="S407" s="372"/>
      <c r="T407" s="372"/>
      <c r="U407" s="372"/>
      <c r="V407" s="372"/>
      <c r="W407" s="372"/>
      <c r="X407" s="372"/>
      <c r="Y407" s="372"/>
      <c r="AH407" t="s">
        <v>1809</v>
      </c>
      <c r="AI407" t="s">
        <v>450</v>
      </c>
      <c r="AJ407" t="s">
        <v>968</v>
      </c>
      <c r="AK407" t="s">
        <v>2229</v>
      </c>
      <c r="AL407" t="s">
        <v>1819</v>
      </c>
      <c r="AM407" t="s">
        <v>1820</v>
      </c>
      <c r="AN407" t="s">
        <v>1821</v>
      </c>
      <c r="AO407">
        <v>126687.75</v>
      </c>
      <c r="AP407">
        <v>826103.25</v>
      </c>
      <c r="AQ407" t="s">
        <v>1822</v>
      </c>
      <c r="AR407" t="s">
        <v>266</v>
      </c>
      <c r="AS407" t="s">
        <v>1021</v>
      </c>
    </row>
    <row r="408" spans="11:45" x14ac:dyDescent="0.35">
      <c r="K408" s="373"/>
      <c r="L408" s="372"/>
      <c r="M408" s="372"/>
      <c r="N408" s="372"/>
      <c r="O408" s="372"/>
      <c r="P408" s="372"/>
      <c r="Q408" s="372"/>
      <c r="R408" s="372"/>
      <c r="S408" s="372"/>
      <c r="T408" s="372"/>
      <c r="U408" s="372"/>
      <c r="V408" s="372"/>
      <c r="W408" s="372"/>
      <c r="X408" s="372"/>
      <c r="Y408" s="372"/>
      <c r="AH408" t="s">
        <v>2062</v>
      </c>
      <c r="AI408" t="s">
        <v>450</v>
      </c>
      <c r="AJ408" t="s">
        <v>968</v>
      </c>
      <c r="AK408" t="s">
        <v>2467</v>
      </c>
      <c r="AL408" t="s">
        <v>1823</v>
      </c>
      <c r="AM408" t="s">
        <v>1824</v>
      </c>
      <c r="AN408" t="s">
        <v>1825</v>
      </c>
      <c r="AO408">
        <v>5268.24</v>
      </c>
      <c r="AP408">
        <v>835929.59</v>
      </c>
      <c r="AQ408" t="s">
        <v>1826</v>
      </c>
      <c r="AR408" t="s">
        <v>266</v>
      </c>
      <c r="AS408" t="s">
        <v>1021</v>
      </c>
    </row>
    <row r="409" spans="11:45" x14ac:dyDescent="0.35">
      <c r="K409" s="373"/>
      <c r="L409" s="372"/>
      <c r="M409" s="372"/>
      <c r="N409" s="372"/>
      <c r="O409" s="372"/>
      <c r="P409" s="372"/>
      <c r="Q409" s="372"/>
      <c r="R409" s="372"/>
      <c r="S409" s="372"/>
      <c r="T409" s="372"/>
      <c r="U409" s="372"/>
      <c r="V409" s="372"/>
      <c r="W409" s="372"/>
      <c r="X409" s="372"/>
      <c r="Y409" s="372"/>
      <c r="AH409" t="s">
        <v>2063</v>
      </c>
      <c r="AI409" t="s">
        <v>450</v>
      </c>
      <c r="AJ409" t="s">
        <v>968</v>
      </c>
      <c r="AK409" t="s">
        <v>2468</v>
      </c>
      <c r="AL409" t="s">
        <v>1827</v>
      </c>
      <c r="AM409" t="s">
        <v>377</v>
      </c>
      <c r="AN409" t="s">
        <v>1828</v>
      </c>
      <c r="AO409">
        <v>56279.99</v>
      </c>
      <c r="AP409">
        <v>507169.9</v>
      </c>
      <c r="AQ409" t="s">
        <v>1829</v>
      </c>
      <c r="AR409" t="s">
        <v>266</v>
      </c>
      <c r="AS409" t="s">
        <v>1021</v>
      </c>
    </row>
    <row r="410" spans="11:45" x14ac:dyDescent="0.35">
      <c r="K410" s="373"/>
      <c r="L410" s="372"/>
      <c r="M410" s="372"/>
      <c r="N410" s="372"/>
      <c r="O410" s="372"/>
      <c r="P410" s="372"/>
      <c r="Q410" s="372"/>
      <c r="R410" s="372"/>
      <c r="S410" s="372"/>
      <c r="T410" s="372"/>
      <c r="U410" s="372"/>
      <c r="V410" s="372"/>
      <c r="W410" s="372"/>
      <c r="X410" s="372"/>
      <c r="Y410" s="372"/>
      <c r="AH410" t="s">
        <v>2064</v>
      </c>
      <c r="AI410" t="s">
        <v>450</v>
      </c>
      <c r="AJ410" t="s">
        <v>968</v>
      </c>
      <c r="AK410" t="s">
        <v>2469</v>
      </c>
      <c r="AL410" t="s">
        <v>1830</v>
      </c>
      <c r="AM410" t="s">
        <v>1831</v>
      </c>
      <c r="AN410" t="s">
        <v>1828</v>
      </c>
      <c r="AO410">
        <v>56699.9</v>
      </c>
      <c r="AP410">
        <v>433296</v>
      </c>
      <c r="AQ410" t="s">
        <v>1829</v>
      </c>
      <c r="AR410" t="s">
        <v>266</v>
      </c>
      <c r="AS410" t="s">
        <v>1021</v>
      </c>
    </row>
    <row r="411" spans="11:45" x14ac:dyDescent="0.35">
      <c r="K411" s="373"/>
      <c r="L411" s="372"/>
      <c r="M411" s="372"/>
      <c r="N411" s="372"/>
      <c r="O411" s="372"/>
      <c r="P411" s="372"/>
      <c r="Q411" s="372"/>
      <c r="R411" s="372"/>
      <c r="S411" s="372"/>
      <c r="T411" s="372"/>
      <c r="U411" s="372"/>
      <c r="V411" s="372"/>
      <c r="W411" s="372"/>
      <c r="X411" s="372"/>
      <c r="Y411" s="372"/>
      <c r="AH411" t="s">
        <v>2065</v>
      </c>
      <c r="AI411" t="s">
        <v>450</v>
      </c>
      <c r="AJ411" t="s">
        <v>968</v>
      </c>
      <c r="AK411" t="s">
        <v>2470</v>
      </c>
      <c r="AL411" t="s">
        <v>1832</v>
      </c>
      <c r="AM411" t="s">
        <v>880</v>
      </c>
      <c r="AN411" t="s">
        <v>1828</v>
      </c>
      <c r="AO411">
        <v>18625</v>
      </c>
      <c r="AP411">
        <v>136408</v>
      </c>
      <c r="AQ411" t="s">
        <v>1829</v>
      </c>
      <c r="AR411" t="s">
        <v>266</v>
      </c>
      <c r="AS411" t="s">
        <v>1021</v>
      </c>
    </row>
    <row r="412" spans="11:45" x14ac:dyDescent="0.35">
      <c r="K412" s="373"/>
      <c r="L412" s="372"/>
      <c r="M412" s="372"/>
      <c r="N412" s="372"/>
      <c r="O412" s="372"/>
      <c r="P412" s="372"/>
      <c r="Q412" s="372"/>
      <c r="R412" s="372"/>
      <c r="S412" s="372"/>
      <c r="T412" s="372"/>
      <c r="U412" s="372"/>
      <c r="V412" s="372"/>
      <c r="W412" s="372"/>
      <c r="X412" s="372"/>
      <c r="Y412" s="372"/>
      <c r="AH412" t="s">
        <v>2066</v>
      </c>
      <c r="AI412" t="s">
        <v>450</v>
      </c>
      <c r="AJ412" t="s">
        <v>968</v>
      </c>
      <c r="AK412" t="s">
        <v>2471</v>
      </c>
      <c r="AL412" t="s">
        <v>1833</v>
      </c>
      <c r="AM412" t="s">
        <v>940</v>
      </c>
      <c r="AN412" t="s">
        <v>1834</v>
      </c>
      <c r="AO412">
        <v>39670.07</v>
      </c>
      <c r="AP412">
        <v>283077.28000000003</v>
      </c>
      <c r="AQ412" t="s">
        <v>1835</v>
      </c>
      <c r="AR412" t="s">
        <v>266</v>
      </c>
      <c r="AS412" t="s">
        <v>1021</v>
      </c>
    </row>
    <row r="413" spans="11:45" x14ac:dyDescent="0.35">
      <c r="K413" s="373"/>
      <c r="L413" s="372"/>
      <c r="M413" s="372"/>
      <c r="N413" s="372"/>
      <c r="O413" s="372"/>
      <c r="P413" s="372"/>
      <c r="Q413" s="372"/>
      <c r="R413" s="372"/>
      <c r="S413" s="372"/>
      <c r="T413" s="372"/>
      <c r="U413" s="372"/>
      <c r="V413" s="372"/>
      <c r="W413" s="372"/>
      <c r="X413" s="372"/>
      <c r="Y413" s="372"/>
      <c r="AH413" t="s">
        <v>2066</v>
      </c>
      <c r="AI413" t="s">
        <v>450</v>
      </c>
      <c r="AJ413" t="s">
        <v>968</v>
      </c>
      <c r="AK413" t="s">
        <v>2471</v>
      </c>
      <c r="AL413" t="s">
        <v>1833</v>
      </c>
      <c r="AM413" t="s">
        <v>1836</v>
      </c>
      <c r="AN413" t="s">
        <v>1532</v>
      </c>
      <c r="AO413">
        <v>87935.18</v>
      </c>
      <c r="AP413">
        <v>826330.4</v>
      </c>
      <c r="AQ413" t="s">
        <v>1533</v>
      </c>
      <c r="AR413" t="s">
        <v>266</v>
      </c>
      <c r="AS413" t="s">
        <v>978</v>
      </c>
    </row>
    <row r="414" spans="11:45" x14ac:dyDescent="0.35">
      <c r="K414" s="373"/>
      <c r="L414" s="372"/>
      <c r="M414" s="372"/>
      <c r="N414" s="372"/>
      <c r="O414" s="372"/>
      <c r="P414" s="372"/>
      <c r="Q414" s="372"/>
      <c r="R414" s="372"/>
      <c r="S414" s="372"/>
      <c r="T414" s="372"/>
      <c r="U414" s="372"/>
      <c r="V414" s="372"/>
      <c r="W414" s="372"/>
      <c r="X414" s="372"/>
      <c r="Y414" s="372"/>
      <c r="AH414" t="s">
        <v>1832</v>
      </c>
      <c r="AI414" t="s">
        <v>450</v>
      </c>
      <c r="AJ414" t="s">
        <v>968</v>
      </c>
      <c r="AK414" t="s">
        <v>2472</v>
      </c>
      <c r="AL414" t="s">
        <v>1837</v>
      </c>
      <c r="AM414" t="s">
        <v>1838</v>
      </c>
      <c r="AN414" t="s">
        <v>1834</v>
      </c>
      <c r="AO414">
        <v>34222.639999999999</v>
      </c>
      <c r="AP414">
        <v>278404.47999999998</v>
      </c>
      <c r="AQ414" t="s">
        <v>1835</v>
      </c>
      <c r="AR414" t="s">
        <v>266</v>
      </c>
      <c r="AS414" t="s">
        <v>1021</v>
      </c>
    </row>
    <row r="415" spans="11:45" x14ac:dyDescent="0.35">
      <c r="K415" s="373"/>
      <c r="L415" s="372"/>
      <c r="M415" s="372"/>
      <c r="N415" s="372"/>
      <c r="O415" s="372"/>
      <c r="P415" s="372"/>
      <c r="Q415" s="372"/>
      <c r="R415" s="372"/>
      <c r="S415" s="372"/>
      <c r="T415" s="372"/>
      <c r="U415" s="372"/>
      <c r="V415" s="372"/>
      <c r="W415" s="372"/>
      <c r="X415" s="372"/>
      <c r="Y415" s="372"/>
      <c r="AH415" t="s">
        <v>2067</v>
      </c>
      <c r="AI415" t="s">
        <v>450</v>
      </c>
      <c r="AJ415" t="s">
        <v>968</v>
      </c>
      <c r="AK415" t="s">
        <v>2473</v>
      </c>
      <c r="AL415" t="s">
        <v>1839</v>
      </c>
      <c r="AM415" t="s">
        <v>1840</v>
      </c>
      <c r="AN415" t="s">
        <v>1841</v>
      </c>
      <c r="AO415">
        <v>14409.44</v>
      </c>
      <c r="AP415">
        <v>305136.8</v>
      </c>
      <c r="AQ415" t="s">
        <v>1842</v>
      </c>
      <c r="AR415" t="s">
        <v>266</v>
      </c>
      <c r="AS415" t="s">
        <v>978</v>
      </c>
    </row>
    <row r="416" spans="11:45" x14ac:dyDescent="0.35">
      <c r="K416" s="373"/>
      <c r="L416" s="372"/>
      <c r="M416" s="372"/>
      <c r="N416" s="372"/>
      <c r="O416" s="372"/>
      <c r="P416" s="372"/>
      <c r="Q416" s="372"/>
      <c r="R416" s="372"/>
      <c r="S416" s="372"/>
      <c r="T416" s="372"/>
      <c r="U416" s="372"/>
      <c r="V416" s="372"/>
      <c r="W416" s="372"/>
      <c r="X416" s="372"/>
      <c r="Y416" s="372"/>
      <c r="AH416" t="s">
        <v>2068</v>
      </c>
      <c r="AI416" t="s">
        <v>450</v>
      </c>
      <c r="AJ416" t="s">
        <v>968</v>
      </c>
      <c r="AK416" t="s">
        <v>2231</v>
      </c>
      <c r="AL416" t="s">
        <v>624</v>
      </c>
      <c r="AM416" t="s">
        <v>932</v>
      </c>
      <c r="AN416" t="s">
        <v>1803</v>
      </c>
      <c r="AO416">
        <v>12855</v>
      </c>
      <c r="AP416">
        <v>14355</v>
      </c>
      <c r="AQ416" t="s">
        <v>1804</v>
      </c>
      <c r="AR416" t="s">
        <v>266</v>
      </c>
      <c r="AS416" t="s">
        <v>1021</v>
      </c>
    </row>
    <row r="417" spans="11:45" x14ac:dyDescent="0.35">
      <c r="K417" s="373"/>
      <c r="L417" s="372"/>
      <c r="M417" s="372"/>
      <c r="N417" s="372"/>
      <c r="O417" s="372"/>
      <c r="P417" s="372"/>
      <c r="Q417" s="372"/>
      <c r="R417" s="372"/>
      <c r="S417" s="372"/>
      <c r="T417" s="372"/>
      <c r="U417" s="372"/>
      <c r="V417" s="372"/>
      <c r="W417" s="372"/>
      <c r="X417" s="372"/>
      <c r="Y417" s="372"/>
      <c r="AH417" t="s">
        <v>2069</v>
      </c>
      <c r="AI417" t="s">
        <v>450</v>
      </c>
      <c r="AJ417" t="s">
        <v>968</v>
      </c>
      <c r="AK417" t="s">
        <v>1773</v>
      </c>
      <c r="AL417" t="s">
        <v>1843</v>
      </c>
      <c r="AM417" t="s">
        <v>1844</v>
      </c>
      <c r="AN417" t="s">
        <v>1845</v>
      </c>
      <c r="AO417">
        <v>105160.15</v>
      </c>
      <c r="AP417">
        <v>868229.25</v>
      </c>
      <c r="AQ417" t="s">
        <v>1846</v>
      </c>
      <c r="AR417" t="s">
        <v>266</v>
      </c>
      <c r="AS417" t="s">
        <v>978</v>
      </c>
    </row>
    <row r="418" spans="11:45" x14ac:dyDescent="0.35">
      <c r="K418" s="373"/>
      <c r="L418" s="372"/>
      <c r="M418" s="372"/>
      <c r="N418" s="372"/>
      <c r="O418" s="372"/>
      <c r="P418" s="372"/>
      <c r="Q418" s="372"/>
      <c r="R418" s="372"/>
      <c r="S418" s="372"/>
      <c r="T418" s="372"/>
      <c r="U418" s="372"/>
      <c r="V418" s="372"/>
      <c r="W418" s="372"/>
      <c r="X418" s="372"/>
      <c r="Y418" s="372"/>
      <c r="AH418" t="s">
        <v>2070</v>
      </c>
      <c r="AI418" t="s">
        <v>450</v>
      </c>
      <c r="AJ418" t="s">
        <v>968</v>
      </c>
      <c r="AK418" t="s">
        <v>2474</v>
      </c>
      <c r="AL418" t="s">
        <v>1847</v>
      </c>
      <c r="AM418" t="s">
        <v>1848</v>
      </c>
      <c r="AN418" t="s">
        <v>1849</v>
      </c>
      <c r="AO418">
        <v>5646.3</v>
      </c>
      <c r="AP418">
        <v>463509.9</v>
      </c>
      <c r="AQ418" t="s">
        <v>1850</v>
      </c>
      <c r="AR418" t="s">
        <v>266</v>
      </c>
      <c r="AS418" t="s">
        <v>1021</v>
      </c>
    </row>
    <row r="419" spans="11:45" x14ac:dyDescent="0.35">
      <c r="K419" s="373"/>
      <c r="L419" s="372"/>
      <c r="M419" s="372"/>
      <c r="N419" s="372"/>
      <c r="O419" s="372"/>
      <c r="P419" s="372"/>
      <c r="Q419" s="372"/>
      <c r="R419" s="372"/>
      <c r="S419" s="372"/>
      <c r="T419" s="372"/>
      <c r="U419" s="372"/>
      <c r="V419" s="372"/>
      <c r="W419" s="372"/>
      <c r="X419" s="372"/>
      <c r="Y419" s="372"/>
      <c r="AH419" t="s">
        <v>2071</v>
      </c>
      <c r="AI419" t="s">
        <v>450</v>
      </c>
      <c r="AJ419" t="s">
        <v>968</v>
      </c>
      <c r="AK419" t="s">
        <v>912</v>
      </c>
      <c r="AL419" t="s">
        <v>1851</v>
      </c>
      <c r="AM419" t="s">
        <v>1610</v>
      </c>
      <c r="AN419" t="s">
        <v>1852</v>
      </c>
      <c r="AO419">
        <v>19696.400000000001</v>
      </c>
      <c r="AP419">
        <v>135464</v>
      </c>
      <c r="AQ419" t="s">
        <v>1853</v>
      </c>
      <c r="AR419" t="s">
        <v>266</v>
      </c>
      <c r="AS419" t="s">
        <v>1021</v>
      </c>
    </row>
    <row r="420" spans="11:45" x14ac:dyDescent="0.35">
      <c r="K420" s="373"/>
      <c r="L420" s="372"/>
      <c r="M420" s="372"/>
      <c r="N420" s="372"/>
      <c r="O420" s="372"/>
      <c r="P420" s="372"/>
      <c r="Q420" s="372"/>
      <c r="R420" s="372"/>
      <c r="S420" s="372"/>
      <c r="T420" s="372"/>
      <c r="U420" s="372"/>
      <c r="V420" s="372"/>
      <c r="W420" s="372"/>
      <c r="X420" s="372"/>
      <c r="Y420" s="372"/>
      <c r="AH420" t="s">
        <v>2072</v>
      </c>
      <c r="AI420" t="s">
        <v>450</v>
      </c>
      <c r="AJ420" t="s">
        <v>968</v>
      </c>
      <c r="AK420" t="s">
        <v>1739</v>
      </c>
      <c r="AL420" t="s">
        <v>1854</v>
      </c>
      <c r="AM420" t="s">
        <v>902</v>
      </c>
      <c r="AN420" t="s">
        <v>1855</v>
      </c>
      <c r="AO420">
        <v>27486.07</v>
      </c>
      <c r="AP420">
        <v>190758.8</v>
      </c>
      <c r="AQ420" t="s">
        <v>1856</v>
      </c>
      <c r="AR420" t="s">
        <v>266</v>
      </c>
      <c r="AS420" t="s">
        <v>978</v>
      </c>
    </row>
    <row r="421" spans="11:45" x14ac:dyDescent="0.35">
      <c r="K421" s="373"/>
      <c r="L421" s="372"/>
      <c r="M421" s="372"/>
      <c r="N421" s="372"/>
      <c r="O421" s="372"/>
      <c r="P421" s="372"/>
      <c r="Q421" s="372"/>
      <c r="R421" s="372"/>
      <c r="S421" s="372"/>
      <c r="T421" s="372"/>
      <c r="U421" s="372"/>
      <c r="V421" s="372"/>
      <c r="W421" s="372"/>
      <c r="X421" s="372"/>
      <c r="Y421" s="372"/>
      <c r="AH421" t="s">
        <v>2073</v>
      </c>
      <c r="AI421" t="s">
        <v>450</v>
      </c>
      <c r="AJ421" t="s">
        <v>968</v>
      </c>
      <c r="AK421" t="s">
        <v>2150</v>
      </c>
      <c r="AL421" t="s">
        <v>1857</v>
      </c>
      <c r="AM421" t="s">
        <v>1477</v>
      </c>
      <c r="AN421" t="s">
        <v>1858</v>
      </c>
      <c r="AO421">
        <v>144941.04</v>
      </c>
      <c r="AP421">
        <v>1360635.62</v>
      </c>
      <c r="AQ421" t="s">
        <v>1859</v>
      </c>
      <c r="AR421" t="s">
        <v>266</v>
      </c>
      <c r="AS421" t="s">
        <v>1021</v>
      </c>
    </row>
    <row r="422" spans="11:45" x14ac:dyDescent="0.35">
      <c r="K422" s="373"/>
      <c r="L422" s="372"/>
      <c r="M422" s="372"/>
      <c r="N422" s="372"/>
      <c r="O422" s="372"/>
      <c r="P422" s="372"/>
      <c r="Q422" s="372"/>
      <c r="R422" s="372"/>
      <c r="S422" s="372"/>
      <c r="T422" s="372"/>
      <c r="U422" s="372"/>
      <c r="V422" s="372"/>
      <c r="W422" s="372"/>
      <c r="X422" s="372"/>
      <c r="Y422" s="372"/>
      <c r="AH422" t="s">
        <v>1857</v>
      </c>
      <c r="AI422" t="s">
        <v>450</v>
      </c>
      <c r="AJ422" t="s">
        <v>968</v>
      </c>
      <c r="AK422" t="s">
        <v>1602</v>
      </c>
      <c r="AL422" t="s">
        <v>1860</v>
      </c>
      <c r="AM422" t="s">
        <v>364</v>
      </c>
      <c r="AN422" t="s">
        <v>1861</v>
      </c>
      <c r="AO422">
        <v>1462.2</v>
      </c>
      <c r="AP422">
        <v>713436.6</v>
      </c>
      <c r="AQ422" t="s">
        <v>1862</v>
      </c>
      <c r="AR422" t="s">
        <v>266</v>
      </c>
      <c r="AS422" t="s">
        <v>1021</v>
      </c>
    </row>
    <row r="423" spans="11:45" x14ac:dyDescent="0.35">
      <c r="K423" s="373"/>
      <c r="L423" s="372"/>
      <c r="M423" s="372"/>
      <c r="N423" s="372"/>
      <c r="O423" s="372"/>
      <c r="P423" s="372"/>
      <c r="Q423" s="372"/>
      <c r="R423" s="372"/>
      <c r="S423" s="372"/>
      <c r="T423" s="372"/>
      <c r="U423" s="372"/>
      <c r="V423" s="372"/>
      <c r="W423" s="372"/>
      <c r="X423" s="372"/>
      <c r="Y423" s="372"/>
      <c r="AH423" t="s">
        <v>1857</v>
      </c>
      <c r="AI423" t="s">
        <v>450</v>
      </c>
      <c r="AJ423" t="s">
        <v>968</v>
      </c>
      <c r="AK423" t="s">
        <v>1602</v>
      </c>
      <c r="AL423" t="s">
        <v>1860</v>
      </c>
      <c r="AM423" t="s">
        <v>842</v>
      </c>
      <c r="AN423" t="s">
        <v>1861</v>
      </c>
      <c r="AO423">
        <v>1462.2</v>
      </c>
      <c r="AP423">
        <v>763143.4</v>
      </c>
      <c r="AQ423" t="s">
        <v>1862</v>
      </c>
      <c r="AR423" t="s">
        <v>266</v>
      </c>
      <c r="AS423" t="s">
        <v>1021</v>
      </c>
    </row>
    <row r="424" spans="11:45" x14ac:dyDescent="0.35">
      <c r="K424" s="373"/>
      <c r="L424" s="372"/>
      <c r="M424" s="372"/>
      <c r="N424" s="372"/>
      <c r="O424" s="372"/>
      <c r="P424" s="372"/>
      <c r="Q424" s="372"/>
      <c r="R424" s="372"/>
      <c r="S424" s="372"/>
      <c r="T424" s="372"/>
      <c r="U424" s="372"/>
      <c r="V424" s="372"/>
      <c r="W424" s="372"/>
      <c r="X424" s="372"/>
      <c r="Y424" s="372"/>
      <c r="AH424" t="s">
        <v>1860</v>
      </c>
      <c r="AI424" t="s">
        <v>450</v>
      </c>
      <c r="AJ424" t="s">
        <v>968</v>
      </c>
      <c r="AK424" t="s">
        <v>1594</v>
      </c>
      <c r="AL424" t="s">
        <v>632</v>
      </c>
      <c r="AM424" t="s">
        <v>1863</v>
      </c>
      <c r="AN424" t="s">
        <v>1864</v>
      </c>
      <c r="AO424">
        <v>45724.26</v>
      </c>
      <c r="AP424">
        <v>500691.5</v>
      </c>
      <c r="AQ424" t="s">
        <v>1865</v>
      </c>
      <c r="AR424" t="s">
        <v>266</v>
      </c>
      <c r="AS424" t="s">
        <v>978</v>
      </c>
    </row>
    <row r="425" spans="11:45" x14ac:dyDescent="0.35">
      <c r="K425" s="373"/>
      <c r="L425" s="372"/>
      <c r="M425" s="372"/>
      <c r="N425" s="372"/>
      <c r="O425" s="372"/>
      <c r="P425" s="372"/>
      <c r="Q425" s="372"/>
      <c r="R425" s="372"/>
      <c r="S425" s="372"/>
      <c r="T425" s="372"/>
      <c r="U425" s="372"/>
      <c r="V425" s="372"/>
      <c r="W425" s="372"/>
      <c r="X425" s="372"/>
      <c r="Y425" s="372"/>
      <c r="AH425" t="s">
        <v>632</v>
      </c>
      <c r="AI425" t="s">
        <v>450</v>
      </c>
      <c r="AJ425" t="s">
        <v>968</v>
      </c>
      <c r="AK425" t="s">
        <v>2475</v>
      </c>
      <c r="AL425" t="s">
        <v>1866</v>
      </c>
      <c r="AM425" t="s">
        <v>1867</v>
      </c>
      <c r="AN425" t="s">
        <v>1852</v>
      </c>
      <c r="AO425">
        <v>35537.29</v>
      </c>
      <c r="AP425">
        <v>240861.6</v>
      </c>
      <c r="AQ425" t="s">
        <v>1853</v>
      </c>
      <c r="AR425" t="s">
        <v>266</v>
      </c>
      <c r="AS425" t="s">
        <v>1021</v>
      </c>
    </row>
    <row r="426" spans="11:45" x14ac:dyDescent="0.35">
      <c r="K426" s="373"/>
      <c r="L426" s="372"/>
      <c r="M426" s="372"/>
      <c r="N426" s="372"/>
      <c r="O426" s="372"/>
      <c r="P426" s="372"/>
      <c r="Q426" s="372"/>
      <c r="R426" s="372"/>
      <c r="S426" s="372"/>
      <c r="T426" s="372"/>
      <c r="U426" s="372"/>
      <c r="V426" s="372"/>
      <c r="W426" s="372"/>
      <c r="X426" s="372"/>
      <c r="Y426" s="372"/>
      <c r="AH426" t="s">
        <v>2074</v>
      </c>
      <c r="AI426" t="s">
        <v>450</v>
      </c>
      <c r="AJ426" t="s">
        <v>968</v>
      </c>
      <c r="AK426" t="s">
        <v>2278</v>
      </c>
      <c r="AL426" t="s">
        <v>637</v>
      </c>
      <c r="AM426" t="s">
        <v>1760</v>
      </c>
      <c r="AN426" t="s">
        <v>1513</v>
      </c>
      <c r="AO426">
        <v>28868.35</v>
      </c>
      <c r="AP426">
        <v>28868.35</v>
      </c>
      <c r="AQ426" t="s">
        <v>1514</v>
      </c>
      <c r="AR426" t="s">
        <v>266</v>
      </c>
      <c r="AS426" t="s">
        <v>978</v>
      </c>
    </row>
    <row r="427" spans="11:45" x14ac:dyDescent="0.35">
      <c r="K427" s="373"/>
      <c r="L427" s="372"/>
      <c r="M427" s="372"/>
      <c r="N427" s="372"/>
      <c r="O427" s="372"/>
      <c r="P427" s="372"/>
      <c r="Q427" s="372"/>
      <c r="R427" s="372"/>
      <c r="S427" s="372"/>
      <c r="T427" s="372"/>
      <c r="U427" s="372"/>
      <c r="V427" s="372"/>
      <c r="W427" s="372"/>
      <c r="X427" s="372"/>
      <c r="Y427" s="372"/>
      <c r="AH427" t="s">
        <v>2075</v>
      </c>
      <c r="AI427" t="s">
        <v>450</v>
      </c>
      <c r="AJ427" t="s">
        <v>968</v>
      </c>
      <c r="AK427" t="s">
        <v>2476</v>
      </c>
      <c r="AL427" t="s">
        <v>1868</v>
      </c>
      <c r="AM427" t="s">
        <v>1089</v>
      </c>
      <c r="AN427" t="s">
        <v>1869</v>
      </c>
      <c r="AO427">
        <v>51144.72</v>
      </c>
      <c r="AP427">
        <v>601009.4</v>
      </c>
      <c r="AQ427" t="s">
        <v>1870</v>
      </c>
      <c r="AR427" t="s">
        <v>266</v>
      </c>
      <c r="AS427" t="s">
        <v>978</v>
      </c>
    </row>
    <row r="428" spans="11:45" x14ac:dyDescent="0.35">
      <c r="K428" s="373"/>
      <c r="L428" s="372"/>
      <c r="M428" s="372"/>
      <c r="N428" s="372"/>
      <c r="O428" s="372"/>
      <c r="P428" s="372"/>
      <c r="Q428" s="372"/>
      <c r="R428" s="372"/>
      <c r="S428" s="372"/>
      <c r="T428" s="372"/>
      <c r="U428" s="372"/>
      <c r="V428" s="372"/>
      <c r="W428" s="372"/>
      <c r="X428" s="372"/>
      <c r="Y428" s="372"/>
      <c r="AH428" t="s">
        <v>1868</v>
      </c>
      <c r="AI428" t="s">
        <v>450</v>
      </c>
      <c r="AJ428" t="s">
        <v>968</v>
      </c>
      <c r="AK428" t="s">
        <v>1728</v>
      </c>
      <c r="AL428" t="s">
        <v>1871</v>
      </c>
      <c r="AM428" t="s">
        <v>960</v>
      </c>
      <c r="AN428" t="s">
        <v>1872</v>
      </c>
      <c r="AO428">
        <v>145476.51</v>
      </c>
      <c r="AP428">
        <v>1002669.6</v>
      </c>
      <c r="AQ428" t="s">
        <v>1873</v>
      </c>
      <c r="AR428" t="s">
        <v>266</v>
      </c>
      <c r="AS428" t="s">
        <v>978</v>
      </c>
    </row>
    <row r="429" spans="11:45" x14ac:dyDescent="0.35">
      <c r="K429" s="373"/>
      <c r="L429" s="372"/>
      <c r="M429" s="372"/>
      <c r="N429" s="372"/>
      <c r="O429" s="372"/>
      <c r="P429" s="372"/>
      <c r="Q429" s="372"/>
      <c r="R429" s="372"/>
      <c r="S429" s="372"/>
      <c r="T429" s="372"/>
      <c r="U429" s="372"/>
      <c r="V429" s="372"/>
      <c r="W429" s="372"/>
      <c r="X429" s="372"/>
      <c r="Y429" s="372"/>
      <c r="AH429" t="s">
        <v>2076</v>
      </c>
      <c r="AI429" t="s">
        <v>450</v>
      </c>
      <c r="AJ429" t="s">
        <v>968</v>
      </c>
      <c r="AK429" t="s">
        <v>2124</v>
      </c>
      <c r="AL429" t="s">
        <v>1874</v>
      </c>
      <c r="AM429" t="s">
        <v>1875</v>
      </c>
      <c r="AN429" t="s">
        <v>1876</v>
      </c>
      <c r="AO429">
        <v>2948.4</v>
      </c>
      <c r="AP429">
        <v>19328.400000000001</v>
      </c>
      <c r="AQ429" t="s">
        <v>1877</v>
      </c>
      <c r="AR429" t="s">
        <v>266</v>
      </c>
      <c r="AS429" t="s">
        <v>1021</v>
      </c>
    </row>
    <row r="430" spans="11:45" x14ac:dyDescent="0.35">
      <c r="K430" s="373"/>
      <c r="L430" s="372"/>
      <c r="M430" s="372"/>
      <c r="N430" s="372"/>
      <c r="O430" s="372"/>
      <c r="P430" s="372"/>
      <c r="Q430" s="372"/>
      <c r="R430" s="372"/>
      <c r="S430" s="372"/>
      <c r="T430" s="372"/>
      <c r="U430" s="372"/>
      <c r="V430" s="372"/>
      <c r="W430" s="372"/>
      <c r="X430" s="372"/>
      <c r="Y430" s="372"/>
      <c r="AH430" t="s">
        <v>2076</v>
      </c>
      <c r="AI430" t="s">
        <v>450</v>
      </c>
      <c r="AJ430" t="s">
        <v>968</v>
      </c>
      <c r="AK430" t="s">
        <v>2124</v>
      </c>
      <c r="AL430" t="s">
        <v>1874</v>
      </c>
      <c r="AM430" t="s">
        <v>1878</v>
      </c>
      <c r="AN430" t="s">
        <v>1879</v>
      </c>
      <c r="AO430">
        <v>46105.65</v>
      </c>
      <c r="AP430">
        <v>358751.98</v>
      </c>
      <c r="AQ430" t="s">
        <v>1880</v>
      </c>
      <c r="AR430" t="s">
        <v>266</v>
      </c>
      <c r="AS430" t="s">
        <v>978</v>
      </c>
    </row>
    <row r="431" spans="11:45" x14ac:dyDescent="0.35">
      <c r="K431" s="373"/>
      <c r="L431" s="372"/>
      <c r="M431" s="372"/>
      <c r="N431" s="372"/>
      <c r="O431" s="372"/>
      <c r="P431" s="372"/>
      <c r="Q431" s="372"/>
      <c r="R431" s="372"/>
      <c r="S431" s="372"/>
      <c r="T431" s="372"/>
      <c r="U431" s="372"/>
      <c r="V431" s="372"/>
      <c r="W431" s="372"/>
      <c r="X431" s="372"/>
      <c r="Y431" s="372"/>
      <c r="AH431" t="s">
        <v>647</v>
      </c>
      <c r="AI431" t="s">
        <v>450</v>
      </c>
      <c r="AJ431" t="s">
        <v>968</v>
      </c>
      <c r="AK431" t="s">
        <v>2168</v>
      </c>
      <c r="AL431" t="s">
        <v>1882</v>
      </c>
      <c r="AM431" t="s">
        <v>1745</v>
      </c>
      <c r="AN431" t="s">
        <v>1869</v>
      </c>
      <c r="AO431">
        <v>53422.2</v>
      </c>
      <c r="AP431">
        <v>350212.2</v>
      </c>
      <c r="AQ431" t="s">
        <v>1870</v>
      </c>
      <c r="AR431" t="s">
        <v>266</v>
      </c>
      <c r="AS431" t="s">
        <v>978</v>
      </c>
    </row>
    <row r="432" spans="11:45" x14ac:dyDescent="0.35">
      <c r="K432" s="373"/>
      <c r="L432" s="372"/>
      <c r="M432" s="372"/>
      <c r="N432" s="372"/>
      <c r="O432" s="372"/>
      <c r="P432" s="372"/>
      <c r="Q432" s="372"/>
      <c r="R432" s="372"/>
      <c r="S432" s="372"/>
      <c r="T432" s="372"/>
      <c r="U432" s="372"/>
      <c r="V432" s="372"/>
      <c r="W432" s="372"/>
      <c r="X432" s="372"/>
      <c r="Y432" s="372"/>
      <c r="AH432" t="s">
        <v>2077</v>
      </c>
      <c r="AI432" t="s">
        <v>450</v>
      </c>
      <c r="AJ432" t="s">
        <v>968</v>
      </c>
      <c r="AK432" t="s">
        <v>945</v>
      </c>
      <c r="AL432" t="s">
        <v>650</v>
      </c>
      <c r="AM432" t="s">
        <v>1713</v>
      </c>
      <c r="AN432" t="s">
        <v>857</v>
      </c>
      <c r="AO432">
        <v>43838.879999999997</v>
      </c>
      <c r="AP432">
        <v>703768.6</v>
      </c>
      <c r="AQ432" t="s">
        <v>1680</v>
      </c>
      <c r="AR432" t="s">
        <v>266</v>
      </c>
      <c r="AS432" t="s">
        <v>978</v>
      </c>
    </row>
    <row r="433" spans="11:45" x14ac:dyDescent="0.35">
      <c r="K433" s="373"/>
      <c r="L433" s="372"/>
      <c r="M433" s="372"/>
      <c r="N433" s="372"/>
      <c r="O433" s="372"/>
      <c r="P433" s="372"/>
      <c r="Q433" s="372"/>
      <c r="R433" s="372"/>
      <c r="S433" s="372"/>
      <c r="T433" s="372"/>
      <c r="U433" s="372"/>
      <c r="V433" s="372"/>
      <c r="W433" s="372"/>
      <c r="X433" s="372"/>
      <c r="Y433" s="372"/>
      <c r="AH433" t="s">
        <v>1882</v>
      </c>
      <c r="AI433" t="s">
        <v>450</v>
      </c>
      <c r="AJ433" t="s">
        <v>968</v>
      </c>
      <c r="AK433" t="s">
        <v>2477</v>
      </c>
      <c r="AL433" t="s">
        <v>1883</v>
      </c>
      <c r="AM433" t="s">
        <v>1884</v>
      </c>
      <c r="AN433" t="s">
        <v>855</v>
      </c>
      <c r="AO433">
        <v>103020.27</v>
      </c>
      <c r="AP433">
        <v>1140210.3999999999</v>
      </c>
      <c r="AQ433" t="s">
        <v>1885</v>
      </c>
      <c r="AR433" t="s">
        <v>266</v>
      </c>
      <c r="AS433" t="s">
        <v>1021</v>
      </c>
    </row>
    <row r="434" spans="11:45" x14ac:dyDescent="0.35">
      <c r="K434" s="373"/>
      <c r="L434" s="372"/>
      <c r="M434" s="372"/>
      <c r="N434" s="372"/>
      <c r="O434" s="372"/>
      <c r="P434" s="372"/>
      <c r="Q434" s="372"/>
      <c r="R434" s="372"/>
      <c r="S434" s="372"/>
      <c r="T434" s="372"/>
      <c r="U434" s="372"/>
      <c r="V434" s="372"/>
      <c r="W434" s="372"/>
      <c r="X434" s="372"/>
      <c r="Y434" s="372"/>
      <c r="AH434" t="s">
        <v>2078</v>
      </c>
      <c r="AI434" t="s">
        <v>450</v>
      </c>
      <c r="AJ434" t="s">
        <v>968</v>
      </c>
      <c r="AK434" t="s">
        <v>1679</v>
      </c>
      <c r="AL434" t="s">
        <v>1886</v>
      </c>
      <c r="AM434" t="s">
        <v>1887</v>
      </c>
      <c r="AN434" t="s">
        <v>855</v>
      </c>
      <c r="AO434">
        <v>5055.13</v>
      </c>
      <c r="AP434">
        <v>1161686.3999999999</v>
      </c>
      <c r="AQ434" t="s">
        <v>1885</v>
      </c>
      <c r="AR434" t="s">
        <v>266</v>
      </c>
      <c r="AS434" t="s">
        <v>1021</v>
      </c>
    </row>
    <row r="435" spans="11:45" x14ac:dyDescent="0.35">
      <c r="K435" s="373"/>
      <c r="L435" s="372"/>
      <c r="M435" s="372"/>
      <c r="N435" s="372"/>
      <c r="O435" s="372"/>
      <c r="P435" s="372"/>
      <c r="Q435" s="372"/>
      <c r="R435" s="372"/>
      <c r="S435" s="372"/>
      <c r="T435" s="372"/>
      <c r="U435" s="372"/>
      <c r="V435" s="372"/>
      <c r="W435" s="372"/>
      <c r="X435" s="372"/>
      <c r="Y435" s="372"/>
      <c r="AH435" t="s">
        <v>650</v>
      </c>
      <c r="AI435" t="s">
        <v>450</v>
      </c>
      <c r="AJ435" t="s">
        <v>968</v>
      </c>
      <c r="AK435" t="s">
        <v>2125</v>
      </c>
      <c r="AL435" t="s">
        <v>651</v>
      </c>
      <c r="AM435" t="s">
        <v>1889</v>
      </c>
      <c r="AN435" t="s">
        <v>1890</v>
      </c>
      <c r="AO435">
        <v>6205.53</v>
      </c>
      <c r="AP435">
        <v>606623.25</v>
      </c>
      <c r="AQ435" t="s">
        <v>1891</v>
      </c>
      <c r="AR435" t="s">
        <v>266</v>
      </c>
      <c r="AS435" t="s">
        <v>978</v>
      </c>
    </row>
    <row r="436" spans="11:45" x14ac:dyDescent="0.35">
      <c r="K436" s="373"/>
      <c r="L436" s="372"/>
      <c r="M436" s="372"/>
      <c r="N436" s="372"/>
      <c r="O436" s="372"/>
      <c r="P436" s="372"/>
      <c r="Q436" s="372"/>
      <c r="R436" s="372"/>
      <c r="S436" s="372"/>
      <c r="T436" s="372"/>
      <c r="U436" s="372"/>
      <c r="V436" s="372"/>
      <c r="W436" s="372"/>
      <c r="X436" s="372"/>
      <c r="Y436" s="372"/>
      <c r="AH436" t="s">
        <v>1883</v>
      </c>
      <c r="AI436" t="s">
        <v>450</v>
      </c>
      <c r="AJ436" t="s">
        <v>968</v>
      </c>
      <c r="AK436" t="s">
        <v>2283</v>
      </c>
      <c r="AL436" t="s">
        <v>653</v>
      </c>
      <c r="AM436" t="s">
        <v>1892</v>
      </c>
      <c r="AN436" t="s">
        <v>1893</v>
      </c>
      <c r="AO436">
        <v>14575.68</v>
      </c>
      <c r="AP436">
        <v>112100</v>
      </c>
      <c r="AQ436" t="s">
        <v>1894</v>
      </c>
      <c r="AR436" t="s">
        <v>266</v>
      </c>
      <c r="AS436" t="s">
        <v>978</v>
      </c>
    </row>
    <row r="437" spans="11:45" x14ac:dyDescent="0.35">
      <c r="K437" s="373"/>
      <c r="L437" s="372"/>
      <c r="M437" s="372"/>
      <c r="N437" s="372"/>
      <c r="O437" s="372"/>
      <c r="P437" s="372"/>
      <c r="Q437" s="372"/>
      <c r="R437" s="372"/>
      <c r="S437" s="372"/>
      <c r="T437" s="372"/>
      <c r="U437" s="372"/>
      <c r="V437" s="372"/>
      <c r="W437" s="372"/>
      <c r="X437" s="372"/>
      <c r="Y437" s="372"/>
      <c r="AH437" t="s">
        <v>1886</v>
      </c>
      <c r="AI437" t="s">
        <v>450</v>
      </c>
      <c r="AJ437" t="s">
        <v>968</v>
      </c>
      <c r="AK437" t="s">
        <v>2284</v>
      </c>
      <c r="AL437" t="s">
        <v>652</v>
      </c>
      <c r="AM437" t="s">
        <v>1895</v>
      </c>
      <c r="AN437" t="s">
        <v>1653</v>
      </c>
      <c r="AO437">
        <v>130796.51</v>
      </c>
      <c r="AP437">
        <v>985647.54</v>
      </c>
      <c r="AQ437" t="s">
        <v>1654</v>
      </c>
      <c r="AR437" t="s">
        <v>266</v>
      </c>
      <c r="AS437" t="s">
        <v>1021</v>
      </c>
    </row>
    <row r="438" spans="11:45" x14ac:dyDescent="0.35">
      <c r="K438" s="373"/>
      <c r="L438" s="372"/>
      <c r="M438" s="372"/>
      <c r="N438" s="372"/>
      <c r="O438" s="372"/>
      <c r="P438" s="372"/>
      <c r="Q438" s="372"/>
      <c r="R438" s="372"/>
      <c r="S438" s="372"/>
      <c r="T438" s="372"/>
      <c r="U438" s="372"/>
      <c r="V438" s="372"/>
      <c r="W438" s="372"/>
      <c r="X438" s="372"/>
      <c r="Y438" s="372"/>
      <c r="AH438" t="s">
        <v>1888</v>
      </c>
      <c r="AI438" t="s">
        <v>450</v>
      </c>
      <c r="AJ438" t="s">
        <v>968</v>
      </c>
      <c r="AK438" t="s">
        <v>2126</v>
      </c>
      <c r="AL438" t="s">
        <v>1896</v>
      </c>
      <c r="AM438" t="s">
        <v>914</v>
      </c>
      <c r="AN438" t="s">
        <v>1897</v>
      </c>
      <c r="AO438">
        <v>56527.38</v>
      </c>
      <c r="AP438">
        <v>454704.15</v>
      </c>
      <c r="AQ438" t="s">
        <v>1898</v>
      </c>
      <c r="AR438" t="s">
        <v>266</v>
      </c>
      <c r="AS438" t="s">
        <v>1021</v>
      </c>
    </row>
    <row r="439" spans="11:45" x14ac:dyDescent="0.35">
      <c r="K439" s="373"/>
      <c r="L439" s="372"/>
      <c r="M439" s="372"/>
      <c r="N439" s="372"/>
      <c r="O439" s="372"/>
      <c r="P439" s="372"/>
      <c r="Q439" s="372"/>
      <c r="R439" s="372"/>
      <c r="S439" s="372"/>
      <c r="T439" s="372"/>
      <c r="U439" s="372"/>
      <c r="V439" s="372"/>
      <c r="W439" s="372"/>
      <c r="X439" s="372"/>
      <c r="Y439" s="372"/>
      <c r="AH439" t="s">
        <v>655</v>
      </c>
      <c r="AI439" t="s">
        <v>450</v>
      </c>
      <c r="AJ439" t="s">
        <v>968</v>
      </c>
      <c r="AK439" t="s">
        <v>946</v>
      </c>
      <c r="AL439" t="s">
        <v>654</v>
      </c>
      <c r="AM439" t="s">
        <v>1900</v>
      </c>
      <c r="AN439" t="s">
        <v>1858</v>
      </c>
      <c r="AO439">
        <v>92286.98</v>
      </c>
      <c r="AP439">
        <v>723994.5</v>
      </c>
      <c r="AQ439" t="s">
        <v>1859</v>
      </c>
      <c r="AR439" t="s">
        <v>266</v>
      </c>
      <c r="AS439" t="s">
        <v>1021</v>
      </c>
    </row>
    <row r="440" spans="11:45" x14ac:dyDescent="0.35">
      <c r="K440" s="373"/>
      <c r="L440" s="372"/>
      <c r="M440" s="372"/>
      <c r="N440" s="372"/>
      <c r="O440" s="372"/>
      <c r="P440" s="372"/>
      <c r="Q440" s="372"/>
      <c r="R440" s="372"/>
      <c r="S440" s="372"/>
      <c r="T440" s="372"/>
      <c r="U440" s="372"/>
      <c r="V440" s="372"/>
      <c r="W440" s="372"/>
      <c r="X440" s="372"/>
      <c r="Y440" s="372"/>
      <c r="AH440" t="s">
        <v>1899</v>
      </c>
      <c r="AI440" t="s">
        <v>450</v>
      </c>
      <c r="AJ440" t="s">
        <v>968</v>
      </c>
      <c r="AK440" t="s">
        <v>1552</v>
      </c>
      <c r="AL440" t="s">
        <v>656</v>
      </c>
      <c r="AM440" t="s">
        <v>1901</v>
      </c>
      <c r="AN440" t="s">
        <v>1902</v>
      </c>
      <c r="AO440">
        <v>107458.7</v>
      </c>
      <c r="AP440">
        <v>888879.84</v>
      </c>
      <c r="AQ440" t="s">
        <v>1903</v>
      </c>
      <c r="AR440" t="s">
        <v>266</v>
      </c>
      <c r="AS440" t="s">
        <v>1904</v>
      </c>
    </row>
    <row r="441" spans="11:45" x14ac:dyDescent="0.35">
      <c r="K441" s="373"/>
      <c r="L441" s="372"/>
      <c r="M441" s="372"/>
      <c r="N441" s="372"/>
      <c r="O441" s="372"/>
      <c r="P441" s="372"/>
      <c r="Q441" s="372"/>
      <c r="R441" s="372"/>
      <c r="S441" s="372"/>
      <c r="T441" s="372"/>
      <c r="U441" s="372"/>
      <c r="V441" s="372"/>
      <c r="W441" s="372"/>
      <c r="X441" s="372"/>
      <c r="Y441" s="372"/>
      <c r="AH441" t="s">
        <v>656</v>
      </c>
      <c r="AI441" t="s">
        <v>450</v>
      </c>
      <c r="AJ441" t="s">
        <v>968</v>
      </c>
      <c r="AK441" t="s">
        <v>926</v>
      </c>
      <c r="AL441" t="s">
        <v>657</v>
      </c>
      <c r="AM441" t="s">
        <v>1905</v>
      </c>
      <c r="AN441" t="s">
        <v>1906</v>
      </c>
      <c r="AO441">
        <v>52310.37</v>
      </c>
      <c r="AP441">
        <v>395565.8</v>
      </c>
      <c r="AQ441" t="s">
        <v>1907</v>
      </c>
      <c r="AR441" t="s">
        <v>266</v>
      </c>
      <c r="AS441" t="s">
        <v>1021</v>
      </c>
    </row>
    <row r="442" spans="11:45" x14ac:dyDescent="0.35">
      <c r="K442" s="373"/>
      <c r="L442" s="372"/>
      <c r="M442" s="372"/>
      <c r="N442" s="372"/>
      <c r="O442" s="372"/>
      <c r="P442" s="372"/>
      <c r="Q442" s="372"/>
      <c r="R442" s="372"/>
      <c r="S442" s="372"/>
      <c r="T442" s="372"/>
      <c r="U442" s="372"/>
      <c r="V442" s="372"/>
      <c r="W442" s="372"/>
      <c r="X442" s="372"/>
      <c r="Y442" s="372"/>
      <c r="AH442" t="s">
        <v>2079</v>
      </c>
      <c r="AI442" t="s">
        <v>450</v>
      </c>
      <c r="AJ442" t="s">
        <v>968</v>
      </c>
      <c r="AK442" t="s">
        <v>2119</v>
      </c>
      <c r="AL442" t="s">
        <v>663</v>
      </c>
      <c r="AM442" t="s">
        <v>950</v>
      </c>
      <c r="AN442" t="s">
        <v>1897</v>
      </c>
      <c r="AO442">
        <v>42393.86</v>
      </c>
      <c r="AP442">
        <v>347645.7</v>
      </c>
      <c r="AQ442" t="s">
        <v>1898</v>
      </c>
      <c r="AR442" t="s">
        <v>266</v>
      </c>
      <c r="AS442" t="s">
        <v>1021</v>
      </c>
    </row>
    <row r="443" spans="11:45" x14ac:dyDescent="0.35">
      <c r="K443" s="373"/>
      <c r="L443" s="372"/>
      <c r="M443" s="372"/>
      <c r="N443" s="372"/>
      <c r="O443" s="372"/>
      <c r="P443" s="372"/>
      <c r="Q443" s="372"/>
      <c r="R443" s="372"/>
      <c r="S443" s="372"/>
      <c r="T443" s="372"/>
      <c r="U443" s="372"/>
      <c r="V443" s="372"/>
      <c r="W443" s="372"/>
      <c r="X443" s="372"/>
      <c r="Y443" s="372"/>
      <c r="AH443" t="s">
        <v>663</v>
      </c>
      <c r="AI443" t="s">
        <v>450</v>
      </c>
      <c r="AJ443" t="s">
        <v>968</v>
      </c>
      <c r="AK443" t="s">
        <v>2171</v>
      </c>
      <c r="AL443" t="s">
        <v>665</v>
      </c>
      <c r="AM443" t="s">
        <v>1908</v>
      </c>
      <c r="AN443" t="s">
        <v>1909</v>
      </c>
      <c r="AO443">
        <v>90523.48</v>
      </c>
      <c r="AP443">
        <v>732878.39</v>
      </c>
      <c r="AQ443" t="s">
        <v>1910</v>
      </c>
      <c r="AR443" t="s">
        <v>266</v>
      </c>
      <c r="AS443" t="s">
        <v>1021</v>
      </c>
    </row>
    <row r="444" spans="11:45" x14ac:dyDescent="0.35">
      <c r="K444" s="373"/>
      <c r="L444" s="372"/>
      <c r="M444" s="372"/>
      <c r="N444" s="372"/>
      <c r="O444" s="372"/>
      <c r="P444" s="372"/>
      <c r="Q444" s="372"/>
      <c r="R444" s="372"/>
      <c r="S444" s="372"/>
      <c r="T444" s="372"/>
      <c r="U444" s="372"/>
      <c r="V444" s="372"/>
      <c r="W444" s="372"/>
      <c r="X444" s="372"/>
      <c r="Y444" s="372"/>
      <c r="AH444" t="s">
        <v>2080</v>
      </c>
      <c r="AI444" t="s">
        <v>450</v>
      </c>
      <c r="AJ444" t="s">
        <v>968</v>
      </c>
      <c r="AK444" t="s">
        <v>949</v>
      </c>
      <c r="AL444" t="s">
        <v>701</v>
      </c>
      <c r="AM444" t="s">
        <v>918</v>
      </c>
      <c r="AN444" t="s">
        <v>1911</v>
      </c>
      <c r="AO444">
        <v>132431.84</v>
      </c>
      <c r="AP444">
        <v>906830</v>
      </c>
      <c r="AQ444" t="s">
        <v>1912</v>
      </c>
      <c r="AR444" t="s">
        <v>266</v>
      </c>
      <c r="AS444" t="s">
        <v>978</v>
      </c>
    </row>
    <row r="445" spans="11:45" x14ac:dyDescent="0.35">
      <c r="K445" s="373"/>
      <c r="L445" s="372"/>
      <c r="M445" s="372"/>
      <c r="N445" s="372"/>
      <c r="O445" s="372"/>
      <c r="P445" s="372"/>
      <c r="Q445" s="372"/>
      <c r="R445" s="372"/>
      <c r="S445" s="372"/>
      <c r="T445" s="372"/>
      <c r="U445" s="372"/>
      <c r="V445" s="372"/>
      <c r="W445" s="372"/>
      <c r="X445" s="372"/>
      <c r="Y445" s="372"/>
      <c r="AH445" t="s">
        <v>2080</v>
      </c>
      <c r="AI445" t="s">
        <v>450</v>
      </c>
      <c r="AJ445" t="s">
        <v>968</v>
      </c>
      <c r="AK445" t="s">
        <v>949</v>
      </c>
      <c r="AL445" t="s">
        <v>701</v>
      </c>
      <c r="AM445" t="s">
        <v>958</v>
      </c>
      <c r="AN445" t="s">
        <v>1911</v>
      </c>
      <c r="AO445">
        <v>83748.08</v>
      </c>
      <c r="AP445">
        <v>551626.4</v>
      </c>
      <c r="AQ445" t="s">
        <v>1912</v>
      </c>
      <c r="AR445" t="s">
        <v>266</v>
      </c>
      <c r="AS445" t="s">
        <v>978</v>
      </c>
    </row>
    <row r="446" spans="11:45" x14ac:dyDescent="0.35">
      <c r="K446" s="373"/>
      <c r="L446" s="372"/>
      <c r="M446" s="372"/>
      <c r="N446" s="372"/>
      <c r="O446" s="372"/>
      <c r="P446" s="372"/>
      <c r="Q446" s="372"/>
      <c r="R446" s="372"/>
      <c r="S446" s="372"/>
      <c r="T446" s="372"/>
      <c r="U446" s="372"/>
      <c r="V446" s="372"/>
      <c r="W446" s="372"/>
      <c r="X446" s="372"/>
      <c r="Y446" s="372"/>
      <c r="AH446" t="s">
        <v>2080</v>
      </c>
      <c r="AI446" t="s">
        <v>450</v>
      </c>
      <c r="AJ446" t="s">
        <v>968</v>
      </c>
      <c r="AK446" t="s">
        <v>949</v>
      </c>
      <c r="AL446" t="s">
        <v>701</v>
      </c>
      <c r="AM446" t="s">
        <v>878</v>
      </c>
      <c r="AN446" t="s">
        <v>1911</v>
      </c>
      <c r="AO446">
        <v>101070.09</v>
      </c>
      <c r="AP446">
        <v>666782.6</v>
      </c>
      <c r="AQ446" t="s">
        <v>1912</v>
      </c>
      <c r="AR446" t="s">
        <v>266</v>
      </c>
      <c r="AS446" t="s">
        <v>978</v>
      </c>
    </row>
    <row r="447" spans="11:45" x14ac:dyDescent="0.35">
      <c r="K447" s="373"/>
      <c r="L447" s="372"/>
      <c r="M447" s="372"/>
      <c r="N447" s="372"/>
      <c r="O447" s="372"/>
      <c r="P447" s="372"/>
      <c r="Q447" s="372"/>
      <c r="R447" s="372"/>
      <c r="S447" s="372"/>
      <c r="T447" s="372"/>
      <c r="U447" s="372"/>
      <c r="V447" s="372"/>
      <c r="W447" s="372"/>
      <c r="X447" s="372"/>
      <c r="Y447" s="372"/>
      <c r="AH447" t="s">
        <v>697</v>
      </c>
      <c r="AI447" t="s">
        <v>450</v>
      </c>
      <c r="AJ447" t="s">
        <v>968</v>
      </c>
      <c r="AK447" t="s">
        <v>2094</v>
      </c>
      <c r="AL447" t="s">
        <v>699</v>
      </c>
      <c r="AM447" t="s">
        <v>1913</v>
      </c>
      <c r="AN447" t="s">
        <v>1909</v>
      </c>
      <c r="AO447">
        <v>94736.12</v>
      </c>
      <c r="AP447">
        <v>634766.92000000004</v>
      </c>
      <c r="AQ447" t="s">
        <v>1910</v>
      </c>
      <c r="AR447" t="s">
        <v>266</v>
      </c>
      <c r="AS447" t="s">
        <v>1021</v>
      </c>
    </row>
    <row r="448" spans="11:45" x14ac:dyDescent="0.35">
      <c r="K448" s="373"/>
      <c r="L448" s="372"/>
      <c r="M448" s="372"/>
      <c r="N448" s="372"/>
      <c r="O448" s="372"/>
      <c r="P448" s="372"/>
      <c r="Q448" s="372"/>
      <c r="R448" s="372"/>
      <c r="S448" s="372"/>
      <c r="T448" s="372"/>
      <c r="U448" s="372"/>
      <c r="V448" s="372"/>
      <c r="W448" s="372"/>
      <c r="X448" s="372"/>
      <c r="Y448" s="372"/>
      <c r="AH448" t="s">
        <v>702</v>
      </c>
      <c r="AI448" t="s">
        <v>450</v>
      </c>
      <c r="AJ448" t="s">
        <v>968</v>
      </c>
      <c r="AK448" t="s">
        <v>2081</v>
      </c>
      <c r="AL448" t="s">
        <v>722</v>
      </c>
      <c r="AM448" t="s">
        <v>1914</v>
      </c>
      <c r="AN448" t="s">
        <v>1915</v>
      </c>
      <c r="AO448">
        <v>50162.6</v>
      </c>
      <c r="AP448">
        <v>358321.6</v>
      </c>
      <c r="AQ448" t="s">
        <v>1916</v>
      </c>
      <c r="AR448" t="s">
        <v>266</v>
      </c>
      <c r="AS448" t="s">
        <v>1021</v>
      </c>
    </row>
    <row r="449" spans="11:45" x14ac:dyDescent="0.35">
      <c r="K449" s="373"/>
      <c r="L449" s="372"/>
      <c r="M449" s="372"/>
      <c r="N449" s="372"/>
      <c r="O449" s="372"/>
      <c r="P449" s="372"/>
      <c r="Q449" s="372"/>
      <c r="R449" s="372"/>
      <c r="S449" s="372"/>
      <c r="T449" s="372"/>
      <c r="U449" s="372"/>
      <c r="V449" s="372"/>
      <c r="W449" s="372"/>
      <c r="X449" s="372"/>
      <c r="Y449" s="372"/>
      <c r="AH449" t="s">
        <v>773</v>
      </c>
      <c r="AI449" t="s">
        <v>450</v>
      </c>
      <c r="AJ449" t="s">
        <v>968</v>
      </c>
      <c r="AK449" t="s">
        <v>933</v>
      </c>
      <c r="AL449" t="s">
        <v>774</v>
      </c>
      <c r="AM449" t="s">
        <v>1235</v>
      </c>
      <c r="AN449" t="s">
        <v>1917</v>
      </c>
      <c r="AO449">
        <v>116796.4</v>
      </c>
      <c r="AP449">
        <v>116796.4</v>
      </c>
      <c r="AQ449" t="s">
        <v>1918</v>
      </c>
      <c r="AR449" t="s">
        <v>266</v>
      </c>
      <c r="AS449" t="s">
        <v>1021</v>
      </c>
    </row>
    <row r="450" spans="11:45" x14ac:dyDescent="0.35">
      <c r="K450" s="373"/>
      <c r="L450" s="372"/>
      <c r="M450" s="372"/>
      <c r="N450" s="372"/>
      <c r="O450" s="372"/>
      <c r="P450" s="372"/>
      <c r="Q450" s="372"/>
      <c r="R450" s="372"/>
      <c r="S450" s="372"/>
      <c r="T450" s="372"/>
      <c r="U450" s="372"/>
      <c r="V450" s="372"/>
      <c r="W450" s="372"/>
      <c r="X450" s="372"/>
      <c r="Y450" s="372"/>
      <c r="AH450" t="s">
        <v>1919</v>
      </c>
      <c r="AI450" t="s">
        <v>450</v>
      </c>
      <c r="AJ450" t="s">
        <v>968</v>
      </c>
      <c r="AK450" t="s">
        <v>936</v>
      </c>
      <c r="AL450" t="s">
        <v>1919</v>
      </c>
      <c r="AM450" t="s">
        <v>1920</v>
      </c>
      <c r="AN450" t="s">
        <v>1909</v>
      </c>
      <c r="AO450">
        <v>5352.48</v>
      </c>
      <c r="AP450">
        <v>5352.48</v>
      </c>
      <c r="AQ450" t="s">
        <v>1910</v>
      </c>
      <c r="AR450" t="s">
        <v>266</v>
      </c>
      <c r="AS450" t="s">
        <v>1021</v>
      </c>
    </row>
    <row r="451" spans="11:45" x14ac:dyDescent="0.35">
      <c r="K451" s="373"/>
      <c r="L451" s="372"/>
      <c r="M451" s="372"/>
      <c r="N451" s="372"/>
      <c r="O451" s="372"/>
      <c r="P451" s="372"/>
      <c r="Q451" s="372"/>
      <c r="R451" s="372"/>
      <c r="S451" s="372"/>
      <c r="T451" s="372"/>
      <c r="U451" s="372"/>
      <c r="V451" s="372"/>
      <c r="W451" s="372"/>
      <c r="X451" s="372"/>
      <c r="Y451" s="372"/>
      <c r="AH451" t="s">
        <v>1919</v>
      </c>
      <c r="AI451" t="s">
        <v>450</v>
      </c>
      <c r="AJ451" t="s">
        <v>968</v>
      </c>
      <c r="AK451" t="s">
        <v>936</v>
      </c>
      <c r="AL451" t="s">
        <v>1919</v>
      </c>
      <c r="AM451" t="s">
        <v>1921</v>
      </c>
      <c r="AN451" t="s">
        <v>1909</v>
      </c>
      <c r="AO451">
        <v>2301</v>
      </c>
      <c r="AP451">
        <v>2301</v>
      </c>
      <c r="AQ451" t="s">
        <v>1910</v>
      </c>
      <c r="AR451" t="s">
        <v>266</v>
      </c>
      <c r="AS451" t="s">
        <v>1021</v>
      </c>
    </row>
    <row r="452" spans="11:45" x14ac:dyDescent="0.35">
      <c r="K452" s="373"/>
      <c r="L452" s="372"/>
      <c r="M452" s="372"/>
      <c r="N452" s="372"/>
      <c r="O452" s="372"/>
      <c r="P452" s="372"/>
      <c r="Q452" s="372"/>
      <c r="R452" s="372"/>
      <c r="S452" s="372"/>
      <c r="T452" s="372"/>
      <c r="U452" s="372"/>
      <c r="V452" s="372"/>
      <c r="W452" s="372"/>
      <c r="X452" s="372"/>
      <c r="Y452" s="372"/>
      <c r="AH452" t="s">
        <v>2478</v>
      </c>
      <c r="AI452" t="s">
        <v>450</v>
      </c>
      <c r="AJ452" t="s">
        <v>968</v>
      </c>
      <c r="AK452" t="s">
        <v>1813</v>
      </c>
      <c r="AL452" t="s">
        <v>2478</v>
      </c>
      <c r="AM452" t="s">
        <v>2479</v>
      </c>
      <c r="AN452" t="s">
        <v>857</v>
      </c>
      <c r="AO452">
        <v>23706.11</v>
      </c>
      <c r="AP452">
        <v>23706.11</v>
      </c>
      <c r="AQ452" t="s">
        <v>1680</v>
      </c>
      <c r="AR452" t="s">
        <v>266</v>
      </c>
      <c r="AS452" t="s">
        <v>978</v>
      </c>
    </row>
    <row r="453" spans="11:45" x14ac:dyDescent="0.35">
      <c r="K453" s="373"/>
      <c r="L453" s="372"/>
      <c r="M453" s="372"/>
      <c r="N453" s="372"/>
      <c r="O453" s="372"/>
      <c r="P453" s="372"/>
      <c r="Q453" s="372"/>
      <c r="R453" s="372"/>
      <c r="S453" s="372"/>
      <c r="T453" s="372"/>
      <c r="U453" s="372"/>
      <c r="V453" s="372"/>
      <c r="W453" s="372"/>
      <c r="X453" s="372"/>
      <c r="Y453" s="372"/>
      <c r="AH453" t="s">
        <v>2480</v>
      </c>
      <c r="AI453" t="s">
        <v>2233</v>
      </c>
      <c r="AJ453" t="s">
        <v>968</v>
      </c>
      <c r="AK453" t="s">
        <v>323</v>
      </c>
      <c r="AL453" t="s">
        <v>2481</v>
      </c>
      <c r="AM453" t="s">
        <v>2482</v>
      </c>
      <c r="AN453" t="s">
        <v>2483</v>
      </c>
      <c r="AO453">
        <v>1980</v>
      </c>
      <c r="AP453">
        <v>1980</v>
      </c>
      <c r="AR453" t="s">
        <v>266</v>
      </c>
      <c r="AS453" t="s">
        <v>978</v>
      </c>
    </row>
    <row r="454" spans="11:45" x14ac:dyDescent="0.35">
      <c r="K454" s="373"/>
      <c r="L454" s="372"/>
      <c r="M454" s="372"/>
      <c r="N454" s="372"/>
      <c r="O454" s="372"/>
      <c r="P454" s="372"/>
      <c r="Q454" s="372"/>
      <c r="R454" s="372"/>
      <c r="S454" s="372"/>
      <c r="T454" s="372"/>
      <c r="U454" s="372"/>
      <c r="V454" s="372"/>
      <c r="W454" s="372"/>
      <c r="X454" s="372"/>
      <c r="Y454" s="372"/>
      <c r="AH454" t="s">
        <v>2480</v>
      </c>
      <c r="AI454" t="s">
        <v>2233</v>
      </c>
      <c r="AJ454" t="s">
        <v>968</v>
      </c>
      <c r="AK454" t="s">
        <v>323</v>
      </c>
      <c r="AL454" t="s">
        <v>2481</v>
      </c>
      <c r="AM454" t="s">
        <v>2484</v>
      </c>
      <c r="AN454" t="s">
        <v>2483</v>
      </c>
      <c r="AO454">
        <v>2424</v>
      </c>
      <c r="AP454">
        <v>2424</v>
      </c>
      <c r="AR454" t="s">
        <v>266</v>
      </c>
      <c r="AS454" t="s">
        <v>978</v>
      </c>
    </row>
    <row r="455" spans="11:45" x14ac:dyDescent="0.35">
      <c r="K455" s="373"/>
      <c r="L455" s="372"/>
      <c r="M455" s="372"/>
      <c r="N455" s="372"/>
      <c r="O455" s="372"/>
      <c r="P455" s="372"/>
      <c r="Q455" s="372"/>
      <c r="R455" s="372"/>
      <c r="S455" s="372"/>
      <c r="T455" s="372"/>
      <c r="U455" s="372"/>
      <c r="V455" s="372"/>
      <c r="W455" s="372"/>
      <c r="X455" s="372"/>
      <c r="Y455" s="372"/>
      <c r="AH455" t="s">
        <v>2480</v>
      </c>
      <c r="AI455" t="s">
        <v>2233</v>
      </c>
      <c r="AJ455" t="s">
        <v>968</v>
      </c>
      <c r="AK455" t="s">
        <v>323</v>
      </c>
      <c r="AL455" t="s">
        <v>2481</v>
      </c>
      <c r="AM455" t="s">
        <v>2485</v>
      </c>
      <c r="AN455" t="s">
        <v>2486</v>
      </c>
      <c r="AO455">
        <v>627</v>
      </c>
      <c r="AP455">
        <v>627</v>
      </c>
      <c r="AR455" t="s">
        <v>266</v>
      </c>
      <c r="AS455" t="s">
        <v>978</v>
      </c>
    </row>
    <row r="456" spans="11:45" x14ac:dyDescent="0.35">
      <c r="K456" s="373"/>
      <c r="L456" s="372"/>
      <c r="M456" s="372"/>
      <c r="N456" s="372"/>
      <c r="O456" s="372"/>
      <c r="P456" s="372"/>
      <c r="Q456" s="372"/>
      <c r="R456" s="372"/>
      <c r="S456" s="372"/>
      <c r="T456" s="372"/>
      <c r="U456" s="372"/>
      <c r="V456" s="372"/>
      <c r="W456" s="372"/>
      <c r="X456" s="372"/>
      <c r="Y456" s="372"/>
      <c r="AH456" t="s">
        <v>2480</v>
      </c>
      <c r="AI456" t="s">
        <v>2233</v>
      </c>
      <c r="AJ456" t="s">
        <v>968</v>
      </c>
      <c r="AK456" t="s">
        <v>323</v>
      </c>
      <c r="AL456" t="s">
        <v>2481</v>
      </c>
      <c r="AM456" t="s">
        <v>2487</v>
      </c>
      <c r="AN456" t="s">
        <v>2486</v>
      </c>
      <c r="AO456">
        <v>800</v>
      </c>
      <c r="AP456">
        <v>800</v>
      </c>
      <c r="AR456" t="s">
        <v>266</v>
      </c>
      <c r="AS456" t="s">
        <v>978</v>
      </c>
    </row>
    <row r="457" spans="11:45" x14ac:dyDescent="0.35">
      <c r="K457" s="373"/>
      <c r="L457" s="372"/>
      <c r="M457" s="372"/>
      <c r="N457" s="372"/>
      <c r="O457" s="372"/>
      <c r="P457" s="372"/>
      <c r="Q457" s="372"/>
      <c r="R457" s="372"/>
      <c r="S457" s="372"/>
      <c r="T457" s="372"/>
      <c r="U457" s="372"/>
      <c r="V457" s="372"/>
      <c r="W457" s="372"/>
      <c r="X457" s="372"/>
      <c r="Y457" s="372"/>
      <c r="AH457" t="s">
        <v>2480</v>
      </c>
      <c r="AI457" t="s">
        <v>2233</v>
      </c>
      <c r="AJ457" t="s">
        <v>968</v>
      </c>
      <c r="AK457" t="s">
        <v>323</v>
      </c>
      <c r="AL457" t="s">
        <v>2481</v>
      </c>
      <c r="AM457" t="s">
        <v>2488</v>
      </c>
      <c r="AN457" t="s">
        <v>2486</v>
      </c>
      <c r="AO457">
        <v>4400</v>
      </c>
      <c r="AP457">
        <v>4400</v>
      </c>
      <c r="AR457" t="s">
        <v>266</v>
      </c>
      <c r="AS457" t="s">
        <v>978</v>
      </c>
    </row>
    <row r="458" spans="11:45" x14ac:dyDescent="0.35">
      <c r="K458" s="373"/>
      <c r="L458" s="372"/>
      <c r="M458" s="372"/>
      <c r="N458" s="372"/>
      <c r="O458" s="372"/>
      <c r="P458" s="372"/>
      <c r="Q458" s="372"/>
      <c r="R458" s="372"/>
      <c r="S458" s="372"/>
      <c r="T458" s="372"/>
      <c r="U458" s="372"/>
      <c r="V458" s="372"/>
      <c r="W458" s="372"/>
      <c r="X458" s="372"/>
      <c r="Y458" s="372"/>
      <c r="AH458" t="s">
        <v>2480</v>
      </c>
      <c r="AI458" t="s">
        <v>2233</v>
      </c>
      <c r="AJ458" t="s">
        <v>968</v>
      </c>
      <c r="AK458" t="s">
        <v>323</v>
      </c>
      <c r="AL458" t="s">
        <v>2481</v>
      </c>
      <c r="AM458" t="s">
        <v>2489</v>
      </c>
      <c r="AN458" t="s">
        <v>2490</v>
      </c>
      <c r="AO458">
        <v>2453</v>
      </c>
      <c r="AP458">
        <v>2453</v>
      </c>
      <c r="AR458" t="s">
        <v>266</v>
      </c>
      <c r="AS458" t="s">
        <v>978</v>
      </c>
    </row>
    <row r="459" spans="11:45" x14ac:dyDescent="0.35">
      <c r="K459" s="373"/>
      <c r="L459" s="372"/>
      <c r="M459" s="372"/>
      <c r="N459" s="372"/>
      <c r="O459" s="372"/>
      <c r="P459" s="372"/>
      <c r="Q459" s="372"/>
      <c r="R459" s="372"/>
      <c r="S459" s="372"/>
      <c r="T459" s="372"/>
      <c r="U459" s="372"/>
      <c r="V459" s="372"/>
      <c r="W459" s="372"/>
      <c r="X459" s="372"/>
      <c r="Y459" s="372"/>
      <c r="AH459" t="s">
        <v>2480</v>
      </c>
      <c r="AI459" t="s">
        <v>2233</v>
      </c>
      <c r="AJ459" t="s">
        <v>968</v>
      </c>
      <c r="AK459" t="s">
        <v>323</v>
      </c>
      <c r="AL459" t="s">
        <v>2481</v>
      </c>
      <c r="AM459" t="s">
        <v>2491</v>
      </c>
      <c r="AN459" t="s">
        <v>2483</v>
      </c>
      <c r="AO459">
        <v>4704</v>
      </c>
      <c r="AP459">
        <v>4704</v>
      </c>
      <c r="AR459" t="s">
        <v>266</v>
      </c>
      <c r="AS459" t="s">
        <v>978</v>
      </c>
    </row>
    <row r="460" spans="11:45" x14ac:dyDescent="0.35">
      <c r="K460" s="373"/>
      <c r="L460" s="372"/>
      <c r="M460" s="372"/>
      <c r="N460" s="372"/>
      <c r="O460" s="372"/>
      <c r="P460" s="372"/>
      <c r="Q460" s="372"/>
      <c r="R460" s="372"/>
      <c r="S460" s="372"/>
      <c r="T460" s="372"/>
      <c r="U460" s="372"/>
      <c r="V460" s="372"/>
      <c r="W460" s="372"/>
      <c r="X460" s="372"/>
      <c r="Y460" s="372"/>
      <c r="AH460" t="s">
        <v>2492</v>
      </c>
      <c r="AI460" t="s">
        <v>2233</v>
      </c>
      <c r="AJ460" t="s">
        <v>968</v>
      </c>
      <c r="AK460" t="s">
        <v>323</v>
      </c>
      <c r="AL460" t="s">
        <v>2493</v>
      </c>
      <c r="AM460" t="s">
        <v>2494</v>
      </c>
      <c r="AN460" t="s">
        <v>2495</v>
      </c>
      <c r="AO460">
        <v>5304</v>
      </c>
      <c r="AP460">
        <v>5304</v>
      </c>
      <c r="AR460" t="s">
        <v>266</v>
      </c>
      <c r="AS460" t="s">
        <v>978</v>
      </c>
    </row>
    <row r="461" spans="11:45" x14ac:dyDescent="0.35">
      <c r="K461" s="373"/>
      <c r="L461" s="372"/>
      <c r="M461" s="372"/>
      <c r="N461" s="372"/>
      <c r="O461" s="372"/>
      <c r="P461" s="372"/>
      <c r="Q461" s="372"/>
      <c r="R461" s="372"/>
      <c r="S461" s="372"/>
      <c r="T461" s="372"/>
      <c r="U461" s="372"/>
      <c r="V461" s="372"/>
      <c r="W461" s="372"/>
      <c r="X461" s="372"/>
      <c r="Y461" s="372"/>
    </row>
    <row r="462" spans="11:45" x14ac:dyDescent="0.35">
      <c r="K462" s="373"/>
      <c r="L462" s="372"/>
      <c r="M462" s="372"/>
      <c r="N462" s="372"/>
      <c r="O462" s="372"/>
      <c r="P462" s="372"/>
      <c r="Q462" s="372"/>
      <c r="R462" s="372"/>
      <c r="S462" s="372"/>
      <c r="T462" s="372"/>
      <c r="U462" s="372"/>
      <c r="V462" s="372"/>
      <c r="W462" s="372"/>
      <c r="X462" s="372"/>
      <c r="Y462" s="372"/>
    </row>
    <row r="463" spans="11:45" x14ac:dyDescent="0.35">
      <c r="K463" s="373"/>
      <c r="L463" s="372"/>
      <c r="M463" s="372"/>
      <c r="N463" s="372"/>
      <c r="O463" s="372"/>
      <c r="P463" s="372"/>
      <c r="Q463" s="372"/>
      <c r="R463" s="372"/>
      <c r="S463" s="372"/>
      <c r="T463" s="372"/>
      <c r="U463" s="372"/>
      <c r="V463" s="372"/>
      <c r="W463" s="372"/>
      <c r="X463" s="372"/>
      <c r="Y463" s="372"/>
    </row>
    <row r="464" spans="11:45" x14ac:dyDescent="0.35">
      <c r="K464" s="373"/>
      <c r="L464" s="372"/>
      <c r="M464" s="372"/>
      <c r="N464" s="372"/>
      <c r="O464" s="372"/>
      <c r="P464" s="372"/>
      <c r="Q464" s="372"/>
      <c r="R464" s="372"/>
      <c r="S464" s="372"/>
      <c r="T464" s="372"/>
      <c r="U464" s="372"/>
      <c r="V464" s="372"/>
      <c r="W464" s="372"/>
      <c r="X464" s="372"/>
      <c r="Y464" s="372"/>
    </row>
    <row r="465" spans="11:25" x14ac:dyDescent="0.35">
      <c r="K465" s="373"/>
      <c r="L465" s="372"/>
      <c r="M465" s="372"/>
      <c r="N465" s="372"/>
      <c r="O465" s="372"/>
      <c r="P465" s="372"/>
      <c r="Q465" s="372"/>
      <c r="R465" s="372"/>
      <c r="S465" s="372"/>
      <c r="T465" s="372"/>
      <c r="U465" s="372"/>
      <c r="V465" s="372"/>
      <c r="W465" s="372"/>
      <c r="X465" s="372"/>
      <c r="Y465" s="372"/>
    </row>
    <row r="466" spans="11:25" x14ac:dyDescent="0.35">
      <c r="K466" s="373"/>
      <c r="L466" s="372"/>
      <c r="M466" s="372"/>
      <c r="N466" s="372"/>
      <c r="O466" s="372"/>
      <c r="P466" s="372"/>
      <c r="Q466" s="372"/>
      <c r="R466" s="372"/>
      <c r="S466" s="372"/>
      <c r="T466" s="372"/>
      <c r="U466" s="372"/>
      <c r="V466" s="372"/>
      <c r="W466" s="372"/>
      <c r="X466" s="372"/>
      <c r="Y466" s="372"/>
    </row>
    <row r="467" spans="11:25" x14ac:dyDescent="0.35">
      <c r="K467" s="373"/>
      <c r="L467" s="372"/>
      <c r="M467" s="372"/>
      <c r="N467" s="372"/>
      <c r="O467" s="372"/>
      <c r="P467" s="372"/>
      <c r="Q467" s="372"/>
      <c r="R467" s="372"/>
      <c r="S467" s="372"/>
      <c r="T467" s="372"/>
      <c r="U467" s="372"/>
      <c r="V467" s="372"/>
      <c r="W467" s="372"/>
      <c r="X467" s="372"/>
      <c r="Y467" s="372"/>
    </row>
    <row r="468" spans="11:25" x14ac:dyDescent="0.35">
      <c r="K468" s="373"/>
      <c r="L468" s="372"/>
      <c r="M468" s="372"/>
      <c r="N468" s="372"/>
      <c r="O468" s="372"/>
      <c r="P468" s="372"/>
      <c r="Q468" s="372"/>
      <c r="R468" s="372"/>
      <c r="S468" s="372"/>
      <c r="T468" s="372"/>
      <c r="U468" s="372"/>
      <c r="V468" s="372"/>
      <c r="W468" s="372"/>
      <c r="X468" s="372"/>
      <c r="Y468" s="372"/>
    </row>
    <row r="469" spans="11:25" x14ac:dyDescent="0.35">
      <c r="K469" s="373"/>
      <c r="L469" s="372"/>
      <c r="M469" s="372"/>
      <c r="N469" s="372"/>
      <c r="O469" s="372"/>
      <c r="P469" s="372"/>
      <c r="Q469" s="372"/>
      <c r="R469" s="372"/>
      <c r="S469" s="372"/>
      <c r="T469" s="372"/>
      <c r="U469" s="372"/>
      <c r="V469" s="372"/>
      <c r="W469" s="372"/>
      <c r="X469" s="372"/>
      <c r="Y469" s="372"/>
    </row>
    <row r="470" spans="11:25" x14ac:dyDescent="0.35">
      <c r="K470" s="373"/>
      <c r="L470" s="372"/>
      <c r="M470" s="372"/>
      <c r="N470" s="372"/>
      <c r="O470" s="372"/>
      <c r="P470" s="372"/>
      <c r="Q470" s="372"/>
      <c r="R470" s="372"/>
      <c r="S470" s="372"/>
      <c r="T470" s="372"/>
      <c r="U470" s="372"/>
      <c r="V470" s="372"/>
      <c r="W470" s="372"/>
      <c r="X470" s="372"/>
      <c r="Y470" s="372"/>
    </row>
    <row r="471" spans="11:25" x14ac:dyDescent="0.35">
      <c r="K471" s="373"/>
      <c r="L471" s="372"/>
      <c r="M471" s="372"/>
      <c r="N471" s="372"/>
      <c r="O471" s="372"/>
      <c r="P471" s="372"/>
      <c r="Q471" s="372"/>
      <c r="R471" s="372"/>
      <c r="S471" s="372"/>
      <c r="T471" s="372"/>
      <c r="U471" s="372"/>
      <c r="V471" s="372"/>
      <c r="W471" s="372"/>
      <c r="X471" s="372"/>
      <c r="Y471" s="372"/>
    </row>
    <row r="472" spans="11:25" x14ac:dyDescent="0.35">
      <c r="K472" s="373"/>
      <c r="L472" s="372"/>
      <c r="M472" s="372"/>
      <c r="N472" s="372"/>
      <c r="O472" s="372"/>
      <c r="P472" s="372"/>
      <c r="Q472" s="372"/>
      <c r="R472" s="372"/>
      <c r="S472" s="372"/>
      <c r="T472" s="372"/>
      <c r="U472" s="372"/>
      <c r="V472" s="372"/>
      <c r="W472" s="372"/>
      <c r="X472" s="372"/>
      <c r="Y472" s="372"/>
    </row>
    <row r="473" spans="11:25" x14ac:dyDescent="0.35">
      <c r="K473" s="373"/>
      <c r="L473" s="372"/>
      <c r="M473" s="372"/>
      <c r="N473" s="372"/>
      <c r="O473" s="372"/>
      <c r="P473" s="372"/>
      <c r="Q473" s="372"/>
      <c r="R473" s="372"/>
      <c r="S473" s="372"/>
      <c r="T473" s="372"/>
      <c r="U473" s="372"/>
      <c r="V473" s="372"/>
      <c r="W473" s="372"/>
      <c r="X473" s="372"/>
      <c r="Y473" s="372"/>
    </row>
    <row r="474" spans="11:25" x14ac:dyDescent="0.35">
      <c r="K474" s="373"/>
      <c r="L474" s="372"/>
      <c r="M474" s="372"/>
      <c r="N474" s="372"/>
      <c r="O474" s="372"/>
      <c r="P474" s="372"/>
      <c r="Q474" s="372"/>
      <c r="R474" s="372"/>
      <c r="S474" s="372"/>
      <c r="T474" s="372"/>
      <c r="U474" s="372"/>
      <c r="V474" s="372"/>
      <c r="W474" s="372"/>
      <c r="X474" s="372"/>
      <c r="Y474" s="372"/>
    </row>
    <row r="475" spans="11:25" x14ac:dyDescent="0.35">
      <c r="K475" s="373"/>
      <c r="L475" s="372"/>
      <c r="M475" s="372"/>
      <c r="N475" s="372"/>
      <c r="O475" s="372"/>
      <c r="P475" s="372"/>
      <c r="Q475" s="372"/>
      <c r="R475" s="372"/>
      <c r="S475" s="372"/>
      <c r="T475" s="372"/>
      <c r="U475" s="372"/>
      <c r="V475" s="372"/>
      <c r="W475" s="372"/>
      <c r="X475" s="372"/>
      <c r="Y475" s="372"/>
    </row>
    <row r="476" spans="11:25" x14ac:dyDescent="0.35">
      <c r="K476" s="373"/>
      <c r="L476" s="372"/>
      <c r="M476" s="372"/>
      <c r="N476" s="372"/>
      <c r="O476" s="372"/>
      <c r="P476" s="372"/>
      <c r="Q476" s="372"/>
      <c r="R476" s="372"/>
      <c r="S476" s="372"/>
      <c r="T476" s="372"/>
      <c r="U476" s="372"/>
      <c r="V476" s="372"/>
      <c r="W476" s="372"/>
      <c r="X476" s="372"/>
      <c r="Y476" s="372"/>
    </row>
    <row r="477" spans="11:25" x14ac:dyDescent="0.35">
      <c r="K477" s="373"/>
      <c r="L477" s="372"/>
      <c r="M477" s="372"/>
      <c r="N477" s="372"/>
      <c r="O477" s="372"/>
      <c r="P477" s="372"/>
      <c r="Q477" s="372"/>
      <c r="R477" s="372"/>
      <c r="S477" s="372"/>
      <c r="T477" s="372"/>
      <c r="U477" s="372"/>
      <c r="V477" s="372"/>
      <c r="W477" s="372"/>
      <c r="X477" s="372"/>
      <c r="Y477" s="372"/>
    </row>
    <row r="478" spans="11:25" x14ac:dyDescent="0.35">
      <c r="K478" s="373"/>
      <c r="L478" s="372"/>
      <c r="M478" s="372"/>
      <c r="N478" s="372"/>
      <c r="O478" s="372"/>
      <c r="P478" s="372"/>
      <c r="Q478" s="372"/>
      <c r="R478" s="372"/>
      <c r="S478" s="372"/>
      <c r="T478" s="372"/>
      <c r="U478" s="372"/>
      <c r="V478" s="372"/>
      <c r="W478" s="372"/>
      <c r="X478" s="372"/>
      <c r="Y478" s="372"/>
    </row>
    <row r="479" spans="11:25" x14ac:dyDescent="0.35">
      <c r="K479" s="373"/>
      <c r="L479" s="372"/>
      <c r="M479" s="372"/>
      <c r="N479" s="372"/>
      <c r="O479" s="372"/>
      <c r="P479" s="372"/>
      <c r="Q479" s="372"/>
      <c r="R479" s="372"/>
      <c r="S479" s="372"/>
      <c r="T479" s="372"/>
      <c r="U479" s="372"/>
      <c r="V479" s="372"/>
      <c r="W479" s="372"/>
      <c r="X479" s="372"/>
      <c r="Y479" s="372"/>
    </row>
    <row r="480" spans="11:25" x14ac:dyDescent="0.35">
      <c r="K480" s="373"/>
      <c r="L480" s="372"/>
      <c r="M480" s="372"/>
      <c r="N480" s="372"/>
      <c r="O480" s="372"/>
      <c r="P480" s="372"/>
      <c r="Q480" s="372"/>
      <c r="R480" s="372"/>
      <c r="S480" s="372"/>
      <c r="T480" s="372"/>
      <c r="U480" s="372"/>
      <c r="V480" s="372"/>
      <c r="W480" s="372"/>
      <c r="X480" s="372"/>
      <c r="Y480" s="372"/>
    </row>
    <row r="481" spans="11:25" x14ac:dyDescent="0.35">
      <c r="K481" s="373"/>
      <c r="L481" s="372"/>
      <c r="M481" s="372"/>
      <c r="N481" s="372"/>
      <c r="O481" s="372"/>
      <c r="P481" s="372"/>
      <c r="Q481" s="372"/>
      <c r="R481" s="372"/>
      <c r="S481" s="372"/>
      <c r="T481" s="372"/>
      <c r="U481" s="372"/>
      <c r="V481" s="372"/>
      <c r="W481" s="372"/>
      <c r="X481" s="372"/>
      <c r="Y481" s="372"/>
    </row>
    <row r="482" spans="11:25" x14ac:dyDescent="0.35">
      <c r="K482" s="373"/>
      <c r="L482" s="372"/>
      <c r="M482" s="372"/>
      <c r="N482" s="372"/>
      <c r="O482" s="372"/>
      <c r="P482" s="372"/>
      <c r="Q482" s="372"/>
      <c r="R482" s="372"/>
      <c r="S482" s="372"/>
      <c r="T482" s="372"/>
      <c r="U482" s="372"/>
      <c r="V482" s="372"/>
      <c r="W482" s="372"/>
      <c r="X482" s="372"/>
      <c r="Y482" s="372"/>
    </row>
    <row r="483" spans="11:25" x14ac:dyDescent="0.35">
      <c r="K483" s="373"/>
      <c r="L483" s="372"/>
      <c r="M483" s="372"/>
      <c r="N483" s="372"/>
      <c r="O483" s="372"/>
      <c r="P483" s="372"/>
      <c r="Q483" s="372"/>
      <c r="R483" s="372"/>
      <c r="S483" s="372"/>
      <c r="T483" s="372"/>
      <c r="U483" s="372"/>
      <c r="V483" s="372"/>
      <c r="W483" s="372"/>
      <c r="X483" s="372"/>
      <c r="Y483" s="372"/>
    </row>
    <row r="484" spans="11:25" x14ac:dyDescent="0.35">
      <c r="K484" s="373"/>
      <c r="L484" s="372"/>
      <c r="M484" s="372"/>
      <c r="N484" s="372"/>
      <c r="O484" s="372"/>
      <c r="P484" s="372"/>
      <c r="Q484" s="372"/>
      <c r="R484" s="372"/>
      <c r="S484" s="372"/>
      <c r="T484" s="372"/>
      <c r="U484" s="372"/>
      <c r="V484" s="372"/>
      <c r="W484" s="372"/>
      <c r="X484" s="372"/>
      <c r="Y484" s="372"/>
    </row>
    <row r="485" spans="11:25" x14ac:dyDescent="0.35">
      <c r="K485" s="373"/>
      <c r="L485" s="372"/>
      <c r="M485" s="372"/>
      <c r="N485" s="372"/>
      <c r="O485" s="372"/>
      <c r="P485" s="372"/>
      <c r="Q485" s="372"/>
      <c r="R485" s="372"/>
      <c r="S485" s="372"/>
      <c r="T485" s="372"/>
      <c r="U485" s="372"/>
      <c r="V485" s="372"/>
      <c r="W485" s="372"/>
      <c r="X485" s="372"/>
      <c r="Y485" s="372"/>
    </row>
    <row r="486" spans="11:25" x14ac:dyDescent="0.35">
      <c r="K486" s="373"/>
      <c r="L486" s="372"/>
      <c r="M486" s="372"/>
      <c r="N486" s="372"/>
      <c r="O486" s="372"/>
      <c r="P486" s="372"/>
      <c r="Q486" s="372"/>
      <c r="R486" s="372"/>
      <c r="S486" s="372"/>
      <c r="T486" s="372"/>
      <c r="U486" s="372"/>
      <c r="V486" s="372"/>
      <c r="W486" s="372"/>
      <c r="X486" s="372"/>
      <c r="Y486" s="372"/>
    </row>
    <row r="487" spans="11:25" x14ac:dyDescent="0.35">
      <c r="K487" s="373"/>
      <c r="L487" s="372"/>
      <c r="M487" s="372"/>
      <c r="N487" s="372"/>
      <c r="O487" s="372"/>
      <c r="P487" s="372"/>
      <c r="Q487" s="372"/>
      <c r="R487" s="372"/>
      <c r="S487" s="372"/>
      <c r="T487" s="372"/>
      <c r="U487" s="372"/>
      <c r="V487" s="372"/>
      <c r="W487" s="372"/>
      <c r="X487" s="372"/>
      <c r="Y487" s="372"/>
    </row>
    <row r="488" spans="11:25" x14ac:dyDescent="0.35">
      <c r="K488" s="373"/>
      <c r="L488" s="372"/>
      <c r="M488" s="372"/>
      <c r="N488" s="372"/>
      <c r="O488" s="372"/>
      <c r="P488" s="372"/>
      <c r="Q488" s="372"/>
      <c r="R488" s="372"/>
      <c r="S488" s="372"/>
      <c r="T488" s="372"/>
      <c r="U488" s="372"/>
      <c r="V488" s="372"/>
      <c r="W488" s="372"/>
      <c r="X488" s="372"/>
      <c r="Y488" s="372"/>
    </row>
    <row r="489" spans="11:25" x14ac:dyDescent="0.35">
      <c r="K489" s="373"/>
      <c r="L489" s="372"/>
      <c r="M489" s="372"/>
      <c r="N489" s="372"/>
      <c r="O489" s="372"/>
      <c r="P489" s="372"/>
      <c r="Q489" s="372"/>
      <c r="R489" s="372"/>
      <c r="S489" s="372"/>
      <c r="T489" s="372"/>
      <c r="U489" s="372"/>
      <c r="V489" s="372"/>
      <c r="W489" s="372"/>
      <c r="X489" s="372"/>
      <c r="Y489" s="372"/>
    </row>
    <row r="490" spans="11:25" x14ac:dyDescent="0.35">
      <c r="K490" s="373"/>
      <c r="L490" s="372"/>
      <c r="M490" s="372"/>
      <c r="N490" s="372"/>
      <c r="O490" s="372"/>
      <c r="P490" s="372"/>
      <c r="Q490" s="372"/>
      <c r="R490" s="372"/>
      <c r="S490" s="372"/>
      <c r="T490" s="372"/>
      <c r="U490" s="372"/>
      <c r="V490" s="372"/>
      <c r="W490" s="372"/>
      <c r="X490" s="372"/>
      <c r="Y490" s="372"/>
    </row>
    <row r="491" spans="11:25" x14ac:dyDescent="0.35">
      <c r="K491" s="373"/>
      <c r="L491" s="372"/>
      <c r="M491" s="372"/>
      <c r="N491" s="372"/>
      <c r="O491" s="372"/>
      <c r="P491" s="372"/>
      <c r="Q491" s="372"/>
      <c r="R491" s="372"/>
      <c r="S491" s="372"/>
      <c r="T491" s="372"/>
      <c r="U491" s="372"/>
      <c r="V491" s="372"/>
      <c r="W491" s="372"/>
      <c r="X491" s="372"/>
      <c r="Y491" s="372"/>
    </row>
    <row r="492" spans="11:25" x14ac:dyDescent="0.35">
      <c r="K492" s="373"/>
      <c r="L492" s="372"/>
      <c r="M492" s="372"/>
      <c r="N492" s="372"/>
      <c r="O492" s="372"/>
      <c r="P492" s="372"/>
      <c r="Q492" s="372"/>
      <c r="R492" s="372"/>
      <c r="S492" s="372"/>
      <c r="T492" s="372"/>
      <c r="U492" s="372"/>
      <c r="V492" s="372"/>
      <c r="W492" s="372"/>
      <c r="X492" s="372"/>
      <c r="Y492" s="372"/>
    </row>
    <row r="493" spans="11:25" x14ac:dyDescent="0.35">
      <c r="K493" s="373"/>
      <c r="L493" s="372"/>
      <c r="M493" s="372"/>
      <c r="N493" s="372"/>
      <c r="O493" s="372"/>
      <c r="P493" s="372"/>
      <c r="Q493" s="372"/>
      <c r="R493" s="372"/>
      <c r="S493" s="372"/>
      <c r="T493" s="372"/>
      <c r="U493" s="372"/>
      <c r="V493" s="372"/>
      <c r="W493" s="372"/>
      <c r="X493" s="372"/>
      <c r="Y493" s="372"/>
    </row>
    <row r="494" spans="11:25" x14ac:dyDescent="0.35">
      <c r="K494" s="373"/>
      <c r="L494" s="372"/>
      <c r="M494" s="372"/>
      <c r="N494" s="372"/>
      <c r="O494" s="372"/>
      <c r="P494" s="372"/>
      <c r="Q494" s="372"/>
      <c r="R494" s="372"/>
      <c r="S494" s="372"/>
      <c r="T494" s="372"/>
      <c r="U494" s="372"/>
      <c r="V494" s="372"/>
      <c r="W494" s="372"/>
      <c r="X494" s="372"/>
      <c r="Y494" s="372"/>
    </row>
    <row r="495" spans="11:25" x14ac:dyDescent="0.35">
      <c r="K495" s="373"/>
      <c r="L495" s="372"/>
      <c r="M495" s="372"/>
      <c r="N495" s="372"/>
      <c r="O495" s="372"/>
      <c r="P495" s="372"/>
      <c r="Q495" s="372"/>
      <c r="R495" s="372"/>
      <c r="S495" s="372"/>
      <c r="T495" s="372"/>
      <c r="U495" s="372"/>
      <c r="V495" s="372"/>
      <c r="W495" s="372"/>
      <c r="X495" s="372"/>
      <c r="Y495" s="372"/>
    </row>
    <row r="496" spans="11:25" x14ac:dyDescent="0.35">
      <c r="K496" s="373"/>
      <c r="L496" s="372"/>
      <c r="M496" s="372"/>
      <c r="N496" s="372"/>
      <c r="O496" s="372"/>
      <c r="P496" s="372"/>
      <c r="Q496" s="372"/>
      <c r="R496" s="372"/>
      <c r="S496" s="372"/>
      <c r="T496" s="372"/>
      <c r="U496" s="372"/>
      <c r="V496" s="372"/>
      <c r="W496" s="372"/>
      <c r="X496" s="372"/>
      <c r="Y496" s="372"/>
    </row>
    <row r="497" spans="11:25" x14ac:dyDescent="0.35">
      <c r="K497" s="373"/>
      <c r="L497" s="372"/>
      <c r="M497" s="372"/>
      <c r="N497" s="372"/>
      <c r="O497" s="372"/>
      <c r="P497" s="372"/>
      <c r="Q497" s="372"/>
      <c r="R497" s="372"/>
      <c r="S497" s="372"/>
      <c r="T497" s="372"/>
      <c r="U497" s="372"/>
      <c r="V497" s="372"/>
      <c r="W497" s="372"/>
      <c r="X497" s="372"/>
      <c r="Y497" s="372"/>
    </row>
    <row r="498" spans="11:25" x14ac:dyDescent="0.35">
      <c r="K498" s="373"/>
      <c r="L498" s="372"/>
      <c r="M498" s="372"/>
      <c r="N498" s="372"/>
      <c r="O498" s="372"/>
      <c r="P498" s="372"/>
      <c r="Q498" s="372"/>
      <c r="R498" s="372"/>
      <c r="S498" s="372"/>
      <c r="T498" s="372"/>
      <c r="U498" s="372"/>
      <c r="V498" s="372"/>
      <c r="W498" s="372"/>
      <c r="X498" s="372"/>
      <c r="Y498" s="372"/>
    </row>
    <row r="499" spans="11:25" x14ac:dyDescent="0.35">
      <c r="K499" s="373"/>
      <c r="L499" s="372"/>
      <c r="M499" s="372"/>
      <c r="N499" s="372"/>
      <c r="O499" s="372"/>
      <c r="P499" s="372"/>
      <c r="Q499" s="372"/>
      <c r="R499" s="372"/>
      <c r="S499" s="372"/>
      <c r="T499" s="372"/>
      <c r="U499" s="372"/>
      <c r="V499" s="372"/>
      <c r="W499" s="372"/>
      <c r="X499" s="372"/>
      <c r="Y499" s="372"/>
    </row>
    <row r="500" spans="11:25" x14ac:dyDescent="0.35">
      <c r="K500" s="373"/>
      <c r="L500" s="372"/>
      <c r="M500" s="372"/>
      <c r="N500" s="372"/>
      <c r="O500" s="372"/>
      <c r="P500" s="372"/>
      <c r="Q500" s="372"/>
      <c r="R500" s="372"/>
      <c r="S500" s="372"/>
      <c r="T500" s="372"/>
      <c r="U500" s="372"/>
      <c r="V500" s="372"/>
      <c r="W500" s="372"/>
      <c r="X500" s="372"/>
      <c r="Y500" s="372"/>
    </row>
    <row r="501" spans="11:25" x14ac:dyDescent="0.35">
      <c r="K501" s="373"/>
      <c r="L501" s="372"/>
      <c r="M501" s="372"/>
      <c r="N501" s="372"/>
      <c r="O501" s="372"/>
      <c r="P501" s="372"/>
      <c r="Q501" s="372"/>
      <c r="R501" s="372"/>
      <c r="S501" s="372"/>
      <c r="T501" s="372"/>
      <c r="U501" s="372"/>
      <c r="V501" s="372"/>
      <c r="W501" s="372"/>
      <c r="X501" s="372"/>
      <c r="Y501" s="372"/>
    </row>
    <row r="502" spans="11:25" x14ac:dyDescent="0.35">
      <c r="K502" s="373"/>
      <c r="L502" s="372"/>
      <c r="M502" s="372"/>
      <c r="N502" s="372"/>
      <c r="O502" s="372"/>
      <c r="P502" s="372"/>
      <c r="Q502" s="372"/>
      <c r="R502" s="372"/>
      <c r="S502" s="372"/>
      <c r="T502" s="372"/>
      <c r="U502" s="372"/>
      <c r="V502" s="372"/>
      <c r="W502" s="372"/>
      <c r="X502" s="372"/>
      <c r="Y502" s="372"/>
    </row>
    <row r="503" spans="11:25" x14ac:dyDescent="0.35">
      <c r="K503" s="373"/>
      <c r="L503" s="372"/>
      <c r="M503" s="372"/>
      <c r="N503" s="372"/>
      <c r="O503" s="372"/>
      <c r="P503" s="372"/>
      <c r="Q503" s="372"/>
      <c r="R503" s="372"/>
      <c r="S503" s="372"/>
      <c r="T503" s="372"/>
      <c r="U503" s="372"/>
      <c r="V503" s="372"/>
      <c r="W503" s="372"/>
      <c r="X503" s="372"/>
      <c r="Y503" s="372"/>
    </row>
    <row r="504" spans="11:25" x14ac:dyDescent="0.35">
      <c r="K504" s="373"/>
      <c r="L504" s="372"/>
      <c r="M504" s="372"/>
      <c r="N504" s="372"/>
      <c r="O504" s="372"/>
      <c r="P504" s="372"/>
      <c r="Q504" s="372"/>
      <c r="R504" s="372"/>
      <c r="S504" s="372"/>
      <c r="T504" s="372"/>
      <c r="U504" s="372"/>
      <c r="V504" s="372"/>
      <c r="W504" s="372"/>
      <c r="X504" s="372"/>
      <c r="Y504" s="372"/>
    </row>
    <row r="505" spans="11:25" x14ac:dyDescent="0.35">
      <c r="K505" s="373"/>
      <c r="L505" s="372"/>
      <c r="M505" s="372"/>
      <c r="N505" s="372"/>
      <c r="O505" s="372"/>
      <c r="P505" s="372"/>
      <c r="Q505" s="372"/>
      <c r="R505" s="372"/>
      <c r="S505" s="372"/>
      <c r="T505" s="372"/>
      <c r="U505" s="372"/>
      <c r="V505" s="372"/>
      <c r="W505" s="372"/>
      <c r="X505" s="372"/>
      <c r="Y505" s="372"/>
    </row>
    <row r="506" spans="11:25" x14ac:dyDescent="0.35">
      <c r="K506" s="373"/>
      <c r="L506" s="372"/>
      <c r="M506" s="372"/>
      <c r="N506" s="372"/>
      <c r="O506" s="372"/>
      <c r="P506" s="372"/>
      <c r="Q506" s="372"/>
      <c r="R506" s="372"/>
      <c r="S506" s="372"/>
      <c r="T506" s="372"/>
      <c r="U506" s="372"/>
      <c r="V506" s="372"/>
      <c r="W506" s="372"/>
      <c r="X506" s="372"/>
      <c r="Y506" s="372"/>
    </row>
    <row r="507" spans="11:25" x14ac:dyDescent="0.35">
      <c r="K507" s="373"/>
      <c r="L507" s="372"/>
      <c r="M507" s="372"/>
      <c r="N507" s="372"/>
      <c r="O507" s="372"/>
      <c r="P507" s="372"/>
      <c r="Q507" s="372"/>
      <c r="R507" s="372"/>
      <c r="S507" s="372"/>
      <c r="T507" s="372"/>
      <c r="U507" s="372"/>
      <c r="V507" s="372"/>
      <c r="W507" s="372"/>
      <c r="X507" s="372"/>
      <c r="Y507" s="372"/>
    </row>
    <row r="508" spans="11:25" x14ac:dyDescent="0.35">
      <c r="K508" s="373"/>
      <c r="L508" s="372"/>
      <c r="M508" s="372"/>
      <c r="N508" s="372"/>
      <c r="O508" s="372"/>
      <c r="P508" s="372"/>
      <c r="Q508" s="372"/>
      <c r="R508" s="372"/>
      <c r="S508" s="372"/>
      <c r="T508" s="372"/>
      <c r="U508" s="372"/>
      <c r="V508" s="372"/>
      <c r="W508" s="372"/>
      <c r="X508" s="372"/>
      <c r="Y508" s="372"/>
    </row>
    <row r="509" spans="11:25" x14ac:dyDescent="0.35">
      <c r="K509" s="373"/>
      <c r="L509" s="372"/>
      <c r="M509" s="372"/>
      <c r="N509" s="372"/>
      <c r="O509" s="372"/>
      <c r="P509" s="372"/>
      <c r="Q509" s="372"/>
      <c r="R509" s="372"/>
      <c r="S509" s="372"/>
      <c r="T509" s="372"/>
      <c r="U509" s="372"/>
      <c r="V509" s="372"/>
      <c r="W509" s="372"/>
      <c r="X509" s="372"/>
      <c r="Y509" s="372"/>
    </row>
    <row r="510" spans="11:25" x14ac:dyDescent="0.35">
      <c r="K510" s="373"/>
      <c r="L510" s="372"/>
      <c r="M510" s="372"/>
      <c r="N510" s="372"/>
      <c r="O510" s="372"/>
      <c r="P510" s="372"/>
      <c r="Q510" s="372"/>
      <c r="R510" s="372"/>
      <c r="S510" s="372"/>
      <c r="T510" s="372"/>
      <c r="U510" s="372"/>
      <c r="V510" s="372"/>
      <c r="W510" s="372"/>
      <c r="X510" s="372"/>
      <c r="Y510" s="372"/>
    </row>
    <row r="511" spans="11:25" x14ac:dyDescent="0.35">
      <c r="K511" s="373"/>
      <c r="L511" s="372"/>
      <c r="M511" s="372"/>
      <c r="N511" s="372"/>
      <c r="O511" s="372"/>
      <c r="P511" s="372"/>
      <c r="Q511" s="372"/>
      <c r="R511" s="372"/>
      <c r="S511" s="372"/>
      <c r="T511" s="372"/>
      <c r="U511" s="372"/>
      <c r="V511" s="372"/>
      <c r="W511" s="372"/>
      <c r="X511" s="372"/>
      <c r="Y511" s="372"/>
    </row>
    <row r="512" spans="11:25" x14ac:dyDescent="0.35">
      <c r="K512" s="373"/>
      <c r="L512" s="372"/>
      <c r="M512" s="372"/>
      <c r="N512" s="372"/>
      <c r="O512" s="372"/>
      <c r="P512" s="372"/>
      <c r="Q512" s="372"/>
      <c r="R512" s="372"/>
      <c r="S512" s="372"/>
      <c r="T512" s="372"/>
      <c r="U512" s="372"/>
      <c r="V512" s="372"/>
      <c r="W512" s="372"/>
      <c r="X512" s="372"/>
      <c r="Y512" s="372"/>
    </row>
    <row r="513" spans="11:25" x14ac:dyDescent="0.35">
      <c r="K513" s="373"/>
      <c r="L513" s="372"/>
      <c r="M513" s="372"/>
      <c r="N513" s="372"/>
      <c r="O513" s="372"/>
      <c r="P513" s="372"/>
      <c r="Q513" s="372"/>
      <c r="R513" s="372"/>
      <c r="S513" s="372"/>
      <c r="T513" s="372"/>
      <c r="U513" s="372"/>
      <c r="V513" s="372"/>
      <c r="W513" s="372"/>
      <c r="X513" s="372"/>
      <c r="Y513" s="372"/>
    </row>
    <row r="514" spans="11:25" x14ac:dyDescent="0.35">
      <c r="K514" s="373"/>
      <c r="L514" s="372"/>
      <c r="M514" s="372"/>
      <c r="N514" s="372"/>
      <c r="O514" s="372"/>
      <c r="P514" s="372"/>
      <c r="Q514" s="372"/>
      <c r="R514" s="372"/>
      <c r="S514" s="372"/>
      <c r="T514" s="372"/>
      <c r="U514" s="372"/>
      <c r="V514" s="372"/>
      <c r="W514" s="372"/>
      <c r="X514" s="372"/>
      <c r="Y514" s="372"/>
    </row>
    <row r="515" spans="11:25" x14ac:dyDescent="0.35">
      <c r="K515" s="373"/>
      <c r="L515" s="372"/>
      <c r="M515" s="372"/>
      <c r="N515" s="372"/>
      <c r="O515" s="372"/>
      <c r="P515" s="372"/>
      <c r="Q515" s="372"/>
      <c r="R515" s="372"/>
      <c r="S515" s="372"/>
      <c r="T515" s="372"/>
      <c r="U515" s="372"/>
      <c r="V515" s="372"/>
      <c r="W515" s="372"/>
      <c r="X515" s="372"/>
      <c r="Y515" s="372"/>
    </row>
    <row r="516" spans="11:25" x14ac:dyDescent="0.35">
      <c r="K516" s="373"/>
      <c r="L516" s="372"/>
      <c r="M516" s="372"/>
      <c r="N516" s="372"/>
      <c r="O516" s="372"/>
      <c r="P516" s="372"/>
      <c r="Q516" s="372"/>
      <c r="R516" s="372"/>
      <c r="S516" s="372"/>
      <c r="T516" s="372"/>
      <c r="U516" s="372"/>
      <c r="V516" s="372"/>
      <c r="W516" s="372"/>
      <c r="X516" s="372"/>
      <c r="Y516" s="372"/>
    </row>
    <row r="517" spans="11:25" x14ac:dyDescent="0.35">
      <c r="K517" s="373"/>
      <c r="L517" s="372"/>
      <c r="M517" s="372"/>
      <c r="N517" s="372"/>
      <c r="O517" s="372"/>
      <c r="P517" s="372"/>
      <c r="Q517" s="372"/>
      <c r="R517" s="372"/>
      <c r="S517" s="372"/>
      <c r="T517" s="372"/>
      <c r="U517" s="372"/>
      <c r="V517" s="372"/>
      <c r="W517" s="372"/>
      <c r="X517" s="372"/>
      <c r="Y517" s="372"/>
    </row>
    <row r="518" spans="11:25" x14ac:dyDescent="0.35">
      <c r="K518" s="373"/>
      <c r="L518" s="372"/>
      <c r="M518" s="372"/>
      <c r="N518" s="372"/>
      <c r="O518" s="372"/>
      <c r="P518" s="372"/>
      <c r="Q518" s="372"/>
      <c r="R518" s="372"/>
      <c r="S518" s="372"/>
      <c r="T518" s="372"/>
      <c r="U518" s="372"/>
      <c r="V518" s="372"/>
      <c r="W518" s="372"/>
      <c r="X518" s="372"/>
      <c r="Y518" s="372"/>
    </row>
    <row r="519" spans="11:25" x14ac:dyDescent="0.35">
      <c r="K519" s="373"/>
      <c r="L519" s="372"/>
      <c r="M519" s="372"/>
      <c r="N519" s="372"/>
      <c r="O519" s="372"/>
      <c r="P519" s="372"/>
      <c r="Q519" s="372"/>
      <c r="R519" s="372"/>
      <c r="S519" s="372"/>
      <c r="T519" s="372"/>
      <c r="U519" s="372"/>
      <c r="V519" s="372"/>
      <c r="W519" s="372"/>
      <c r="X519" s="372"/>
      <c r="Y519" s="372"/>
    </row>
    <row r="520" spans="11:25" x14ac:dyDescent="0.35">
      <c r="K520" s="373"/>
      <c r="L520" s="372"/>
      <c r="M520" s="372"/>
      <c r="N520" s="372"/>
      <c r="O520" s="372"/>
      <c r="P520" s="372"/>
      <c r="Q520" s="372"/>
      <c r="R520" s="372"/>
      <c r="S520" s="372"/>
      <c r="T520" s="372"/>
      <c r="U520" s="372"/>
      <c r="V520" s="372"/>
      <c r="W520" s="372"/>
      <c r="X520" s="372"/>
      <c r="Y520" s="372"/>
    </row>
    <row r="521" spans="11:25" x14ac:dyDescent="0.35">
      <c r="K521" s="373"/>
      <c r="L521" s="372"/>
      <c r="M521" s="372"/>
      <c r="N521" s="372"/>
      <c r="O521" s="372"/>
      <c r="P521" s="372"/>
      <c r="Q521" s="372"/>
      <c r="R521" s="372"/>
      <c r="S521" s="372"/>
      <c r="T521" s="372"/>
      <c r="U521" s="372"/>
      <c r="V521" s="372"/>
      <c r="W521" s="372"/>
      <c r="X521" s="372"/>
      <c r="Y521" s="372"/>
    </row>
    <row r="522" spans="11:25" x14ac:dyDescent="0.35">
      <c r="K522" s="373"/>
      <c r="L522" s="372"/>
      <c r="M522" s="372"/>
      <c r="N522" s="372"/>
      <c r="O522" s="372"/>
      <c r="P522" s="372"/>
      <c r="Q522" s="372"/>
      <c r="R522" s="372"/>
      <c r="S522" s="372"/>
      <c r="T522" s="372"/>
      <c r="U522" s="372"/>
      <c r="V522" s="372"/>
      <c r="W522" s="372"/>
      <c r="X522" s="372"/>
      <c r="Y522" s="372"/>
    </row>
    <row r="523" spans="11:25" x14ac:dyDescent="0.35">
      <c r="K523" s="373"/>
      <c r="L523" s="372"/>
      <c r="M523" s="372"/>
      <c r="N523" s="372"/>
      <c r="O523" s="372"/>
      <c r="P523" s="372"/>
      <c r="Q523" s="372"/>
      <c r="R523" s="372"/>
      <c r="S523" s="372"/>
      <c r="T523" s="372"/>
      <c r="U523" s="372"/>
      <c r="V523" s="372"/>
      <c r="W523" s="372"/>
      <c r="X523" s="372"/>
      <c r="Y523" s="372"/>
    </row>
    <row r="524" spans="11:25" x14ac:dyDescent="0.35">
      <c r="K524" s="373"/>
      <c r="L524" s="372"/>
      <c r="M524" s="372"/>
      <c r="N524" s="372"/>
      <c r="O524" s="372"/>
      <c r="P524" s="372"/>
      <c r="Q524" s="372"/>
      <c r="R524" s="372"/>
      <c r="S524" s="372"/>
      <c r="T524" s="372"/>
      <c r="U524" s="372"/>
      <c r="V524" s="372"/>
      <c r="W524" s="372"/>
      <c r="X524" s="372"/>
      <c r="Y524" s="372"/>
    </row>
    <row r="525" spans="11:25" x14ac:dyDescent="0.35">
      <c r="K525" s="373"/>
      <c r="L525" s="372"/>
      <c r="M525" s="372"/>
      <c r="N525" s="372"/>
      <c r="O525" s="372"/>
      <c r="P525" s="372"/>
      <c r="Q525" s="372"/>
      <c r="R525" s="372"/>
      <c r="S525" s="372"/>
      <c r="T525" s="372"/>
      <c r="U525" s="372"/>
      <c r="V525" s="372"/>
      <c r="W525" s="372"/>
      <c r="X525" s="372"/>
      <c r="Y525" s="372"/>
    </row>
    <row r="526" spans="11:25" x14ac:dyDescent="0.35">
      <c r="K526" s="373"/>
      <c r="L526" s="372"/>
      <c r="M526" s="372"/>
      <c r="N526" s="372"/>
      <c r="O526" s="372"/>
      <c r="P526" s="372"/>
      <c r="Q526" s="372"/>
      <c r="R526" s="372"/>
      <c r="S526" s="372"/>
      <c r="T526" s="372"/>
      <c r="U526" s="372"/>
      <c r="V526" s="372"/>
      <c r="W526" s="372"/>
      <c r="X526" s="372"/>
      <c r="Y526" s="372"/>
    </row>
    <row r="527" spans="11:25" x14ac:dyDescent="0.35">
      <c r="K527" s="373"/>
      <c r="L527" s="372"/>
      <c r="M527" s="372"/>
      <c r="N527" s="372"/>
      <c r="O527" s="372"/>
      <c r="P527" s="372"/>
      <c r="Q527" s="372"/>
      <c r="R527" s="372"/>
      <c r="S527" s="372"/>
      <c r="T527" s="372"/>
      <c r="U527" s="372"/>
      <c r="V527" s="372"/>
      <c r="W527" s="372"/>
      <c r="X527" s="372"/>
      <c r="Y527" s="372"/>
    </row>
    <row r="528" spans="11:25" x14ac:dyDescent="0.35">
      <c r="K528" s="373"/>
      <c r="L528" s="372"/>
      <c r="M528" s="372"/>
      <c r="N528" s="372"/>
      <c r="O528" s="372"/>
      <c r="P528" s="372"/>
      <c r="Q528" s="372"/>
      <c r="R528" s="372"/>
      <c r="S528" s="372"/>
      <c r="T528" s="372"/>
      <c r="U528" s="372"/>
      <c r="V528" s="372"/>
      <c r="W528" s="372"/>
      <c r="X528" s="372"/>
      <c r="Y528" s="372"/>
    </row>
    <row r="529" spans="11:25" x14ac:dyDescent="0.35">
      <c r="K529" s="373"/>
      <c r="L529" s="372"/>
      <c r="M529" s="372"/>
      <c r="N529" s="372"/>
      <c r="O529" s="372"/>
      <c r="P529" s="372"/>
      <c r="Q529" s="372"/>
      <c r="R529" s="372"/>
      <c r="S529" s="372"/>
      <c r="T529" s="372"/>
      <c r="U529" s="372"/>
      <c r="V529" s="372"/>
      <c r="W529" s="372"/>
      <c r="X529" s="372"/>
      <c r="Y529" s="372"/>
    </row>
    <row r="530" spans="11:25" x14ac:dyDescent="0.35">
      <c r="K530" s="373"/>
      <c r="L530" s="372"/>
      <c r="M530" s="372"/>
      <c r="N530" s="372"/>
      <c r="O530" s="372"/>
      <c r="P530" s="372"/>
      <c r="Q530" s="372"/>
      <c r="R530" s="372"/>
      <c r="S530" s="372"/>
      <c r="T530" s="372"/>
      <c r="U530" s="372"/>
      <c r="V530" s="372"/>
      <c r="W530" s="372"/>
      <c r="X530" s="372"/>
      <c r="Y530" s="372"/>
    </row>
    <row r="531" spans="11:25" x14ac:dyDescent="0.35">
      <c r="K531" s="373"/>
      <c r="L531" s="372"/>
      <c r="M531" s="372"/>
      <c r="N531" s="372"/>
      <c r="O531" s="372"/>
      <c r="P531" s="372"/>
      <c r="Q531" s="372"/>
      <c r="R531" s="372"/>
      <c r="S531" s="372"/>
      <c r="T531" s="372"/>
      <c r="U531" s="372"/>
      <c r="V531" s="372"/>
      <c r="W531" s="372"/>
      <c r="X531" s="372"/>
      <c r="Y531" s="372"/>
    </row>
    <row r="532" spans="11:25" x14ac:dyDescent="0.35">
      <c r="K532" s="373"/>
      <c r="L532" s="372"/>
      <c r="M532" s="372"/>
      <c r="N532" s="372"/>
      <c r="O532" s="372"/>
      <c r="P532" s="372"/>
      <c r="Q532" s="372"/>
      <c r="R532" s="372"/>
      <c r="S532" s="372"/>
      <c r="T532" s="372"/>
      <c r="U532" s="372"/>
      <c r="V532" s="372"/>
      <c r="W532" s="372"/>
      <c r="X532" s="372"/>
      <c r="Y532" s="372"/>
    </row>
    <row r="533" spans="11:25" x14ac:dyDescent="0.35">
      <c r="K533" s="373"/>
      <c r="L533" s="372"/>
      <c r="M533" s="372"/>
      <c r="N533" s="372"/>
      <c r="O533" s="372"/>
      <c r="P533" s="372"/>
      <c r="Q533" s="372"/>
      <c r="R533" s="372"/>
      <c r="S533" s="372"/>
      <c r="T533" s="372"/>
      <c r="U533" s="372"/>
      <c r="V533" s="372"/>
      <c r="W533" s="372"/>
      <c r="X533" s="372"/>
      <c r="Y533" s="372"/>
    </row>
    <row r="534" spans="11:25" x14ac:dyDescent="0.35">
      <c r="K534" s="373"/>
      <c r="L534" s="372"/>
      <c r="M534" s="372"/>
      <c r="N534" s="372"/>
      <c r="O534" s="372"/>
      <c r="P534" s="372"/>
      <c r="Q534" s="372"/>
      <c r="R534" s="372"/>
      <c r="S534" s="372"/>
      <c r="T534" s="372"/>
      <c r="U534" s="372"/>
      <c r="V534" s="372"/>
      <c r="W534" s="372"/>
      <c r="X534" s="372"/>
      <c r="Y534" s="372"/>
    </row>
    <row r="535" spans="11:25" x14ac:dyDescent="0.35">
      <c r="K535" s="373"/>
      <c r="L535" s="372"/>
      <c r="M535" s="372"/>
      <c r="N535" s="372"/>
      <c r="O535" s="372"/>
      <c r="P535" s="372"/>
      <c r="Q535" s="372"/>
      <c r="R535" s="372"/>
      <c r="S535" s="372"/>
      <c r="T535" s="372"/>
      <c r="U535" s="372"/>
      <c r="V535" s="372"/>
      <c r="W535" s="372"/>
      <c r="X535" s="372"/>
      <c r="Y535" s="372"/>
    </row>
    <row r="536" spans="11:25" x14ac:dyDescent="0.35">
      <c r="K536" s="373"/>
      <c r="L536" s="372"/>
      <c r="M536" s="372"/>
      <c r="N536" s="372"/>
      <c r="O536" s="372"/>
      <c r="P536" s="372"/>
      <c r="Q536" s="372"/>
      <c r="R536" s="372"/>
      <c r="S536" s="372"/>
      <c r="T536" s="372"/>
      <c r="U536" s="372"/>
      <c r="V536" s="372"/>
      <c r="W536" s="372"/>
      <c r="X536" s="372"/>
      <c r="Y536" s="372"/>
    </row>
    <row r="537" spans="11:25" x14ac:dyDescent="0.35">
      <c r="K537" s="373"/>
      <c r="L537" s="372"/>
      <c r="M537" s="372"/>
      <c r="N537" s="372"/>
      <c r="O537" s="372"/>
      <c r="P537" s="372"/>
      <c r="Q537" s="372"/>
      <c r="R537" s="372"/>
      <c r="S537" s="372"/>
      <c r="T537" s="372"/>
      <c r="U537" s="372"/>
      <c r="V537" s="372"/>
      <c r="W537" s="372"/>
      <c r="X537" s="372"/>
      <c r="Y537" s="372"/>
    </row>
    <row r="538" spans="11:25" x14ac:dyDescent="0.35">
      <c r="K538" s="373"/>
      <c r="L538" s="372"/>
      <c r="M538" s="372"/>
      <c r="N538" s="372"/>
      <c r="O538" s="372"/>
      <c r="P538" s="372"/>
      <c r="Q538" s="372"/>
      <c r="R538" s="372"/>
      <c r="S538" s="372"/>
      <c r="T538" s="372"/>
      <c r="U538" s="372"/>
      <c r="V538" s="372"/>
      <c r="W538" s="372"/>
      <c r="X538" s="372"/>
      <c r="Y538" s="372"/>
    </row>
    <row r="539" spans="11:25" x14ac:dyDescent="0.35">
      <c r="K539" s="373"/>
      <c r="L539" s="372"/>
      <c r="M539" s="372"/>
      <c r="N539" s="372"/>
      <c r="O539" s="372"/>
      <c r="P539" s="372"/>
      <c r="Q539" s="372"/>
      <c r="R539" s="372"/>
      <c r="S539" s="372"/>
      <c r="T539" s="372"/>
      <c r="U539" s="372"/>
      <c r="V539" s="372"/>
      <c r="W539" s="372"/>
      <c r="X539" s="372"/>
      <c r="Y539" s="372"/>
    </row>
    <row r="540" spans="11:25" x14ac:dyDescent="0.35">
      <c r="K540" s="373"/>
      <c r="L540" s="372"/>
      <c r="M540" s="372"/>
      <c r="N540" s="372"/>
      <c r="O540" s="372"/>
      <c r="P540" s="372"/>
      <c r="Q540" s="372"/>
      <c r="R540" s="372"/>
      <c r="S540" s="372"/>
      <c r="T540" s="372"/>
      <c r="U540" s="372"/>
      <c r="V540" s="372"/>
      <c r="W540" s="372"/>
      <c r="X540" s="372"/>
      <c r="Y540" s="372"/>
    </row>
    <row r="541" spans="11:25" x14ac:dyDescent="0.35">
      <c r="K541" s="373"/>
      <c r="L541" s="372"/>
      <c r="M541" s="372"/>
      <c r="N541" s="372"/>
      <c r="O541" s="372"/>
      <c r="P541" s="372"/>
      <c r="Q541" s="372"/>
      <c r="R541" s="372"/>
      <c r="S541" s="372"/>
      <c r="T541" s="372"/>
      <c r="U541" s="372"/>
      <c r="V541" s="372"/>
      <c r="W541" s="372"/>
      <c r="X541" s="372"/>
      <c r="Y541" s="372"/>
    </row>
    <row r="542" spans="11:25" x14ac:dyDescent="0.35">
      <c r="K542" s="373"/>
      <c r="L542" s="372"/>
      <c r="M542" s="372"/>
      <c r="N542" s="372"/>
      <c r="O542" s="372"/>
      <c r="P542" s="372"/>
      <c r="Q542" s="372"/>
      <c r="R542" s="372"/>
      <c r="S542" s="372"/>
      <c r="T542" s="372"/>
      <c r="U542" s="372"/>
      <c r="V542" s="372"/>
      <c r="W542" s="372"/>
      <c r="X542" s="372"/>
      <c r="Y542" s="372"/>
    </row>
    <row r="543" spans="11:25" x14ac:dyDescent="0.35">
      <c r="K543" s="373"/>
      <c r="L543" s="372"/>
      <c r="M543" s="372"/>
      <c r="N543" s="372"/>
      <c r="O543" s="372"/>
      <c r="P543" s="372"/>
      <c r="Q543" s="372"/>
      <c r="R543" s="372"/>
      <c r="S543" s="372"/>
      <c r="T543" s="372"/>
      <c r="U543" s="372"/>
      <c r="V543" s="372"/>
      <c r="W543" s="372"/>
      <c r="X543" s="372"/>
      <c r="Y543" s="372"/>
    </row>
    <row r="544" spans="11:25" x14ac:dyDescent="0.35">
      <c r="K544" s="373"/>
      <c r="L544" s="372"/>
      <c r="M544" s="372"/>
      <c r="N544" s="372"/>
      <c r="O544" s="372"/>
      <c r="P544" s="372"/>
      <c r="Q544" s="372"/>
      <c r="R544" s="372"/>
      <c r="S544" s="372"/>
      <c r="T544" s="372"/>
      <c r="U544" s="372"/>
      <c r="V544" s="372"/>
      <c r="W544" s="372"/>
      <c r="X544" s="372"/>
      <c r="Y544" s="372"/>
    </row>
    <row r="545" spans="11:25" x14ac:dyDescent="0.35">
      <c r="K545" s="373"/>
      <c r="L545" s="372"/>
      <c r="M545" s="372"/>
      <c r="N545" s="372"/>
      <c r="O545" s="372"/>
      <c r="P545" s="372"/>
      <c r="Q545" s="372"/>
      <c r="R545" s="372"/>
      <c r="S545" s="372"/>
      <c r="T545" s="372"/>
      <c r="U545" s="372"/>
      <c r="V545" s="372"/>
      <c r="W545" s="372"/>
      <c r="X545" s="372"/>
      <c r="Y545" s="372"/>
    </row>
    <row r="546" spans="11:25" x14ac:dyDescent="0.35">
      <c r="K546" s="373"/>
      <c r="L546" s="372"/>
      <c r="M546" s="372"/>
      <c r="N546" s="372"/>
      <c r="O546" s="372"/>
      <c r="P546" s="372"/>
      <c r="Q546" s="372"/>
      <c r="R546" s="372"/>
      <c r="S546" s="372"/>
      <c r="T546" s="372"/>
      <c r="U546" s="372"/>
      <c r="V546" s="372"/>
      <c r="W546" s="372"/>
      <c r="X546" s="372"/>
      <c r="Y546" s="372"/>
    </row>
    <row r="547" spans="11:25" x14ac:dyDescent="0.35">
      <c r="K547" s="373"/>
      <c r="L547" s="372"/>
      <c r="M547" s="372"/>
      <c r="N547" s="372"/>
      <c r="O547" s="372"/>
      <c r="P547" s="372"/>
      <c r="Q547" s="372"/>
      <c r="R547" s="372"/>
      <c r="S547" s="372"/>
      <c r="T547" s="372"/>
      <c r="U547" s="372"/>
      <c r="V547" s="372"/>
      <c r="W547" s="372"/>
      <c r="X547" s="372"/>
      <c r="Y547" s="372"/>
    </row>
    <row r="548" spans="11:25" x14ac:dyDescent="0.35">
      <c r="K548" s="373"/>
      <c r="L548" s="372"/>
      <c r="M548" s="372"/>
      <c r="N548" s="372"/>
      <c r="O548" s="372"/>
      <c r="P548" s="372"/>
      <c r="Q548" s="372"/>
      <c r="R548" s="372"/>
      <c r="S548" s="372"/>
      <c r="T548" s="372"/>
      <c r="U548" s="372"/>
      <c r="V548" s="372"/>
      <c r="W548" s="372"/>
      <c r="X548" s="372"/>
      <c r="Y548" s="372"/>
    </row>
    <row r="549" spans="11:25" x14ac:dyDescent="0.35">
      <c r="K549" s="373"/>
      <c r="L549" s="372"/>
      <c r="M549" s="372"/>
      <c r="N549" s="372"/>
      <c r="O549" s="372"/>
      <c r="P549" s="372"/>
      <c r="Q549" s="372"/>
      <c r="R549" s="372"/>
      <c r="S549" s="372"/>
      <c r="T549" s="372"/>
      <c r="U549" s="372"/>
      <c r="V549" s="372"/>
      <c r="W549" s="372"/>
      <c r="X549" s="372"/>
      <c r="Y549" s="372"/>
    </row>
    <row r="550" spans="11:25" x14ac:dyDescent="0.35">
      <c r="K550" s="373"/>
      <c r="L550" s="372"/>
      <c r="M550" s="372"/>
      <c r="N550" s="372"/>
      <c r="O550" s="372"/>
      <c r="P550" s="372"/>
      <c r="Q550" s="372"/>
      <c r="R550" s="372"/>
      <c r="S550" s="372"/>
      <c r="T550" s="372"/>
      <c r="U550" s="372"/>
      <c r="V550" s="372"/>
      <c r="W550" s="372"/>
      <c r="X550" s="372"/>
      <c r="Y550" s="372"/>
    </row>
    <row r="551" spans="11:25" x14ac:dyDescent="0.35">
      <c r="K551" s="373"/>
      <c r="L551" s="372"/>
      <c r="M551" s="372"/>
      <c r="N551" s="372"/>
      <c r="O551" s="372"/>
      <c r="P551" s="372"/>
      <c r="Q551" s="372"/>
      <c r="R551" s="372"/>
      <c r="S551" s="372"/>
      <c r="T551" s="372"/>
      <c r="U551" s="372"/>
      <c r="V551" s="372"/>
      <c r="W551" s="372"/>
      <c r="X551" s="372"/>
      <c r="Y551" s="372"/>
    </row>
    <row r="552" spans="11:25" x14ac:dyDescent="0.35">
      <c r="K552" s="373"/>
      <c r="L552" s="372"/>
      <c r="M552" s="372"/>
      <c r="N552" s="372"/>
      <c r="O552" s="372"/>
      <c r="P552" s="372"/>
      <c r="Q552" s="372"/>
      <c r="R552" s="372"/>
      <c r="S552" s="372"/>
      <c r="T552" s="372"/>
      <c r="U552" s="372"/>
      <c r="V552" s="372"/>
      <c r="W552" s="372"/>
      <c r="X552" s="372"/>
      <c r="Y552" s="372"/>
    </row>
    <row r="553" spans="11:25" x14ac:dyDescent="0.35">
      <c r="K553" s="373"/>
      <c r="L553" s="372"/>
      <c r="M553" s="372"/>
      <c r="N553" s="372"/>
      <c r="O553" s="372"/>
      <c r="P553" s="372"/>
      <c r="Q553" s="372"/>
      <c r="R553" s="372"/>
      <c r="S553" s="372"/>
      <c r="T553" s="372"/>
      <c r="U553" s="372"/>
      <c r="V553" s="372"/>
      <c r="W553" s="372"/>
      <c r="X553" s="372"/>
      <c r="Y553" s="372"/>
    </row>
    <row r="554" spans="11:25" x14ac:dyDescent="0.35">
      <c r="K554" s="373"/>
      <c r="L554" s="372"/>
      <c r="M554" s="372"/>
      <c r="N554" s="372"/>
      <c r="O554" s="372"/>
      <c r="P554" s="372"/>
      <c r="Q554" s="372"/>
      <c r="R554" s="372"/>
      <c r="S554" s="372"/>
      <c r="T554" s="372"/>
      <c r="U554" s="372"/>
      <c r="V554" s="372"/>
      <c r="W554" s="372"/>
      <c r="X554" s="372"/>
      <c r="Y554" s="372"/>
    </row>
    <row r="555" spans="11:25" x14ac:dyDescent="0.35">
      <c r="K555" s="373"/>
      <c r="L555" s="372"/>
      <c r="M555" s="372"/>
      <c r="N555" s="372"/>
      <c r="O555" s="372"/>
      <c r="P555" s="372"/>
      <c r="Q555" s="372"/>
      <c r="R555" s="372"/>
      <c r="S555" s="372"/>
      <c r="T555" s="372"/>
      <c r="U555" s="372"/>
      <c r="V555" s="372"/>
      <c r="W555" s="372"/>
      <c r="X555" s="372"/>
      <c r="Y555" s="372"/>
    </row>
    <row r="556" spans="11:25" x14ac:dyDescent="0.35">
      <c r="K556" s="373"/>
      <c r="L556" s="372"/>
      <c r="M556" s="372"/>
      <c r="N556" s="372"/>
      <c r="O556" s="372"/>
      <c r="P556" s="372"/>
      <c r="Q556" s="372"/>
      <c r="R556" s="372"/>
      <c r="S556" s="372"/>
      <c r="T556" s="372"/>
      <c r="U556" s="372"/>
      <c r="V556" s="372"/>
      <c r="W556" s="372"/>
      <c r="X556" s="372"/>
      <c r="Y556" s="372"/>
    </row>
    <row r="557" spans="11:25" x14ac:dyDescent="0.35">
      <c r="K557" s="373"/>
      <c r="L557" s="372"/>
      <c r="M557" s="372"/>
      <c r="N557" s="372"/>
      <c r="O557" s="372"/>
      <c r="P557" s="372"/>
      <c r="Q557" s="372"/>
      <c r="R557" s="372"/>
      <c r="S557" s="372"/>
      <c r="T557" s="372"/>
      <c r="U557" s="372"/>
      <c r="V557" s="372"/>
      <c r="W557" s="372"/>
      <c r="X557" s="372"/>
      <c r="Y557" s="372"/>
    </row>
    <row r="558" spans="11:25" x14ac:dyDescent="0.35">
      <c r="K558" s="373"/>
      <c r="L558" s="372"/>
      <c r="M558" s="372"/>
      <c r="N558" s="372"/>
      <c r="O558" s="372"/>
      <c r="P558" s="372"/>
      <c r="Q558" s="372"/>
      <c r="R558" s="372"/>
      <c r="S558" s="372"/>
      <c r="T558" s="372"/>
      <c r="U558" s="372"/>
      <c r="V558" s="372"/>
      <c r="W558" s="372"/>
      <c r="X558" s="372"/>
      <c r="Y558" s="372"/>
    </row>
    <row r="559" spans="11:25" x14ac:dyDescent="0.35">
      <c r="K559" s="373"/>
      <c r="L559" s="372"/>
      <c r="M559" s="372"/>
      <c r="N559" s="372"/>
      <c r="O559" s="372"/>
      <c r="P559" s="372"/>
      <c r="Q559" s="372"/>
      <c r="R559" s="372"/>
      <c r="S559" s="372"/>
      <c r="T559" s="372"/>
      <c r="U559" s="372"/>
      <c r="V559" s="372"/>
      <c r="W559" s="372"/>
      <c r="X559" s="372"/>
      <c r="Y559" s="372"/>
    </row>
    <row r="560" spans="11:25" x14ac:dyDescent="0.35">
      <c r="K560" s="373"/>
      <c r="L560" s="372"/>
      <c r="M560" s="372"/>
      <c r="N560" s="372"/>
      <c r="O560" s="372"/>
      <c r="P560" s="372"/>
      <c r="Q560" s="372"/>
      <c r="R560" s="372"/>
      <c r="S560" s="372"/>
      <c r="T560" s="372"/>
      <c r="U560" s="372"/>
      <c r="V560" s="372"/>
      <c r="W560" s="372"/>
      <c r="X560" s="372"/>
      <c r="Y560" s="372"/>
    </row>
    <row r="561" spans="11:25" x14ac:dyDescent="0.35">
      <c r="K561" s="373"/>
      <c r="L561" s="372"/>
      <c r="M561" s="372"/>
      <c r="N561" s="372"/>
      <c r="O561" s="372"/>
      <c r="P561" s="372"/>
      <c r="Q561" s="372"/>
      <c r="R561" s="372"/>
      <c r="S561" s="372"/>
      <c r="T561" s="372"/>
      <c r="U561" s="372"/>
      <c r="V561" s="372"/>
      <c r="W561" s="372"/>
      <c r="X561" s="372"/>
      <c r="Y561" s="372"/>
    </row>
    <row r="562" spans="11:25" x14ac:dyDescent="0.35">
      <c r="K562" s="373"/>
      <c r="L562" s="372"/>
      <c r="M562" s="372"/>
      <c r="N562" s="372"/>
      <c r="O562" s="372"/>
      <c r="P562" s="372"/>
      <c r="Q562" s="372"/>
      <c r="R562" s="372"/>
      <c r="S562" s="372"/>
      <c r="T562" s="372"/>
      <c r="U562" s="372"/>
      <c r="V562" s="372"/>
      <c r="W562" s="372"/>
      <c r="X562" s="372"/>
      <c r="Y562" s="372"/>
    </row>
    <row r="563" spans="11:25" x14ac:dyDescent="0.35">
      <c r="K563" s="373"/>
      <c r="L563" s="372"/>
      <c r="M563" s="372"/>
      <c r="N563" s="372"/>
      <c r="O563" s="372"/>
      <c r="P563" s="372"/>
      <c r="Q563" s="372"/>
      <c r="R563" s="372"/>
      <c r="S563" s="372"/>
      <c r="T563" s="372"/>
      <c r="U563" s="372"/>
      <c r="V563" s="372"/>
      <c r="W563" s="372"/>
      <c r="X563" s="372"/>
      <c r="Y563" s="372"/>
    </row>
    <row r="564" spans="11:25" x14ac:dyDescent="0.35">
      <c r="K564" s="373"/>
      <c r="L564" s="372"/>
      <c r="M564" s="372"/>
      <c r="N564" s="372"/>
      <c r="O564" s="372"/>
      <c r="P564" s="372"/>
      <c r="Q564" s="372"/>
      <c r="R564" s="372"/>
      <c r="S564" s="372"/>
      <c r="T564" s="372"/>
      <c r="U564" s="372"/>
      <c r="V564" s="372"/>
      <c r="W564" s="372"/>
      <c r="X564" s="372"/>
      <c r="Y564" s="372"/>
    </row>
    <row r="565" spans="11:25" x14ac:dyDescent="0.35">
      <c r="K565" s="373"/>
      <c r="L565" s="372"/>
      <c r="M565" s="372"/>
      <c r="N565" s="372"/>
      <c r="O565" s="372"/>
      <c r="P565" s="372"/>
      <c r="Q565" s="372"/>
      <c r="R565" s="372"/>
      <c r="S565" s="372"/>
      <c r="T565" s="372"/>
      <c r="U565" s="372"/>
      <c r="V565" s="372"/>
      <c r="W565" s="372"/>
      <c r="X565" s="372"/>
      <c r="Y565" s="372"/>
    </row>
    <row r="566" spans="11:25" x14ac:dyDescent="0.35">
      <c r="K566" s="373"/>
      <c r="L566" s="372"/>
      <c r="M566" s="372"/>
      <c r="N566" s="372"/>
      <c r="O566" s="372"/>
      <c r="P566" s="372"/>
      <c r="Q566" s="372"/>
      <c r="R566" s="372"/>
      <c r="S566" s="372"/>
      <c r="T566" s="372"/>
      <c r="U566" s="372"/>
      <c r="V566" s="372"/>
      <c r="W566" s="372"/>
      <c r="X566" s="372"/>
      <c r="Y566" s="372"/>
    </row>
    <row r="567" spans="11:25" x14ac:dyDescent="0.35">
      <c r="K567" s="373"/>
      <c r="L567" s="372"/>
      <c r="M567" s="372"/>
      <c r="N567" s="372"/>
      <c r="O567" s="372"/>
      <c r="P567" s="372"/>
      <c r="Q567" s="372"/>
      <c r="R567" s="372"/>
      <c r="S567" s="372"/>
      <c r="T567" s="372"/>
      <c r="U567" s="372"/>
      <c r="V567" s="372"/>
      <c r="W567" s="372"/>
      <c r="X567" s="372"/>
      <c r="Y567" s="372"/>
    </row>
    <row r="568" spans="11:25" x14ac:dyDescent="0.35">
      <c r="K568" s="373"/>
      <c r="L568" s="372"/>
      <c r="M568" s="372"/>
      <c r="N568" s="372"/>
      <c r="O568" s="372"/>
      <c r="P568" s="372"/>
      <c r="Q568" s="372"/>
      <c r="R568" s="372"/>
      <c r="S568" s="372"/>
      <c r="T568" s="372"/>
      <c r="U568" s="372"/>
      <c r="V568" s="372"/>
      <c r="W568" s="372"/>
      <c r="X568" s="372"/>
      <c r="Y568" s="372"/>
    </row>
    <row r="569" spans="11:25" x14ac:dyDescent="0.35">
      <c r="K569" s="373"/>
      <c r="L569" s="372"/>
      <c r="M569" s="372"/>
      <c r="N569" s="372"/>
      <c r="O569" s="372"/>
      <c r="P569" s="372"/>
      <c r="Q569" s="372"/>
      <c r="R569" s="372"/>
      <c r="S569" s="372"/>
      <c r="T569" s="372"/>
      <c r="U569" s="372"/>
      <c r="V569" s="372"/>
      <c r="W569" s="372"/>
      <c r="X569" s="372"/>
      <c r="Y569" s="372"/>
    </row>
    <row r="570" spans="11:25" x14ac:dyDescent="0.35">
      <c r="K570" s="373"/>
      <c r="L570" s="372"/>
      <c r="M570" s="372"/>
      <c r="N570" s="372"/>
      <c r="O570" s="372"/>
      <c r="P570" s="372"/>
      <c r="Q570" s="372"/>
      <c r="R570" s="372"/>
      <c r="S570" s="372"/>
      <c r="T570" s="372"/>
      <c r="U570" s="372"/>
      <c r="V570" s="372"/>
      <c r="W570" s="372"/>
      <c r="X570" s="372"/>
      <c r="Y570" s="372"/>
    </row>
    <row r="571" spans="11:25" x14ac:dyDescent="0.35">
      <c r="K571" s="373"/>
      <c r="L571" s="372"/>
      <c r="M571" s="372"/>
      <c r="N571" s="372"/>
      <c r="O571" s="372"/>
      <c r="P571" s="372"/>
      <c r="Q571" s="372"/>
      <c r="R571" s="372"/>
      <c r="S571" s="372"/>
      <c r="T571" s="372"/>
      <c r="U571" s="372"/>
      <c r="V571" s="372"/>
      <c r="W571" s="372"/>
      <c r="X571" s="372"/>
      <c r="Y571" s="372"/>
    </row>
    <row r="572" spans="11:25" x14ac:dyDescent="0.35">
      <c r="K572" s="373"/>
      <c r="L572" s="372"/>
      <c r="M572" s="372"/>
      <c r="N572" s="372"/>
      <c r="O572" s="372"/>
      <c r="P572" s="372"/>
      <c r="Q572" s="372"/>
      <c r="R572" s="372"/>
      <c r="S572" s="372"/>
      <c r="T572" s="372"/>
      <c r="U572" s="372"/>
      <c r="V572" s="372"/>
      <c r="W572" s="372"/>
      <c r="X572" s="372"/>
      <c r="Y572" s="372"/>
    </row>
    <row r="573" spans="11:25" x14ac:dyDescent="0.35">
      <c r="K573" s="373"/>
      <c r="L573" s="372"/>
      <c r="M573" s="372"/>
      <c r="N573" s="372"/>
      <c r="O573" s="372"/>
      <c r="P573" s="372"/>
      <c r="Q573" s="372"/>
      <c r="R573" s="372"/>
      <c r="S573" s="372"/>
      <c r="T573" s="372"/>
      <c r="U573" s="372"/>
      <c r="V573" s="372"/>
      <c r="W573" s="372"/>
      <c r="X573" s="372"/>
      <c r="Y573" s="372"/>
    </row>
    <row r="574" spans="11:25" x14ac:dyDescent="0.35">
      <c r="K574" s="373"/>
      <c r="L574" s="372"/>
      <c r="M574" s="372"/>
      <c r="N574" s="372"/>
      <c r="O574" s="372"/>
      <c r="P574" s="372"/>
      <c r="Q574" s="372"/>
      <c r="R574" s="372"/>
      <c r="S574" s="372"/>
      <c r="T574" s="372"/>
      <c r="U574" s="372"/>
      <c r="V574" s="372"/>
      <c r="W574" s="372"/>
      <c r="X574" s="372"/>
      <c r="Y574" s="372"/>
    </row>
    <row r="575" spans="11:25" x14ac:dyDescent="0.35">
      <c r="K575" s="373"/>
      <c r="L575" s="372"/>
      <c r="M575" s="372"/>
      <c r="N575" s="372"/>
      <c r="O575" s="372"/>
      <c r="P575" s="372"/>
      <c r="Q575" s="372"/>
      <c r="R575" s="372"/>
      <c r="S575" s="372"/>
      <c r="T575" s="372"/>
      <c r="U575" s="372"/>
      <c r="V575" s="372"/>
      <c r="W575" s="372"/>
      <c r="X575" s="372"/>
      <c r="Y575" s="372"/>
    </row>
    <row r="576" spans="11:25" x14ac:dyDescent="0.35">
      <c r="K576" s="373"/>
      <c r="L576" s="372"/>
      <c r="M576" s="372"/>
      <c r="N576" s="372"/>
      <c r="O576" s="372"/>
      <c r="P576" s="372"/>
      <c r="Q576" s="372"/>
      <c r="R576" s="372"/>
      <c r="S576" s="372"/>
      <c r="T576" s="372"/>
      <c r="U576" s="372"/>
      <c r="V576" s="372"/>
      <c r="W576" s="372"/>
      <c r="X576" s="372"/>
      <c r="Y576" s="372"/>
    </row>
    <row r="577" spans="11:25" x14ac:dyDescent="0.35">
      <c r="K577" s="373"/>
      <c r="L577" s="372"/>
      <c r="M577" s="372"/>
      <c r="N577" s="372"/>
      <c r="O577" s="372"/>
      <c r="P577" s="372"/>
      <c r="Q577" s="372"/>
      <c r="R577" s="372"/>
      <c r="S577" s="372"/>
      <c r="T577" s="372"/>
      <c r="U577" s="372"/>
      <c r="V577" s="372"/>
      <c r="W577" s="372"/>
      <c r="X577" s="372"/>
      <c r="Y577" s="372"/>
    </row>
    <row r="578" spans="11:25" x14ac:dyDescent="0.35">
      <c r="K578" s="373"/>
      <c r="L578" s="372"/>
      <c r="M578" s="372"/>
      <c r="N578" s="372"/>
      <c r="O578" s="372"/>
      <c r="P578" s="372"/>
      <c r="Q578" s="372"/>
      <c r="R578" s="372"/>
      <c r="S578" s="372"/>
      <c r="T578" s="372"/>
      <c r="U578" s="372"/>
      <c r="V578" s="372"/>
      <c r="W578" s="372"/>
      <c r="X578" s="372"/>
      <c r="Y578" s="372"/>
    </row>
    <row r="579" spans="11:25" x14ac:dyDescent="0.35">
      <c r="K579" s="373"/>
      <c r="L579" s="372"/>
      <c r="M579" s="372"/>
      <c r="N579" s="372"/>
      <c r="O579" s="372"/>
      <c r="P579" s="372"/>
      <c r="Q579" s="372"/>
      <c r="R579" s="372"/>
      <c r="S579" s="372"/>
      <c r="T579" s="372"/>
      <c r="U579" s="372"/>
      <c r="V579" s="372"/>
      <c r="W579" s="372"/>
      <c r="X579" s="372"/>
      <c r="Y579" s="372"/>
    </row>
    <row r="580" spans="11:25" x14ac:dyDescent="0.35">
      <c r="K580" s="373"/>
      <c r="L580" s="372"/>
      <c r="M580" s="372"/>
      <c r="N580" s="372"/>
      <c r="O580" s="372"/>
      <c r="P580" s="372"/>
      <c r="Q580" s="372"/>
      <c r="R580" s="372"/>
      <c r="S580" s="372"/>
      <c r="T580" s="372"/>
      <c r="U580" s="372"/>
      <c r="V580" s="372"/>
      <c r="W580" s="372"/>
      <c r="X580" s="372"/>
      <c r="Y580" s="372"/>
    </row>
    <row r="581" spans="11:25" x14ac:dyDescent="0.35">
      <c r="K581" s="373"/>
      <c r="L581" s="372"/>
      <c r="M581" s="372"/>
      <c r="N581" s="372"/>
      <c r="O581" s="372"/>
      <c r="P581" s="372"/>
      <c r="Q581" s="372"/>
      <c r="R581" s="372"/>
      <c r="S581" s="372"/>
      <c r="T581" s="372"/>
      <c r="U581" s="372"/>
      <c r="V581" s="372"/>
      <c r="W581" s="372"/>
      <c r="X581" s="372"/>
      <c r="Y581" s="372"/>
    </row>
    <row r="582" spans="11:25" x14ac:dyDescent="0.35">
      <c r="K582" s="373"/>
      <c r="L582" s="372"/>
      <c r="M582" s="372"/>
      <c r="N582" s="372"/>
      <c r="O582" s="372"/>
      <c r="P582" s="372"/>
      <c r="Q582" s="372"/>
      <c r="R582" s="372"/>
      <c r="S582" s="372"/>
      <c r="T582" s="372"/>
      <c r="U582" s="372"/>
      <c r="V582" s="372"/>
      <c r="W582" s="372"/>
      <c r="X582" s="372"/>
      <c r="Y582" s="372"/>
    </row>
    <row r="583" spans="11:25" x14ac:dyDescent="0.35">
      <c r="K583" s="373"/>
      <c r="L583" s="372"/>
      <c r="M583" s="372"/>
      <c r="N583" s="372"/>
      <c r="O583" s="372"/>
      <c r="P583" s="372"/>
      <c r="Q583" s="372"/>
      <c r="R583" s="372"/>
      <c r="S583" s="372"/>
      <c r="T583" s="372"/>
      <c r="U583" s="372"/>
      <c r="V583" s="372"/>
      <c r="W583" s="372"/>
      <c r="X583" s="372"/>
      <c r="Y583" s="372"/>
    </row>
    <row r="584" spans="11:25" x14ac:dyDescent="0.35">
      <c r="K584" s="373"/>
      <c r="L584" s="372"/>
      <c r="M584" s="372"/>
      <c r="N584" s="372"/>
      <c r="O584" s="372"/>
      <c r="P584" s="372"/>
      <c r="Q584" s="372"/>
      <c r="R584" s="372"/>
      <c r="S584" s="372"/>
      <c r="T584" s="372"/>
      <c r="U584" s="372"/>
      <c r="V584" s="372"/>
      <c r="W584" s="372"/>
      <c r="X584" s="372"/>
      <c r="Y584" s="372"/>
    </row>
    <row r="585" spans="11:25" x14ac:dyDescent="0.35">
      <c r="K585" s="373"/>
      <c r="L585" s="372"/>
      <c r="M585" s="372"/>
      <c r="N585" s="372"/>
      <c r="O585" s="372"/>
      <c r="P585" s="372"/>
      <c r="Q585" s="372"/>
      <c r="R585" s="372"/>
      <c r="S585" s="372"/>
      <c r="T585" s="372"/>
      <c r="U585" s="372"/>
      <c r="V585" s="372"/>
      <c r="W585" s="372"/>
      <c r="X585" s="372"/>
      <c r="Y585" s="372"/>
    </row>
    <row r="586" spans="11:25" x14ac:dyDescent="0.35">
      <c r="K586" s="373"/>
      <c r="L586" s="372"/>
      <c r="M586" s="372"/>
      <c r="N586" s="372"/>
      <c r="O586" s="372"/>
      <c r="P586" s="372"/>
      <c r="Q586" s="372"/>
      <c r="R586" s="372"/>
      <c r="S586" s="372"/>
      <c r="T586" s="372"/>
      <c r="U586" s="372"/>
      <c r="V586" s="372"/>
      <c r="W586" s="372"/>
      <c r="X586" s="372"/>
      <c r="Y586" s="372"/>
    </row>
    <row r="587" spans="11:25" x14ac:dyDescent="0.35">
      <c r="K587" s="373"/>
      <c r="L587" s="372"/>
      <c r="M587" s="372"/>
      <c r="N587" s="372"/>
      <c r="O587" s="372"/>
      <c r="P587" s="372"/>
      <c r="Q587" s="372"/>
      <c r="R587" s="372"/>
      <c r="S587" s="372"/>
      <c r="T587" s="372"/>
      <c r="U587" s="372"/>
      <c r="V587" s="372"/>
      <c r="W587" s="372"/>
      <c r="X587" s="372"/>
      <c r="Y587" s="372"/>
    </row>
    <row r="588" spans="11:25" x14ac:dyDescent="0.35">
      <c r="K588" s="373"/>
      <c r="L588" s="372"/>
      <c r="M588" s="372"/>
      <c r="N588" s="372"/>
      <c r="O588" s="372"/>
      <c r="P588" s="372"/>
      <c r="Q588" s="372"/>
      <c r="R588" s="372"/>
      <c r="S588" s="372"/>
      <c r="T588" s="372"/>
      <c r="U588" s="372"/>
      <c r="V588" s="372"/>
      <c r="W588" s="372"/>
      <c r="X588" s="372"/>
      <c r="Y588" s="372"/>
    </row>
    <row r="589" spans="11:25" x14ac:dyDescent="0.35">
      <c r="K589" s="373"/>
      <c r="L589" s="372"/>
      <c r="M589" s="372"/>
      <c r="N589" s="372"/>
      <c r="O589" s="372"/>
      <c r="P589" s="372"/>
      <c r="Q589" s="372"/>
      <c r="R589" s="372"/>
      <c r="S589" s="372"/>
      <c r="T589" s="372"/>
      <c r="U589" s="372"/>
      <c r="V589" s="372"/>
      <c r="W589" s="372"/>
      <c r="X589" s="372"/>
      <c r="Y589" s="372"/>
    </row>
    <row r="590" spans="11:25" x14ac:dyDescent="0.35">
      <c r="K590" s="373"/>
      <c r="L590" s="372"/>
      <c r="M590" s="372"/>
      <c r="N590" s="372"/>
      <c r="O590" s="372"/>
      <c r="P590" s="372"/>
      <c r="Q590" s="372"/>
      <c r="R590" s="372"/>
      <c r="S590" s="372"/>
      <c r="T590" s="372"/>
      <c r="U590" s="372"/>
      <c r="V590" s="372"/>
      <c r="W590" s="372"/>
      <c r="X590" s="372"/>
      <c r="Y590" s="372"/>
    </row>
    <row r="591" spans="11:25" x14ac:dyDescent="0.35">
      <c r="K591" s="373"/>
      <c r="L591" s="372"/>
      <c r="M591" s="372"/>
      <c r="N591" s="372"/>
      <c r="O591" s="372"/>
      <c r="P591" s="372"/>
      <c r="Q591" s="372"/>
      <c r="R591" s="372"/>
      <c r="S591" s="372"/>
      <c r="T591" s="372"/>
      <c r="U591" s="372"/>
      <c r="V591" s="372"/>
      <c r="W591" s="372"/>
      <c r="X591" s="372"/>
      <c r="Y591" s="372"/>
    </row>
    <row r="592" spans="11:25" x14ac:dyDescent="0.35">
      <c r="K592" s="373"/>
      <c r="L592" s="372"/>
      <c r="M592" s="372"/>
      <c r="N592" s="372"/>
      <c r="O592" s="372"/>
      <c r="P592" s="372"/>
      <c r="Q592" s="372"/>
      <c r="R592" s="372"/>
      <c r="S592" s="372"/>
      <c r="T592" s="372"/>
      <c r="U592" s="372"/>
      <c r="V592" s="372"/>
      <c r="W592" s="372"/>
      <c r="X592" s="372"/>
      <c r="Y592" s="372"/>
    </row>
    <row r="593" spans="11:25" x14ac:dyDescent="0.35">
      <c r="K593" s="373"/>
      <c r="L593" s="372"/>
      <c r="M593" s="372"/>
      <c r="N593" s="372"/>
      <c r="O593" s="372"/>
      <c r="P593" s="372"/>
      <c r="Q593" s="372"/>
      <c r="R593" s="372"/>
      <c r="S593" s="372"/>
      <c r="T593" s="372"/>
      <c r="U593" s="372"/>
      <c r="V593" s="372"/>
      <c r="W593" s="372"/>
      <c r="X593" s="372"/>
      <c r="Y593" s="372"/>
    </row>
    <row r="594" spans="11:25" x14ac:dyDescent="0.35">
      <c r="K594" s="373"/>
      <c r="L594" s="372"/>
      <c r="M594" s="372"/>
      <c r="N594" s="372"/>
      <c r="O594" s="372"/>
      <c r="P594" s="372"/>
      <c r="Q594" s="372"/>
      <c r="R594" s="372"/>
      <c r="S594" s="372"/>
      <c r="T594" s="372"/>
      <c r="U594" s="372"/>
      <c r="V594" s="372"/>
      <c r="W594" s="372"/>
      <c r="X594" s="372"/>
      <c r="Y594" s="372"/>
    </row>
    <row r="595" spans="11:25" x14ac:dyDescent="0.35">
      <c r="K595" s="373"/>
      <c r="L595" s="372"/>
      <c r="M595" s="372"/>
      <c r="N595" s="372"/>
      <c r="O595" s="372"/>
      <c r="P595" s="372"/>
      <c r="Q595" s="372"/>
      <c r="R595" s="372"/>
      <c r="S595" s="372"/>
      <c r="T595" s="372"/>
      <c r="U595" s="372"/>
      <c r="V595" s="372"/>
      <c r="W595" s="372"/>
      <c r="X595" s="372"/>
      <c r="Y595" s="372"/>
    </row>
    <row r="596" spans="11:25" x14ac:dyDescent="0.35">
      <c r="K596" s="373"/>
      <c r="L596" s="372"/>
      <c r="M596" s="372"/>
      <c r="N596" s="372"/>
      <c r="O596" s="372"/>
      <c r="P596" s="372"/>
      <c r="Q596" s="372"/>
      <c r="R596" s="372"/>
      <c r="S596" s="372"/>
      <c r="T596" s="372"/>
      <c r="U596" s="372"/>
      <c r="V596" s="372"/>
      <c r="W596" s="372"/>
      <c r="X596" s="372"/>
      <c r="Y596" s="372"/>
    </row>
    <row r="597" spans="11:25" x14ac:dyDescent="0.35">
      <c r="K597" s="373"/>
      <c r="L597" s="372"/>
      <c r="M597" s="372"/>
      <c r="N597" s="372"/>
      <c r="O597" s="372"/>
      <c r="P597" s="372"/>
      <c r="Q597" s="372"/>
      <c r="R597" s="372"/>
      <c r="S597" s="372"/>
      <c r="T597" s="372"/>
      <c r="U597" s="372"/>
      <c r="V597" s="372"/>
      <c r="W597" s="372"/>
      <c r="X597" s="372"/>
      <c r="Y597" s="372"/>
    </row>
    <row r="598" spans="11:25" x14ac:dyDescent="0.35">
      <c r="K598" s="373"/>
      <c r="L598" s="372"/>
      <c r="M598" s="372"/>
      <c r="N598" s="372"/>
      <c r="O598" s="372"/>
      <c r="P598" s="372"/>
      <c r="Q598" s="372"/>
      <c r="R598" s="372"/>
      <c r="S598" s="372"/>
      <c r="T598" s="372"/>
      <c r="U598" s="372"/>
      <c r="V598" s="372"/>
      <c r="W598" s="372"/>
      <c r="X598" s="372"/>
      <c r="Y598" s="372"/>
    </row>
    <row r="599" spans="11:25" x14ac:dyDescent="0.35">
      <c r="K599" s="373"/>
      <c r="L599" s="372"/>
      <c r="M599" s="372"/>
      <c r="N599" s="372"/>
      <c r="O599" s="372"/>
      <c r="P599" s="372"/>
      <c r="Q599" s="372"/>
      <c r="R599" s="372"/>
      <c r="S599" s="372"/>
      <c r="T599" s="372"/>
      <c r="U599" s="372"/>
      <c r="V599" s="372"/>
      <c r="W599" s="372"/>
      <c r="X599" s="372"/>
      <c r="Y599" s="372"/>
    </row>
    <row r="600" spans="11:25" x14ac:dyDescent="0.35">
      <c r="K600" s="373"/>
      <c r="L600" s="372"/>
      <c r="M600" s="372"/>
      <c r="N600" s="372"/>
      <c r="O600" s="372"/>
      <c r="P600" s="372"/>
      <c r="Q600" s="372"/>
      <c r="R600" s="372"/>
      <c r="S600" s="372"/>
      <c r="T600" s="372"/>
      <c r="U600" s="372"/>
      <c r="V600" s="372"/>
      <c r="W600" s="372"/>
      <c r="X600" s="372"/>
      <c r="Y600" s="372"/>
    </row>
    <row r="601" spans="11:25" x14ac:dyDescent="0.35">
      <c r="K601" s="373"/>
      <c r="L601" s="372"/>
      <c r="M601" s="372"/>
      <c r="N601" s="372"/>
      <c r="O601" s="372"/>
      <c r="P601" s="372"/>
      <c r="Q601" s="372"/>
      <c r="R601" s="372"/>
      <c r="S601" s="372"/>
      <c r="T601" s="372"/>
      <c r="U601" s="372"/>
      <c r="V601" s="372"/>
      <c r="W601" s="372"/>
      <c r="X601" s="372"/>
      <c r="Y601" s="372"/>
    </row>
    <row r="602" spans="11:25" x14ac:dyDescent="0.35">
      <c r="K602" s="373"/>
      <c r="L602" s="372"/>
      <c r="M602" s="372"/>
      <c r="N602" s="372"/>
      <c r="O602" s="372"/>
      <c r="P602" s="372"/>
      <c r="Q602" s="372"/>
      <c r="R602" s="372"/>
      <c r="S602" s="372"/>
      <c r="T602" s="372"/>
      <c r="U602" s="372"/>
      <c r="V602" s="372"/>
      <c r="W602" s="372"/>
      <c r="X602" s="372"/>
      <c r="Y602" s="372"/>
    </row>
    <row r="603" spans="11:25" x14ac:dyDescent="0.35">
      <c r="K603" s="373"/>
      <c r="L603" s="372"/>
      <c r="M603" s="372"/>
      <c r="N603" s="372"/>
      <c r="O603" s="372"/>
      <c r="P603" s="372"/>
      <c r="Q603" s="372"/>
      <c r="R603" s="372"/>
      <c r="S603" s="372"/>
      <c r="T603" s="372"/>
      <c r="U603" s="372"/>
      <c r="V603" s="372"/>
      <c r="W603" s="372"/>
      <c r="X603" s="372"/>
      <c r="Y603" s="372"/>
    </row>
    <row r="604" spans="11:25" x14ac:dyDescent="0.35">
      <c r="K604" s="373"/>
      <c r="L604" s="372"/>
      <c r="M604" s="372"/>
      <c r="N604" s="372"/>
      <c r="O604" s="372"/>
      <c r="P604" s="372"/>
      <c r="Q604" s="372"/>
      <c r="R604" s="372"/>
      <c r="S604" s="372"/>
      <c r="T604" s="372"/>
      <c r="U604" s="372"/>
      <c r="V604" s="372"/>
      <c r="W604" s="372"/>
      <c r="X604" s="372"/>
      <c r="Y604" s="372"/>
    </row>
    <row r="605" spans="11:25" x14ac:dyDescent="0.35">
      <c r="K605" s="373"/>
      <c r="L605" s="372"/>
      <c r="M605" s="372"/>
      <c r="N605" s="372"/>
      <c r="O605" s="372"/>
      <c r="P605" s="372"/>
      <c r="Q605" s="372"/>
      <c r="R605" s="372"/>
      <c r="S605" s="372"/>
      <c r="T605" s="372"/>
      <c r="U605" s="372"/>
      <c r="V605" s="372"/>
      <c r="W605" s="372"/>
      <c r="X605" s="372"/>
      <c r="Y605" s="372"/>
    </row>
    <row r="606" spans="11:25" x14ac:dyDescent="0.35">
      <c r="K606" s="373"/>
      <c r="L606" s="372"/>
      <c r="M606" s="372"/>
      <c r="N606" s="372"/>
      <c r="O606" s="372"/>
      <c r="P606" s="372"/>
      <c r="Q606" s="372"/>
      <c r="R606" s="372"/>
      <c r="S606" s="372"/>
      <c r="T606" s="372"/>
      <c r="U606" s="372"/>
      <c r="V606" s="372"/>
      <c r="W606" s="372"/>
      <c r="X606" s="372"/>
      <c r="Y606" s="372"/>
    </row>
    <row r="607" spans="11:25" x14ac:dyDescent="0.35">
      <c r="K607" s="373"/>
      <c r="L607" s="372"/>
      <c r="M607" s="372"/>
      <c r="N607" s="372"/>
      <c r="O607" s="372"/>
      <c r="P607" s="372"/>
      <c r="Q607" s="372"/>
      <c r="R607" s="372"/>
      <c r="S607" s="372"/>
      <c r="T607" s="372"/>
      <c r="U607" s="372"/>
      <c r="V607" s="372"/>
      <c r="W607" s="372"/>
      <c r="X607" s="372"/>
      <c r="Y607" s="372"/>
    </row>
    <row r="608" spans="11:25" x14ac:dyDescent="0.35">
      <c r="K608" s="373"/>
      <c r="L608" s="372"/>
      <c r="M608" s="372"/>
      <c r="N608" s="372"/>
      <c r="O608" s="372"/>
      <c r="P608" s="372"/>
      <c r="Q608" s="372"/>
      <c r="R608" s="372"/>
      <c r="S608" s="372"/>
      <c r="T608" s="372"/>
      <c r="U608" s="372"/>
      <c r="V608" s="372"/>
      <c r="W608" s="372"/>
      <c r="X608" s="372"/>
      <c r="Y608" s="372"/>
    </row>
    <row r="609" spans="11:25" x14ac:dyDescent="0.35">
      <c r="K609" s="373"/>
      <c r="L609" s="372"/>
      <c r="M609" s="372"/>
      <c r="N609" s="372"/>
      <c r="O609" s="372"/>
      <c r="P609" s="372"/>
      <c r="Q609" s="372"/>
      <c r="R609" s="372"/>
      <c r="S609" s="372"/>
      <c r="T609" s="372"/>
      <c r="U609" s="372"/>
      <c r="V609" s="372"/>
      <c r="W609" s="372"/>
      <c r="X609" s="372"/>
      <c r="Y609" s="372"/>
    </row>
    <row r="610" spans="11:25" x14ac:dyDescent="0.35">
      <c r="K610" s="373"/>
      <c r="L610" s="372"/>
      <c r="M610" s="372"/>
      <c r="N610" s="372"/>
      <c r="O610" s="372"/>
      <c r="P610" s="372"/>
      <c r="Q610" s="372"/>
      <c r="R610" s="372"/>
      <c r="S610" s="372"/>
      <c r="T610" s="372"/>
      <c r="U610" s="372"/>
      <c r="V610" s="372"/>
      <c r="W610" s="372"/>
      <c r="X610" s="372"/>
      <c r="Y610" s="372"/>
    </row>
    <row r="611" spans="11:25" x14ac:dyDescent="0.35">
      <c r="K611" s="373"/>
      <c r="L611" s="372"/>
      <c r="M611" s="372"/>
      <c r="N611" s="372"/>
      <c r="O611" s="372"/>
      <c r="P611" s="372"/>
      <c r="Q611" s="372"/>
      <c r="R611" s="372"/>
      <c r="S611" s="372"/>
      <c r="T611" s="372"/>
      <c r="U611" s="372"/>
      <c r="V611" s="372"/>
      <c r="W611" s="372"/>
      <c r="X611" s="372"/>
      <c r="Y611" s="372"/>
    </row>
    <row r="612" spans="11:25" x14ac:dyDescent="0.35">
      <c r="K612" s="373"/>
      <c r="L612" s="372"/>
      <c r="M612" s="372"/>
      <c r="N612" s="372"/>
      <c r="O612" s="372"/>
      <c r="P612" s="372"/>
      <c r="Q612" s="372"/>
      <c r="R612" s="372"/>
      <c r="S612" s="372"/>
      <c r="T612" s="372"/>
      <c r="U612" s="372"/>
      <c r="V612" s="372"/>
      <c r="W612" s="372"/>
      <c r="X612" s="372"/>
      <c r="Y612" s="372"/>
    </row>
    <row r="613" spans="11:25" x14ac:dyDescent="0.35">
      <c r="K613" s="373"/>
      <c r="L613" s="372"/>
      <c r="M613" s="372"/>
      <c r="N613" s="372"/>
      <c r="O613" s="372"/>
      <c r="P613" s="372"/>
      <c r="Q613" s="372"/>
      <c r="R613" s="372"/>
      <c r="S613" s="372"/>
      <c r="T613" s="372"/>
      <c r="U613" s="372"/>
      <c r="V613" s="372"/>
      <c r="W613" s="372"/>
      <c r="X613" s="372"/>
      <c r="Y613" s="372"/>
    </row>
    <row r="614" spans="11:25" x14ac:dyDescent="0.35">
      <c r="K614" s="373"/>
      <c r="L614" s="372"/>
      <c r="M614" s="372"/>
      <c r="N614" s="372"/>
      <c r="O614" s="372"/>
      <c r="P614" s="372"/>
      <c r="Q614" s="372"/>
      <c r="R614" s="372"/>
      <c r="S614" s="372"/>
      <c r="T614" s="372"/>
      <c r="U614" s="372"/>
      <c r="V614" s="372"/>
      <c r="W614" s="372"/>
      <c r="X614" s="372"/>
      <c r="Y614" s="372"/>
    </row>
    <row r="615" spans="11:25" x14ac:dyDescent="0.35">
      <c r="K615" s="373"/>
      <c r="L615" s="372"/>
      <c r="M615" s="372"/>
      <c r="N615" s="372"/>
      <c r="O615" s="372"/>
      <c r="P615" s="372"/>
      <c r="Q615" s="372"/>
      <c r="R615" s="372"/>
      <c r="S615" s="372"/>
      <c r="T615" s="372"/>
      <c r="U615" s="372"/>
      <c r="V615" s="372"/>
      <c r="W615" s="372"/>
      <c r="X615" s="372"/>
      <c r="Y615" s="372"/>
    </row>
    <row r="616" spans="11:25" x14ac:dyDescent="0.35">
      <c r="K616" s="373"/>
      <c r="L616" s="372"/>
      <c r="M616" s="372"/>
      <c r="N616" s="372"/>
      <c r="O616" s="372"/>
      <c r="P616" s="372"/>
      <c r="Q616" s="372"/>
      <c r="R616" s="372"/>
      <c r="S616" s="372"/>
      <c r="T616" s="372"/>
      <c r="U616" s="372"/>
      <c r="V616" s="372"/>
      <c r="W616" s="372"/>
      <c r="X616" s="372"/>
      <c r="Y616" s="372"/>
    </row>
    <row r="617" spans="11:25" x14ac:dyDescent="0.35">
      <c r="K617" s="373"/>
      <c r="L617" s="372"/>
      <c r="M617" s="372"/>
      <c r="N617" s="372"/>
      <c r="O617" s="372"/>
      <c r="P617" s="372"/>
      <c r="Q617" s="372"/>
      <c r="R617" s="372"/>
      <c r="S617" s="372"/>
      <c r="T617" s="372"/>
      <c r="U617" s="372"/>
      <c r="V617" s="372"/>
      <c r="W617" s="372"/>
      <c r="X617" s="372"/>
      <c r="Y617" s="372"/>
    </row>
    <row r="618" spans="11:25" x14ac:dyDescent="0.35">
      <c r="K618" s="373"/>
      <c r="L618" s="372"/>
      <c r="M618" s="372"/>
      <c r="N618" s="372"/>
      <c r="O618" s="372"/>
      <c r="P618" s="372"/>
      <c r="Q618" s="372"/>
      <c r="R618" s="372"/>
      <c r="S618" s="372"/>
      <c r="T618" s="372"/>
      <c r="U618" s="372"/>
      <c r="V618" s="372"/>
      <c r="W618" s="372"/>
      <c r="X618" s="372"/>
      <c r="Y618" s="372"/>
    </row>
    <row r="619" spans="11:25" x14ac:dyDescent="0.35">
      <c r="K619" s="373"/>
      <c r="L619" s="372"/>
      <c r="M619" s="372"/>
      <c r="N619" s="372"/>
      <c r="O619" s="372"/>
      <c r="P619" s="372"/>
      <c r="Q619" s="372"/>
      <c r="R619" s="372"/>
      <c r="S619" s="372"/>
      <c r="T619" s="372"/>
      <c r="U619" s="372"/>
      <c r="V619" s="372"/>
      <c r="W619" s="372"/>
      <c r="X619" s="372"/>
      <c r="Y619" s="372"/>
    </row>
    <row r="620" spans="11:25" x14ac:dyDescent="0.35">
      <c r="K620" s="373"/>
      <c r="L620" s="372"/>
      <c r="M620" s="372"/>
      <c r="N620" s="372"/>
      <c r="O620" s="372"/>
      <c r="P620" s="372"/>
      <c r="Q620" s="372"/>
      <c r="R620" s="372"/>
      <c r="S620" s="372"/>
      <c r="T620" s="372"/>
      <c r="U620" s="372"/>
      <c r="V620" s="372"/>
      <c r="W620" s="372"/>
      <c r="X620" s="372"/>
      <c r="Y620" s="372"/>
    </row>
    <row r="621" spans="11:25" x14ac:dyDescent="0.35">
      <c r="K621" s="373"/>
      <c r="L621" s="372"/>
      <c r="M621" s="372"/>
      <c r="N621" s="372"/>
      <c r="O621" s="372"/>
      <c r="P621" s="372"/>
      <c r="Q621" s="372"/>
      <c r="R621" s="372"/>
      <c r="S621" s="372"/>
      <c r="T621" s="372"/>
      <c r="U621" s="372"/>
      <c r="V621" s="372"/>
      <c r="W621" s="372"/>
      <c r="X621" s="372"/>
      <c r="Y621" s="372"/>
    </row>
    <row r="622" spans="11:25" x14ac:dyDescent="0.35">
      <c r="K622" s="373"/>
      <c r="L622" s="372"/>
      <c r="M622" s="372"/>
      <c r="N622" s="372"/>
      <c r="O622" s="372"/>
      <c r="P622" s="372"/>
      <c r="Q622" s="372"/>
      <c r="R622" s="372"/>
      <c r="S622" s="372"/>
      <c r="T622" s="372"/>
      <c r="U622" s="372"/>
      <c r="V622" s="372"/>
      <c r="W622" s="372"/>
      <c r="X622" s="372"/>
      <c r="Y622" s="372"/>
    </row>
    <row r="623" spans="11:25" x14ac:dyDescent="0.35">
      <c r="K623" s="373"/>
      <c r="L623" s="372"/>
      <c r="M623" s="372"/>
      <c r="N623" s="372"/>
      <c r="O623" s="372"/>
      <c r="P623" s="372"/>
      <c r="Q623" s="372"/>
      <c r="R623" s="372"/>
      <c r="S623" s="372"/>
      <c r="T623" s="372"/>
      <c r="U623" s="372"/>
      <c r="V623" s="372"/>
      <c r="W623" s="372"/>
      <c r="X623" s="372"/>
      <c r="Y623" s="372"/>
    </row>
    <row r="624" spans="11:25" x14ac:dyDescent="0.35">
      <c r="K624" s="373"/>
      <c r="L624" s="372"/>
      <c r="M624" s="372"/>
      <c r="N624" s="372"/>
      <c r="O624" s="372"/>
      <c r="P624" s="372"/>
      <c r="Q624" s="372"/>
      <c r="R624" s="372"/>
      <c r="S624" s="372"/>
      <c r="T624" s="372"/>
      <c r="U624" s="372"/>
      <c r="V624" s="372"/>
      <c r="W624" s="372"/>
      <c r="X624" s="372"/>
      <c r="Y624" s="372"/>
    </row>
    <row r="625" spans="11:25" x14ac:dyDescent="0.35">
      <c r="K625" s="373"/>
      <c r="L625" s="372"/>
      <c r="M625" s="372"/>
      <c r="N625" s="372"/>
      <c r="O625" s="372"/>
      <c r="P625" s="372"/>
      <c r="Q625" s="372"/>
      <c r="R625" s="372"/>
      <c r="S625" s="372"/>
      <c r="T625" s="372"/>
      <c r="U625" s="372"/>
      <c r="V625" s="372"/>
      <c r="W625" s="372"/>
      <c r="X625" s="372"/>
      <c r="Y625" s="372"/>
    </row>
    <row r="626" spans="11:25" x14ac:dyDescent="0.35">
      <c r="K626" s="373"/>
      <c r="L626" s="372"/>
      <c r="M626" s="372"/>
      <c r="N626" s="372"/>
      <c r="O626" s="372"/>
      <c r="P626" s="372"/>
      <c r="Q626" s="372"/>
      <c r="R626" s="372"/>
      <c r="S626" s="372"/>
      <c r="T626" s="372"/>
      <c r="U626" s="372"/>
      <c r="V626" s="372"/>
      <c r="W626" s="372"/>
      <c r="X626" s="372"/>
      <c r="Y626" s="372"/>
    </row>
    <row r="627" spans="11:25" x14ac:dyDescent="0.35">
      <c r="K627" s="373"/>
      <c r="L627" s="372"/>
      <c r="M627" s="372"/>
      <c r="N627" s="372"/>
      <c r="O627" s="372"/>
      <c r="P627" s="372"/>
      <c r="Q627" s="372"/>
      <c r="R627" s="372"/>
      <c r="S627" s="372"/>
      <c r="T627" s="372"/>
      <c r="U627" s="372"/>
      <c r="V627" s="372"/>
      <c r="W627" s="372"/>
      <c r="X627" s="372"/>
      <c r="Y627" s="372"/>
    </row>
    <row r="628" spans="11:25" x14ac:dyDescent="0.35">
      <c r="K628" s="373"/>
      <c r="L628" s="372"/>
      <c r="M628" s="372"/>
      <c r="N628" s="372"/>
      <c r="O628" s="372"/>
      <c r="P628" s="372"/>
      <c r="Q628" s="372"/>
      <c r="R628" s="372"/>
      <c r="S628" s="372"/>
      <c r="T628" s="372"/>
      <c r="U628" s="372"/>
      <c r="V628" s="372"/>
      <c r="W628" s="372"/>
      <c r="X628" s="372"/>
      <c r="Y628" s="372"/>
    </row>
    <row r="629" spans="11:25" x14ac:dyDescent="0.35">
      <c r="K629" s="373"/>
      <c r="L629" s="372"/>
      <c r="M629" s="372"/>
      <c r="N629" s="372"/>
      <c r="O629" s="372"/>
      <c r="P629" s="372"/>
      <c r="Q629" s="372"/>
      <c r="R629" s="372"/>
      <c r="S629" s="372"/>
      <c r="T629" s="372"/>
      <c r="U629" s="372"/>
      <c r="V629" s="372"/>
      <c r="W629" s="372"/>
      <c r="X629" s="372"/>
      <c r="Y629" s="372"/>
    </row>
    <row r="630" spans="11:25" x14ac:dyDescent="0.35">
      <c r="K630" s="373"/>
      <c r="L630" s="372"/>
      <c r="M630" s="372"/>
      <c r="N630" s="372"/>
      <c r="O630" s="372"/>
      <c r="P630" s="372"/>
      <c r="Q630" s="372"/>
      <c r="R630" s="372"/>
      <c r="S630" s="372"/>
      <c r="T630" s="372"/>
      <c r="U630" s="372"/>
      <c r="V630" s="372"/>
      <c r="W630" s="372"/>
      <c r="X630" s="372"/>
      <c r="Y630" s="372"/>
    </row>
    <row r="631" spans="11:25" x14ac:dyDescent="0.35">
      <c r="K631" s="373"/>
      <c r="L631" s="372"/>
      <c r="M631" s="372"/>
      <c r="N631" s="372"/>
      <c r="O631" s="372"/>
      <c r="P631" s="372"/>
      <c r="Q631" s="372"/>
      <c r="R631" s="372"/>
      <c r="S631" s="372"/>
      <c r="T631" s="372"/>
      <c r="U631" s="372"/>
      <c r="V631" s="372"/>
      <c r="W631" s="372"/>
      <c r="X631" s="372"/>
      <c r="Y631" s="372"/>
    </row>
    <row r="632" spans="11:25" x14ac:dyDescent="0.35">
      <c r="K632" s="373"/>
      <c r="L632" s="372"/>
      <c r="M632" s="372"/>
      <c r="N632" s="372"/>
      <c r="O632" s="372"/>
      <c r="P632" s="372"/>
      <c r="Q632" s="372"/>
      <c r="R632" s="372"/>
      <c r="S632" s="372"/>
      <c r="T632" s="372"/>
      <c r="U632" s="372"/>
      <c r="V632" s="372"/>
      <c r="W632" s="372"/>
      <c r="X632" s="372"/>
      <c r="Y632" s="372"/>
    </row>
    <row r="633" spans="11:25" x14ac:dyDescent="0.35">
      <c r="K633" s="373"/>
      <c r="L633" s="372"/>
      <c r="M633" s="372"/>
      <c r="N633" s="372"/>
      <c r="O633" s="372"/>
      <c r="P633" s="372"/>
      <c r="Q633" s="372"/>
      <c r="R633" s="372"/>
      <c r="S633" s="372"/>
      <c r="T633" s="372"/>
      <c r="U633" s="372"/>
      <c r="V633" s="372"/>
      <c r="W633" s="372"/>
      <c r="X633" s="372"/>
      <c r="Y633" s="372"/>
    </row>
    <row r="634" spans="11:25" x14ac:dyDescent="0.35">
      <c r="K634" s="373"/>
      <c r="L634" s="372"/>
      <c r="M634" s="372"/>
      <c r="N634" s="372"/>
      <c r="O634" s="372"/>
      <c r="P634" s="372"/>
      <c r="Q634" s="372"/>
      <c r="R634" s="372"/>
      <c r="S634" s="372"/>
      <c r="T634" s="372"/>
      <c r="U634" s="372"/>
      <c r="V634" s="372"/>
      <c r="W634" s="372"/>
      <c r="X634" s="372"/>
      <c r="Y634" s="372"/>
    </row>
    <row r="635" spans="11:25" x14ac:dyDescent="0.35">
      <c r="K635" s="373"/>
      <c r="L635" s="372"/>
      <c r="M635" s="372"/>
      <c r="N635" s="372"/>
      <c r="O635" s="372"/>
      <c r="P635" s="372"/>
      <c r="Q635" s="372"/>
      <c r="R635" s="372"/>
      <c r="S635" s="372"/>
      <c r="T635" s="372"/>
      <c r="U635" s="372"/>
      <c r="V635" s="372"/>
      <c r="W635" s="372"/>
      <c r="X635" s="372"/>
      <c r="Y635" s="372"/>
    </row>
    <row r="636" spans="11:25" x14ac:dyDescent="0.35">
      <c r="K636" s="373"/>
      <c r="L636" s="372"/>
      <c r="M636" s="372"/>
      <c r="N636" s="372"/>
      <c r="O636" s="372"/>
      <c r="P636" s="372"/>
      <c r="Q636" s="372"/>
      <c r="R636" s="372"/>
      <c r="S636" s="372"/>
      <c r="T636" s="372"/>
      <c r="U636" s="372"/>
      <c r="V636" s="372"/>
      <c r="W636" s="372"/>
      <c r="X636" s="372"/>
      <c r="Y636" s="372"/>
    </row>
    <row r="637" spans="11:25" x14ac:dyDescent="0.35">
      <c r="K637" s="373"/>
      <c r="L637" s="372"/>
      <c r="M637" s="372"/>
      <c r="N637" s="372"/>
      <c r="O637" s="372"/>
      <c r="P637" s="372"/>
      <c r="Q637" s="372"/>
      <c r="R637" s="372"/>
      <c r="S637" s="372"/>
      <c r="T637" s="372"/>
      <c r="U637" s="372"/>
      <c r="V637" s="372"/>
      <c r="W637" s="372"/>
      <c r="X637" s="372"/>
      <c r="Y637" s="372"/>
    </row>
    <row r="638" spans="11:25" x14ac:dyDescent="0.35">
      <c r="K638" s="373"/>
      <c r="L638" s="372"/>
      <c r="M638" s="372"/>
      <c r="N638" s="372"/>
      <c r="O638" s="372"/>
      <c r="P638" s="372"/>
      <c r="Q638" s="372"/>
      <c r="R638" s="372"/>
      <c r="S638" s="372"/>
      <c r="T638" s="372"/>
      <c r="U638" s="372"/>
      <c r="V638" s="372"/>
      <c r="W638" s="372"/>
      <c r="X638" s="372"/>
      <c r="Y638" s="372"/>
    </row>
    <row r="639" spans="11:25" x14ac:dyDescent="0.35">
      <c r="K639" s="373"/>
      <c r="L639" s="372"/>
      <c r="M639" s="372"/>
      <c r="N639" s="372"/>
      <c r="O639" s="372"/>
      <c r="P639" s="372"/>
      <c r="Q639" s="372"/>
      <c r="R639" s="372"/>
      <c r="S639" s="372"/>
      <c r="T639" s="372"/>
      <c r="U639" s="372"/>
      <c r="V639" s="372"/>
      <c r="W639" s="372"/>
      <c r="X639" s="372"/>
      <c r="Y639" s="372"/>
    </row>
    <row r="640" spans="11:25" x14ac:dyDescent="0.35">
      <c r="K640" s="373"/>
      <c r="L640" s="372"/>
      <c r="M640" s="372"/>
      <c r="N640" s="372"/>
      <c r="O640" s="372"/>
      <c r="P640" s="372"/>
      <c r="Q640" s="372"/>
      <c r="R640" s="372"/>
      <c r="S640" s="372"/>
      <c r="T640" s="372"/>
      <c r="U640" s="372"/>
      <c r="V640" s="372"/>
      <c r="W640" s="372"/>
      <c r="X640" s="372"/>
      <c r="Y640" s="372"/>
    </row>
    <row r="641" spans="11:25" x14ac:dyDescent="0.35">
      <c r="K641" s="373"/>
      <c r="L641" s="372"/>
      <c r="M641" s="372"/>
      <c r="N641" s="372"/>
      <c r="O641" s="372"/>
      <c r="P641" s="372"/>
      <c r="Q641" s="372"/>
      <c r="R641" s="372"/>
      <c r="S641" s="372"/>
      <c r="T641" s="372"/>
      <c r="U641" s="372"/>
      <c r="V641" s="372"/>
      <c r="W641" s="372"/>
      <c r="X641" s="372"/>
      <c r="Y641" s="372"/>
    </row>
    <row r="642" spans="11:25" x14ac:dyDescent="0.35">
      <c r="K642" s="373"/>
      <c r="L642" s="372"/>
      <c r="M642" s="372"/>
      <c r="N642" s="372"/>
      <c r="O642" s="372"/>
      <c r="P642" s="372"/>
      <c r="Q642" s="372"/>
      <c r="R642" s="372"/>
      <c r="S642" s="372"/>
      <c r="T642" s="372"/>
      <c r="U642" s="372"/>
      <c r="V642" s="372"/>
      <c r="W642" s="372"/>
      <c r="X642" s="372"/>
      <c r="Y642" s="372"/>
    </row>
    <row r="643" spans="11:25" x14ac:dyDescent="0.35">
      <c r="K643" s="373"/>
      <c r="L643" s="372"/>
      <c r="M643" s="372"/>
      <c r="N643" s="372"/>
      <c r="O643" s="372"/>
      <c r="P643" s="372"/>
      <c r="Q643" s="372"/>
      <c r="R643" s="372"/>
      <c r="S643" s="372"/>
      <c r="T643" s="372"/>
      <c r="U643" s="372"/>
      <c r="V643" s="372"/>
      <c r="W643" s="372"/>
      <c r="X643" s="372"/>
      <c r="Y643" s="372"/>
    </row>
    <row r="644" spans="11:25" x14ac:dyDescent="0.35">
      <c r="K644" s="373"/>
      <c r="L644" s="372"/>
      <c r="M644" s="372"/>
      <c r="N644" s="372"/>
      <c r="O644" s="372"/>
      <c r="P644" s="372"/>
      <c r="Q644" s="372"/>
      <c r="R644" s="372"/>
      <c r="S644" s="372"/>
      <c r="T644" s="372"/>
      <c r="U644" s="372"/>
      <c r="V644" s="372"/>
      <c r="W644" s="372"/>
      <c r="X644" s="372"/>
      <c r="Y644" s="372"/>
    </row>
    <row r="645" spans="11:25" x14ac:dyDescent="0.35">
      <c r="K645" s="373"/>
      <c r="L645" s="372"/>
      <c r="M645" s="372"/>
      <c r="N645" s="372"/>
      <c r="O645" s="372"/>
      <c r="P645" s="372"/>
      <c r="Q645" s="372"/>
      <c r="R645" s="372"/>
      <c r="S645" s="372"/>
      <c r="T645" s="372"/>
      <c r="U645" s="372"/>
      <c r="V645" s="372"/>
      <c r="W645" s="372"/>
      <c r="X645" s="372"/>
      <c r="Y645" s="372"/>
    </row>
    <row r="646" spans="11:25" x14ac:dyDescent="0.35">
      <c r="K646" s="373"/>
      <c r="L646" s="372"/>
      <c r="M646" s="372"/>
      <c r="N646" s="372"/>
      <c r="O646" s="372"/>
      <c r="P646" s="372"/>
      <c r="Q646" s="372"/>
      <c r="R646" s="372"/>
      <c r="S646" s="372"/>
      <c r="T646" s="372"/>
      <c r="U646" s="372"/>
      <c r="V646" s="372"/>
      <c r="W646" s="372"/>
      <c r="X646" s="372"/>
      <c r="Y646" s="372"/>
    </row>
    <row r="647" spans="11:25" x14ac:dyDescent="0.35">
      <c r="K647" s="373"/>
      <c r="L647" s="372"/>
      <c r="M647" s="372"/>
      <c r="N647" s="372"/>
      <c r="O647" s="372"/>
      <c r="P647" s="372"/>
      <c r="Q647" s="372"/>
      <c r="R647" s="372"/>
      <c r="S647" s="372"/>
      <c r="T647" s="372"/>
      <c r="U647" s="372"/>
      <c r="V647" s="372"/>
      <c r="W647" s="372"/>
      <c r="X647" s="372"/>
      <c r="Y647" s="372"/>
    </row>
    <row r="648" spans="11:25" x14ac:dyDescent="0.35">
      <c r="K648" s="373"/>
      <c r="L648" s="372"/>
      <c r="M648" s="372"/>
      <c r="N648" s="372"/>
      <c r="O648" s="372"/>
      <c r="P648" s="372"/>
      <c r="Q648" s="372"/>
      <c r="R648" s="372"/>
      <c r="S648" s="372"/>
      <c r="T648" s="372"/>
      <c r="U648" s="372"/>
      <c r="V648" s="372"/>
      <c r="W648" s="372"/>
      <c r="X648" s="372"/>
      <c r="Y648" s="372"/>
    </row>
    <row r="649" spans="11:25" x14ac:dyDescent="0.35">
      <c r="K649" s="373"/>
      <c r="L649" s="372"/>
      <c r="M649" s="372"/>
      <c r="N649" s="372"/>
      <c r="O649" s="372"/>
      <c r="P649" s="372"/>
      <c r="Q649" s="372"/>
      <c r="R649" s="372"/>
      <c r="S649" s="372"/>
      <c r="T649" s="372"/>
      <c r="U649" s="372"/>
      <c r="V649" s="372"/>
      <c r="W649" s="372"/>
      <c r="X649" s="372"/>
      <c r="Y649" s="372"/>
    </row>
    <row r="650" spans="11:25" x14ac:dyDescent="0.35">
      <c r="K650" s="373"/>
      <c r="L650" s="372"/>
      <c r="M650" s="372"/>
      <c r="N650" s="372"/>
      <c r="O650" s="372"/>
      <c r="P650" s="372"/>
      <c r="Q650" s="372"/>
      <c r="R650" s="372"/>
      <c r="S650" s="372"/>
      <c r="T650" s="372"/>
      <c r="U650" s="372"/>
      <c r="V650" s="372"/>
      <c r="W650" s="372"/>
      <c r="X650" s="372"/>
      <c r="Y650" s="372"/>
    </row>
    <row r="651" spans="11:25" x14ac:dyDescent="0.35">
      <c r="K651" s="373"/>
      <c r="L651" s="372"/>
      <c r="M651" s="372"/>
      <c r="N651" s="372"/>
      <c r="O651" s="372"/>
      <c r="P651" s="372"/>
      <c r="Q651" s="372"/>
      <c r="R651" s="372"/>
      <c r="S651" s="372"/>
      <c r="T651" s="372"/>
      <c r="U651" s="372"/>
      <c r="V651" s="372"/>
      <c r="W651" s="372"/>
      <c r="X651" s="372"/>
      <c r="Y651" s="372"/>
    </row>
    <row r="652" spans="11:25" x14ac:dyDescent="0.35">
      <c r="K652" s="373"/>
      <c r="L652" s="372"/>
      <c r="M652" s="372"/>
      <c r="N652" s="372"/>
      <c r="O652" s="372"/>
      <c r="P652" s="372"/>
      <c r="Q652" s="372"/>
      <c r="R652" s="372"/>
      <c r="S652" s="372"/>
      <c r="T652" s="372"/>
      <c r="U652" s="372"/>
      <c r="V652" s="372"/>
      <c r="W652" s="372"/>
      <c r="X652" s="372"/>
      <c r="Y652" s="372"/>
    </row>
    <row r="653" spans="11:25" x14ac:dyDescent="0.35">
      <c r="K653" s="373"/>
      <c r="L653" s="372"/>
      <c r="M653" s="372"/>
      <c r="N653" s="372"/>
      <c r="O653" s="372"/>
      <c r="P653" s="372"/>
      <c r="Q653" s="372"/>
      <c r="R653" s="372"/>
      <c r="S653" s="372"/>
      <c r="T653" s="372"/>
      <c r="U653" s="372"/>
      <c r="V653" s="372"/>
      <c r="W653" s="372"/>
      <c r="X653" s="372"/>
      <c r="Y653" s="372"/>
    </row>
    <row r="654" spans="11:25" x14ac:dyDescent="0.35">
      <c r="K654" s="373"/>
      <c r="L654" s="372"/>
      <c r="M654" s="372"/>
      <c r="N654" s="372"/>
      <c r="O654" s="372"/>
      <c r="P654" s="372"/>
      <c r="Q654" s="372"/>
      <c r="R654" s="372"/>
      <c r="S654" s="372"/>
      <c r="T654" s="372"/>
      <c r="U654" s="372"/>
      <c r="V654" s="372"/>
      <c r="W654" s="372"/>
      <c r="X654" s="372"/>
      <c r="Y654" s="372"/>
    </row>
    <row r="655" spans="11:25" x14ac:dyDescent="0.35">
      <c r="K655" s="373"/>
      <c r="L655" s="372"/>
      <c r="M655" s="372"/>
      <c r="N655" s="372"/>
      <c r="O655" s="372"/>
      <c r="P655" s="372"/>
      <c r="Q655" s="372"/>
      <c r="R655" s="372"/>
      <c r="S655" s="372"/>
      <c r="T655" s="372"/>
      <c r="U655" s="372"/>
      <c r="V655" s="372"/>
      <c r="W655" s="372"/>
      <c r="X655" s="372"/>
      <c r="Y655" s="372"/>
    </row>
    <row r="656" spans="11:25" x14ac:dyDescent="0.35">
      <c r="K656" s="373"/>
      <c r="L656" s="372"/>
      <c r="M656" s="372"/>
      <c r="N656" s="372"/>
      <c r="O656" s="372"/>
      <c r="P656" s="372"/>
      <c r="Q656" s="372"/>
      <c r="R656" s="372"/>
      <c r="S656" s="372"/>
      <c r="T656" s="372"/>
      <c r="U656" s="372"/>
      <c r="V656" s="372"/>
      <c r="W656" s="372"/>
      <c r="X656" s="372"/>
      <c r="Y656" s="372"/>
    </row>
    <row r="657" spans="11:25" x14ac:dyDescent="0.35">
      <c r="K657" s="373"/>
      <c r="L657" s="372"/>
      <c r="M657" s="372"/>
      <c r="N657" s="372"/>
      <c r="O657" s="372"/>
      <c r="P657" s="372"/>
      <c r="Q657" s="372"/>
      <c r="R657" s="372"/>
      <c r="S657" s="372"/>
      <c r="T657" s="372"/>
      <c r="U657" s="372"/>
      <c r="V657" s="372"/>
      <c r="W657" s="372"/>
      <c r="X657" s="372"/>
      <c r="Y657" s="372"/>
    </row>
    <row r="658" spans="11:25" x14ac:dyDescent="0.35">
      <c r="K658" s="373"/>
      <c r="L658" s="372"/>
      <c r="M658" s="372"/>
      <c r="N658" s="372"/>
      <c r="O658" s="372"/>
      <c r="P658" s="372"/>
      <c r="Q658" s="372"/>
      <c r="R658" s="372"/>
      <c r="S658" s="372"/>
      <c r="T658" s="372"/>
      <c r="U658" s="372"/>
      <c r="V658" s="372"/>
      <c r="W658" s="372"/>
      <c r="X658" s="372"/>
      <c r="Y658" s="372"/>
    </row>
    <row r="659" spans="11:25" x14ac:dyDescent="0.35">
      <c r="K659" s="373"/>
      <c r="L659" s="372"/>
      <c r="M659" s="372"/>
      <c r="N659" s="372"/>
      <c r="O659" s="372"/>
      <c r="P659" s="372"/>
      <c r="Q659" s="372"/>
      <c r="R659" s="372"/>
      <c r="S659" s="372"/>
      <c r="T659" s="372"/>
      <c r="U659" s="372"/>
      <c r="V659" s="372"/>
      <c r="W659" s="372"/>
      <c r="X659" s="372"/>
      <c r="Y659" s="372"/>
    </row>
    <row r="660" spans="11:25" x14ac:dyDescent="0.35">
      <c r="K660" s="373"/>
      <c r="L660" s="372"/>
      <c r="M660" s="372"/>
      <c r="N660" s="372"/>
      <c r="O660" s="372"/>
      <c r="P660" s="372"/>
      <c r="Q660" s="372"/>
      <c r="R660" s="372"/>
      <c r="S660" s="372"/>
      <c r="T660" s="372"/>
      <c r="U660" s="372"/>
      <c r="V660" s="372"/>
      <c r="W660" s="372"/>
      <c r="X660" s="372"/>
      <c r="Y660" s="372"/>
    </row>
    <row r="661" spans="11:25" x14ac:dyDescent="0.35">
      <c r="K661" s="373"/>
      <c r="L661" s="372"/>
      <c r="M661" s="372"/>
      <c r="N661" s="372"/>
      <c r="O661" s="372"/>
      <c r="P661" s="372"/>
      <c r="Q661" s="372"/>
      <c r="R661" s="372"/>
      <c r="S661" s="372"/>
      <c r="T661" s="372"/>
      <c r="U661" s="372"/>
      <c r="V661" s="372"/>
      <c r="W661" s="372"/>
      <c r="X661" s="372"/>
      <c r="Y661" s="372"/>
    </row>
    <row r="662" spans="11:25" x14ac:dyDescent="0.35">
      <c r="K662" s="373"/>
      <c r="L662" s="372"/>
      <c r="M662" s="372"/>
      <c r="N662" s="372"/>
      <c r="O662" s="372"/>
      <c r="P662" s="372"/>
      <c r="Q662" s="372"/>
      <c r="R662" s="372"/>
      <c r="S662" s="372"/>
      <c r="T662" s="372"/>
      <c r="U662" s="372"/>
      <c r="V662" s="372"/>
      <c r="W662" s="372"/>
      <c r="X662" s="372"/>
      <c r="Y662" s="372"/>
    </row>
    <row r="663" spans="11:25" x14ac:dyDescent="0.35">
      <c r="K663" s="373"/>
      <c r="L663" s="372"/>
      <c r="M663" s="372"/>
      <c r="N663" s="372"/>
      <c r="O663" s="372"/>
      <c r="P663" s="372"/>
      <c r="Q663" s="372"/>
      <c r="R663" s="372"/>
      <c r="S663" s="372"/>
      <c r="T663" s="372"/>
      <c r="U663" s="372"/>
      <c r="V663" s="372"/>
      <c r="W663" s="372"/>
      <c r="X663" s="372"/>
      <c r="Y663" s="372"/>
    </row>
    <row r="664" spans="11:25" x14ac:dyDescent="0.35">
      <c r="K664" s="373"/>
      <c r="L664" s="372"/>
      <c r="M664" s="372"/>
      <c r="N664" s="372"/>
      <c r="O664" s="372"/>
      <c r="P664" s="372"/>
      <c r="Q664" s="372"/>
      <c r="R664" s="372"/>
      <c r="S664" s="372"/>
      <c r="T664" s="372"/>
      <c r="U664" s="372"/>
      <c r="V664" s="372"/>
      <c r="W664" s="372"/>
      <c r="X664" s="372"/>
      <c r="Y664" s="372"/>
    </row>
    <row r="665" spans="11:25" x14ac:dyDescent="0.35">
      <c r="K665" s="373"/>
      <c r="L665" s="372"/>
      <c r="M665" s="372"/>
      <c r="N665" s="372"/>
      <c r="O665" s="372"/>
      <c r="P665" s="372"/>
      <c r="Q665" s="372"/>
      <c r="R665" s="372"/>
      <c r="S665" s="372"/>
      <c r="T665" s="372"/>
      <c r="U665" s="372"/>
      <c r="V665" s="372"/>
      <c r="W665" s="372"/>
      <c r="X665" s="372"/>
      <c r="Y665" s="372"/>
    </row>
    <row r="666" spans="11:25" x14ac:dyDescent="0.35">
      <c r="K666" s="373"/>
      <c r="L666" s="372"/>
      <c r="M666" s="372"/>
      <c r="N666" s="372"/>
      <c r="O666" s="372"/>
      <c r="P666" s="372"/>
      <c r="Q666" s="372"/>
      <c r="R666" s="372"/>
      <c r="S666" s="372"/>
      <c r="T666" s="372"/>
      <c r="U666" s="372"/>
      <c r="V666" s="372"/>
      <c r="W666" s="372"/>
      <c r="X666" s="372"/>
      <c r="Y666" s="372"/>
    </row>
    <row r="667" spans="11:25" x14ac:dyDescent="0.35">
      <c r="K667" s="373"/>
      <c r="L667" s="372"/>
      <c r="M667" s="372"/>
      <c r="N667" s="372"/>
      <c r="O667" s="372"/>
      <c r="P667" s="372"/>
      <c r="Q667" s="372"/>
      <c r="R667" s="372"/>
      <c r="S667" s="372"/>
      <c r="T667" s="372"/>
      <c r="U667" s="372"/>
      <c r="V667" s="372"/>
      <c r="W667" s="372"/>
      <c r="X667" s="372"/>
      <c r="Y667" s="372"/>
    </row>
    <row r="668" spans="11:25" x14ac:dyDescent="0.35">
      <c r="K668" s="373"/>
      <c r="L668" s="372"/>
      <c r="M668" s="372"/>
      <c r="N668" s="372"/>
      <c r="O668" s="372"/>
      <c r="P668" s="372"/>
      <c r="Q668" s="372"/>
      <c r="R668" s="372"/>
      <c r="S668" s="372"/>
      <c r="T668" s="372"/>
      <c r="U668" s="372"/>
      <c r="V668" s="372"/>
      <c r="W668" s="372"/>
      <c r="X668" s="372"/>
      <c r="Y668" s="372"/>
    </row>
    <row r="669" spans="11:25" x14ac:dyDescent="0.35">
      <c r="K669" s="373"/>
      <c r="L669" s="372"/>
      <c r="M669" s="372"/>
      <c r="N669" s="372"/>
      <c r="O669" s="372"/>
      <c r="P669" s="372"/>
      <c r="Q669" s="372"/>
      <c r="R669" s="372"/>
      <c r="S669" s="372"/>
      <c r="T669" s="372"/>
      <c r="U669" s="372"/>
      <c r="V669" s="372"/>
      <c r="W669" s="372"/>
      <c r="X669" s="372"/>
      <c r="Y669" s="372"/>
    </row>
    <row r="670" spans="11:25" x14ac:dyDescent="0.35">
      <c r="K670" s="373"/>
      <c r="L670" s="372"/>
      <c r="M670" s="372"/>
      <c r="N670" s="372"/>
      <c r="O670" s="372"/>
      <c r="P670" s="372"/>
      <c r="Q670" s="372"/>
      <c r="R670" s="372"/>
      <c r="S670" s="372"/>
      <c r="T670" s="372"/>
      <c r="U670" s="372"/>
      <c r="V670" s="372"/>
      <c r="W670" s="372"/>
      <c r="X670" s="372"/>
      <c r="Y670" s="372"/>
    </row>
    <row r="671" spans="11:25" x14ac:dyDescent="0.35">
      <c r="K671" s="373"/>
      <c r="L671" s="372"/>
      <c r="M671" s="372"/>
      <c r="N671" s="372"/>
      <c r="O671" s="372"/>
      <c r="P671" s="372"/>
      <c r="Q671" s="372"/>
      <c r="R671" s="372"/>
      <c r="S671" s="372"/>
      <c r="T671" s="372"/>
      <c r="U671" s="372"/>
      <c r="V671" s="372"/>
      <c r="W671" s="372"/>
      <c r="X671" s="372"/>
      <c r="Y671" s="372"/>
    </row>
    <row r="672" spans="11:25" x14ac:dyDescent="0.35">
      <c r="K672" s="373"/>
      <c r="L672" s="372"/>
      <c r="M672" s="372"/>
      <c r="N672" s="372"/>
      <c r="O672" s="372"/>
      <c r="P672" s="372"/>
      <c r="Q672" s="372"/>
      <c r="R672" s="372"/>
      <c r="S672" s="372"/>
      <c r="T672" s="372"/>
      <c r="U672" s="372"/>
      <c r="V672" s="372"/>
      <c r="W672" s="372"/>
      <c r="X672" s="372"/>
      <c r="Y672" s="372"/>
    </row>
    <row r="673" spans="11:25" x14ac:dyDescent="0.35">
      <c r="K673" s="373"/>
      <c r="L673" s="372"/>
      <c r="M673" s="372"/>
      <c r="N673" s="372"/>
      <c r="O673" s="372"/>
      <c r="P673" s="372"/>
      <c r="Q673" s="372"/>
      <c r="R673" s="372"/>
      <c r="S673" s="372"/>
      <c r="T673" s="372"/>
      <c r="U673" s="372"/>
      <c r="V673" s="372"/>
      <c r="W673" s="372"/>
      <c r="X673" s="372"/>
      <c r="Y673" s="372"/>
    </row>
    <row r="674" spans="11:25" x14ac:dyDescent="0.35">
      <c r="K674" s="373"/>
      <c r="L674" s="372"/>
      <c r="M674" s="372"/>
      <c r="N674" s="372"/>
      <c r="O674" s="372"/>
      <c r="P674" s="372"/>
      <c r="Q674" s="372"/>
      <c r="R674" s="372"/>
      <c r="S674" s="372"/>
      <c r="T674" s="372"/>
      <c r="U674" s="372"/>
      <c r="V674" s="372"/>
      <c r="W674" s="372"/>
      <c r="X674" s="372"/>
      <c r="Y674" s="372"/>
    </row>
    <row r="675" spans="11:25" x14ac:dyDescent="0.35">
      <c r="K675" s="373"/>
      <c r="L675" s="372"/>
      <c r="M675" s="372"/>
      <c r="N675" s="372"/>
      <c r="O675" s="372"/>
      <c r="P675" s="372"/>
      <c r="Q675" s="372"/>
      <c r="R675" s="372"/>
      <c r="S675" s="372"/>
      <c r="T675" s="372"/>
      <c r="U675" s="372"/>
      <c r="V675" s="372"/>
      <c r="W675" s="372"/>
      <c r="X675" s="372"/>
      <c r="Y675" s="372"/>
    </row>
    <row r="676" spans="11:25" x14ac:dyDescent="0.35">
      <c r="K676" s="373"/>
      <c r="L676" s="372"/>
      <c r="M676" s="372"/>
      <c r="N676" s="372"/>
      <c r="O676" s="372"/>
      <c r="P676" s="372"/>
      <c r="Q676" s="372"/>
      <c r="R676" s="372"/>
      <c r="S676" s="372"/>
      <c r="T676" s="372"/>
      <c r="U676" s="372"/>
      <c r="V676" s="372"/>
      <c r="W676" s="372"/>
      <c r="X676" s="372"/>
      <c r="Y676" s="372"/>
    </row>
    <row r="677" spans="11:25" x14ac:dyDescent="0.35">
      <c r="K677" s="373"/>
      <c r="L677" s="372"/>
      <c r="M677" s="372"/>
      <c r="N677" s="372"/>
      <c r="O677" s="372"/>
      <c r="P677" s="372"/>
      <c r="Q677" s="372"/>
      <c r="R677" s="372"/>
      <c r="S677" s="372"/>
      <c r="T677" s="372"/>
      <c r="U677" s="372"/>
      <c r="V677" s="372"/>
      <c r="W677" s="372"/>
      <c r="X677" s="372"/>
      <c r="Y677" s="372"/>
    </row>
    <row r="678" spans="11:25" x14ac:dyDescent="0.35">
      <c r="K678" s="373"/>
      <c r="L678" s="372"/>
      <c r="M678" s="372"/>
      <c r="N678" s="372"/>
      <c r="O678" s="372"/>
      <c r="P678" s="372"/>
      <c r="Q678" s="372"/>
      <c r="R678" s="372"/>
      <c r="S678" s="372"/>
      <c r="T678" s="372"/>
      <c r="U678" s="372"/>
      <c r="V678" s="372"/>
      <c r="W678" s="372"/>
      <c r="X678" s="372"/>
      <c r="Y678" s="372"/>
    </row>
    <row r="679" spans="11:25" x14ac:dyDescent="0.35">
      <c r="K679" s="373"/>
      <c r="L679" s="372"/>
      <c r="M679" s="372"/>
      <c r="N679" s="372"/>
      <c r="O679" s="372"/>
      <c r="P679" s="372"/>
      <c r="Q679" s="372"/>
      <c r="R679" s="372"/>
      <c r="S679" s="372"/>
      <c r="T679" s="372"/>
      <c r="U679" s="372"/>
      <c r="V679" s="372"/>
      <c r="W679" s="372"/>
      <c r="X679" s="372"/>
      <c r="Y679" s="372"/>
    </row>
    <row r="680" spans="11:25" x14ac:dyDescent="0.35">
      <c r="K680" s="373"/>
      <c r="L680" s="372"/>
      <c r="M680" s="372"/>
      <c r="N680" s="372"/>
      <c r="O680" s="372"/>
      <c r="P680" s="372"/>
      <c r="Q680" s="372"/>
      <c r="R680" s="372"/>
      <c r="S680" s="372"/>
      <c r="T680" s="372"/>
      <c r="U680" s="372"/>
      <c r="V680" s="372"/>
      <c r="W680" s="372"/>
      <c r="X680" s="372"/>
      <c r="Y680" s="372"/>
    </row>
    <row r="681" spans="11:25" x14ac:dyDescent="0.35">
      <c r="K681" s="373"/>
      <c r="L681" s="372"/>
      <c r="M681" s="372"/>
      <c r="N681" s="372"/>
      <c r="O681" s="372"/>
      <c r="P681" s="372"/>
      <c r="Q681" s="372"/>
      <c r="R681" s="372"/>
      <c r="S681" s="372"/>
      <c r="T681" s="372"/>
      <c r="U681" s="372"/>
      <c r="V681" s="372"/>
      <c r="W681" s="372"/>
      <c r="X681" s="372"/>
      <c r="Y681" s="372"/>
    </row>
    <row r="682" spans="11:25" x14ac:dyDescent="0.35">
      <c r="K682" s="373"/>
      <c r="L682" s="372"/>
      <c r="M682" s="372"/>
      <c r="N682" s="372"/>
      <c r="O682" s="372"/>
      <c r="P682" s="372"/>
      <c r="Q682" s="372"/>
      <c r="R682" s="372"/>
      <c r="S682" s="372"/>
      <c r="T682" s="372"/>
      <c r="U682" s="372"/>
      <c r="V682" s="372"/>
      <c r="W682" s="372"/>
      <c r="X682" s="372"/>
      <c r="Y682" s="372"/>
    </row>
    <row r="683" spans="11:25" x14ac:dyDescent="0.35">
      <c r="K683" s="373"/>
      <c r="L683" s="372"/>
      <c r="M683" s="372"/>
      <c r="N683" s="372"/>
      <c r="O683" s="372"/>
      <c r="P683" s="372"/>
      <c r="Q683" s="372"/>
      <c r="R683" s="372"/>
      <c r="S683" s="372"/>
      <c r="T683" s="372"/>
      <c r="U683" s="372"/>
      <c r="V683" s="372"/>
      <c r="W683" s="372"/>
      <c r="X683" s="372"/>
      <c r="Y683" s="372"/>
    </row>
    <row r="684" spans="11:25" x14ac:dyDescent="0.35">
      <c r="K684" s="373"/>
      <c r="L684" s="372"/>
      <c r="M684" s="372"/>
      <c r="N684" s="372"/>
      <c r="O684" s="372"/>
      <c r="P684" s="372"/>
      <c r="Q684" s="372"/>
      <c r="R684" s="372"/>
      <c r="S684" s="372"/>
      <c r="T684" s="372"/>
      <c r="U684" s="372"/>
      <c r="V684" s="372"/>
      <c r="W684" s="372"/>
      <c r="X684" s="372"/>
      <c r="Y684" s="372"/>
    </row>
    <row r="685" spans="11:25" x14ac:dyDescent="0.35">
      <c r="K685" s="373"/>
      <c r="L685" s="372"/>
      <c r="M685" s="372"/>
      <c r="N685" s="372"/>
      <c r="O685" s="372"/>
      <c r="P685" s="372"/>
      <c r="Q685" s="372"/>
      <c r="R685" s="372"/>
      <c r="S685" s="372"/>
      <c r="T685" s="372"/>
      <c r="U685" s="372"/>
      <c r="V685" s="372"/>
      <c r="W685" s="372"/>
      <c r="X685" s="372"/>
      <c r="Y685" s="372"/>
    </row>
    <row r="686" spans="11:25" x14ac:dyDescent="0.35">
      <c r="K686" s="373"/>
      <c r="L686" s="372"/>
      <c r="M686" s="372"/>
      <c r="N686" s="372"/>
      <c r="O686" s="372"/>
      <c r="P686" s="372"/>
      <c r="Q686" s="372"/>
      <c r="R686" s="372"/>
      <c r="S686" s="372"/>
      <c r="T686" s="372"/>
      <c r="U686" s="372"/>
      <c r="V686" s="372"/>
      <c r="W686" s="372"/>
      <c r="X686" s="372"/>
      <c r="Y686" s="372"/>
    </row>
    <row r="687" spans="11:25" x14ac:dyDescent="0.35">
      <c r="K687" s="373"/>
      <c r="L687" s="372"/>
      <c r="M687" s="372"/>
      <c r="N687" s="372"/>
      <c r="O687" s="372"/>
      <c r="P687" s="372"/>
      <c r="Q687" s="372"/>
      <c r="R687" s="372"/>
      <c r="S687" s="372"/>
      <c r="T687" s="372"/>
      <c r="U687" s="372"/>
      <c r="V687" s="372"/>
      <c r="W687" s="372"/>
      <c r="X687" s="372"/>
      <c r="Y687" s="372"/>
    </row>
    <row r="688" spans="11:25" x14ac:dyDescent="0.35">
      <c r="K688" s="373"/>
      <c r="L688" s="372"/>
      <c r="M688" s="372"/>
      <c r="N688" s="372"/>
      <c r="O688" s="372"/>
      <c r="P688" s="372"/>
      <c r="Q688" s="372"/>
      <c r="R688" s="372"/>
      <c r="S688" s="372"/>
      <c r="T688" s="372"/>
      <c r="U688" s="372"/>
      <c r="V688" s="372"/>
      <c r="W688" s="372"/>
      <c r="X688" s="372"/>
      <c r="Y688" s="372"/>
    </row>
    <row r="689" spans="11:25" x14ac:dyDescent="0.35">
      <c r="K689" s="373"/>
      <c r="L689" s="372"/>
      <c r="M689" s="372"/>
      <c r="N689" s="372"/>
      <c r="O689" s="372"/>
      <c r="P689" s="372"/>
      <c r="Q689" s="372"/>
      <c r="R689" s="372"/>
      <c r="S689" s="372"/>
      <c r="T689" s="372"/>
      <c r="U689" s="372"/>
      <c r="V689" s="372"/>
      <c r="W689" s="372"/>
      <c r="X689" s="372"/>
      <c r="Y689" s="372"/>
    </row>
    <row r="690" spans="11:25" x14ac:dyDescent="0.35">
      <c r="K690" s="373"/>
      <c r="L690" s="372"/>
      <c r="M690" s="372"/>
      <c r="N690" s="372"/>
      <c r="O690" s="372"/>
      <c r="P690" s="372"/>
      <c r="Q690" s="372"/>
      <c r="R690" s="372"/>
      <c r="S690" s="372"/>
      <c r="T690" s="372"/>
      <c r="U690" s="372"/>
      <c r="V690" s="372"/>
      <c r="W690" s="372"/>
      <c r="X690" s="372"/>
      <c r="Y690" s="372"/>
    </row>
    <row r="691" spans="11:25" x14ac:dyDescent="0.35">
      <c r="K691" s="373"/>
      <c r="L691" s="372"/>
      <c r="M691" s="372"/>
      <c r="N691" s="372"/>
      <c r="O691" s="372"/>
      <c r="P691" s="372"/>
      <c r="Q691" s="372"/>
      <c r="R691" s="372"/>
      <c r="S691" s="372"/>
      <c r="T691" s="372"/>
      <c r="U691" s="372"/>
      <c r="V691" s="372"/>
      <c r="W691" s="372"/>
      <c r="X691" s="372"/>
      <c r="Y691" s="372"/>
    </row>
    <row r="692" spans="11:25" x14ac:dyDescent="0.35">
      <c r="K692" s="373"/>
      <c r="L692" s="372"/>
      <c r="M692" s="372"/>
      <c r="N692" s="372"/>
      <c r="O692" s="372"/>
      <c r="P692" s="372"/>
      <c r="Q692" s="372"/>
      <c r="R692" s="372"/>
      <c r="S692" s="372"/>
      <c r="T692" s="372"/>
      <c r="U692" s="372"/>
      <c r="V692" s="372"/>
      <c r="W692" s="372"/>
      <c r="X692" s="372"/>
      <c r="Y692" s="372"/>
    </row>
    <row r="693" spans="11:25" x14ac:dyDescent="0.35">
      <c r="K693" s="373"/>
      <c r="L693" s="372"/>
      <c r="M693" s="372"/>
      <c r="N693" s="372"/>
      <c r="O693" s="372"/>
      <c r="P693" s="372"/>
      <c r="Q693" s="372"/>
      <c r="R693" s="372"/>
      <c r="S693" s="372"/>
      <c r="T693" s="372"/>
      <c r="U693" s="372"/>
      <c r="V693" s="372"/>
      <c r="W693" s="372"/>
      <c r="X693" s="372"/>
      <c r="Y693" s="372"/>
    </row>
    <row r="694" spans="11:25" x14ac:dyDescent="0.35">
      <c r="K694" s="373"/>
      <c r="L694" s="372"/>
      <c r="M694" s="372"/>
      <c r="N694" s="372"/>
      <c r="O694" s="372"/>
      <c r="P694" s="372"/>
      <c r="Q694" s="372"/>
      <c r="R694" s="372"/>
      <c r="S694" s="372"/>
      <c r="T694" s="372"/>
      <c r="U694" s="372"/>
      <c r="V694" s="372"/>
      <c r="W694" s="372"/>
      <c r="X694" s="372"/>
      <c r="Y694" s="372"/>
    </row>
    <row r="695" spans="11:25" x14ac:dyDescent="0.35">
      <c r="K695" s="373"/>
      <c r="L695" s="372"/>
      <c r="M695" s="372"/>
      <c r="N695" s="372"/>
      <c r="O695" s="372"/>
      <c r="P695" s="372"/>
      <c r="Q695" s="372"/>
      <c r="R695" s="372"/>
      <c r="S695" s="372"/>
      <c r="T695" s="372"/>
      <c r="U695" s="372"/>
      <c r="V695" s="372"/>
      <c r="W695" s="372"/>
      <c r="X695" s="372"/>
      <c r="Y695" s="372"/>
    </row>
    <row r="696" spans="11:25" x14ac:dyDescent="0.35">
      <c r="K696" s="373"/>
      <c r="L696" s="372"/>
      <c r="M696" s="372"/>
      <c r="N696" s="372"/>
      <c r="O696" s="372"/>
      <c r="P696" s="372"/>
      <c r="Q696" s="372"/>
      <c r="R696" s="372"/>
      <c r="S696" s="372"/>
      <c r="T696" s="372"/>
      <c r="U696" s="372"/>
      <c r="V696" s="372"/>
      <c r="W696" s="372"/>
      <c r="X696" s="372"/>
      <c r="Y696" s="372"/>
    </row>
    <row r="697" spans="11:25" x14ac:dyDescent="0.35">
      <c r="K697" s="373"/>
      <c r="L697" s="372"/>
      <c r="M697" s="372"/>
      <c r="N697" s="372"/>
      <c r="O697" s="372"/>
      <c r="P697" s="372"/>
      <c r="Q697" s="372"/>
      <c r="R697" s="372"/>
      <c r="S697" s="372"/>
      <c r="T697" s="372"/>
      <c r="U697" s="372"/>
      <c r="V697" s="372"/>
      <c r="W697" s="372"/>
      <c r="X697" s="372"/>
      <c r="Y697" s="372"/>
    </row>
    <row r="698" spans="11:25" x14ac:dyDescent="0.35">
      <c r="K698" s="373"/>
      <c r="L698" s="372"/>
      <c r="M698" s="372"/>
      <c r="N698" s="372"/>
      <c r="O698" s="372"/>
      <c r="P698" s="372"/>
      <c r="Q698" s="372"/>
      <c r="R698" s="372"/>
      <c r="S698" s="372"/>
      <c r="T698" s="372"/>
      <c r="U698" s="372"/>
      <c r="V698" s="372"/>
      <c r="W698" s="372"/>
      <c r="X698" s="372"/>
      <c r="Y698" s="372"/>
    </row>
    <row r="699" spans="11:25" x14ac:dyDescent="0.35">
      <c r="K699" s="373"/>
      <c r="L699" s="372"/>
      <c r="M699" s="372"/>
      <c r="N699" s="372"/>
      <c r="O699" s="372"/>
      <c r="P699" s="372"/>
      <c r="Q699" s="372"/>
      <c r="R699" s="372"/>
      <c r="S699" s="372"/>
      <c r="T699" s="372"/>
      <c r="U699" s="372"/>
      <c r="V699" s="372"/>
      <c r="W699" s="372"/>
      <c r="X699" s="372"/>
      <c r="Y699" s="372"/>
    </row>
    <row r="700" spans="11:25" x14ac:dyDescent="0.35">
      <c r="K700" s="373"/>
      <c r="L700" s="372"/>
      <c r="M700" s="372"/>
      <c r="N700" s="372"/>
      <c r="O700" s="372"/>
      <c r="P700" s="372"/>
      <c r="Q700" s="372"/>
      <c r="R700" s="372"/>
      <c r="S700" s="372"/>
      <c r="T700" s="372"/>
      <c r="U700" s="372"/>
      <c r="V700" s="372"/>
      <c r="W700" s="372"/>
      <c r="X700" s="372"/>
      <c r="Y700" s="372"/>
    </row>
    <row r="701" spans="11:25" x14ac:dyDescent="0.35">
      <c r="K701" s="373"/>
      <c r="L701" s="372"/>
      <c r="M701" s="372"/>
      <c r="N701" s="372"/>
      <c r="O701" s="372"/>
      <c r="P701" s="372"/>
      <c r="Q701" s="372"/>
      <c r="R701" s="372"/>
      <c r="S701" s="372"/>
      <c r="T701" s="372"/>
      <c r="U701" s="372"/>
      <c r="V701" s="372"/>
      <c r="W701" s="372"/>
      <c r="X701" s="372"/>
      <c r="Y701" s="372"/>
    </row>
    <row r="702" spans="11:25" x14ac:dyDescent="0.35">
      <c r="K702" s="373"/>
      <c r="L702" s="372"/>
      <c r="M702" s="372"/>
      <c r="N702" s="372"/>
      <c r="O702" s="372"/>
      <c r="P702" s="372"/>
      <c r="Q702" s="372"/>
      <c r="R702" s="372"/>
      <c r="S702" s="372"/>
      <c r="T702" s="372"/>
      <c r="U702" s="372"/>
      <c r="V702" s="372"/>
      <c r="W702" s="372"/>
      <c r="X702" s="372"/>
      <c r="Y702" s="372"/>
    </row>
    <row r="703" spans="11:25" x14ac:dyDescent="0.35">
      <c r="K703" s="373"/>
      <c r="L703" s="372"/>
      <c r="M703" s="372"/>
      <c r="N703" s="372"/>
      <c r="O703" s="372"/>
      <c r="P703" s="372"/>
      <c r="Q703" s="372"/>
      <c r="R703" s="372"/>
      <c r="S703" s="372"/>
      <c r="T703" s="372"/>
      <c r="U703" s="372"/>
      <c r="V703" s="372"/>
      <c r="W703" s="372"/>
      <c r="X703" s="372"/>
      <c r="Y703" s="372"/>
    </row>
    <row r="704" spans="11:25" x14ac:dyDescent="0.35">
      <c r="K704" s="373"/>
      <c r="L704" s="372"/>
      <c r="M704" s="372"/>
      <c r="N704" s="372"/>
      <c r="O704" s="372"/>
      <c r="P704" s="372"/>
      <c r="Q704" s="372"/>
      <c r="R704" s="372"/>
      <c r="S704" s="372"/>
      <c r="T704" s="372"/>
      <c r="U704" s="372"/>
      <c r="V704" s="372"/>
      <c r="W704" s="372"/>
      <c r="X704" s="372"/>
      <c r="Y704" s="372"/>
    </row>
    <row r="705" spans="11:25" x14ac:dyDescent="0.35">
      <c r="K705" s="373"/>
      <c r="L705" s="372"/>
      <c r="M705" s="372"/>
      <c r="N705" s="372"/>
      <c r="O705" s="372"/>
      <c r="P705" s="372"/>
      <c r="Q705" s="372"/>
      <c r="R705" s="372"/>
      <c r="S705" s="372"/>
      <c r="T705" s="372"/>
      <c r="U705" s="372"/>
      <c r="V705" s="372"/>
      <c r="W705" s="372"/>
      <c r="X705" s="372"/>
      <c r="Y705" s="372"/>
    </row>
    <row r="706" spans="11:25" x14ac:dyDescent="0.35">
      <c r="K706" s="373"/>
      <c r="L706" s="372"/>
      <c r="M706" s="372"/>
      <c r="N706" s="372"/>
      <c r="O706" s="372"/>
      <c r="P706" s="372"/>
      <c r="Q706" s="372"/>
      <c r="R706" s="372"/>
      <c r="S706" s="372"/>
      <c r="T706" s="372"/>
      <c r="U706" s="372"/>
      <c r="V706" s="372"/>
      <c r="W706" s="372"/>
      <c r="X706" s="372"/>
      <c r="Y706" s="372"/>
    </row>
    <row r="707" spans="11:25" x14ac:dyDescent="0.35">
      <c r="K707" s="373"/>
      <c r="L707" s="372"/>
      <c r="M707" s="372"/>
      <c r="N707" s="372"/>
      <c r="O707" s="372"/>
      <c r="P707" s="372"/>
      <c r="Q707" s="372"/>
      <c r="R707" s="372"/>
      <c r="S707" s="372"/>
      <c r="T707" s="372"/>
      <c r="U707" s="372"/>
      <c r="V707" s="372"/>
      <c r="W707" s="372"/>
      <c r="X707" s="372"/>
      <c r="Y707" s="372"/>
    </row>
    <row r="708" spans="11:25" x14ac:dyDescent="0.35">
      <c r="K708" s="373"/>
      <c r="L708" s="372"/>
      <c r="M708" s="372"/>
      <c r="N708" s="372"/>
      <c r="O708" s="372"/>
      <c r="P708" s="372"/>
      <c r="Q708" s="372"/>
      <c r="R708" s="372"/>
      <c r="S708" s="372"/>
      <c r="T708" s="372"/>
      <c r="U708" s="372"/>
      <c r="V708" s="372"/>
      <c r="W708" s="372"/>
      <c r="X708" s="372"/>
      <c r="Y708" s="372"/>
    </row>
    <row r="709" spans="11:25" x14ac:dyDescent="0.35">
      <c r="K709" s="373"/>
      <c r="L709" s="372"/>
      <c r="M709" s="372"/>
      <c r="N709" s="372"/>
      <c r="O709" s="372"/>
      <c r="P709" s="372"/>
      <c r="Q709" s="372"/>
      <c r="R709" s="372"/>
      <c r="S709" s="372"/>
      <c r="T709" s="372"/>
      <c r="U709" s="372"/>
      <c r="V709" s="372"/>
      <c r="W709" s="372"/>
      <c r="X709" s="372"/>
      <c r="Y709" s="372"/>
    </row>
    <row r="710" spans="11:25" x14ac:dyDescent="0.35">
      <c r="K710" s="373"/>
      <c r="L710" s="372"/>
      <c r="M710" s="372"/>
      <c r="N710" s="372"/>
      <c r="O710" s="372"/>
      <c r="P710" s="372"/>
      <c r="Q710" s="372"/>
      <c r="R710" s="372"/>
      <c r="S710" s="372"/>
      <c r="T710" s="372"/>
      <c r="U710" s="372"/>
      <c r="V710" s="372"/>
      <c r="W710" s="372"/>
      <c r="X710" s="372"/>
      <c r="Y710" s="372"/>
    </row>
    <row r="711" spans="11:25" x14ac:dyDescent="0.35">
      <c r="K711" s="373"/>
      <c r="L711" s="372"/>
      <c r="M711" s="372"/>
      <c r="N711" s="372"/>
      <c r="O711" s="372"/>
      <c r="P711" s="372"/>
      <c r="Q711" s="372"/>
      <c r="R711" s="372"/>
      <c r="S711" s="372"/>
      <c r="T711" s="372"/>
      <c r="U711" s="372"/>
      <c r="V711" s="372"/>
      <c r="W711" s="372"/>
      <c r="X711" s="372"/>
      <c r="Y711" s="372"/>
    </row>
    <row r="712" spans="11:25" x14ac:dyDescent="0.35">
      <c r="K712" s="373"/>
      <c r="L712" s="372"/>
      <c r="M712" s="372"/>
      <c r="N712" s="372"/>
      <c r="O712" s="372"/>
      <c r="P712" s="372"/>
      <c r="Q712" s="372"/>
      <c r="R712" s="372"/>
      <c r="S712" s="372"/>
      <c r="T712" s="372"/>
      <c r="U712" s="372"/>
      <c r="V712" s="372"/>
      <c r="W712" s="372"/>
      <c r="X712" s="372"/>
      <c r="Y712" s="372"/>
    </row>
    <row r="713" spans="11:25" x14ac:dyDescent="0.35">
      <c r="K713" s="373"/>
      <c r="L713" s="372"/>
      <c r="M713" s="372"/>
      <c r="N713" s="372"/>
      <c r="O713" s="372"/>
      <c r="P713" s="372"/>
      <c r="Q713" s="372"/>
      <c r="R713" s="372"/>
      <c r="S713" s="372"/>
      <c r="T713" s="372"/>
      <c r="U713" s="372"/>
      <c r="V713" s="372"/>
      <c r="W713" s="372"/>
      <c r="X713" s="372"/>
      <c r="Y713" s="372"/>
    </row>
    <row r="714" spans="11:25" x14ac:dyDescent="0.35">
      <c r="K714" s="373"/>
      <c r="L714" s="372"/>
      <c r="M714" s="372"/>
      <c r="N714" s="372"/>
      <c r="O714" s="372"/>
      <c r="P714" s="372"/>
      <c r="Q714" s="372"/>
      <c r="R714" s="372"/>
      <c r="S714" s="372"/>
      <c r="T714" s="372"/>
      <c r="U714" s="372"/>
      <c r="V714" s="372"/>
      <c r="W714" s="372"/>
      <c r="X714" s="372"/>
      <c r="Y714" s="372"/>
    </row>
    <row r="715" spans="11:25" x14ac:dyDescent="0.35">
      <c r="K715" s="373"/>
      <c r="L715" s="372"/>
      <c r="M715" s="372"/>
      <c r="N715" s="372"/>
      <c r="O715" s="372"/>
      <c r="P715" s="372"/>
      <c r="Q715" s="372"/>
      <c r="R715" s="372"/>
      <c r="S715" s="372"/>
      <c r="T715" s="372"/>
      <c r="U715" s="372"/>
      <c r="V715" s="372"/>
      <c r="W715" s="372"/>
      <c r="X715" s="372"/>
      <c r="Y715" s="372"/>
    </row>
    <row r="716" spans="11:25" x14ac:dyDescent="0.35">
      <c r="K716" s="373"/>
      <c r="L716" s="372"/>
      <c r="M716" s="372"/>
      <c r="N716" s="372"/>
      <c r="O716" s="372"/>
      <c r="P716" s="372"/>
      <c r="Q716" s="372"/>
      <c r="R716" s="372"/>
      <c r="S716" s="372"/>
      <c r="T716" s="372"/>
      <c r="U716" s="372"/>
      <c r="V716" s="372"/>
      <c r="W716" s="372"/>
      <c r="X716" s="372"/>
      <c r="Y716" s="372"/>
    </row>
    <row r="717" spans="11:25" x14ac:dyDescent="0.35">
      <c r="K717" s="373"/>
      <c r="L717" s="372"/>
      <c r="M717" s="372"/>
      <c r="N717" s="372"/>
      <c r="O717" s="372"/>
      <c r="P717" s="372"/>
      <c r="Q717" s="372"/>
      <c r="R717" s="372"/>
      <c r="S717" s="372"/>
      <c r="T717" s="372"/>
      <c r="U717" s="372"/>
      <c r="V717" s="372"/>
      <c r="W717" s="372"/>
      <c r="X717" s="372"/>
      <c r="Y717" s="372"/>
    </row>
    <row r="718" spans="11:25" x14ac:dyDescent="0.35">
      <c r="K718" s="373"/>
      <c r="L718" s="372"/>
      <c r="M718" s="372"/>
      <c r="N718" s="372"/>
      <c r="O718" s="372"/>
      <c r="P718" s="372"/>
      <c r="Q718" s="372"/>
      <c r="R718" s="372"/>
      <c r="S718" s="372"/>
      <c r="T718" s="372"/>
      <c r="U718" s="372"/>
      <c r="V718" s="372"/>
      <c r="W718" s="372"/>
      <c r="X718" s="372"/>
      <c r="Y718" s="372"/>
    </row>
    <row r="719" spans="11:25" x14ac:dyDescent="0.35">
      <c r="K719" s="373"/>
      <c r="L719" s="372"/>
      <c r="M719" s="372"/>
      <c r="N719" s="372"/>
      <c r="O719" s="372"/>
      <c r="P719" s="372"/>
      <c r="Q719" s="372"/>
      <c r="R719" s="372"/>
      <c r="S719" s="372"/>
      <c r="T719" s="372"/>
      <c r="U719" s="372"/>
      <c r="V719" s="372"/>
      <c r="W719" s="372"/>
      <c r="X719" s="372"/>
      <c r="Y719" s="372"/>
    </row>
    <row r="720" spans="11:25" x14ac:dyDescent="0.35">
      <c r="K720" s="373"/>
      <c r="L720" s="372"/>
      <c r="M720" s="372"/>
      <c r="N720" s="372"/>
      <c r="O720" s="372"/>
      <c r="P720" s="372"/>
      <c r="Q720" s="372"/>
      <c r="R720" s="372"/>
      <c r="S720" s="372"/>
      <c r="T720" s="372"/>
      <c r="U720" s="372"/>
      <c r="V720" s="372"/>
      <c r="W720" s="372"/>
      <c r="X720" s="372"/>
      <c r="Y720" s="372"/>
    </row>
    <row r="721" spans="11:25" x14ac:dyDescent="0.35">
      <c r="K721" s="373"/>
      <c r="L721" s="372"/>
      <c r="M721" s="372"/>
      <c r="N721" s="372"/>
      <c r="O721" s="372"/>
      <c r="P721" s="372"/>
      <c r="Q721" s="372"/>
      <c r="R721" s="372"/>
      <c r="S721" s="372"/>
      <c r="T721" s="372"/>
      <c r="U721" s="372"/>
      <c r="V721" s="372"/>
      <c r="W721" s="372"/>
      <c r="X721" s="372"/>
      <c r="Y721" s="372"/>
    </row>
    <row r="722" spans="11:25" x14ac:dyDescent="0.35">
      <c r="K722" s="373"/>
      <c r="L722" s="372"/>
      <c r="M722" s="372"/>
      <c r="N722" s="372"/>
      <c r="O722" s="372"/>
      <c r="P722" s="372"/>
      <c r="Q722" s="372"/>
      <c r="R722" s="372"/>
      <c r="S722" s="372"/>
      <c r="T722" s="372"/>
      <c r="U722" s="372"/>
      <c r="V722" s="372"/>
      <c r="W722" s="372"/>
      <c r="X722" s="372"/>
      <c r="Y722" s="372"/>
    </row>
    <row r="723" spans="11:25" x14ac:dyDescent="0.35">
      <c r="K723" s="373"/>
      <c r="L723" s="372"/>
      <c r="M723" s="372"/>
      <c r="N723" s="372"/>
      <c r="O723" s="372"/>
      <c r="P723" s="372"/>
      <c r="Q723" s="372"/>
      <c r="R723" s="372"/>
      <c r="S723" s="372"/>
      <c r="T723" s="372"/>
      <c r="U723" s="372"/>
      <c r="V723" s="372"/>
      <c r="W723" s="372"/>
      <c r="X723" s="372"/>
      <c r="Y723" s="372"/>
    </row>
    <row r="724" spans="11:25" x14ac:dyDescent="0.35">
      <c r="K724" s="373"/>
      <c r="L724" s="372"/>
      <c r="M724" s="372"/>
      <c r="N724" s="372"/>
      <c r="O724" s="372"/>
      <c r="P724" s="372"/>
      <c r="Q724" s="372"/>
      <c r="R724" s="372"/>
      <c r="S724" s="372"/>
      <c r="T724" s="372"/>
      <c r="U724" s="372"/>
      <c r="V724" s="372"/>
      <c r="W724" s="372"/>
      <c r="X724" s="372"/>
      <c r="Y724" s="372"/>
    </row>
    <row r="725" spans="11:25" x14ac:dyDescent="0.35">
      <c r="K725" s="373"/>
      <c r="L725" s="372"/>
      <c r="M725" s="372"/>
      <c r="N725" s="372"/>
      <c r="O725" s="372"/>
      <c r="P725" s="372"/>
      <c r="Q725" s="372"/>
      <c r="R725" s="372"/>
      <c r="S725" s="372"/>
      <c r="T725" s="372"/>
      <c r="U725" s="372"/>
      <c r="V725" s="372"/>
      <c r="W725" s="372"/>
      <c r="X725" s="372"/>
      <c r="Y725" s="372"/>
    </row>
    <row r="726" spans="11:25" x14ac:dyDescent="0.35">
      <c r="K726" s="373"/>
      <c r="L726" s="372"/>
      <c r="M726" s="372"/>
      <c r="N726" s="372"/>
      <c r="O726" s="372"/>
      <c r="P726" s="372"/>
      <c r="Q726" s="372"/>
      <c r="R726" s="372"/>
      <c r="S726" s="372"/>
      <c r="T726" s="372"/>
      <c r="U726" s="372"/>
      <c r="V726" s="372"/>
      <c r="W726" s="372"/>
      <c r="X726" s="372"/>
      <c r="Y726" s="372"/>
    </row>
    <row r="727" spans="11:25" x14ac:dyDescent="0.35">
      <c r="K727" s="373"/>
      <c r="L727" s="372"/>
      <c r="M727" s="372"/>
      <c r="N727" s="372"/>
      <c r="O727" s="372"/>
      <c r="P727" s="372"/>
      <c r="Q727" s="372"/>
      <c r="R727" s="372"/>
      <c r="S727" s="372"/>
      <c r="T727" s="372"/>
      <c r="U727" s="372"/>
      <c r="V727" s="372"/>
      <c r="W727" s="372"/>
      <c r="X727" s="372"/>
      <c r="Y727" s="372"/>
    </row>
    <row r="728" spans="11:25" x14ac:dyDescent="0.35">
      <c r="K728" s="373"/>
      <c r="L728" s="372"/>
      <c r="M728" s="372"/>
      <c r="N728" s="372"/>
      <c r="O728" s="372"/>
      <c r="P728" s="372"/>
      <c r="Q728" s="372"/>
      <c r="R728" s="372"/>
      <c r="S728" s="372"/>
      <c r="T728" s="372"/>
      <c r="U728" s="372"/>
      <c r="V728" s="372"/>
      <c r="W728" s="372"/>
      <c r="X728" s="372"/>
      <c r="Y728" s="372"/>
    </row>
    <row r="729" spans="11:25" x14ac:dyDescent="0.35">
      <c r="K729" s="373"/>
      <c r="L729" s="372"/>
      <c r="M729" s="372"/>
      <c r="N729" s="372"/>
      <c r="O729" s="372"/>
      <c r="P729" s="372"/>
      <c r="Q729" s="372"/>
      <c r="R729" s="372"/>
      <c r="S729" s="372"/>
      <c r="T729" s="372"/>
      <c r="U729" s="372"/>
      <c r="V729" s="372"/>
      <c r="W729" s="372"/>
      <c r="X729" s="372"/>
      <c r="Y729" s="372"/>
    </row>
    <row r="730" spans="11:25" x14ac:dyDescent="0.35">
      <c r="K730" s="373"/>
      <c r="L730" s="372"/>
      <c r="M730" s="372"/>
      <c r="N730" s="372"/>
      <c r="O730" s="372"/>
      <c r="P730" s="372"/>
      <c r="Q730" s="372"/>
      <c r="R730" s="372"/>
      <c r="S730" s="372"/>
      <c r="T730" s="372"/>
      <c r="U730" s="372"/>
      <c r="V730" s="372"/>
      <c r="W730" s="372"/>
      <c r="X730" s="372"/>
      <c r="Y730" s="372"/>
    </row>
    <row r="731" spans="11:25" x14ac:dyDescent="0.35">
      <c r="K731" s="373"/>
      <c r="L731" s="372"/>
      <c r="M731" s="372"/>
      <c r="N731" s="372"/>
      <c r="O731" s="372"/>
      <c r="P731" s="372"/>
      <c r="Q731" s="372"/>
      <c r="R731" s="372"/>
      <c r="S731" s="372"/>
      <c r="T731" s="372"/>
      <c r="U731" s="372"/>
      <c r="V731" s="372"/>
      <c r="W731" s="372"/>
      <c r="X731" s="372"/>
      <c r="Y731" s="372"/>
    </row>
    <row r="732" spans="11:25" x14ac:dyDescent="0.35">
      <c r="K732" s="373"/>
      <c r="L732" s="372"/>
      <c r="M732" s="372"/>
      <c r="N732" s="372"/>
      <c r="O732" s="372"/>
      <c r="P732" s="372"/>
      <c r="Q732" s="372"/>
      <c r="R732" s="372"/>
      <c r="S732" s="372"/>
      <c r="T732" s="372"/>
      <c r="U732" s="372"/>
      <c r="V732" s="372"/>
      <c r="W732" s="372"/>
      <c r="X732" s="372"/>
      <c r="Y732" s="372"/>
    </row>
    <row r="733" spans="11:25" x14ac:dyDescent="0.35">
      <c r="K733" s="373"/>
      <c r="L733" s="372"/>
      <c r="M733" s="372"/>
      <c r="N733" s="372"/>
      <c r="O733" s="372"/>
      <c r="P733" s="372"/>
      <c r="Q733" s="372"/>
      <c r="R733" s="372"/>
      <c r="S733" s="372"/>
      <c r="T733" s="372"/>
      <c r="U733" s="372"/>
      <c r="V733" s="372"/>
      <c r="W733" s="372"/>
      <c r="X733" s="372"/>
      <c r="Y733" s="372"/>
    </row>
    <row r="734" spans="11:25" x14ac:dyDescent="0.35">
      <c r="K734" s="373"/>
      <c r="L734" s="372"/>
      <c r="M734" s="372"/>
      <c r="N734" s="372"/>
      <c r="O734" s="372"/>
      <c r="P734" s="372"/>
      <c r="Q734" s="372"/>
      <c r="R734" s="372"/>
      <c r="S734" s="372"/>
      <c r="T734" s="372"/>
      <c r="U734" s="372"/>
      <c r="V734" s="372"/>
      <c r="W734" s="372"/>
      <c r="X734" s="372"/>
      <c r="Y734" s="372"/>
    </row>
    <row r="735" spans="11:25" x14ac:dyDescent="0.35">
      <c r="K735" s="373"/>
      <c r="L735" s="372"/>
      <c r="M735" s="372"/>
      <c r="N735" s="372"/>
      <c r="O735" s="372"/>
      <c r="P735" s="372"/>
      <c r="Q735" s="372"/>
      <c r="R735" s="372"/>
      <c r="S735" s="372"/>
      <c r="T735" s="372"/>
      <c r="U735" s="372"/>
      <c r="V735" s="372"/>
      <c r="W735" s="372"/>
      <c r="X735" s="372"/>
      <c r="Y735" s="372"/>
    </row>
    <row r="736" spans="11:25" x14ac:dyDescent="0.35">
      <c r="K736" s="373"/>
      <c r="L736" s="372"/>
      <c r="M736" s="372"/>
      <c r="N736" s="372"/>
      <c r="O736" s="372"/>
      <c r="P736" s="372"/>
      <c r="Q736" s="372"/>
      <c r="R736" s="372"/>
      <c r="S736" s="372"/>
      <c r="T736" s="372"/>
      <c r="U736" s="372"/>
      <c r="V736" s="372"/>
      <c r="W736" s="372"/>
      <c r="X736" s="372"/>
      <c r="Y736" s="372"/>
    </row>
    <row r="737" spans="11:25" x14ac:dyDescent="0.35">
      <c r="K737" s="373"/>
      <c r="L737" s="372"/>
      <c r="M737" s="372"/>
      <c r="N737" s="372"/>
      <c r="O737" s="372"/>
      <c r="P737" s="372"/>
      <c r="Q737" s="372"/>
      <c r="R737" s="372"/>
      <c r="S737" s="372"/>
      <c r="T737" s="372"/>
      <c r="U737" s="372"/>
      <c r="V737" s="372"/>
      <c r="W737" s="372"/>
      <c r="X737" s="372"/>
      <c r="Y737" s="372"/>
    </row>
    <row r="738" spans="11:25" x14ac:dyDescent="0.35">
      <c r="K738" s="373"/>
      <c r="L738" s="372"/>
      <c r="M738" s="372"/>
      <c r="N738" s="372"/>
      <c r="O738" s="372"/>
      <c r="P738" s="372"/>
      <c r="Q738" s="372"/>
      <c r="R738" s="372"/>
      <c r="S738" s="372"/>
      <c r="T738" s="372"/>
      <c r="U738" s="372"/>
      <c r="V738" s="372"/>
      <c r="W738" s="372"/>
      <c r="X738" s="372"/>
      <c r="Y738" s="372"/>
    </row>
    <row r="739" spans="11:25" x14ac:dyDescent="0.35">
      <c r="K739" s="373"/>
      <c r="L739" s="372"/>
      <c r="M739" s="372"/>
      <c r="N739" s="372"/>
      <c r="O739" s="372"/>
      <c r="P739" s="372"/>
      <c r="Q739" s="372"/>
      <c r="R739" s="372"/>
      <c r="S739" s="372"/>
      <c r="T739" s="372"/>
      <c r="U739" s="372"/>
      <c r="V739" s="372"/>
      <c r="W739" s="372"/>
      <c r="X739" s="372"/>
      <c r="Y739" s="372"/>
    </row>
    <row r="740" spans="11:25" x14ac:dyDescent="0.35">
      <c r="K740" s="373"/>
      <c r="L740" s="372"/>
      <c r="M740" s="372"/>
      <c r="N740" s="372"/>
      <c r="O740" s="372"/>
      <c r="P740" s="372"/>
      <c r="Q740" s="372"/>
      <c r="R740" s="372"/>
      <c r="S740" s="372"/>
      <c r="T740" s="372"/>
      <c r="U740" s="372"/>
      <c r="V740" s="372"/>
      <c r="W740" s="372"/>
      <c r="X740" s="372"/>
      <c r="Y740" s="372"/>
    </row>
    <row r="741" spans="11:25" x14ac:dyDescent="0.35">
      <c r="K741" s="373"/>
      <c r="L741" s="372"/>
      <c r="M741" s="372"/>
      <c r="N741" s="372"/>
      <c r="O741" s="372"/>
      <c r="P741" s="372"/>
      <c r="Q741" s="372"/>
      <c r="R741" s="372"/>
      <c r="S741" s="372"/>
      <c r="T741" s="372"/>
      <c r="U741" s="372"/>
      <c r="V741" s="372"/>
      <c r="W741" s="372"/>
      <c r="X741" s="372"/>
      <c r="Y741" s="372"/>
    </row>
    <row r="742" spans="11:25" x14ac:dyDescent="0.35">
      <c r="K742" s="373"/>
      <c r="L742" s="372"/>
      <c r="M742" s="372"/>
      <c r="N742" s="372"/>
      <c r="O742" s="372"/>
      <c r="P742" s="372"/>
      <c r="Q742" s="372"/>
      <c r="R742" s="372"/>
      <c r="S742" s="372"/>
      <c r="T742" s="372"/>
      <c r="U742" s="372"/>
      <c r="V742" s="372"/>
      <c r="W742" s="372"/>
      <c r="X742" s="372"/>
      <c r="Y742" s="372"/>
    </row>
    <row r="743" spans="11:25" x14ac:dyDescent="0.35">
      <c r="K743" s="373"/>
      <c r="L743" s="372"/>
      <c r="M743" s="372"/>
      <c r="N743" s="372"/>
      <c r="O743" s="372"/>
      <c r="P743" s="372"/>
      <c r="Q743" s="372"/>
      <c r="R743" s="372"/>
      <c r="S743" s="372"/>
      <c r="T743" s="372"/>
      <c r="U743" s="372"/>
      <c r="V743" s="372"/>
      <c r="W743" s="372"/>
      <c r="X743" s="372"/>
      <c r="Y743" s="372"/>
    </row>
    <row r="744" spans="11:25" x14ac:dyDescent="0.35">
      <c r="K744" s="373"/>
      <c r="L744" s="372"/>
      <c r="M744" s="372"/>
      <c r="N744" s="372"/>
      <c r="O744" s="372"/>
      <c r="P744" s="372"/>
      <c r="Q744" s="372"/>
      <c r="R744" s="372"/>
      <c r="S744" s="372"/>
      <c r="T744" s="372"/>
      <c r="U744" s="372"/>
      <c r="V744" s="372"/>
      <c r="W744" s="372"/>
      <c r="X744" s="372"/>
      <c r="Y744" s="372"/>
    </row>
    <row r="745" spans="11:25" x14ac:dyDescent="0.35">
      <c r="K745" s="373"/>
      <c r="L745" s="372"/>
      <c r="M745" s="372"/>
      <c r="N745" s="372"/>
      <c r="O745" s="372"/>
      <c r="P745" s="372"/>
      <c r="Q745" s="372"/>
      <c r="R745" s="372"/>
      <c r="S745" s="372"/>
      <c r="T745" s="372"/>
      <c r="U745" s="372"/>
      <c r="V745" s="372"/>
      <c r="W745" s="372"/>
      <c r="X745" s="372"/>
      <c r="Y745" s="372"/>
    </row>
    <row r="746" spans="11:25" x14ac:dyDescent="0.35">
      <c r="K746" s="373"/>
      <c r="L746" s="372"/>
      <c r="M746" s="372"/>
      <c r="N746" s="372"/>
      <c r="O746" s="372"/>
      <c r="P746" s="372"/>
      <c r="Q746" s="372"/>
      <c r="R746" s="372"/>
      <c r="S746" s="372"/>
      <c r="T746" s="372"/>
      <c r="U746" s="372"/>
      <c r="V746" s="372"/>
      <c r="W746" s="372"/>
      <c r="X746" s="372"/>
      <c r="Y746" s="372"/>
    </row>
    <row r="747" spans="11:25" x14ac:dyDescent="0.35">
      <c r="K747" s="373"/>
      <c r="L747" s="372"/>
      <c r="M747" s="372"/>
      <c r="N747" s="372"/>
      <c r="O747" s="372"/>
      <c r="P747" s="372"/>
      <c r="Q747" s="372"/>
      <c r="R747" s="372"/>
      <c r="S747" s="372"/>
      <c r="T747" s="372"/>
      <c r="U747" s="372"/>
      <c r="V747" s="372"/>
      <c r="W747" s="372"/>
      <c r="X747" s="372"/>
      <c r="Y747" s="372"/>
    </row>
    <row r="748" spans="11:25" x14ac:dyDescent="0.35">
      <c r="K748" s="373"/>
      <c r="L748" s="372"/>
      <c r="M748" s="372"/>
      <c r="N748" s="372"/>
      <c r="O748" s="372"/>
      <c r="P748" s="372"/>
      <c r="Q748" s="372"/>
      <c r="R748" s="372"/>
      <c r="S748" s="372"/>
      <c r="T748" s="372"/>
      <c r="U748" s="372"/>
      <c r="V748" s="372"/>
      <c r="W748" s="372"/>
      <c r="X748" s="372"/>
      <c r="Y748" s="372"/>
    </row>
    <row r="749" spans="11:25" x14ac:dyDescent="0.35">
      <c r="K749" s="373"/>
      <c r="L749" s="372"/>
      <c r="M749" s="372"/>
      <c r="N749" s="372"/>
      <c r="O749" s="372"/>
      <c r="P749" s="372"/>
      <c r="Q749" s="372"/>
      <c r="R749" s="372"/>
      <c r="S749" s="372"/>
      <c r="T749" s="372"/>
      <c r="U749" s="372"/>
      <c r="V749" s="372"/>
      <c r="W749" s="372"/>
      <c r="X749" s="372"/>
      <c r="Y749" s="372"/>
    </row>
    <row r="750" spans="11:25" x14ac:dyDescent="0.35">
      <c r="K750" s="373"/>
      <c r="L750" s="372"/>
      <c r="M750" s="372"/>
      <c r="N750" s="372"/>
      <c r="O750" s="372"/>
      <c r="P750" s="372"/>
      <c r="Q750" s="372"/>
      <c r="R750" s="372"/>
      <c r="S750" s="372"/>
      <c r="T750" s="372"/>
      <c r="U750" s="372"/>
      <c r="V750" s="372"/>
      <c r="W750" s="372"/>
      <c r="X750" s="372"/>
      <c r="Y750" s="372"/>
    </row>
    <row r="751" spans="11:25" x14ac:dyDescent="0.35">
      <c r="K751" s="373"/>
      <c r="L751" s="372"/>
      <c r="M751" s="372"/>
      <c r="N751" s="372"/>
      <c r="O751" s="372"/>
      <c r="P751" s="372"/>
      <c r="Q751" s="372"/>
      <c r="R751" s="372"/>
      <c r="S751" s="372"/>
      <c r="T751" s="372"/>
      <c r="U751" s="372"/>
      <c r="V751" s="372"/>
      <c r="W751" s="372"/>
      <c r="X751" s="372"/>
      <c r="Y751" s="372"/>
    </row>
    <row r="752" spans="11:25" x14ac:dyDescent="0.35">
      <c r="K752" s="373"/>
      <c r="L752" s="372"/>
      <c r="M752" s="372"/>
      <c r="N752" s="372"/>
      <c r="O752" s="372"/>
      <c r="P752" s="372"/>
      <c r="Q752" s="372"/>
      <c r="R752" s="372"/>
      <c r="S752" s="372"/>
      <c r="T752" s="372"/>
      <c r="U752" s="372"/>
      <c r="V752" s="372"/>
      <c r="W752" s="372"/>
      <c r="X752" s="372"/>
      <c r="Y752" s="372"/>
    </row>
    <row r="753" spans="11:25" x14ac:dyDescent="0.35">
      <c r="K753" s="373"/>
      <c r="L753" s="372"/>
      <c r="M753" s="372"/>
      <c r="N753" s="372"/>
      <c r="O753" s="372"/>
      <c r="P753" s="372"/>
      <c r="Q753" s="372"/>
      <c r="R753" s="372"/>
      <c r="S753" s="372"/>
      <c r="T753" s="372"/>
      <c r="U753" s="372"/>
      <c r="V753" s="372"/>
      <c r="W753" s="372"/>
      <c r="X753" s="372"/>
      <c r="Y753" s="372"/>
    </row>
    <row r="754" spans="11:25" x14ac:dyDescent="0.35">
      <c r="K754" s="373"/>
      <c r="L754" s="372"/>
      <c r="M754" s="372"/>
      <c r="N754" s="372"/>
      <c r="O754" s="372"/>
      <c r="P754" s="372"/>
      <c r="Q754" s="372"/>
      <c r="R754" s="372"/>
      <c r="S754" s="372"/>
      <c r="T754" s="372"/>
      <c r="U754" s="372"/>
      <c r="V754" s="372"/>
      <c r="W754" s="372"/>
      <c r="X754" s="372"/>
      <c r="Y754" s="372"/>
    </row>
    <row r="755" spans="11:25" x14ac:dyDescent="0.35">
      <c r="K755" s="373"/>
      <c r="L755" s="372"/>
      <c r="M755" s="372"/>
      <c r="N755" s="372"/>
      <c r="O755" s="372"/>
      <c r="P755" s="372"/>
      <c r="Q755" s="372"/>
      <c r="R755" s="372"/>
      <c r="S755" s="372"/>
      <c r="T755" s="372"/>
      <c r="U755" s="372"/>
      <c r="V755" s="372"/>
      <c r="W755" s="372"/>
      <c r="X755" s="372"/>
      <c r="Y755" s="372"/>
    </row>
    <row r="756" spans="11:25" x14ac:dyDescent="0.35">
      <c r="K756" s="373"/>
      <c r="L756" s="372"/>
      <c r="M756" s="372"/>
      <c r="N756" s="372"/>
      <c r="O756" s="372"/>
      <c r="P756" s="372"/>
      <c r="Q756" s="372"/>
      <c r="R756" s="372"/>
      <c r="S756" s="372"/>
      <c r="T756" s="372"/>
      <c r="U756" s="372"/>
      <c r="V756" s="372"/>
      <c r="W756" s="372"/>
      <c r="X756" s="372"/>
      <c r="Y756" s="372"/>
    </row>
    <row r="757" spans="11:25" x14ac:dyDescent="0.35">
      <c r="K757" s="373"/>
      <c r="L757" s="372"/>
      <c r="M757" s="372"/>
      <c r="N757" s="372"/>
      <c r="O757" s="372"/>
      <c r="P757" s="372"/>
      <c r="Q757" s="372"/>
      <c r="R757" s="372"/>
      <c r="S757" s="372"/>
      <c r="T757" s="372"/>
      <c r="U757" s="372"/>
      <c r="V757" s="372"/>
      <c r="W757" s="372"/>
      <c r="X757" s="372"/>
      <c r="Y757" s="372"/>
    </row>
    <row r="758" spans="11:25" x14ac:dyDescent="0.35">
      <c r="K758" s="373"/>
      <c r="L758" s="372"/>
      <c r="M758" s="372"/>
      <c r="N758" s="372"/>
      <c r="O758" s="372"/>
      <c r="P758" s="372"/>
      <c r="Q758" s="372"/>
      <c r="R758" s="372"/>
      <c r="S758" s="372"/>
      <c r="T758" s="372"/>
      <c r="U758" s="372"/>
      <c r="V758" s="372"/>
      <c r="W758" s="372"/>
      <c r="X758" s="372"/>
      <c r="Y758" s="372"/>
    </row>
    <row r="759" spans="11:25" x14ac:dyDescent="0.35">
      <c r="K759" s="373"/>
      <c r="L759" s="372"/>
      <c r="M759" s="372"/>
      <c r="N759" s="372"/>
      <c r="O759" s="372"/>
      <c r="P759" s="372"/>
      <c r="Q759" s="372"/>
      <c r="R759" s="372"/>
      <c r="S759" s="372"/>
      <c r="T759" s="372"/>
      <c r="U759" s="372"/>
      <c r="V759" s="372"/>
      <c r="W759" s="372"/>
      <c r="X759" s="372"/>
      <c r="Y759" s="372"/>
    </row>
    <row r="760" spans="11:25" x14ac:dyDescent="0.35">
      <c r="K760" s="373"/>
      <c r="L760" s="372"/>
      <c r="M760" s="372"/>
      <c r="N760" s="372"/>
      <c r="O760" s="372"/>
      <c r="P760" s="372"/>
      <c r="Q760" s="372"/>
      <c r="R760" s="372"/>
      <c r="S760" s="372"/>
      <c r="T760" s="372"/>
      <c r="U760" s="372"/>
      <c r="V760" s="372"/>
      <c r="W760" s="372"/>
      <c r="X760" s="372"/>
      <c r="Y760" s="372"/>
    </row>
    <row r="761" spans="11:25" x14ac:dyDescent="0.35">
      <c r="K761" s="373"/>
      <c r="L761" s="372"/>
      <c r="M761" s="372"/>
      <c r="N761" s="372"/>
      <c r="O761" s="372"/>
      <c r="P761" s="372"/>
      <c r="Q761" s="372"/>
      <c r="R761" s="372"/>
      <c r="S761" s="372"/>
      <c r="T761" s="372"/>
      <c r="U761" s="372"/>
      <c r="V761" s="372"/>
      <c r="W761" s="372"/>
      <c r="X761" s="372"/>
      <c r="Y761" s="372"/>
    </row>
    <row r="762" spans="11:25" x14ac:dyDescent="0.35">
      <c r="K762" s="373"/>
      <c r="L762" s="372"/>
      <c r="M762" s="372"/>
      <c r="N762" s="372"/>
      <c r="O762" s="372"/>
      <c r="P762" s="372"/>
      <c r="Q762" s="372"/>
      <c r="R762" s="372"/>
      <c r="S762" s="372"/>
      <c r="T762" s="372"/>
      <c r="U762" s="372"/>
      <c r="V762" s="372"/>
      <c r="W762" s="372"/>
      <c r="X762" s="372"/>
      <c r="Y762" s="372"/>
    </row>
    <row r="763" spans="11:25" x14ac:dyDescent="0.35">
      <c r="K763" s="373"/>
      <c r="L763" s="372"/>
      <c r="M763" s="372"/>
      <c r="N763" s="372"/>
      <c r="O763" s="372"/>
      <c r="P763" s="372"/>
      <c r="Q763" s="372"/>
      <c r="R763" s="372"/>
      <c r="S763" s="372"/>
      <c r="T763" s="372"/>
      <c r="U763" s="372"/>
      <c r="V763" s="372"/>
      <c r="W763" s="372"/>
      <c r="X763" s="372"/>
      <c r="Y763" s="372"/>
    </row>
    <row r="764" spans="11:25" x14ac:dyDescent="0.35">
      <c r="K764" s="373"/>
      <c r="L764" s="372"/>
      <c r="M764" s="372"/>
      <c r="N764" s="372"/>
      <c r="O764" s="372"/>
      <c r="P764" s="372"/>
      <c r="Q764" s="372"/>
      <c r="R764" s="372"/>
      <c r="S764" s="372"/>
      <c r="T764" s="372"/>
      <c r="U764" s="372"/>
      <c r="V764" s="372"/>
      <c r="W764" s="372"/>
      <c r="X764" s="372"/>
      <c r="Y764" s="372"/>
    </row>
    <row r="765" spans="11:25" x14ac:dyDescent="0.35">
      <c r="K765" s="373"/>
      <c r="L765" s="372"/>
      <c r="M765" s="372"/>
      <c r="N765" s="372"/>
      <c r="O765" s="372"/>
      <c r="P765" s="372"/>
      <c r="Q765" s="372"/>
      <c r="R765" s="372"/>
      <c r="S765" s="372"/>
      <c r="T765" s="372"/>
      <c r="U765" s="372"/>
      <c r="V765" s="372"/>
      <c r="W765" s="372"/>
      <c r="X765" s="372"/>
      <c r="Y765" s="372"/>
    </row>
    <row r="766" spans="11:25" x14ac:dyDescent="0.35">
      <c r="K766" s="373"/>
      <c r="L766" s="372"/>
      <c r="M766" s="372"/>
      <c r="N766" s="372"/>
      <c r="O766" s="372"/>
      <c r="P766" s="372"/>
      <c r="Q766" s="372"/>
      <c r="R766" s="372"/>
      <c r="S766" s="372"/>
      <c r="T766" s="372"/>
      <c r="U766" s="372"/>
      <c r="V766" s="372"/>
      <c r="W766" s="372"/>
      <c r="X766" s="372"/>
      <c r="Y766" s="372"/>
    </row>
  </sheetData>
  <conditionalFormatting sqref="C1:C1048576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1:R35"/>
  <sheetViews>
    <sheetView showGridLines="0" topLeftCell="F1" workbookViewId="0">
      <selection activeCell="L17" sqref="L17"/>
    </sheetView>
  </sheetViews>
  <sheetFormatPr defaultRowHeight="14.5" x14ac:dyDescent="0.35"/>
  <cols>
    <col min="2" max="2" width="14.81640625" customWidth="1"/>
    <col min="3" max="3" width="14.453125" bestFit="1" customWidth="1"/>
    <col min="4" max="4" width="18" bestFit="1" customWidth="1"/>
    <col min="5" max="5" width="55.36328125" bestFit="1" customWidth="1"/>
    <col min="6" max="7" width="9.453125" bestFit="1" customWidth="1"/>
    <col min="8" max="8" width="20.08984375" customWidth="1"/>
    <col min="9" max="9" width="15" bestFit="1" customWidth="1"/>
    <col min="10" max="10" width="18.08984375" bestFit="1" customWidth="1"/>
    <col min="11" max="11" width="53.6328125" bestFit="1" customWidth="1"/>
    <col min="12" max="12" width="10.81640625" bestFit="1" customWidth="1"/>
    <col min="13" max="13" width="9.81640625" bestFit="1" customWidth="1"/>
    <col min="14" max="14" width="36.1796875" bestFit="1" customWidth="1"/>
    <col min="15" max="15" width="15.90625" bestFit="1" customWidth="1"/>
    <col min="16" max="16" width="13.54296875" bestFit="1" customWidth="1"/>
    <col min="17" max="17" width="22.6328125" bestFit="1" customWidth="1"/>
    <col min="18" max="18" width="8.08984375" bestFit="1" customWidth="1"/>
  </cols>
  <sheetData>
    <row r="1" spans="2:18" ht="15" thickBot="1" x14ac:dyDescent="0.4"/>
    <row r="2" spans="2:18" ht="15" thickBot="1" x14ac:dyDescent="0.4">
      <c r="D2" s="222" t="s">
        <v>92</v>
      </c>
      <c r="E2" s="223" t="s">
        <v>90</v>
      </c>
      <c r="F2" s="227" t="s">
        <v>56</v>
      </c>
      <c r="J2" s="222" t="s">
        <v>92</v>
      </c>
      <c r="K2" s="223" t="s">
        <v>90</v>
      </c>
      <c r="L2" s="227" t="s">
        <v>56</v>
      </c>
    </row>
    <row r="3" spans="2:18" x14ac:dyDescent="0.35">
      <c r="D3" s="224"/>
      <c r="E3" s="17" t="s">
        <v>851</v>
      </c>
      <c r="F3" s="229">
        <v>309308</v>
      </c>
      <c r="J3" s="224"/>
      <c r="K3" s="17" t="s">
        <v>851</v>
      </c>
      <c r="L3" s="229">
        <v>315777.90999999997</v>
      </c>
    </row>
    <row r="4" spans="2:18" ht="15" thickBot="1" x14ac:dyDescent="0.4">
      <c r="D4" s="224"/>
      <c r="E4" s="17" t="s">
        <v>799</v>
      </c>
      <c r="F4" s="230">
        <f>F30</f>
        <v>718187.35</v>
      </c>
      <c r="J4" s="17"/>
      <c r="K4" s="17" t="s">
        <v>797</v>
      </c>
      <c r="L4" s="231">
        <f>'Last year''s'!L30</f>
        <v>729139.49</v>
      </c>
    </row>
    <row r="5" spans="2:18" ht="15" thickBot="1" x14ac:dyDescent="0.4">
      <c r="D5" s="224"/>
      <c r="E5" s="17" t="s">
        <v>104</v>
      </c>
      <c r="F5" s="231"/>
      <c r="J5" s="224"/>
      <c r="K5" s="17" t="s">
        <v>104</v>
      </c>
      <c r="L5" s="231">
        <v>0</v>
      </c>
    </row>
    <row r="6" spans="2:18" ht="15" thickBot="1" x14ac:dyDescent="0.4">
      <c r="D6" s="225"/>
      <c r="E6" s="226"/>
      <c r="F6" s="228">
        <f>F3-F4-F5</f>
        <v>-408879.35</v>
      </c>
      <c r="J6" s="225"/>
      <c r="K6" s="226" t="s">
        <v>93</v>
      </c>
      <c r="L6" s="228">
        <f>L3-L4-L5</f>
        <v>-413361.58</v>
      </c>
    </row>
    <row r="7" spans="2:18" x14ac:dyDescent="0.35">
      <c r="F7" s="1"/>
    </row>
    <row r="8" spans="2:18" ht="15" thickBot="1" x14ac:dyDescent="0.4">
      <c r="B8" s="46" t="s">
        <v>852</v>
      </c>
      <c r="C8" s="46"/>
      <c r="H8" s="50" t="s">
        <v>796</v>
      </c>
      <c r="I8" s="50"/>
      <c r="J8" s="50"/>
      <c r="N8" s="46" t="s">
        <v>798</v>
      </c>
      <c r="O8" s="46"/>
      <c r="P8" s="46"/>
    </row>
    <row r="9" spans="2:18" ht="15" thickBot="1" x14ac:dyDescent="0.4">
      <c r="B9" s="32" t="s">
        <v>83</v>
      </c>
      <c r="C9" s="27" t="s">
        <v>87</v>
      </c>
      <c r="D9" s="28" t="s">
        <v>88</v>
      </c>
      <c r="E9" s="27" t="s">
        <v>123</v>
      </c>
      <c r="F9" s="29" t="s">
        <v>79</v>
      </c>
      <c r="H9" s="26" t="s">
        <v>83</v>
      </c>
      <c r="I9" s="27" t="s">
        <v>76</v>
      </c>
      <c r="J9" s="28" t="s">
        <v>77</v>
      </c>
      <c r="K9" s="27" t="s">
        <v>78</v>
      </c>
      <c r="L9" s="29" t="s">
        <v>124</v>
      </c>
      <c r="N9" s="30" t="s">
        <v>120</v>
      </c>
      <c r="O9" s="31" t="s">
        <v>121</v>
      </c>
      <c r="P9" s="41" t="s">
        <v>122</v>
      </c>
      <c r="Q9" s="41" t="s">
        <v>123</v>
      </c>
      <c r="R9" s="41" t="s">
        <v>56</v>
      </c>
    </row>
    <row r="10" spans="2:18" x14ac:dyDescent="0.35">
      <c r="B10" s="11" t="s">
        <v>836</v>
      </c>
      <c r="C10" s="48">
        <v>46119</v>
      </c>
      <c r="D10" t="s">
        <v>839</v>
      </c>
      <c r="E10" s="11" t="s">
        <v>838</v>
      </c>
      <c r="F10" s="19">
        <v>19722.02</v>
      </c>
      <c r="H10" s="7" t="s">
        <v>836</v>
      </c>
      <c r="I10" s="48">
        <v>46119</v>
      </c>
      <c r="J10" t="s">
        <v>870</v>
      </c>
      <c r="K10" s="11" t="s">
        <v>213</v>
      </c>
      <c r="L10" s="18">
        <v>20336.849999999999</v>
      </c>
      <c r="N10" s="45"/>
      <c r="O10" s="11"/>
      <c r="P10" s="9"/>
      <c r="Q10" s="9"/>
      <c r="R10" s="19"/>
    </row>
    <row r="11" spans="2:18" x14ac:dyDescent="0.35">
      <c r="B11" s="11" t="s">
        <v>837</v>
      </c>
      <c r="C11" s="48">
        <v>46119</v>
      </c>
      <c r="D11" t="s">
        <v>840</v>
      </c>
      <c r="E11" s="11" t="s">
        <v>838</v>
      </c>
      <c r="F11" s="19">
        <v>27379.81</v>
      </c>
      <c r="H11" s="7" t="s">
        <v>837</v>
      </c>
      <c r="I11" s="48">
        <v>46119</v>
      </c>
      <c r="J11" t="s">
        <v>871</v>
      </c>
      <c r="K11" s="11" t="s">
        <v>213</v>
      </c>
      <c r="L11" s="18">
        <v>28163.759999999998</v>
      </c>
      <c r="N11" s="45"/>
      <c r="O11" s="11"/>
      <c r="P11" s="9"/>
      <c r="Q11" s="9"/>
      <c r="R11" s="19"/>
    </row>
    <row r="12" spans="2:18" x14ac:dyDescent="0.35">
      <c r="B12" s="11" t="s">
        <v>858</v>
      </c>
      <c r="C12" s="48">
        <v>46129</v>
      </c>
      <c r="D12" t="s">
        <v>864</v>
      </c>
      <c r="E12" s="11" t="s">
        <v>854</v>
      </c>
      <c r="F12" s="19">
        <v>55181.5</v>
      </c>
      <c r="H12" s="7" t="s">
        <v>858</v>
      </c>
      <c r="I12" s="48">
        <v>46129</v>
      </c>
      <c r="J12" t="s">
        <v>872</v>
      </c>
      <c r="K12" s="11" t="s">
        <v>394</v>
      </c>
      <c r="L12" s="18">
        <v>55700</v>
      </c>
      <c r="N12" s="45"/>
      <c r="O12" s="11"/>
      <c r="P12" s="9"/>
      <c r="Q12" s="9"/>
      <c r="R12" s="19"/>
    </row>
    <row r="13" spans="2:18" x14ac:dyDescent="0.35">
      <c r="B13" s="11" t="s">
        <v>859</v>
      </c>
      <c r="C13" s="48">
        <v>46129</v>
      </c>
      <c r="D13" t="s">
        <v>865</v>
      </c>
      <c r="E13" s="11" t="s">
        <v>855</v>
      </c>
      <c r="F13" s="19">
        <v>145008.54999999999</v>
      </c>
      <c r="H13" s="7" t="s">
        <v>859</v>
      </c>
      <c r="I13" s="48">
        <v>46129</v>
      </c>
      <c r="J13" t="s">
        <v>873</v>
      </c>
      <c r="K13" s="11" t="s">
        <v>429</v>
      </c>
      <c r="L13" s="18">
        <v>145183.64000000001</v>
      </c>
      <c r="N13" s="45"/>
      <c r="O13" s="11"/>
      <c r="P13" s="9"/>
      <c r="Q13" s="9"/>
      <c r="R13" s="19"/>
    </row>
    <row r="14" spans="2:18" x14ac:dyDescent="0.35">
      <c r="B14" s="11" t="s">
        <v>860</v>
      </c>
      <c r="C14" s="48">
        <v>46129</v>
      </c>
      <c r="D14" t="s">
        <v>866</v>
      </c>
      <c r="E14" s="11" t="s">
        <v>855</v>
      </c>
      <c r="F14" s="19">
        <v>134999.9</v>
      </c>
      <c r="H14" s="7" t="s">
        <v>860</v>
      </c>
      <c r="I14" s="48">
        <v>46129</v>
      </c>
      <c r="J14" t="s">
        <v>874</v>
      </c>
      <c r="K14" s="11" t="s">
        <v>429</v>
      </c>
      <c r="L14" s="18">
        <v>134999.9</v>
      </c>
      <c r="N14" s="45"/>
      <c r="O14" s="11"/>
      <c r="P14" s="9"/>
      <c r="Q14" s="9"/>
      <c r="R14" s="19"/>
    </row>
    <row r="15" spans="2:18" x14ac:dyDescent="0.35">
      <c r="B15" s="11" t="s">
        <v>861</v>
      </c>
      <c r="C15" s="48">
        <v>46129</v>
      </c>
      <c r="D15" t="s">
        <v>867</v>
      </c>
      <c r="E15" s="11" t="s">
        <v>855</v>
      </c>
      <c r="F15" s="19">
        <v>60093.33</v>
      </c>
      <c r="H15" s="7" t="s">
        <v>861</v>
      </c>
      <c r="I15" s="48">
        <v>46129</v>
      </c>
      <c r="J15" t="s">
        <v>875</v>
      </c>
      <c r="K15" s="11" t="s">
        <v>429</v>
      </c>
      <c r="L15" s="18">
        <v>60268.04</v>
      </c>
      <c r="N15" s="45"/>
      <c r="O15" s="11"/>
      <c r="P15" s="9"/>
      <c r="Q15" s="9"/>
      <c r="R15" s="19"/>
    </row>
    <row r="16" spans="2:18" x14ac:dyDescent="0.35">
      <c r="B16" s="11" t="s">
        <v>862</v>
      </c>
      <c r="C16" s="48">
        <v>46129</v>
      </c>
      <c r="D16" t="s">
        <v>868</v>
      </c>
      <c r="E16" s="11" t="s">
        <v>856</v>
      </c>
      <c r="F16" s="19">
        <v>241988.16</v>
      </c>
      <c r="H16" s="7" t="s">
        <v>862</v>
      </c>
      <c r="I16" s="48">
        <v>46129</v>
      </c>
      <c r="J16" t="s">
        <v>876</v>
      </c>
      <c r="K16" s="11" t="s">
        <v>324</v>
      </c>
      <c r="L16" s="18">
        <v>249550.3</v>
      </c>
      <c r="N16" s="45"/>
      <c r="O16" s="11"/>
      <c r="P16" s="9"/>
      <c r="Q16" s="9"/>
      <c r="R16" s="19"/>
    </row>
    <row r="17" spans="2:18" x14ac:dyDescent="0.35">
      <c r="B17" s="11" t="s">
        <v>863</v>
      </c>
      <c r="C17" s="48">
        <v>46129</v>
      </c>
      <c r="D17" t="s">
        <v>869</v>
      </c>
      <c r="E17" s="11" t="s">
        <v>857</v>
      </c>
      <c r="F17" s="19">
        <v>53904</v>
      </c>
      <c r="H17" s="7" t="s">
        <v>863</v>
      </c>
      <c r="I17" s="48">
        <v>46129</v>
      </c>
      <c r="J17" t="s">
        <v>877</v>
      </c>
      <c r="K17" s="11" t="s">
        <v>397</v>
      </c>
      <c r="L17" s="18">
        <v>55027</v>
      </c>
      <c r="N17" s="45"/>
      <c r="O17" s="11"/>
      <c r="P17" s="9"/>
      <c r="Q17" s="9"/>
      <c r="R17" s="19"/>
    </row>
    <row r="18" spans="2:18" x14ac:dyDescent="0.35">
      <c r="B18" s="11" t="s">
        <v>863</v>
      </c>
      <c r="C18" s="48">
        <v>46189</v>
      </c>
      <c r="D18" t="s">
        <v>2479</v>
      </c>
      <c r="E18" s="11" t="s">
        <v>857</v>
      </c>
      <c r="F18" s="19">
        <v>-20089.919999999998</v>
      </c>
      <c r="H18" s="7" t="s">
        <v>863</v>
      </c>
      <c r="I18" s="48">
        <v>46189</v>
      </c>
      <c r="J18" t="s">
        <v>2293</v>
      </c>
      <c r="K18" s="11" t="s">
        <v>397</v>
      </c>
      <c r="L18" s="18">
        <v>-20090</v>
      </c>
      <c r="N18" s="45"/>
      <c r="O18" s="11"/>
      <c r="P18" s="9"/>
      <c r="Q18" s="9"/>
      <c r="R18" s="19"/>
    </row>
    <row r="19" spans="2:18" x14ac:dyDescent="0.35">
      <c r="B19" s="11"/>
      <c r="C19" s="48"/>
      <c r="E19" s="11"/>
      <c r="F19" s="19"/>
      <c r="H19" s="7"/>
      <c r="I19" s="48"/>
      <c r="K19" s="11"/>
      <c r="L19" s="18"/>
      <c r="N19" s="45"/>
      <c r="O19" s="11"/>
      <c r="P19" s="9"/>
      <c r="Q19" s="9"/>
      <c r="R19" s="19"/>
    </row>
    <row r="20" spans="2:18" x14ac:dyDescent="0.35">
      <c r="B20" s="11"/>
      <c r="C20" s="48"/>
      <c r="E20" s="11"/>
      <c r="F20" s="19"/>
      <c r="H20" s="7"/>
      <c r="I20" s="48"/>
      <c r="K20" s="11"/>
      <c r="L20" s="18"/>
      <c r="N20" s="45"/>
      <c r="O20" s="11"/>
      <c r="P20" s="9"/>
      <c r="Q20" s="9"/>
      <c r="R20" s="19"/>
    </row>
    <row r="21" spans="2:18" x14ac:dyDescent="0.35">
      <c r="B21" s="11"/>
      <c r="C21" s="48"/>
      <c r="E21" s="11"/>
      <c r="F21" s="19"/>
      <c r="H21" s="7"/>
      <c r="I21" s="48"/>
      <c r="K21" s="11"/>
      <c r="L21" s="18"/>
      <c r="N21" s="45"/>
      <c r="O21" s="11"/>
      <c r="P21" s="9"/>
      <c r="Q21" s="9"/>
      <c r="R21" s="19"/>
    </row>
    <row r="22" spans="2:18" x14ac:dyDescent="0.35">
      <c r="B22" s="11"/>
      <c r="C22" s="48"/>
      <c r="E22" s="11"/>
      <c r="F22" s="19"/>
      <c r="H22" s="7"/>
      <c r="I22" s="48"/>
      <c r="K22" s="11"/>
      <c r="L22" s="18"/>
      <c r="N22" s="45"/>
      <c r="O22" s="11"/>
      <c r="P22" s="9"/>
      <c r="Q22" s="9"/>
      <c r="R22" s="19"/>
    </row>
    <row r="23" spans="2:18" x14ac:dyDescent="0.35">
      <c r="B23" s="11"/>
      <c r="C23" s="48"/>
      <c r="E23" s="11"/>
      <c r="F23" s="19"/>
      <c r="H23" s="7"/>
      <c r="I23" s="48"/>
      <c r="K23" s="11"/>
      <c r="L23" s="18"/>
      <c r="N23" s="45"/>
      <c r="O23" s="11"/>
      <c r="P23" s="9"/>
      <c r="Q23" s="9"/>
      <c r="R23" s="19"/>
    </row>
    <row r="24" spans="2:18" x14ac:dyDescent="0.35">
      <c r="B24" s="11"/>
      <c r="C24" s="48"/>
      <c r="E24" s="11"/>
      <c r="F24" s="19"/>
      <c r="H24" s="7"/>
      <c r="I24" s="48"/>
      <c r="K24" s="11"/>
      <c r="L24" s="18"/>
      <c r="N24" s="45"/>
      <c r="O24" s="11"/>
      <c r="P24" s="9"/>
      <c r="Q24" s="9"/>
      <c r="R24" s="19"/>
    </row>
    <row r="25" spans="2:18" x14ac:dyDescent="0.35">
      <c r="B25" s="11"/>
      <c r="C25" s="48"/>
      <c r="E25" s="11"/>
      <c r="F25" s="19"/>
      <c r="H25" s="7"/>
      <c r="I25" s="48"/>
      <c r="K25" s="11"/>
      <c r="L25" s="18"/>
      <c r="N25" s="45"/>
      <c r="O25" s="11"/>
      <c r="P25" s="9"/>
      <c r="Q25" s="9"/>
      <c r="R25" s="19"/>
    </row>
    <row r="26" spans="2:18" x14ac:dyDescent="0.35">
      <c r="B26" s="11"/>
      <c r="C26" s="48"/>
      <c r="E26" s="11"/>
      <c r="F26" s="19"/>
      <c r="H26" s="7"/>
      <c r="I26" s="48"/>
      <c r="K26" s="11"/>
      <c r="L26" s="18"/>
      <c r="N26" s="45"/>
      <c r="O26" s="11"/>
      <c r="P26" s="9"/>
      <c r="Q26" s="9"/>
      <c r="R26" s="19"/>
    </row>
    <row r="27" spans="2:18" x14ac:dyDescent="0.35">
      <c r="B27" s="11"/>
      <c r="C27" s="48"/>
      <c r="E27" s="11"/>
      <c r="F27" s="19"/>
      <c r="H27" s="7"/>
      <c r="I27" s="48"/>
      <c r="K27" s="11"/>
      <c r="L27" s="18"/>
      <c r="N27" s="45"/>
      <c r="O27" s="11"/>
      <c r="P27" s="9"/>
      <c r="Q27" s="9"/>
      <c r="R27" s="19"/>
    </row>
    <row r="28" spans="2:18" x14ac:dyDescent="0.35">
      <c r="B28" s="11"/>
      <c r="C28" s="48"/>
      <c r="E28" s="11"/>
      <c r="F28" s="19"/>
      <c r="H28" s="7"/>
      <c r="I28" s="48"/>
      <c r="K28" s="11"/>
      <c r="L28" s="18"/>
      <c r="N28" s="45"/>
      <c r="O28" s="11"/>
      <c r="P28" s="9"/>
      <c r="Q28" s="9"/>
      <c r="R28" s="19"/>
    </row>
    <row r="29" spans="2:18" ht="15" thickBot="1" x14ac:dyDescent="0.4">
      <c r="B29" s="11"/>
      <c r="C29" s="48"/>
      <c r="E29" s="11"/>
      <c r="F29" s="19"/>
      <c r="H29" s="7"/>
      <c r="I29" s="48"/>
      <c r="K29" s="11"/>
      <c r="L29" s="18"/>
      <c r="N29" s="45"/>
      <c r="O29" s="11"/>
      <c r="P29" s="9"/>
      <c r="Q29" s="9"/>
      <c r="R29" s="19"/>
    </row>
    <row r="30" spans="2:18" ht="15" thickBot="1" x14ac:dyDescent="0.4">
      <c r="B30" s="392" t="s">
        <v>81</v>
      </c>
      <c r="C30" s="393"/>
      <c r="D30" s="393"/>
      <c r="E30" s="394"/>
      <c r="F30" s="33">
        <f>SUBTOTAL(9,F10:F29)</f>
        <v>718187.35</v>
      </c>
      <c r="H30" s="392" t="s">
        <v>81</v>
      </c>
      <c r="I30" s="393"/>
      <c r="J30" s="393"/>
      <c r="K30" s="394"/>
      <c r="L30" s="37">
        <f>SUM(L10:L29)</f>
        <v>729139.49</v>
      </c>
      <c r="N30" s="45"/>
      <c r="O30" s="11"/>
      <c r="P30" s="9"/>
      <c r="Q30" s="9"/>
      <c r="R30" s="19"/>
    </row>
    <row r="31" spans="2:18" ht="15" thickBot="1" x14ac:dyDescent="0.4">
      <c r="N31" s="392" t="s">
        <v>81</v>
      </c>
      <c r="O31" s="393"/>
      <c r="P31" s="393"/>
      <c r="Q31" s="394"/>
      <c r="R31" s="33">
        <f>SUM(R10:R30)</f>
        <v>0</v>
      </c>
    </row>
    <row r="35" spans="12:12" x14ac:dyDescent="0.35">
      <c r="L35" s="1">
        <f>L30-F30-R31</f>
        <v>10952.140000000014</v>
      </c>
    </row>
  </sheetData>
  <mergeCells count="3">
    <mergeCell ref="B30:E30"/>
    <mergeCell ref="N31:Q31"/>
    <mergeCell ref="H30:K30"/>
  </mergeCells>
  <conditionalFormatting sqref="B10:B28">
    <cfRule type="duplicateValues" dxfId="1" priority="24233"/>
  </conditionalFormatting>
  <conditionalFormatting sqref="H10:H28">
    <cfRule type="duplicateValues" dxfId="0" priority="2423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C4:J40"/>
  <sheetViews>
    <sheetView showGridLines="0" showRowColHeaders="0" topLeftCell="B1" workbookViewId="0">
      <selection activeCell="D9" sqref="D9"/>
    </sheetView>
  </sheetViews>
  <sheetFormatPr defaultRowHeight="14.5" x14ac:dyDescent="0.35"/>
  <cols>
    <col min="3" max="3" width="40.08984375" bestFit="1" customWidth="1"/>
    <col min="4" max="4" width="14.1796875" bestFit="1" customWidth="1"/>
    <col min="6" max="6" width="39.54296875" bestFit="1" customWidth="1"/>
    <col min="7" max="7" width="14.1796875" bestFit="1" customWidth="1"/>
    <col min="9" max="9" width="39.6328125" bestFit="1" customWidth="1"/>
    <col min="10" max="10" width="11.54296875" bestFit="1" customWidth="1"/>
  </cols>
  <sheetData>
    <row r="4" spans="3:10" s="65" customFormat="1" ht="16" thickBot="1" x14ac:dyDescent="0.4">
      <c r="C4" s="65" t="s">
        <v>94</v>
      </c>
      <c r="F4" s="65" t="s">
        <v>97</v>
      </c>
      <c r="I4" s="65" t="s">
        <v>99</v>
      </c>
    </row>
    <row r="5" spans="3:10" ht="15" thickBot="1" x14ac:dyDescent="0.4">
      <c r="C5" s="53" t="s">
        <v>90</v>
      </c>
      <c r="D5" s="54" t="s">
        <v>56</v>
      </c>
      <c r="F5" s="53" t="s">
        <v>90</v>
      </c>
      <c r="G5" s="54" t="s">
        <v>56</v>
      </c>
      <c r="I5" s="53" t="s">
        <v>90</v>
      </c>
      <c r="J5" s="54" t="s">
        <v>56</v>
      </c>
    </row>
    <row r="6" spans="3:10" x14ac:dyDescent="0.35">
      <c r="C6" s="52" t="s">
        <v>95</v>
      </c>
      <c r="D6" s="55">
        <f>Details!AY21</f>
        <v>3586523.5300000003</v>
      </c>
      <c r="F6" s="52" t="s">
        <v>98</v>
      </c>
      <c r="G6" s="55">
        <f>Details!O21</f>
        <v>2170328.65</v>
      </c>
      <c r="I6" s="60" t="s">
        <v>100</v>
      </c>
      <c r="J6" s="61">
        <f>Details!AC21</f>
        <v>0</v>
      </c>
    </row>
    <row r="7" spans="3:10" x14ac:dyDescent="0.35">
      <c r="C7" s="52" t="s">
        <v>157</v>
      </c>
      <c r="D7" s="55">
        <f>Details!AY25</f>
        <v>-729139.49</v>
      </c>
      <c r="F7" s="52" t="s">
        <v>158</v>
      </c>
      <c r="G7" s="55">
        <f>-Details!O26</f>
        <v>-718187.35</v>
      </c>
      <c r="I7" s="52" t="s">
        <v>159</v>
      </c>
      <c r="J7" s="55">
        <f>Details!AC25</f>
        <v>0</v>
      </c>
    </row>
    <row r="8" spans="3:10" ht="15" thickBot="1" x14ac:dyDescent="0.4">
      <c r="C8" s="52"/>
      <c r="D8" s="55"/>
      <c r="F8" s="52" t="s">
        <v>319</v>
      </c>
      <c r="G8" s="55">
        <f>Details!O24</f>
        <v>309308</v>
      </c>
      <c r="I8" s="52" t="s">
        <v>318</v>
      </c>
      <c r="J8" s="55">
        <f>Details!AC26</f>
        <v>0</v>
      </c>
    </row>
    <row r="9" spans="3:10" ht="15" thickBot="1" x14ac:dyDescent="0.4">
      <c r="C9" s="52" t="s">
        <v>86</v>
      </c>
      <c r="D9" s="55">
        <f>Details!AY28</f>
        <v>0</v>
      </c>
      <c r="F9" s="52" t="s">
        <v>168</v>
      </c>
      <c r="G9" s="55">
        <v>0</v>
      </c>
      <c r="I9" s="52"/>
      <c r="J9" s="62">
        <f>SUM(J6:J8)</f>
        <v>0</v>
      </c>
    </row>
    <row r="10" spans="3:10" ht="15" thickBot="1" x14ac:dyDescent="0.4">
      <c r="C10" s="52" t="s">
        <v>176</v>
      </c>
      <c r="D10" s="55">
        <f>-Details!AY26</f>
        <v>0</v>
      </c>
      <c r="F10" s="52" t="s">
        <v>134</v>
      </c>
      <c r="G10" s="55">
        <f>-'Recon Items'!N18</f>
        <v>17497.02</v>
      </c>
      <c r="I10" s="52" t="s">
        <v>101</v>
      </c>
      <c r="J10" s="55">
        <f>Details!AC22</f>
        <v>0</v>
      </c>
    </row>
    <row r="11" spans="3:10" ht="15" thickBot="1" x14ac:dyDescent="0.4">
      <c r="C11" s="52"/>
      <c r="D11" s="62">
        <f>SUM(D6:D10)</f>
        <v>2857384.04</v>
      </c>
      <c r="F11" s="57" t="s">
        <v>102</v>
      </c>
      <c r="G11" s="55">
        <f>'Recon Items'!G18</f>
        <v>0</v>
      </c>
      <c r="I11" s="58" t="s">
        <v>102</v>
      </c>
      <c r="J11" s="56">
        <f>J9-J10</f>
        <v>0</v>
      </c>
    </row>
    <row r="12" spans="3:10" ht="15" thickBot="1" x14ac:dyDescent="0.4">
      <c r="C12" s="52" t="s">
        <v>96</v>
      </c>
      <c r="D12" s="55">
        <f>Details!AY22</f>
        <v>3173161.95</v>
      </c>
      <c r="F12" s="52"/>
      <c r="G12" s="62">
        <f>SUM(G6:G11)</f>
        <v>1778946.3199999998</v>
      </c>
    </row>
    <row r="13" spans="3:10" ht="15" thickBot="1" x14ac:dyDescent="0.4">
      <c r="C13" s="58" t="s">
        <v>102</v>
      </c>
      <c r="D13" s="56">
        <f>D11-D12</f>
        <v>-315777.91000000015</v>
      </c>
      <c r="F13" s="52" t="s">
        <v>103</v>
      </c>
      <c r="G13" s="55">
        <f>Details!O22</f>
        <v>1778946.32</v>
      </c>
    </row>
    <row r="14" spans="3:10" ht="15" thickBot="1" x14ac:dyDescent="0.4">
      <c r="C14" s="22"/>
      <c r="D14" s="23"/>
      <c r="F14" s="58" t="s">
        <v>102</v>
      </c>
      <c r="G14" s="59">
        <f>G12-G13-'Recon Items'!C18</f>
        <v>-2.3283064365386963E-10</v>
      </c>
    </row>
    <row r="24" spans="3:4" x14ac:dyDescent="0.35">
      <c r="C24" s="22"/>
      <c r="D24" s="24"/>
    </row>
    <row r="32" spans="3:4" x14ac:dyDescent="0.35">
      <c r="D32" s="3"/>
    </row>
    <row r="33" spans="4:4" x14ac:dyDescent="0.35">
      <c r="D33" s="3"/>
    </row>
    <row r="34" spans="4:4" x14ac:dyDescent="0.35">
      <c r="D34" s="3"/>
    </row>
    <row r="35" spans="4:4" x14ac:dyDescent="0.35">
      <c r="D35" s="3"/>
    </row>
    <row r="36" spans="4:4" x14ac:dyDescent="0.35">
      <c r="D36" s="3"/>
    </row>
    <row r="37" spans="4:4" x14ac:dyDescent="0.35">
      <c r="D37" s="3"/>
    </row>
    <row r="38" spans="4:4" x14ac:dyDescent="0.35">
      <c r="D38" s="3"/>
    </row>
    <row r="39" spans="4:4" x14ac:dyDescent="0.35">
      <c r="D39" s="3"/>
    </row>
    <row r="40" spans="4:4" x14ac:dyDescent="0.35">
      <c r="D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Details</vt:lpstr>
      <vt:lpstr>Recon Items</vt:lpstr>
      <vt:lpstr>Supplier Metrics</vt:lpstr>
      <vt:lpstr>Buyer Metrics</vt:lpstr>
      <vt:lpstr>Material Metrics</vt:lpstr>
      <vt:lpstr>receivables</vt:lpstr>
      <vt:lpstr>Last year's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finance4</cp:lastModifiedBy>
  <cp:lastPrinted>2024-05-14T07:36:53Z</cp:lastPrinted>
  <dcterms:created xsi:type="dcterms:W3CDTF">2015-06-05T18:17:20Z</dcterms:created>
  <dcterms:modified xsi:type="dcterms:W3CDTF">2026-06-23T06:09:25Z</dcterms:modified>
</cp:coreProperties>
</file>