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ramya.potala\Documents\MIS FY 26-27\Plastic Waste &amp; Rewerse\"/>
    </mc:Choice>
  </mc:AlternateContent>
  <xr:revisionPtr revIDLastSave="0" documentId="13_ncr:1_{2E1C4364-2451-467F-B7BC-A0B607408877}" xr6:coauthVersionLast="47" xr6:coauthVersionMax="47" xr10:uidLastSave="{00000000-0000-0000-0000-000000000000}"/>
  <bookViews>
    <workbookView xWindow="-110" yWindow="-110" windowWidth="19420" windowHeight="10300" tabRatio="742" firstSheet="1" activeTab="1" xr2:uid="{00000000-000D-0000-FFFF-FFFF00000000}"/>
  </bookViews>
  <sheets>
    <sheet name="Summary" sheetId="5" r:id="rId1"/>
    <sheet name="Details" sheetId="4" r:id="rId2"/>
    <sheet name="Recon Items" sheetId="80" r:id="rId3"/>
    <sheet name="Supplier Metrics" sheetId="97" r:id="rId4"/>
    <sheet name="Buyer Metrics" sheetId="95" r:id="rId5"/>
    <sheet name="Material Metrics" sheetId="103" r:id="rId6"/>
    <sheet name="receivables" sheetId="102" r:id="rId7"/>
    <sheet name="Last year's" sheetId="81" r:id="rId8"/>
    <sheet name="Revenue - Reco" sheetId="84" state="hidden" r:id="rId9"/>
  </sheets>
  <definedNames>
    <definedName name="_xlnm._FilterDatabase" localSheetId="4" hidden="1">'Buyer Metrics'!#REF!</definedName>
    <definedName name="_xlnm._FilterDatabase" localSheetId="1" hidden="1">Details!$A$4:$DB$77</definedName>
    <definedName name="_xlnm._FilterDatabase" localSheetId="7" hidden="1">'Last year''s'!$B$9:$F$11</definedName>
    <definedName name="_xlnm._FilterDatabase" localSheetId="5" hidden="1">'Material Metrics'!$B$2:$D$63</definedName>
    <definedName name="_xlnm._FilterDatabase" localSheetId="6" hidden="1">receivables!$K$2:$S$711</definedName>
    <definedName name="_xlnm._FilterDatabase" localSheetId="0" hidden="1">Summary!$C$3:$U$53</definedName>
    <definedName name="_xlnm._FilterDatabase" localSheetId="3" hidden="1">'Supplier Metrics'!$B$3:$D$4</definedName>
    <definedName name="_xlcn.WorksheetConnection_DetailsB4BN19801" hidden="1">Details!$D$4:$BT$78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3c0ce2b5-7498-409b-938e-e65f70856903" name="Range" connection="WorksheetConnection_Details!$B$4:$BN$198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80" l="1"/>
  <c r="P32" i="5"/>
  <c r="F32" i="5"/>
  <c r="AA1" i="102"/>
  <c r="AA4" i="102"/>
  <c r="AA5" i="102"/>
  <c r="AA6" i="102"/>
  <c r="AA7" i="102"/>
  <c r="AA8" i="102"/>
  <c r="AA9" i="102"/>
  <c r="R1" i="102"/>
  <c r="BX76" i="4"/>
  <c r="BZ76" i="4"/>
  <c r="CA76" i="4"/>
  <c r="CB76" i="4"/>
  <c r="CE76" i="4"/>
  <c r="CH76" i="4"/>
  <c r="CQ76" i="4"/>
  <c r="CR76" i="4"/>
  <c r="CV76" i="4"/>
  <c r="CW76" i="4"/>
  <c r="BX77" i="4"/>
  <c r="BZ77" i="4"/>
  <c r="CA77" i="4"/>
  <c r="CB77" i="4"/>
  <c r="CE77" i="4"/>
  <c r="CH77" i="4"/>
  <c r="CQ77" i="4"/>
  <c r="CR77" i="4"/>
  <c r="CV77" i="4"/>
  <c r="CW77" i="4"/>
  <c r="AY76" i="4"/>
  <c r="AZ76" i="4"/>
  <c r="BB76" i="4"/>
  <c r="BN76" i="4"/>
  <c r="AY77" i="4"/>
  <c r="AZ77" i="4"/>
  <c r="BB77" i="4"/>
  <c r="BN77" i="4"/>
  <c r="BO77" i="4"/>
  <c r="Q76" i="4"/>
  <c r="S76" i="4"/>
  <c r="AB76" i="4"/>
  <c r="AM76" i="4"/>
  <c r="Q77" i="4"/>
  <c r="S77" i="4"/>
  <c r="AB77" i="4"/>
  <c r="AD77" i="4"/>
  <c r="AM77" i="4"/>
  <c r="B76" i="4"/>
  <c r="C76" i="4"/>
  <c r="B77" i="4"/>
  <c r="C77" i="4"/>
  <c r="BX64" i="4"/>
  <c r="BZ64" i="4"/>
  <c r="CA64" i="4"/>
  <c r="CB64" i="4"/>
  <c r="CE64" i="4"/>
  <c r="CH64" i="4"/>
  <c r="CQ64" i="4"/>
  <c r="CR64" i="4"/>
  <c r="CV64" i="4"/>
  <c r="CW64" i="4"/>
  <c r="BX65" i="4"/>
  <c r="BZ65" i="4"/>
  <c r="CA65" i="4"/>
  <c r="CB65" i="4"/>
  <c r="CE65" i="4"/>
  <c r="CH65" i="4"/>
  <c r="CQ65" i="4"/>
  <c r="CR65" i="4"/>
  <c r="CV65" i="4"/>
  <c r="CW65" i="4"/>
  <c r="BX66" i="4"/>
  <c r="BZ66" i="4"/>
  <c r="CA66" i="4"/>
  <c r="CB66" i="4"/>
  <c r="CE66" i="4"/>
  <c r="CH66" i="4"/>
  <c r="CV66" i="4"/>
  <c r="CW66" i="4"/>
  <c r="BX67" i="4"/>
  <c r="BZ67" i="4"/>
  <c r="CA67" i="4"/>
  <c r="CE67" i="4"/>
  <c r="CH67" i="4"/>
  <c r="CQ67" i="4"/>
  <c r="CR67" i="4"/>
  <c r="CV67" i="4"/>
  <c r="CW67" i="4"/>
  <c r="BX68" i="4"/>
  <c r="BZ68" i="4"/>
  <c r="CA68" i="4"/>
  <c r="CB68" i="4"/>
  <c r="CE68" i="4"/>
  <c r="CH68" i="4"/>
  <c r="CQ68" i="4"/>
  <c r="CR68" i="4"/>
  <c r="CV68" i="4"/>
  <c r="CW68" i="4"/>
  <c r="BX69" i="4"/>
  <c r="BZ69" i="4"/>
  <c r="CA69" i="4"/>
  <c r="CB69" i="4"/>
  <c r="CE69" i="4"/>
  <c r="CH69" i="4"/>
  <c r="CQ69" i="4"/>
  <c r="CR69" i="4"/>
  <c r="CV69" i="4"/>
  <c r="CW69" i="4"/>
  <c r="BX70" i="4"/>
  <c r="BZ70" i="4"/>
  <c r="CA70" i="4"/>
  <c r="CB70" i="4"/>
  <c r="CE70" i="4"/>
  <c r="CH70" i="4"/>
  <c r="CV70" i="4"/>
  <c r="CW70" i="4"/>
  <c r="BX71" i="4"/>
  <c r="BZ71" i="4"/>
  <c r="CA71" i="4"/>
  <c r="CB71" i="4"/>
  <c r="CE71" i="4"/>
  <c r="CH71" i="4"/>
  <c r="CQ71" i="4"/>
  <c r="CR71" i="4"/>
  <c r="CV71" i="4"/>
  <c r="CW71" i="4"/>
  <c r="BX72" i="4"/>
  <c r="BZ72" i="4"/>
  <c r="CA72" i="4"/>
  <c r="CB72" i="4"/>
  <c r="CE72" i="4"/>
  <c r="CH72" i="4"/>
  <c r="CQ72" i="4"/>
  <c r="CR72" i="4"/>
  <c r="CV72" i="4"/>
  <c r="CW72" i="4"/>
  <c r="BX73" i="4"/>
  <c r="BZ73" i="4"/>
  <c r="CA73" i="4"/>
  <c r="CB73" i="4"/>
  <c r="CE73" i="4"/>
  <c r="CH73" i="4"/>
  <c r="CQ73" i="4"/>
  <c r="CR73" i="4"/>
  <c r="CV73" i="4"/>
  <c r="CW73" i="4"/>
  <c r="BX74" i="4"/>
  <c r="BZ74" i="4"/>
  <c r="CA74" i="4"/>
  <c r="CE74" i="4"/>
  <c r="CH74" i="4"/>
  <c r="CV74" i="4"/>
  <c r="CW74" i="4"/>
  <c r="BX75" i="4"/>
  <c r="BZ75" i="4"/>
  <c r="CA75" i="4"/>
  <c r="CE75" i="4"/>
  <c r="CH75" i="4"/>
  <c r="CQ75" i="4"/>
  <c r="CR75" i="4"/>
  <c r="CV75" i="4"/>
  <c r="CW75" i="4"/>
  <c r="AY64" i="4"/>
  <c r="AZ64" i="4"/>
  <c r="BB64" i="4"/>
  <c r="BN64" i="4"/>
  <c r="AY65" i="4"/>
  <c r="AZ65" i="4"/>
  <c r="BB65" i="4"/>
  <c r="BN65" i="4"/>
  <c r="AY66" i="4"/>
  <c r="AZ66" i="4"/>
  <c r="BB66" i="4"/>
  <c r="BN66" i="4"/>
  <c r="AY67" i="4"/>
  <c r="AZ67" i="4"/>
  <c r="BB67" i="4"/>
  <c r="BN67" i="4"/>
  <c r="AY68" i="4"/>
  <c r="AZ68" i="4"/>
  <c r="BB68" i="4"/>
  <c r="BN68" i="4"/>
  <c r="AY69" i="4"/>
  <c r="AZ69" i="4"/>
  <c r="BB69" i="4"/>
  <c r="BN69" i="4"/>
  <c r="BO69" i="4"/>
  <c r="AY70" i="4"/>
  <c r="AZ70" i="4"/>
  <c r="BB70" i="4"/>
  <c r="AY71" i="4"/>
  <c r="AZ71" i="4"/>
  <c r="BB71" i="4"/>
  <c r="BN71" i="4"/>
  <c r="BO71" i="4"/>
  <c r="AY72" i="4"/>
  <c r="AZ72" i="4"/>
  <c r="BB72" i="4"/>
  <c r="BN72" i="4"/>
  <c r="AY73" i="4"/>
  <c r="AZ73" i="4"/>
  <c r="BB73" i="4"/>
  <c r="BN73" i="4"/>
  <c r="AY74" i="4"/>
  <c r="AZ74" i="4"/>
  <c r="BB74" i="4"/>
  <c r="BN74" i="4"/>
  <c r="AY75" i="4"/>
  <c r="AZ75" i="4"/>
  <c r="BB75" i="4"/>
  <c r="BN75" i="4"/>
  <c r="Q64" i="4"/>
  <c r="S64" i="4"/>
  <c r="AB64" i="4"/>
  <c r="AM64" i="4"/>
  <c r="Q65" i="4"/>
  <c r="S65" i="4"/>
  <c r="AB65" i="4"/>
  <c r="AM65" i="4"/>
  <c r="Q66" i="4"/>
  <c r="S66" i="4"/>
  <c r="AB66" i="4"/>
  <c r="AD66" i="4"/>
  <c r="AM66" i="4"/>
  <c r="Q67" i="4"/>
  <c r="S67" i="4"/>
  <c r="AB67" i="4"/>
  <c r="Q68" i="4"/>
  <c r="S68" i="4"/>
  <c r="AB68" i="4"/>
  <c r="Q69" i="4"/>
  <c r="S69" i="4"/>
  <c r="AB69" i="4"/>
  <c r="Q70" i="4"/>
  <c r="S70" i="4"/>
  <c r="AB70" i="4"/>
  <c r="AM70" i="4"/>
  <c r="Q71" i="4"/>
  <c r="S71" i="4"/>
  <c r="AB71" i="4"/>
  <c r="AM71" i="4"/>
  <c r="Q72" i="4"/>
  <c r="S72" i="4"/>
  <c r="AB72" i="4"/>
  <c r="AD72" i="4"/>
  <c r="AM72" i="4"/>
  <c r="Q73" i="4"/>
  <c r="S73" i="4"/>
  <c r="AB73" i="4"/>
  <c r="Q74" i="4"/>
  <c r="S74" i="4"/>
  <c r="AB74" i="4"/>
  <c r="AM74" i="4"/>
  <c r="Q75" i="4"/>
  <c r="S75" i="4"/>
  <c r="AB75" i="4"/>
  <c r="AM75" i="4"/>
  <c r="B64" i="4"/>
  <c r="B65" i="4"/>
  <c r="B66" i="4"/>
  <c r="B67" i="4"/>
  <c r="B68" i="4"/>
  <c r="B69" i="4"/>
  <c r="B70" i="4"/>
  <c r="B71" i="4"/>
  <c r="B72" i="4"/>
  <c r="B73" i="4"/>
  <c r="B74" i="4"/>
  <c r="B75" i="4"/>
  <c r="BX61" i="4"/>
  <c r="BZ61" i="4"/>
  <c r="CA61" i="4"/>
  <c r="CE61" i="4"/>
  <c r="CH61" i="4"/>
  <c r="CQ61" i="4"/>
  <c r="CR61" i="4"/>
  <c r="CV61" i="4"/>
  <c r="CW61" i="4"/>
  <c r="BX62" i="4"/>
  <c r="BZ62" i="4"/>
  <c r="CA62" i="4"/>
  <c r="CE62" i="4"/>
  <c r="CH62" i="4"/>
  <c r="CR62" i="4"/>
  <c r="CV62" i="4"/>
  <c r="CW62" i="4"/>
  <c r="BX63" i="4"/>
  <c r="BZ63" i="4"/>
  <c r="CA63" i="4"/>
  <c r="CE63" i="4"/>
  <c r="CH63" i="4"/>
  <c r="CQ63" i="4"/>
  <c r="CR63" i="4"/>
  <c r="CV63" i="4"/>
  <c r="CW63" i="4"/>
  <c r="AY61" i="4"/>
  <c r="AZ61" i="4"/>
  <c r="BB61" i="4"/>
  <c r="AY62" i="4"/>
  <c r="AZ62" i="4"/>
  <c r="BB62" i="4"/>
  <c r="AY63" i="4"/>
  <c r="AZ63" i="4"/>
  <c r="BB63" i="4"/>
  <c r="Q61" i="4"/>
  <c r="S61" i="4"/>
  <c r="AB61" i="4"/>
  <c r="Q62" i="4"/>
  <c r="S62" i="4"/>
  <c r="AB62" i="4"/>
  <c r="Q63" i="4"/>
  <c r="S63" i="4"/>
  <c r="AB63" i="4"/>
  <c r="AM63" i="4"/>
  <c r="B61" i="4"/>
  <c r="C61" i="4"/>
  <c r="B62" i="4"/>
  <c r="C62" i="4"/>
  <c r="B63" i="4"/>
  <c r="C63" i="4"/>
  <c r="CW85" i="4"/>
  <c r="C85" i="4"/>
  <c r="CE55" i="4"/>
  <c r="CH55" i="4"/>
  <c r="CV55" i="4"/>
  <c r="CW55" i="4"/>
  <c r="CE56" i="4"/>
  <c r="CH56" i="4"/>
  <c r="CV56" i="4"/>
  <c r="CW56" i="4"/>
  <c r="CE57" i="4"/>
  <c r="CH57" i="4"/>
  <c r="CV57" i="4"/>
  <c r="CW57" i="4"/>
  <c r="CE58" i="4"/>
  <c r="CH58" i="4"/>
  <c r="CV58" i="4"/>
  <c r="CW58" i="4"/>
  <c r="CE59" i="4"/>
  <c r="CH59" i="4"/>
  <c r="CV59" i="4"/>
  <c r="CW59" i="4"/>
  <c r="CE60" i="4"/>
  <c r="CH60" i="4"/>
  <c r="CV60" i="4"/>
  <c r="CW60" i="4"/>
  <c r="BB55" i="4"/>
  <c r="BX55" i="4"/>
  <c r="BZ55" i="4"/>
  <c r="CA55" i="4"/>
  <c r="BB56" i="4"/>
  <c r="BX56" i="4"/>
  <c r="BZ56" i="4"/>
  <c r="CA56" i="4"/>
  <c r="BB57" i="4"/>
  <c r="BX57" i="4"/>
  <c r="BZ57" i="4"/>
  <c r="CA57" i="4"/>
  <c r="BB58" i="4"/>
  <c r="BX58" i="4"/>
  <c r="BZ58" i="4"/>
  <c r="CA58" i="4"/>
  <c r="CB58" i="4"/>
  <c r="BB59" i="4"/>
  <c r="BX59" i="4"/>
  <c r="BZ59" i="4"/>
  <c r="CA59" i="4"/>
  <c r="BB60" i="4"/>
  <c r="BX60" i="4"/>
  <c r="BZ60" i="4"/>
  <c r="CA60" i="4"/>
  <c r="AY55" i="4"/>
  <c r="AZ55" i="4"/>
  <c r="AY56" i="4"/>
  <c r="AZ56" i="4"/>
  <c r="AY57" i="4"/>
  <c r="AZ57" i="4"/>
  <c r="AY58" i="4"/>
  <c r="AZ58" i="4"/>
  <c r="AY59" i="4"/>
  <c r="AZ59" i="4"/>
  <c r="AY60" i="4"/>
  <c r="AZ60" i="4"/>
  <c r="Q55" i="4"/>
  <c r="S55" i="4"/>
  <c r="AB55" i="4"/>
  <c r="Q56" i="4"/>
  <c r="S56" i="4"/>
  <c r="AB56" i="4"/>
  <c r="Q57" i="4"/>
  <c r="S57" i="4"/>
  <c r="AB57" i="4"/>
  <c r="Q58" i="4"/>
  <c r="S58" i="4"/>
  <c r="AB58" i="4"/>
  <c r="AM58" i="4"/>
  <c r="Q59" i="4"/>
  <c r="S59" i="4"/>
  <c r="AB59" i="4"/>
  <c r="AD59" i="4"/>
  <c r="AM59" i="4"/>
  <c r="Q60" i="4"/>
  <c r="S60" i="4"/>
  <c r="AB60" i="4"/>
  <c r="B55" i="4"/>
  <c r="B56" i="4"/>
  <c r="B57" i="4"/>
  <c r="B58" i="4"/>
  <c r="B59" i="4"/>
  <c r="B60" i="4"/>
  <c r="P25" i="5"/>
  <c r="P23" i="5"/>
  <c r="BX49" i="4"/>
  <c r="BZ49" i="4"/>
  <c r="CA49" i="4"/>
  <c r="CE49" i="4"/>
  <c r="CH49" i="4"/>
  <c r="CQ49" i="4"/>
  <c r="CR49" i="4"/>
  <c r="CV49" i="4"/>
  <c r="CW49" i="4"/>
  <c r="BX50" i="4"/>
  <c r="BZ50" i="4"/>
  <c r="CA50" i="4"/>
  <c r="CE50" i="4"/>
  <c r="CH50" i="4"/>
  <c r="CV50" i="4"/>
  <c r="CW50" i="4"/>
  <c r="BX51" i="4"/>
  <c r="BZ51" i="4"/>
  <c r="CA51" i="4"/>
  <c r="CE51" i="4"/>
  <c r="CH51" i="4"/>
  <c r="CR51" i="4"/>
  <c r="CV51" i="4"/>
  <c r="CW51" i="4"/>
  <c r="BX52" i="4"/>
  <c r="BZ52" i="4"/>
  <c r="CA52" i="4"/>
  <c r="CE52" i="4"/>
  <c r="CH52" i="4"/>
  <c r="CQ52" i="4"/>
  <c r="CR52" i="4"/>
  <c r="CV52" i="4"/>
  <c r="CW52" i="4"/>
  <c r="BX53" i="4"/>
  <c r="BZ53" i="4"/>
  <c r="CA53" i="4"/>
  <c r="CE53" i="4"/>
  <c r="CH53" i="4"/>
  <c r="CV53" i="4"/>
  <c r="CW53" i="4"/>
  <c r="BX54" i="4"/>
  <c r="BZ54" i="4"/>
  <c r="CA54" i="4"/>
  <c r="CE54" i="4"/>
  <c r="CH54" i="4"/>
  <c r="CV54" i="4"/>
  <c r="CW54" i="4"/>
  <c r="BB49" i="4"/>
  <c r="BB50" i="4"/>
  <c r="BB51" i="4"/>
  <c r="BB52" i="4"/>
  <c r="BB53" i="4"/>
  <c r="BB54" i="4"/>
  <c r="AY49" i="4"/>
  <c r="AZ49" i="4"/>
  <c r="AY50" i="4"/>
  <c r="AZ50" i="4"/>
  <c r="AY51" i="4"/>
  <c r="AZ51" i="4"/>
  <c r="AY52" i="4"/>
  <c r="AZ52" i="4"/>
  <c r="AY53" i="4"/>
  <c r="AZ53" i="4"/>
  <c r="AY54" i="4"/>
  <c r="AZ54" i="4"/>
  <c r="C50" i="4"/>
  <c r="C51" i="4"/>
  <c r="C52" i="4"/>
  <c r="C53" i="4"/>
  <c r="C54" i="4"/>
  <c r="C49" i="4"/>
  <c r="Q49" i="4"/>
  <c r="S49" i="4"/>
  <c r="AB49" i="4"/>
  <c r="Q50" i="4"/>
  <c r="S50" i="4"/>
  <c r="AB50" i="4"/>
  <c r="Q51" i="4"/>
  <c r="S51" i="4"/>
  <c r="AB51" i="4"/>
  <c r="Q52" i="4"/>
  <c r="S52" i="4"/>
  <c r="AB52" i="4"/>
  <c r="Q53" i="4"/>
  <c r="S53" i="4"/>
  <c r="AB53" i="4"/>
  <c r="AD53" i="4"/>
  <c r="Q54" i="4"/>
  <c r="S54" i="4"/>
  <c r="AB54" i="4"/>
  <c r="AD54" i="4"/>
  <c r="B49" i="4"/>
  <c r="B50" i="4"/>
  <c r="B51" i="4"/>
  <c r="B52" i="4"/>
  <c r="B53" i="4"/>
  <c r="B54" i="4"/>
  <c r="W1" i="102"/>
  <c r="F8" i="81"/>
  <c r="Z3" i="102" a="1"/>
  <c r="BB35" i="4"/>
  <c r="BX35" i="4"/>
  <c r="BZ35" i="4"/>
  <c r="CA35" i="4"/>
  <c r="CE35" i="4"/>
  <c r="CH35" i="4"/>
  <c r="CQ35" i="4"/>
  <c r="CR35" i="4"/>
  <c r="CV35" i="4"/>
  <c r="CW35" i="4"/>
  <c r="BB36" i="4"/>
  <c r="BX36" i="4"/>
  <c r="BZ36" i="4"/>
  <c r="CA36" i="4"/>
  <c r="CE36" i="4"/>
  <c r="CH36" i="4"/>
  <c r="CR36" i="4"/>
  <c r="CV36" i="4"/>
  <c r="CW36" i="4"/>
  <c r="BB37" i="4"/>
  <c r="BX37" i="4"/>
  <c r="BZ37" i="4"/>
  <c r="CA37" i="4"/>
  <c r="CE37" i="4"/>
  <c r="CH37" i="4"/>
  <c r="CV37" i="4"/>
  <c r="CW37" i="4"/>
  <c r="BB38" i="4"/>
  <c r="BX38" i="4"/>
  <c r="BZ38" i="4"/>
  <c r="CA38" i="4"/>
  <c r="CB38" i="4"/>
  <c r="CE38" i="4"/>
  <c r="CH38" i="4"/>
  <c r="CQ38" i="4"/>
  <c r="CR38" i="4"/>
  <c r="CV38" i="4"/>
  <c r="CW38" i="4"/>
  <c r="BB39" i="4"/>
  <c r="BX39" i="4"/>
  <c r="BZ39" i="4"/>
  <c r="CA39" i="4"/>
  <c r="CE39" i="4"/>
  <c r="CH39" i="4"/>
  <c r="CR39" i="4"/>
  <c r="CV39" i="4"/>
  <c r="CW39" i="4"/>
  <c r="BB40" i="4"/>
  <c r="BX40" i="4"/>
  <c r="BZ40" i="4"/>
  <c r="CA40" i="4"/>
  <c r="CB40" i="4"/>
  <c r="CE40" i="4"/>
  <c r="CH40" i="4"/>
  <c r="CV40" i="4"/>
  <c r="CW40" i="4"/>
  <c r="BB41" i="4"/>
  <c r="BX41" i="4"/>
  <c r="BZ41" i="4"/>
  <c r="CA41" i="4"/>
  <c r="CE41" i="4"/>
  <c r="CH41" i="4"/>
  <c r="CV41" i="4"/>
  <c r="CW41" i="4"/>
  <c r="BB42" i="4"/>
  <c r="BX42" i="4"/>
  <c r="BZ42" i="4"/>
  <c r="CA42" i="4"/>
  <c r="CB42" i="4" s="1"/>
  <c r="CE42" i="4"/>
  <c r="CH42" i="4"/>
  <c r="CQ42" i="4"/>
  <c r="CR42" i="4"/>
  <c r="CV42" i="4"/>
  <c r="CW42" i="4"/>
  <c r="BB43" i="4"/>
  <c r="BX43" i="4"/>
  <c r="BZ43" i="4"/>
  <c r="CA43" i="4"/>
  <c r="CE43" i="4"/>
  <c r="CH43" i="4"/>
  <c r="CQ43" i="4"/>
  <c r="CR43" i="4"/>
  <c r="CV43" i="4"/>
  <c r="CW43" i="4"/>
  <c r="BB44" i="4"/>
  <c r="BX44" i="4"/>
  <c r="BZ44" i="4"/>
  <c r="CA44" i="4"/>
  <c r="CE44" i="4"/>
  <c r="CH44" i="4"/>
  <c r="CQ44" i="4"/>
  <c r="CR44" i="4"/>
  <c r="CV44" i="4"/>
  <c r="CW44" i="4"/>
  <c r="BB45" i="4"/>
  <c r="BX45" i="4"/>
  <c r="BZ45" i="4"/>
  <c r="CA45" i="4"/>
  <c r="CE45" i="4"/>
  <c r="CH45" i="4"/>
  <c r="CQ45" i="4"/>
  <c r="CR45" i="4"/>
  <c r="CV45" i="4"/>
  <c r="CW45" i="4"/>
  <c r="BB46" i="4"/>
  <c r="BX46" i="4"/>
  <c r="BZ46" i="4"/>
  <c r="CA46" i="4"/>
  <c r="CE46" i="4"/>
  <c r="CH46" i="4"/>
  <c r="CQ46" i="4"/>
  <c r="CR46" i="4"/>
  <c r="CV46" i="4"/>
  <c r="CW46" i="4"/>
  <c r="BB47" i="4"/>
  <c r="BX47" i="4"/>
  <c r="BZ47" i="4"/>
  <c r="CA47" i="4"/>
  <c r="CE47" i="4"/>
  <c r="CH47" i="4"/>
  <c r="CV47" i="4"/>
  <c r="CW47" i="4"/>
  <c r="BB48" i="4"/>
  <c r="BX48" i="4"/>
  <c r="BZ48" i="4"/>
  <c r="CA48" i="4"/>
  <c r="CE48" i="4"/>
  <c r="CH48" i="4"/>
  <c r="CQ48" i="4"/>
  <c r="CR48" i="4"/>
  <c r="CV48" i="4"/>
  <c r="CW48" i="4"/>
  <c r="AY35" i="4"/>
  <c r="AZ35" i="4"/>
  <c r="AY36" i="4"/>
  <c r="CO36" i="4" s="1"/>
  <c r="AZ36" i="4"/>
  <c r="AY37" i="4"/>
  <c r="AZ37" i="4"/>
  <c r="AY38" i="4"/>
  <c r="AZ38" i="4"/>
  <c r="AY39" i="4"/>
  <c r="AZ39" i="4"/>
  <c r="AY40" i="4"/>
  <c r="AZ40" i="4"/>
  <c r="AY41" i="4"/>
  <c r="AZ41" i="4"/>
  <c r="AY42" i="4"/>
  <c r="AZ42" i="4"/>
  <c r="AY43" i="4"/>
  <c r="AZ43" i="4"/>
  <c r="AY44" i="4"/>
  <c r="AZ44" i="4"/>
  <c r="AY45" i="4"/>
  <c r="AZ45" i="4"/>
  <c r="AY46" i="4"/>
  <c r="AZ46" i="4"/>
  <c r="AY47" i="4"/>
  <c r="AZ47" i="4"/>
  <c r="AY48" i="4"/>
  <c r="AZ48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Q35" i="4"/>
  <c r="CP35" i="4" s="1"/>
  <c r="S35" i="4"/>
  <c r="AB35" i="4"/>
  <c r="Q36" i="4"/>
  <c r="S36" i="4"/>
  <c r="AB36" i="4"/>
  <c r="Q37" i="4"/>
  <c r="CP37" i="4" s="1"/>
  <c r="S37" i="4"/>
  <c r="AB37" i="4"/>
  <c r="Q38" i="4"/>
  <c r="S38" i="4"/>
  <c r="AB38" i="4"/>
  <c r="Q39" i="4"/>
  <c r="S39" i="4"/>
  <c r="AB39" i="4"/>
  <c r="Q40" i="4"/>
  <c r="S40" i="4"/>
  <c r="AB40" i="4"/>
  <c r="Q41" i="4"/>
  <c r="S41" i="4"/>
  <c r="AB41" i="4"/>
  <c r="Q42" i="4"/>
  <c r="S42" i="4"/>
  <c r="AB42" i="4"/>
  <c r="Q43" i="4"/>
  <c r="S43" i="4"/>
  <c r="AB43" i="4"/>
  <c r="Q44" i="4"/>
  <c r="S44" i="4"/>
  <c r="AB44" i="4"/>
  <c r="Q45" i="4"/>
  <c r="S45" i="4"/>
  <c r="AB45" i="4"/>
  <c r="Q46" i="4"/>
  <c r="S46" i="4"/>
  <c r="AB46" i="4"/>
  <c r="Q47" i="4"/>
  <c r="S47" i="4"/>
  <c r="AB47" i="4"/>
  <c r="Q48" i="4"/>
  <c r="S48" i="4"/>
  <c r="AB48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AY32" i="4"/>
  <c r="BN32" i="4" s="1"/>
  <c r="AZ32" i="4"/>
  <c r="BB32" i="4"/>
  <c r="BX32" i="4"/>
  <c r="BZ32" i="4"/>
  <c r="CQ32" i="4" s="1"/>
  <c r="CA32" i="4"/>
  <c r="CE32" i="4"/>
  <c r="CH32" i="4"/>
  <c r="CV32" i="4"/>
  <c r="CW32" i="4"/>
  <c r="AY33" i="4"/>
  <c r="AZ33" i="4"/>
  <c r="BB33" i="4"/>
  <c r="BX33" i="4"/>
  <c r="BZ33" i="4"/>
  <c r="CA33" i="4"/>
  <c r="CR33" i="4" s="1"/>
  <c r="CE33" i="4"/>
  <c r="CH33" i="4"/>
  <c r="CQ33" i="4"/>
  <c r="CV33" i="4"/>
  <c r="CW33" i="4"/>
  <c r="AY34" i="4"/>
  <c r="AZ34" i="4"/>
  <c r="BB34" i="4"/>
  <c r="BX34" i="4"/>
  <c r="BZ34" i="4"/>
  <c r="CQ34" i="4" s="1"/>
  <c r="CA34" i="4"/>
  <c r="CR34" i="4" s="1"/>
  <c r="CE34" i="4"/>
  <c r="CH34" i="4"/>
  <c r="CV34" i="4"/>
  <c r="CW34" i="4"/>
  <c r="Q32" i="4"/>
  <c r="S32" i="4"/>
  <c r="AB32" i="4"/>
  <c r="Q33" i="4"/>
  <c r="CP33" i="4" s="1"/>
  <c r="S33" i="4"/>
  <c r="AB33" i="4"/>
  <c r="AM33" i="4"/>
  <c r="CF33" i="4" s="1"/>
  <c r="Q34" i="4"/>
  <c r="CP34" i="4" s="1"/>
  <c r="S34" i="4"/>
  <c r="AB34" i="4"/>
  <c r="B32" i="4"/>
  <c r="C32" i="4"/>
  <c r="B33" i="4"/>
  <c r="C33" i="4"/>
  <c r="B34" i="4"/>
  <c r="C34" i="4"/>
  <c r="AC83" i="4"/>
  <c r="AZ29" i="4"/>
  <c r="BB29" i="4"/>
  <c r="BX29" i="4"/>
  <c r="BZ29" i="4"/>
  <c r="CQ29" i="4" s="1"/>
  <c r="CA29" i="4"/>
  <c r="CR29" i="4" s="1"/>
  <c r="CE29" i="4"/>
  <c r="CH29" i="4"/>
  <c r="CV29" i="4"/>
  <c r="CW29" i="4"/>
  <c r="AZ30" i="4"/>
  <c r="BB30" i="4"/>
  <c r="BX30" i="4"/>
  <c r="BZ30" i="4"/>
  <c r="CQ30" i="4" s="1"/>
  <c r="CA30" i="4"/>
  <c r="CE30" i="4"/>
  <c r="CH30" i="4"/>
  <c r="CV30" i="4"/>
  <c r="CW30" i="4"/>
  <c r="AZ31" i="4"/>
  <c r="BB31" i="4"/>
  <c r="BX31" i="4"/>
  <c r="BZ31" i="4"/>
  <c r="CQ31" i="4" s="1"/>
  <c r="CA31" i="4"/>
  <c r="CR31" i="4" s="1"/>
  <c r="CE31" i="4"/>
  <c r="CH31" i="4"/>
  <c r="CV31" i="4"/>
  <c r="CW31" i="4"/>
  <c r="AY29" i="4"/>
  <c r="BN29" i="4" s="1"/>
  <c r="BO29" i="4" s="1"/>
  <c r="AY30" i="4"/>
  <c r="BN30" i="4" s="1"/>
  <c r="BW30" i="4" s="1"/>
  <c r="AY31" i="4"/>
  <c r="CO31" i="4" s="1"/>
  <c r="Q29" i="4"/>
  <c r="S29" i="4"/>
  <c r="AB29" i="4"/>
  <c r="Q30" i="4"/>
  <c r="S30" i="4"/>
  <c r="AB30" i="4"/>
  <c r="Q31" i="4"/>
  <c r="CP31" i="4" s="1"/>
  <c r="S31" i="4"/>
  <c r="AB31" i="4"/>
  <c r="B29" i="4"/>
  <c r="C29" i="4"/>
  <c r="B30" i="4"/>
  <c r="C30" i="4"/>
  <c r="B31" i="4"/>
  <c r="C31" i="4"/>
  <c r="AY26" i="4"/>
  <c r="BN26" i="4" s="1"/>
  <c r="AZ26" i="4"/>
  <c r="BB26" i="4"/>
  <c r="BX26" i="4"/>
  <c r="BZ26" i="4"/>
  <c r="CA26" i="4"/>
  <c r="CR26" i="4" s="1"/>
  <c r="CE26" i="4"/>
  <c r="CH26" i="4"/>
  <c r="CV26" i="4"/>
  <c r="CW26" i="4"/>
  <c r="AY27" i="4"/>
  <c r="CO27" i="4" s="1"/>
  <c r="AZ27" i="4"/>
  <c r="BB27" i="4"/>
  <c r="BX27" i="4"/>
  <c r="BZ27" i="4"/>
  <c r="CQ27" i="4" s="1"/>
  <c r="CA27" i="4"/>
  <c r="CR27" i="4" s="1"/>
  <c r="CE27" i="4"/>
  <c r="CH27" i="4"/>
  <c r="CV27" i="4"/>
  <c r="CW27" i="4"/>
  <c r="AY28" i="4"/>
  <c r="BN28" i="4" s="1"/>
  <c r="AZ28" i="4"/>
  <c r="BB28" i="4"/>
  <c r="BX28" i="4"/>
  <c r="BZ28" i="4"/>
  <c r="CQ28" i="4" s="1"/>
  <c r="CA28" i="4"/>
  <c r="CR28" i="4" s="1"/>
  <c r="CE28" i="4"/>
  <c r="CH28" i="4"/>
  <c r="CV28" i="4"/>
  <c r="CW28" i="4"/>
  <c r="Q26" i="4"/>
  <c r="S26" i="4"/>
  <c r="AB26" i="4"/>
  <c r="Q27" i="4"/>
  <c r="CP27" i="4" s="1"/>
  <c r="S27" i="4"/>
  <c r="AB27" i="4"/>
  <c r="Q28" i="4"/>
  <c r="CP28" i="4" s="1"/>
  <c r="S28" i="4"/>
  <c r="AB28" i="4"/>
  <c r="B26" i="4"/>
  <c r="C26" i="4"/>
  <c r="B27" i="4"/>
  <c r="C27" i="4"/>
  <c r="B28" i="4"/>
  <c r="C28" i="4"/>
  <c r="CW84" i="4"/>
  <c r="C84" i="4"/>
  <c r="CB75" i="4" l="1"/>
  <c r="CB34" i="4"/>
  <c r="CR41" i="4"/>
  <c r="CQ70" i="4"/>
  <c r="CR70" i="4"/>
  <c r="AM67" i="4"/>
  <c r="CQ41" i="4"/>
  <c r="CB48" i="4"/>
  <c r="CQ66" i="4"/>
  <c r="CR66" i="4"/>
  <c r="CB57" i="4"/>
  <c r="CQ74" i="4"/>
  <c r="CR74" i="4"/>
  <c r="CB35" i="4"/>
  <c r="D11" i="5"/>
  <c r="CB56" i="4"/>
  <c r="BO67" i="4"/>
  <c r="AM69" i="4"/>
  <c r="BS76" i="4"/>
  <c r="BT76" i="4" s="1"/>
  <c r="CF76" i="4"/>
  <c r="BS77" i="4"/>
  <c r="BT77" i="4" s="1"/>
  <c r="BW77" i="4"/>
  <c r="BY77" i="4" s="1"/>
  <c r="BW76" i="4"/>
  <c r="BY76" i="4" s="1"/>
  <c r="CL76" i="4"/>
  <c r="CM76" i="4" s="1"/>
  <c r="CO76" i="4"/>
  <c r="CP76" i="4"/>
  <c r="CF77" i="4"/>
  <c r="CG77" i="4"/>
  <c r="CL77" i="4"/>
  <c r="CM77" i="4" s="1"/>
  <c r="CN77" i="4"/>
  <c r="CO77" i="4"/>
  <c r="CP77" i="4"/>
  <c r="AD76" i="4"/>
  <c r="CB74" i="4"/>
  <c r="AM73" i="4"/>
  <c r="CB41" i="4"/>
  <c r="BO76" i="4"/>
  <c r="BP77" i="4"/>
  <c r="AD58" i="4"/>
  <c r="BO65" i="4"/>
  <c r="BO72" i="4"/>
  <c r="AM68" i="4"/>
  <c r="AD71" i="4"/>
  <c r="CF64" i="4"/>
  <c r="BS65" i="4"/>
  <c r="BT65" i="4" s="1"/>
  <c r="BW65" i="4"/>
  <c r="BY65" i="4" s="1"/>
  <c r="CF65" i="4"/>
  <c r="CG65" i="4"/>
  <c r="CL69" i="4"/>
  <c r="CM69" i="4" s="1"/>
  <c r="CN69" i="4"/>
  <c r="CO69" i="4"/>
  <c r="CP69" i="4"/>
  <c r="CP72" i="4"/>
  <c r="CF73" i="4"/>
  <c r="CP73" i="4"/>
  <c r="CP74" i="4"/>
  <c r="BO66" i="4"/>
  <c r="CL65" i="4"/>
  <c r="CM65" i="4" s="1"/>
  <c r="BS66" i="4"/>
  <c r="BT66" i="4" s="1"/>
  <c r="BW66" i="4"/>
  <c r="BY66" i="4" s="1"/>
  <c r="CF66" i="4"/>
  <c r="CO65" i="4"/>
  <c r="CP65" i="4"/>
  <c r="CF67" i="4"/>
  <c r="CF71" i="4"/>
  <c r="CP71" i="4"/>
  <c r="CF72" i="4"/>
  <c r="CF74" i="4"/>
  <c r="CF75" i="4"/>
  <c r="CP75" i="4"/>
  <c r="BO64" i="4"/>
  <c r="AD73" i="4"/>
  <c r="AD74" i="4"/>
  <c r="CQ62" i="4"/>
  <c r="BW64" i="4"/>
  <c r="CL64" i="4"/>
  <c r="CM64" i="4" s="1"/>
  <c r="CO64" i="4"/>
  <c r="CP64" i="4"/>
  <c r="CL66" i="4"/>
  <c r="CO66" i="4"/>
  <c r="CP66" i="4"/>
  <c r="BW67" i="4"/>
  <c r="BY67" i="4" s="1"/>
  <c r="CB67" i="4"/>
  <c r="CL67" i="4"/>
  <c r="CM67" i="4" s="1"/>
  <c r="CO67" i="4"/>
  <c r="CP67" i="4"/>
  <c r="BS68" i="4"/>
  <c r="BT68" i="4" s="1"/>
  <c r="BW68" i="4"/>
  <c r="BY68" i="4" s="1"/>
  <c r="CL68" i="4"/>
  <c r="CM68" i="4" s="1"/>
  <c r="CO68" i="4"/>
  <c r="CP68" i="4"/>
  <c r="BS69" i="4"/>
  <c r="BW69" i="4"/>
  <c r="BY69" i="4" s="1"/>
  <c r="CG69" i="4"/>
  <c r="BO68" i="4"/>
  <c r="AD64" i="4"/>
  <c r="AD65" i="4"/>
  <c r="AD67" i="4"/>
  <c r="AD69" i="4"/>
  <c r="AD70" i="4"/>
  <c r="CF70" i="4"/>
  <c r="CP70" i="4"/>
  <c r="BW73" i="4"/>
  <c r="BY73" i="4" s="1"/>
  <c r="CL73" i="4"/>
  <c r="CM73" i="4" s="1"/>
  <c r="BS74" i="4"/>
  <c r="BT74" i="4" s="1"/>
  <c r="CL74" i="4"/>
  <c r="CM74" i="4" s="1"/>
  <c r="CO74" i="4"/>
  <c r="BS75" i="4"/>
  <c r="BT75" i="4" s="1"/>
  <c r="BW75" i="4"/>
  <c r="BY75" i="4" s="1"/>
  <c r="CL75" i="4"/>
  <c r="CM75" i="4" s="1"/>
  <c r="CO75" i="4"/>
  <c r="BO74" i="4"/>
  <c r="BO75" i="4"/>
  <c r="BS73" i="4"/>
  <c r="BT73" i="4" s="1"/>
  <c r="CO73" i="4"/>
  <c r="BW74" i="4"/>
  <c r="BY74" i="4" s="1"/>
  <c r="BO73" i="4"/>
  <c r="BS70" i="4"/>
  <c r="BT70" i="4" s="1"/>
  <c r="CL70" i="4"/>
  <c r="CM70" i="4" s="1"/>
  <c r="CO70" i="4"/>
  <c r="CS70" i="4" s="1"/>
  <c r="BS71" i="4"/>
  <c r="BT71" i="4" s="1"/>
  <c r="BW71" i="4"/>
  <c r="BY71" i="4" s="1"/>
  <c r="CG71" i="4"/>
  <c r="CL71" i="4"/>
  <c r="CM71" i="4" s="1"/>
  <c r="CN71" i="4"/>
  <c r="CO71" i="4"/>
  <c r="CS71" i="4" s="1"/>
  <c r="BS72" i="4"/>
  <c r="BT72" i="4" s="1"/>
  <c r="BW72" i="4"/>
  <c r="BY72" i="4" s="1"/>
  <c r="CL72" i="4"/>
  <c r="CM72" i="4" s="1"/>
  <c r="CO72" i="4"/>
  <c r="BN70" i="4"/>
  <c r="BW70" i="4" s="1"/>
  <c r="BY70" i="4" s="1"/>
  <c r="BO70" i="4"/>
  <c r="BP71" i="4"/>
  <c r="BS67" i="4"/>
  <c r="BT67" i="4" s="1"/>
  <c r="BS64" i="4"/>
  <c r="BT64" i="4" s="1"/>
  <c r="C66" i="4"/>
  <c r="C65" i="4"/>
  <c r="C67" i="4"/>
  <c r="C68" i="4"/>
  <c r="C69" i="4"/>
  <c r="C70" i="4"/>
  <c r="C71" i="4"/>
  <c r="C72" i="4"/>
  <c r="C73" i="4"/>
  <c r="C74" i="4"/>
  <c r="C75" i="4"/>
  <c r="C64" i="4"/>
  <c r="AD75" i="4"/>
  <c r="AD68" i="4"/>
  <c r="AM60" i="4"/>
  <c r="CQ54" i="4"/>
  <c r="CR54" i="4"/>
  <c r="CB54" i="4"/>
  <c r="CB52" i="4"/>
  <c r="CB43" i="4"/>
  <c r="CB45" i="4"/>
  <c r="AD60" i="4"/>
  <c r="CB50" i="4"/>
  <c r="AM62" i="4"/>
  <c r="AD62" i="4"/>
  <c r="CB49" i="4"/>
  <c r="CB37" i="4"/>
  <c r="CR47" i="4"/>
  <c r="AD33" i="4"/>
  <c r="AD49" i="4"/>
  <c r="AD51" i="4"/>
  <c r="AD50" i="4"/>
  <c r="CQ47" i="4"/>
  <c r="AD57" i="4"/>
  <c r="AM57" i="4"/>
  <c r="CB44" i="4"/>
  <c r="CB59" i="4"/>
  <c r="CB46" i="4"/>
  <c r="CB63" i="4"/>
  <c r="AM55" i="4"/>
  <c r="CB60" i="4"/>
  <c r="AD52" i="4"/>
  <c r="CO32" i="4"/>
  <c r="AM56" i="4"/>
  <c r="BN61" i="4"/>
  <c r="BS61" i="4"/>
  <c r="CL61" i="4"/>
  <c r="CM61" i="4" s="1"/>
  <c r="CO61" i="4"/>
  <c r="CP61" i="4"/>
  <c r="BN62" i="4"/>
  <c r="BW62" i="4" s="1"/>
  <c r="BS62" i="4"/>
  <c r="CF62" i="4"/>
  <c r="CL62" i="4"/>
  <c r="CM62" i="4" s="1"/>
  <c r="CO62" i="4"/>
  <c r="CP62" i="4"/>
  <c r="BN63" i="4"/>
  <c r="BW63" i="4" s="1"/>
  <c r="BS63" i="4"/>
  <c r="CL63" i="4"/>
  <c r="CM63" i="4" s="1"/>
  <c r="CP63" i="4"/>
  <c r="AM61" i="4"/>
  <c r="CF61" i="4" s="1"/>
  <c r="AD61" i="4"/>
  <c r="CF63" i="4"/>
  <c r="CO63" i="4"/>
  <c r="CS63" i="4" s="1"/>
  <c r="CB55" i="4"/>
  <c r="BT62" i="4"/>
  <c r="CS62" i="4"/>
  <c r="BY63" i="4"/>
  <c r="BO61" i="4"/>
  <c r="BO62" i="4"/>
  <c r="BY62" i="4"/>
  <c r="CB62" i="4"/>
  <c r="CB61" i="4"/>
  <c r="AD63" i="4"/>
  <c r="CQ37" i="4"/>
  <c r="CR37" i="4"/>
  <c r="CQ50" i="4"/>
  <c r="CR50" i="4"/>
  <c r="CO52" i="4"/>
  <c r="AD56" i="4"/>
  <c r="AD55" i="4"/>
  <c r="CL55" i="4"/>
  <c r="CM55" i="4" s="1"/>
  <c r="CO55" i="4"/>
  <c r="CP55" i="4"/>
  <c r="CQ55" i="4"/>
  <c r="CR55" i="4"/>
  <c r="CL56" i="4"/>
  <c r="CM56" i="4" s="1"/>
  <c r="CO56" i="4"/>
  <c r="CP56" i="4"/>
  <c r="CQ56" i="4"/>
  <c r="CR56" i="4"/>
  <c r="CL57" i="4"/>
  <c r="CM57" i="4" s="1"/>
  <c r="CO57" i="4"/>
  <c r="CP57" i="4"/>
  <c r="CQ57" i="4"/>
  <c r="CR57" i="4"/>
  <c r="CF58" i="4"/>
  <c r="CL58" i="4"/>
  <c r="CM58" i="4" s="1"/>
  <c r="CO58" i="4"/>
  <c r="CP58" i="4"/>
  <c r="CQ58" i="4"/>
  <c r="CR58" i="4"/>
  <c r="CF59" i="4"/>
  <c r="CL59" i="4"/>
  <c r="CM59" i="4" s="1"/>
  <c r="CO59" i="4"/>
  <c r="CP59" i="4"/>
  <c r="CQ59" i="4"/>
  <c r="CR59" i="4"/>
  <c r="CL60" i="4"/>
  <c r="CO60" i="4"/>
  <c r="CP60" i="4"/>
  <c r="CQ60" i="4"/>
  <c r="CR60" i="4"/>
  <c r="BN55" i="4"/>
  <c r="BW55" i="4" s="1"/>
  <c r="BY55" i="4" s="1"/>
  <c r="BS55" i="4"/>
  <c r="BT55" i="4" s="1"/>
  <c r="BN56" i="4"/>
  <c r="BW56" i="4" s="1"/>
  <c r="BY56" i="4" s="1"/>
  <c r="BS56" i="4"/>
  <c r="BT56" i="4" s="1"/>
  <c r="BN57" i="4"/>
  <c r="BW57" i="4" s="1"/>
  <c r="BY57" i="4" s="1"/>
  <c r="BS57" i="4"/>
  <c r="BT57" i="4" s="1"/>
  <c r="BN58" i="4"/>
  <c r="BW58" i="4" s="1"/>
  <c r="BY58" i="4" s="1"/>
  <c r="BS58" i="4"/>
  <c r="BT58" i="4" s="1"/>
  <c r="BN59" i="4"/>
  <c r="BW59" i="4" s="1"/>
  <c r="BY59" i="4" s="1"/>
  <c r="BS59" i="4"/>
  <c r="BT59" i="4" s="1"/>
  <c r="BN60" i="4"/>
  <c r="BW60" i="4" s="1"/>
  <c r="BS60" i="4"/>
  <c r="BT60" i="4" s="1"/>
  <c r="CB39" i="4"/>
  <c r="CQ39" i="4"/>
  <c r="CB51" i="4"/>
  <c r="CQ51" i="4"/>
  <c r="C56" i="4"/>
  <c r="C57" i="4"/>
  <c r="C58" i="4"/>
  <c r="C59" i="4"/>
  <c r="C60" i="4"/>
  <c r="C55" i="4"/>
  <c r="CO50" i="4"/>
  <c r="CO51" i="4"/>
  <c r="CB47" i="4"/>
  <c r="CL49" i="4"/>
  <c r="CM49" i="4" s="1"/>
  <c r="CO49" i="4"/>
  <c r="CP49" i="4"/>
  <c r="BS50" i="4"/>
  <c r="BT50" i="4" s="1"/>
  <c r="CL50" i="4"/>
  <c r="CM50" i="4" s="1"/>
  <c r="CP50" i="4"/>
  <c r="BS51" i="4"/>
  <c r="BT51" i="4" s="1"/>
  <c r="CL51" i="4"/>
  <c r="CM51" i="4" s="1"/>
  <c r="CP51" i="4"/>
  <c r="BS52" i="4"/>
  <c r="BT52" i="4" s="1"/>
  <c r="CL52" i="4"/>
  <c r="CM52" i="4" s="1"/>
  <c r="CP52" i="4"/>
  <c r="BS53" i="4"/>
  <c r="BT53" i="4" s="1"/>
  <c r="CL53" i="4"/>
  <c r="CM53" i="4" s="1"/>
  <c r="CO53" i="4"/>
  <c r="CP53" i="4"/>
  <c r="CQ53" i="4"/>
  <c r="CR53" i="4"/>
  <c r="BS54" i="4"/>
  <c r="BT54" i="4" s="1"/>
  <c r="CL54" i="4"/>
  <c r="CM54" i="4" s="1"/>
  <c r="CO54" i="4"/>
  <c r="CP54" i="4"/>
  <c r="BN49" i="4"/>
  <c r="BN50" i="4"/>
  <c r="BN51" i="4"/>
  <c r="CQ40" i="4"/>
  <c r="CR40" i="4"/>
  <c r="BS49" i="4"/>
  <c r="BT49" i="4" s="1"/>
  <c r="BN52" i="4"/>
  <c r="BW52" i="4" s="1"/>
  <c r="BY52" i="4" s="1"/>
  <c r="BN53" i="4"/>
  <c r="BW53" i="4" s="1"/>
  <c r="BY53" i="4" s="1"/>
  <c r="BN54" i="4"/>
  <c r="BW54" i="4" s="1"/>
  <c r="BY54" i="4" s="1"/>
  <c r="AM49" i="4"/>
  <c r="AM50" i="4"/>
  <c r="AM51" i="4"/>
  <c r="CF51" i="4" s="1"/>
  <c r="AM52" i="4"/>
  <c r="CF52" i="4" s="1"/>
  <c r="AM53" i="4"/>
  <c r="CF53" i="4" s="1"/>
  <c r="AM54" i="4"/>
  <c r="CF54" i="4" s="1"/>
  <c r="CB36" i="4"/>
  <c r="CQ36" i="4"/>
  <c r="CB53" i="4"/>
  <c r="BS37" i="4"/>
  <c r="BT37" i="4" s="1"/>
  <c r="BN37" i="4"/>
  <c r="BW37" i="4" s="1"/>
  <c r="BY37" i="4" s="1"/>
  <c r="CL37" i="4"/>
  <c r="CM37" i="4" s="1"/>
  <c r="CO37" i="4"/>
  <c r="CR30" i="4"/>
  <c r="CB30" i="4"/>
  <c r="AA3" i="102" s="1"/>
  <c r="BN35" i="4"/>
  <c r="BW35" i="4" s="1"/>
  <c r="BY35" i="4" s="1"/>
  <c r="BS35" i="4"/>
  <c r="BT35" i="4" s="1"/>
  <c r="CL35" i="4"/>
  <c r="CM35" i="4" s="1"/>
  <c r="CO35" i="4"/>
  <c r="CS35" i="4" s="1"/>
  <c r="BN36" i="4"/>
  <c r="BW36" i="4" s="1"/>
  <c r="BY36" i="4" s="1"/>
  <c r="BO36" i="4"/>
  <c r="BS36" i="4"/>
  <c r="BT36" i="4" s="1"/>
  <c r="BN38" i="4"/>
  <c r="BW38" i="4" s="1"/>
  <c r="BY38" i="4" s="1"/>
  <c r="BS38" i="4"/>
  <c r="BT38" i="4" s="1"/>
  <c r="CL38" i="4"/>
  <c r="CM38" i="4" s="1"/>
  <c r="CO38" i="4"/>
  <c r="BN39" i="4"/>
  <c r="BW39" i="4" s="1"/>
  <c r="BY39" i="4" s="1"/>
  <c r="BS39" i="4"/>
  <c r="BT39" i="4" s="1"/>
  <c r="CL39" i="4"/>
  <c r="CM39" i="4" s="1"/>
  <c r="CO39" i="4"/>
  <c r="CL40" i="4"/>
  <c r="CM40" i="4" s="1"/>
  <c r="CO40" i="4"/>
  <c r="BN40" i="4"/>
  <c r="BS40" i="4"/>
  <c r="BT40" i="4" s="1"/>
  <c r="CO41" i="4"/>
  <c r="CL41" i="4"/>
  <c r="CM41" i="4" s="1"/>
  <c r="BS41" i="4"/>
  <c r="BT41" i="4" s="1"/>
  <c r="BN41" i="4"/>
  <c r="BN42" i="4"/>
  <c r="BW42" i="4" s="1"/>
  <c r="BY42" i="4" s="1"/>
  <c r="CO42" i="4"/>
  <c r="CL42" i="4"/>
  <c r="CM42" i="4" s="1"/>
  <c r="BS42" i="4"/>
  <c r="BT42" i="4" s="1"/>
  <c r="CL43" i="4"/>
  <c r="CM43" i="4" s="1"/>
  <c r="CO43" i="4"/>
  <c r="BN43" i="4"/>
  <c r="BS43" i="4"/>
  <c r="BT43" i="4" s="1"/>
  <c r="CO44" i="4"/>
  <c r="CL44" i="4"/>
  <c r="CM44" i="4" s="1"/>
  <c r="BN44" i="4"/>
  <c r="BW44" i="4" s="1"/>
  <c r="BY44" i="4" s="1"/>
  <c r="BO44" i="4"/>
  <c r="BS44" i="4"/>
  <c r="BT44" i="4" s="1"/>
  <c r="CO45" i="4"/>
  <c r="CL45" i="4"/>
  <c r="CM45" i="4" s="1"/>
  <c r="BS45" i="4"/>
  <c r="BT45" i="4" s="1"/>
  <c r="BN45" i="4"/>
  <c r="CL46" i="4"/>
  <c r="CM46" i="4" s="1"/>
  <c r="CO46" i="4"/>
  <c r="BS46" i="4"/>
  <c r="BT46" i="4" s="1"/>
  <c r="BN46" i="4"/>
  <c r="CO47" i="4"/>
  <c r="BN47" i="4"/>
  <c r="BW47" i="4" s="1"/>
  <c r="BY47" i="4" s="1"/>
  <c r="BS47" i="4"/>
  <c r="BT47" i="4" s="1"/>
  <c r="CL47" i="4"/>
  <c r="CM47" i="4" s="1"/>
  <c r="CO48" i="4"/>
  <c r="BN48" i="4"/>
  <c r="BW48" i="4" s="1"/>
  <c r="BY48" i="4" s="1"/>
  <c r="CL48" i="4"/>
  <c r="CM48" i="4" s="1"/>
  <c r="BS48" i="4"/>
  <c r="BT48" i="4" s="1"/>
  <c r="CP36" i="4"/>
  <c r="CL36" i="4"/>
  <c r="CM36" i="4" s="1"/>
  <c r="CP38" i="4"/>
  <c r="AD38" i="4"/>
  <c r="AM38" i="4"/>
  <c r="CF38" i="4" s="1"/>
  <c r="AD39" i="4"/>
  <c r="CP39" i="4"/>
  <c r="AM39" i="4"/>
  <c r="CF39" i="4" s="1"/>
  <c r="CP40" i="4"/>
  <c r="AD40" i="4"/>
  <c r="AM40" i="4"/>
  <c r="CF40" i="4" s="1"/>
  <c r="AD41" i="4"/>
  <c r="AM41" i="4"/>
  <c r="CF41" i="4" s="1"/>
  <c r="CP41" i="4"/>
  <c r="CP42" i="4"/>
  <c r="AD42" i="4"/>
  <c r="AM42" i="4"/>
  <c r="CF42" i="4" s="1"/>
  <c r="CP43" i="4"/>
  <c r="AD43" i="4"/>
  <c r="AM43" i="4"/>
  <c r="CF43" i="4" s="1"/>
  <c r="CP44" i="4"/>
  <c r="AD44" i="4"/>
  <c r="AM44" i="4"/>
  <c r="CF44" i="4" s="1"/>
  <c r="AD45" i="4"/>
  <c r="CP45" i="4"/>
  <c r="AM45" i="4"/>
  <c r="CF45" i="4" s="1"/>
  <c r="AD46" i="4"/>
  <c r="CP46" i="4"/>
  <c r="AM46" i="4"/>
  <c r="CF46" i="4" s="1"/>
  <c r="AD47" i="4"/>
  <c r="AM47" i="4"/>
  <c r="CF47" i="4" s="1"/>
  <c r="CP47" i="4"/>
  <c r="AD48" i="4"/>
  <c r="CP48" i="4"/>
  <c r="AM48" i="4"/>
  <c r="CF48" i="4" s="1"/>
  <c r="CP32" i="4"/>
  <c r="CL32" i="4"/>
  <c r="CM32" i="4" s="1"/>
  <c r="AM35" i="4"/>
  <c r="CF35" i="4" s="1"/>
  <c r="AD35" i="4"/>
  <c r="AM36" i="4"/>
  <c r="CF36" i="4" s="1"/>
  <c r="AD36" i="4"/>
  <c r="AM37" i="4"/>
  <c r="AD37" i="4"/>
  <c r="BW32" i="4"/>
  <c r="BO32" i="4"/>
  <c r="CG32" i="4" s="1"/>
  <c r="CR32" i="4"/>
  <c r="CB32" i="4"/>
  <c r="BS32" i="4"/>
  <c r="BT32" i="4" s="1"/>
  <c r="BN33" i="4"/>
  <c r="CO33" i="4"/>
  <c r="CS33" i="4" s="1"/>
  <c r="CB33" i="4"/>
  <c r="AD32" i="4"/>
  <c r="AD34" i="4"/>
  <c r="CL34" i="4"/>
  <c r="CM34" i="4" s="1"/>
  <c r="BN34" i="4"/>
  <c r="BS34" i="4"/>
  <c r="BT34" i="4" s="1"/>
  <c r="CO34" i="4"/>
  <c r="CS34" i="4" s="1"/>
  <c r="CL33" i="4"/>
  <c r="CM33" i="4" s="1"/>
  <c r="BS33" i="4"/>
  <c r="BT33" i="4" s="1"/>
  <c r="AM32" i="4"/>
  <c r="AM34" i="4"/>
  <c r="CF34" i="4" s="1"/>
  <c r="AM30" i="4"/>
  <c r="CF30" i="4" s="1"/>
  <c r="BY30" i="4"/>
  <c r="AM29" i="4"/>
  <c r="CF29" i="4" s="1"/>
  <c r="AD29" i="4"/>
  <c r="CS31" i="4"/>
  <c r="BS31" i="4"/>
  <c r="BT31" i="4" s="1"/>
  <c r="BN31" i="4"/>
  <c r="BS29" i="4"/>
  <c r="BT29" i="4" s="1"/>
  <c r="AD31" i="4"/>
  <c r="CP30" i="4"/>
  <c r="CB31" i="4"/>
  <c r="CO26" i="4"/>
  <c r="CL30" i="4"/>
  <c r="CM30" i="4" s="1"/>
  <c r="CB29" i="4"/>
  <c r="CL31" i="4"/>
  <c r="CM31" i="4" s="1"/>
  <c r="CO30" i="4"/>
  <c r="AD30" i="4"/>
  <c r="CL27" i="4"/>
  <c r="CM27" i="4" s="1"/>
  <c r="CP29" i="4"/>
  <c r="CO29" i="4"/>
  <c r="BW29" i="4"/>
  <c r="BY29" i="4" s="1"/>
  <c r="CO28" i="4"/>
  <c r="CS28" i="4" s="1"/>
  <c r="BS30" i="4"/>
  <c r="BT30" i="4" s="1"/>
  <c r="CL29" i="4"/>
  <c r="CM29" i="4" s="1"/>
  <c r="AM31" i="4"/>
  <c r="CF31" i="4" s="1"/>
  <c r="BO30" i="4"/>
  <c r="CG29" i="4"/>
  <c r="CQ26" i="4"/>
  <c r="CB26" i="4"/>
  <c r="AD26" i="4"/>
  <c r="CB27" i="4"/>
  <c r="BS28" i="4"/>
  <c r="BT28" i="4" s="1"/>
  <c r="BW28" i="4"/>
  <c r="BY28" i="4" s="1"/>
  <c r="BO28" i="4"/>
  <c r="CS27" i="4"/>
  <c r="AD28" i="4"/>
  <c r="CP26" i="4"/>
  <c r="AD27" i="4"/>
  <c r="CL28" i="4"/>
  <c r="CM28" i="4" s="1"/>
  <c r="BS26" i="4"/>
  <c r="BT26" i="4" s="1"/>
  <c r="BN27" i="4"/>
  <c r="BW27" i="4" s="1"/>
  <c r="BY27" i="4" s="1"/>
  <c r="CL26" i="4"/>
  <c r="CM26" i="4" s="1"/>
  <c r="BW26" i="4"/>
  <c r="BY26" i="4" s="1"/>
  <c r="BO26" i="4"/>
  <c r="CB28" i="4"/>
  <c r="BS27" i="4"/>
  <c r="BT27" i="4" s="1"/>
  <c r="AM26" i="4"/>
  <c r="CF26" i="4" s="1"/>
  <c r="AM27" i="4"/>
  <c r="CF27" i="4" s="1"/>
  <c r="AM28" i="4"/>
  <c r="CF28" i="4" s="1"/>
  <c r="BB24" i="4"/>
  <c r="BX24" i="4"/>
  <c r="BZ24" i="4"/>
  <c r="CA24" i="4"/>
  <c r="CR24" i="4" s="1"/>
  <c r="CE24" i="4"/>
  <c r="CH24" i="4"/>
  <c r="CV24" i="4"/>
  <c r="CW24" i="4"/>
  <c r="BB25" i="4"/>
  <c r="BX25" i="4"/>
  <c r="BZ25" i="4"/>
  <c r="CA25" i="4"/>
  <c r="CR25" i="4" s="1"/>
  <c r="CE25" i="4"/>
  <c r="CH25" i="4"/>
  <c r="CV25" i="4"/>
  <c r="CW25" i="4"/>
  <c r="AY24" i="4"/>
  <c r="BW24" i="4" s="1"/>
  <c r="AZ24" i="4"/>
  <c r="AY25" i="4"/>
  <c r="AZ25" i="4"/>
  <c r="Q24" i="4"/>
  <c r="S24" i="4"/>
  <c r="AB24" i="4"/>
  <c r="Q25" i="4"/>
  <c r="CP25" i="4" s="1"/>
  <c r="S25" i="4"/>
  <c r="AB25" i="4"/>
  <c r="B24" i="4"/>
  <c r="C24" i="4"/>
  <c r="B25" i="4"/>
  <c r="C25" i="4"/>
  <c r="CW83" i="4"/>
  <c r="CG64" i="4" l="1"/>
  <c r="CM66" i="4"/>
  <c r="BY64" i="4"/>
  <c r="BP65" i="4"/>
  <c r="CG67" i="4"/>
  <c r="BP67" i="4"/>
  <c r="BP69" i="4"/>
  <c r="CN67" i="4"/>
  <c r="CF68" i="4"/>
  <c r="CF69" i="4"/>
  <c r="CS74" i="4"/>
  <c r="CS75" i="4"/>
  <c r="CS73" i="4"/>
  <c r="CG72" i="4"/>
  <c r="CN72" i="4"/>
  <c r="CS72" i="4"/>
  <c r="BT69" i="4"/>
  <c r="CS76" i="4"/>
  <c r="CS77" i="4"/>
  <c r="CS69" i="4"/>
  <c r="BO47" i="4"/>
  <c r="CN65" i="4"/>
  <c r="CS65" i="4"/>
  <c r="BP72" i="4"/>
  <c r="CS66" i="4"/>
  <c r="BP76" i="4"/>
  <c r="CG76" i="4"/>
  <c r="CN76" i="4"/>
  <c r="BQ77" i="4"/>
  <c r="BU77" i="4"/>
  <c r="BV77" i="4" s="1"/>
  <c r="CF60" i="4"/>
  <c r="BO63" i="4"/>
  <c r="BP63" i="4" s="1"/>
  <c r="BU65" i="4"/>
  <c r="BV65" i="4" s="1"/>
  <c r="BQ65" i="4"/>
  <c r="BP66" i="4"/>
  <c r="CN66" i="4"/>
  <c r="CG66" i="4"/>
  <c r="BP64" i="4"/>
  <c r="CN64" i="4"/>
  <c r="BQ67" i="4"/>
  <c r="BU67" i="4"/>
  <c r="BV67" i="4" s="1"/>
  <c r="BQ69" i="4"/>
  <c r="BU69" i="4"/>
  <c r="BV69" i="4" s="1"/>
  <c r="CN68" i="4"/>
  <c r="CG68" i="4"/>
  <c r="BP68" i="4"/>
  <c r="CS67" i="4"/>
  <c r="BO38" i="4"/>
  <c r="CS68" i="4"/>
  <c r="CS64" i="4"/>
  <c r="CN74" i="4"/>
  <c r="CG74" i="4"/>
  <c r="BP74" i="4"/>
  <c r="CN75" i="4"/>
  <c r="CG75" i="4"/>
  <c r="BP75" i="4"/>
  <c r="CG73" i="4"/>
  <c r="CN73" i="4"/>
  <c r="BP73" i="4"/>
  <c r="CN70" i="4"/>
  <c r="CG70" i="4"/>
  <c r="BP70" i="4"/>
  <c r="BU71" i="4"/>
  <c r="BV71" i="4" s="1"/>
  <c r="BQ71" i="4"/>
  <c r="BT63" i="4"/>
  <c r="BT61" i="4"/>
  <c r="BW61" i="4"/>
  <c r="BY61" i="4" s="1"/>
  <c r="BW49" i="4"/>
  <c r="BY49" i="4" s="1"/>
  <c r="BO39" i="4"/>
  <c r="AM25" i="4"/>
  <c r="CF25" i="4" s="1"/>
  <c r="BO48" i="4"/>
  <c r="BO37" i="4"/>
  <c r="CG37" i="4" s="1"/>
  <c r="BO60" i="4"/>
  <c r="CF55" i="4"/>
  <c r="BY32" i="4"/>
  <c r="BO35" i="4"/>
  <c r="BO54" i="4"/>
  <c r="CF57" i="4"/>
  <c r="CF56" i="4"/>
  <c r="BO59" i="4"/>
  <c r="BO50" i="4"/>
  <c r="BY60" i="4"/>
  <c r="CS32" i="4"/>
  <c r="BO51" i="4"/>
  <c r="BO53" i="4"/>
  <c r="CS51" i="4"/>
  <c r="CS61" i="4"/>
  <c r="BO52" i="4"/>
  <c r="CG61" i="4"/>
  <c r="CN61" i="4"/>
  <c r="BP61" i="4"/>
  <c r="CN62" i="4"/>
  <c r="CG62" i="4"/>
  <c r="BP62" i="4"/>
  <c r="CS50" i="4"/>
  <c r="CS37" i="4"/>
  <c r="BO56" i="4"/>
  <c r="BO57" i="4"/>
  <c r="BO55" i="4"/>
  <c r="CS57" i="4"/>
  <c r="CM60" i="4"/>
  <c r="CS52" i="4"/>
  <c r="BO58" i="4"/>
  <c r="CS55" i="4"/>
  <c r="CS56" i="4"/>
  <c r="CS58" i="4"/>
  <c r="CS59" i="4"/>
  <c r="CS60" i="4"/>
  <c r="BO49" i="4"/>
  <c r="CG49" i="4" s="1"/>
  <c r="CS49" i="4"/>
  <c r="BO42" i="4"/>
  <c r="CS53" i="4"/>
  <c r="CS54" i="4"/>
  <c r="BW51" i="4"/>
  <c r="BY51" i="4" s="1"/>
  <c r="BW50" i="4"/>
  <c r="BY50" i="4" s="1"/>
  <c r="CF49" i="4"/>
  <c r="CF50" i="4"/>
  <c r="CS36" i="4"/>
  <c r="BO41" i="4"/>
  <c r="CN41" i="4" s="1"/>
  <c r="BW41" i="4"/>
  <c r="BY41" i="4" s="1"/>
  <c r="CS38" i="4"/>
  <c r="CS39" i="4"/>
  <c r="CS40" i="4"/>
  <c r="AB1" i="102"/>
  <c r="CN36" i="4"/>
  <c r="CG36" i="4"/>
  <c r="BP36" i="4"/>
  <c r="CN44" i="4"/>
  <c r="CG44" i="4"/>
  <c r="BP44" i="4"/>
  <c r="CS41" i="4"/>
  <c r="CS42" i="4"/>
  <c r="CS43" i="4"/>
  <c r="CS44" i="4"/>
  <c r="CS46" i="4"/>
  <c r="CS47" i="4"/>
  <c r="CS48" i="4"/>
  <c r="CS45" i="4"/>
  <c r="BW40" i="4"/>
  <c r="BY40" i="4" s="1"/>
  <c r="BO40" i="4"/>
  <c r="BW43" i="4"/>
  <c r="BY43" i="4" s="1"/>
  <c r="BO43" i="4"/>
  <c r="BW45" i="4"/>
  <c r="BY45" i="4" s="1"/>
  <c r="BO45" i="4"/>
  <c r="BW46" i="4"/>
  <c r="BY46" i="4" s="1"/>
  <c r="BO46" i="4"/>
  <c r="CF37" i="4"/>
  <c r="BW33" i="4"/>
  <c r="BY33" i="4" s="1"/>
  <c r="BO33" i="4"/>
  <c r="BW31" i="4"/>
  <c r="BY31" i="4" s="1"/>
  <c r="BO31" i="4"/>
  <c r="CN31" i="4" s="1"/>
  <c r="BW34" i="4"/>
  <c r="BY34" i="4" s="1"/>
  <c r="BO34" i="4"/>
  <c r="BY24" i="4"/>
  <c r="CS30" i="4"/>
  <c r="CN32" i="4"/>
  <c r="BP32" i="4"/>
  <c r="CF32" i="4"/>
  <c r="CQ24" i="4"/>
  <c r="CB24" i="4"/>
  <c r="CN29" i="4"/>
  <c r="BP29" i="4"/>
  <c r="CS29" i="4"/>
  <c r="CS26" i="4"/>
  <c r="CN30" i="4"/>
  <c r="BP30" i="4"/>
  <c r="CG30" i="4"/>
  <c r="BO27" i="4"/>
  <c r="CN28" i="4"/>
  <c r="CG28" i="4"/>
  <c r="BP28" i="4"/>
  <c r="CN26" i="4"/>
  <c r="BP26" i="4"/>
  <c r="CG26" i="4"/>
  <c r="CB25" i="4"/>
  <c r="BS25" i="4"/>
  <c r="BT25" i="4" s="1"/>
  <c r="CL25" i="4"/>
  <c r="CM25" i="4" s="1"/>
  <c r="AD25" i="4"/>
  <c r="CQ25" i="4"/>
  <c r="AD24" i="4"/>
  <c r="BO25" i="4"/>
  <c r="BW25" i="4"/>
  <c r="BY25" i="4" s="1"/>
  <c r="CO24" i="4"/>
  <c r="AM24" i="4"/>
  <c r="CF24" i="4" s="1"/>
  <c r="CP24" i="4"/>
  <c r="CO25" i="4"/>
  <c r="CL24" i="4"/>
  <c r="CM24" i="4" s="1"/>
  <c r="BS24" i="4"/>
  <c r="BT24" i="4" s="1"/>
  <c r="BO24" i="4"/>
  <c r="C83" i="4"/>
  <c r="CN55" i="4" l="1"/>
  <c r="CG55" i="4"/>
  <c r="BP55" i="4"/>
  <c r="CN57" i="4"/>
  <c r="CG57" i="4"/>
  <c r="BP57" i="4"/>
  <c r="CN58" i="4"/>
  <c r="CG58" i="4"/>
  <c r="BP58" i="4"/>
  <c r="CN38" i="4"/>
  <c r="CG38" i="4"/>
  <c r="BP38" i="4"/>
  <c r="BU72" i="4"/>
  <c r="BV72" i="4" s="1"/>
  <c r="BQ72" i="4"/>
  <c r="CN63" i="4"/>
  <c r="CG63" i="4"/>
  <c r="BU63" i="4"/>
  <c r="BV63" i="4" s="1"/>
  <c r="BQ63" i="4"/>
  <c r="CG47" i="4"/>
  <c r="CN47" i="4"/>
  <c r="BP47" i="4"/>
  <c r="BU76" i="4"/>
  <c r="BV76" i="4" s="1"/>
  <c r="BQ76" i="4"/>
  <c r="BU66" i="4"/>
  <c r="BV66" i="4" s="1"/>
  <c r="BQ66" i="4"/>
  <c r="BU64" i="4"/>
  <c r="BV64" i="4" s="1"/>
  <c r="BQ64" i="4"/>
  <c r="BU68" i="4"/>
  <c r="BV68" i="4" s="1"/>
  <c r="BQ68" i="4"/>
  <c r="BU74" i="4"/>
  <c r="BV74" i="4" s="1"/>
  <c r="BQ74" i="4"/>
  <c r="BU75" i="4"/>
  <c r="BV75" i="4" s="1"/>
  <c r="BQ75" i="4"/>
  <c r="BQ73" i="4"/>
  <c r="BU73" i="4"/>
  <c r="BV73" i="4" s="1"/>
  <c r="BU70" i="4"/>
  <c r="BV70" i="4" s="1"/>
  <c r="BQ70" i="4"/>
  <c r="CN39" i="4"/>
  <c r="CG39" i="4"/>
  <c r="BP39" i="4"/>
  <c r="CG48" i="4"/>
  <c r="CN48" i="4"/>
  <c r="BP48" i="4"/>
  <c r="BP37" i="4"/>
  <c r="CN37" i="4"/>
  <c r="CN25" i="4"/>
  <c r="CN60" i="4"/>
  <c r="CG60" i="4"/>
  <c r="BP60" i="4"/>
  <c r="CN35" i="4"/>
  <c r="BP35" i="4"/>
  <c r="CG35" i="4"/>
  <c r="CN59" i="4"/>
  <c r="CG59" i="4"/>
  <c r="CG54" i="4"/>
  <c r="BP59" i="4"/>
  <c r="CN54" i="4"/>
  <c r="BP54" i="4"/>
  <c r="CN56" i="4"/>
  <c r="CG56" i="4"/>
  <c r="BP56" i="4"/>
  <c r="CN50" i="4"/>
  <c r="CG50" i="4"/>
  <c r="BP50" i="4"/>
  <c r="CG51" i="4"/>
  <c r="CN51" i="4"/>
  <c r="CG52" i="4"/>
  <c r="CN52" i="4"/>
  <c r="BP52" i="4"/>
  <c r="CN53" i="4"/>
  <c r="CG53" i="4"/>
  <c r="BP53" i="4"/>
  <c r="BP51" i="4"/>
  <c r="BQ61" i="4"/>
  <c r="BU61" i="4"/>
  <c r="BV61" i="4" s="1"/>
  <c r="BU62" i="4"/>
  <c r="BV62" i="4" s="1"/>
  <c r="BQ62" i="4"/>
  <c r="CN49" i="4"/>
  <c r="BP42" i="4"/>
  <c r="CG42" i="4"/>
  <c r="CN42" i="4"/>
  <c r="CG41" i="4"/>
  <c r="BP41" i="4"/>
  <c r="BP49" i="4"/>
  <c r="BU36" i="4"/>
  <c r="BV36" i="4" s="1"/>
  <c r="BQ36" i="4"/>
  <c r="BU44" i="4"/>
  <c r="BV44" i="4" s="1"/>
  <c r="BQ44" i="4"/>
  <c r="BP40" i="4"/>
  <c r="CG40" i="4"/>
  <c r="CN40" i="4"/>
  <c r="BP43" i="4"/>
  <c r="CG43" i="4"/>
  <c r="CN43" i="4"/>
  <c r="BP45" i="4"/>
  <c r="CG45" i="4"/>
  <c r="CN45" i="4"/>
  <c r="BP46" i="4"/>
  <c r="CG46" i="4"/>
  <c r="CN46" i="4"/>
  <c r="BP33" i="4"/>
  <c r="CG33" i="4"/>
  <c r="CN33" i="4"/>
  <c r="CG31" i="4"/>
  <c r="BP31" i="4"/>
  <c r="BQ29" i="4"/>
  <c r="BU29" i="4"/>
  <c r="BV29" i="4" s="1"/>
  <c r="CG34" i="4"/>
  <c r="BP34" i="4"/>
  <c r="CN34" i="4"/>
  <c r="BQ34" i="4"/>
  <c r="BU34" i="4"/>
  <c r="BV34" i="4" s="1"/>
  <c r="BU32" i="4"/>
  <c r="BV32" i="4" s="1"/>
  <c r="BQ32" i="4"/>
  <c r="BU30" i="4"/>
  <c r="BV30" i="4" s="1"/>
  <c r="BQ30" i="4"/>
  <c r="CS25" i="4"/>
  <c r="CS24" i="4"/>
  <c r="BU28" i="4"/>
  <c r="BV28" i="4" s="1"/>
  <c r="BQ28" i="4"/>
  <c r="BP27" i="4"/>
  <c r="CG27" i="4"/>
  <c r="CN27" i="4"/>
  <c r="BQ26" i="4"/>
  <c r="BU26" i="4"/>
  <c r="BV26" i="4" s="1"/>
  <c r="CG25" i="4"/>
  <c r="BP25" i="4"/>
  <c r="BQ25" i="4" s="1"/>
  <c r="BP24" i="4"/>
  <c r="CG24" i="4"/>
  <c r="CN24" i="4"/>
  <c r="S1" i="102"/>
  <c r="AY18" i="4"/>
  <c r="BW18" i="4" s="1"/>
  <c r="AZ18" i="4"/>
  <c r="BB18" i="4"/>
  <c r="BX18" i="4"/>
  <c r="BZ18" i="4"/>
  <c r="CQ18" i="4" s="1"/>
  <c r="CA18" i="4"/>
  <c r="CR18" i="4" s="1"/>
  <c r="CE18" i="4"/>
  <c r="CH18" i="4"/>
  <c r="CV18" i="4"/>
  <c r="CW18" i="4"/>
  <c r="AY19" i="4"/>
  <c r="BW19" i="4" s="1"/>
  <c r="AZ19" i="4"/>
  <c r="BB19" i="4"/>
  <c r="BX19" i="4"/>
  <c r="BZ19" i="4"/>
  <c r="CA19" i="4"/>
  <c r="CR19" i="4" s="1"/>
  <c r="CE19" i="4"/>
  <c r="CH19" i="4"/>
  <c r="CV19" i="4"/>
  <c r="CW19" i="4"/>
  <c r="AY20" i="4"/>
  <c r="AZ20" i="4"/>
  <c r="BB20" i="4"/>
  <c r="BX20" i="4"/>
  <c r="BZ20" i="4"/>
  <c r="CQ20" i="4" s="1"/>
  <c r="CA20" i="4"/>
  <c r="CR20" i="4" s="1"/>
  <c r="CE20" i="4"/>
  <c r="CH20" i="4"/>
  <c r="CV20" i="4"/>
  <c r="CW20" i="4"/>
  <c r="AY21" i="4"/>
  <c r="AZ21" i="4"/>
  <c r="BB21" i="4"/>
  <c r="BX21" i="4"/>
  <c r="BZ21" i="4"/>
  <c r="CQ21" i="4" s="1"/>
  <c r="CA21" i="4"/>
  <c r="CR21" i="4" s="1"/>
  <c r="CE21" i="4"/>
  <c r="CH21" i="4"/>
  <c r="CV21" i="4"/>
  <c r="CW21" i="4"/>
  <c r="AY22" i="4"/>
  <c r="BW22" i="4" s="1"/>
  <c r="AZ22" i="4"/>
  <c r="BB22" i="4"/>
  <c r="BX22" i="4"/>
  <c r="BZ22" i="4"/>
  <c r="CA22" i="4"/>
  <c r="CR22" i="4" s="1"/>
  <c r="CE22" i="4"/>
  <c r="CH22" i="4"/>
  <c r="CV22" i="4"/>
  <c r="CW22" i="4"/>
  <c r="AY23" i="4"/>
  <c r="CO23" i="4" s="1"/>
  <c r="AZ23" i="4"/>
  <c r="BB23" i="4"/>
  <c r="BX23" i="4"/>
  <c r="BZ23" i="4"/>
  <c r="CQ23" i="4" s="1"/>
  <c r="CA23" i="4"/>
  <c r="CR23" i="4" s="1"/>
  <c r="CE23" i="4"/>
  <c r="CH23" i="4"/>
  <c r="CV23" i="4"/>
  <c r="CW23" i="4"/>
  <c r="Q18" i="4"/>
  <c r="CP18" i="4" s="1"/>
  <c r="S18" i="4"/>
  <c r="AB18" i="4"/>
  <c r="Q19" i="4"/>
  <c r="CP19" i="4" s="1"/>
  <c r="S19" i="4"/>
  <c r="AB19" i="4"/>
  <c r="Q20" i="4"/>
  <c r="CP20" i="4" s="1"/>
  <c r="S20" i="4"/>
  <c r="AB20" i="4"/>
  <c r="Q21" i="4"/>
  <c r="S21" i="4"/>
  <c r="AB21" i="4"/>
  <c r="Q22" i="4"/>
  <c r="S22" i="4"/>
  <c r="AB22" i="4"/>
  <c r="Q23" i="4"/>
  <c r="CP23" i="4" s="1"/>
  <c r="S23" i="4"/>
  <c r="AB23" i="4"/>
  <c r="B18" i="4"/>
  <c r="C18" i="4"/>
  <c r="B19" i="4"/>
  <c r="C19" i="4"/>
  <c r="B20" i="4"/>
  <c r="C20" i="4"/>
  <c r="B21" i="4"/>
  <c r="C21" i="4"/>
  <c r="B22" i="4"/>
  <c r="C22" i="4"/>
  <c r="B23" i="4"/>
  <c r="C23" i="4"/>
  <c r="BU55" i="4" l="1"/>
  <c r="BV55" i="4" s="1"/>
  <c r="BQ55" i="4"/>
  <c r="BQ39" i="4"/>
  <c r="BU48" i="4"/>
  <c r="BV48" i="4" s="1"/>
  <c r="BQ48" i="4"/>
  <c r="BU57" i="4"/>
  <c r="BV57" i="4" s="1"/>
  <c r="BQ57" i="4"/>
  <c r="BU58" i="4"/>
  <c r="BV58" i="4" s="1"/>
  <c r="BQ58" i="4"/>
  <c r="BU38" i="4"/>
  <c r="BV38" i="4" s="1"/>
  <c r="BQ38" i="4"/>
  <c r="BU47" i="4"/>
  <c r="BV47" i="4" s="1"/>
  <c r="BQ47" i="4"/>
  <c r="BU37" i="4"/>
  <c r="BV37" i="4" s="1"/>
  <c r="BU39" i="4"/>
  <c r="BV39" i="4" s="1"/>
  <c r="BQ37" i="4"/>
  <c r="BU60" i="4"/>
  <c r="BV60" i="4" s="1"/>
  <c r="BQ60" i="4"/>
  <c r="BU35" i="4"/>
  <c r="BV35" i="4" s="1"/>
  <c r="BQ35" i="4"/>
  <c r="BU59" i="4"/>
  <c r="BV59" i="4" s="1"/>
  <c r="BQ59" i="4"/>
  <c r="BU52" i="4"/>
  <c r="BV52" i="4" s="1"/>
  <c r="BQ52" i="4"/>
  <c r="BU53" i="4"/>
  <c r="BV53" i="4" s="1"/>
  <c r="BQ53" i="4"/>
  <c r="BU54" i="4"/>
  <c r="BV54" i="4" s="1"/>
  <c r="BQ54" i="4"/>
  <c r="BU50" i="4"/>
  <c r="BV50" i="4" s="1"/>
  <c r="BQ50" i="4"/>
  <c r="BQ51" i="4"/>
  <c r="BU51" i="4"/>
  <c r="BV51" i="4" s="1"/>
  <c r="BU56" i="4"/>
  <c r="BV56" i="4" s="1"/>
  <c r="BQ56" i="4"/>
  <c r="BU42" i="4"/>
  <c r="BV42" i="4" s="1"/>
  <c r="BQ42" i="4"/>
  <c r="BU41" i="4"/>
  <c r="BV41" i="4" s="1"/>
  <c r="BQ41" i="4"/>
  <c r="BU49" i="4"/>
  <c r="BV49" i="4" s="1"/>
  <c r="BQ49" i="4"/>
  <c r="BQ31" i="4"/>
  <c r="BU31" i="4"/>
  <c r="BV31" i="4" s="1"/>
  <c r="BU40" i="4"/>
  <c r="BV40" i="4" s="1"/>
  <c r="BQ40" i="4"/>
  <c r="BU43" i="4"/>
  <c r="BV43" i="4" s="1"/>
  <c r="BQ43" i="4"/>
  <c r="BU45" i="4"/>
  <c r="BV45" i="4" s="1"/>
  <c r="BQ45" i="4"/>
  <c r="BU46" i="4"/>
  <c r="BV46" i="4" s="1"/>
  <c r="BQ46" i="4"/>
  <c r="BQ33" i="4"/>
  <c r="BU33" i="4"/>
  <c r="BV33" i="4" s="1"/>
  <c r="CO20" i="4"/>
  <c r="CS20" i="4" s="1"/>
  <c r="BW20" i="4"/>
  <c r="BY20" i="4" s="1"/>
  <c r="CO22" i="4"/>
  <c r="BQ27" i="4"/>
  <c r="BU27" i="4"/>
  <c r="BV27" i="4" s="1"/>
  <c r="BU25" i="4"/>
  <c r="BV25" i="4" s="1"/>
  <c r="CB23" i="4"/>
  <c r="AD23" i="4"/>
  <c r="AM23" i="4"/>
  <c r="CF23" i="4" s="1"/>
  <c r="CB22" i="4"/>
  <c r="CB20" i="4"/>
  <c r="AM21" i="4"/>
  <c r="CF21" i="4" s="1"/>
  <c r="CO18" i="4"/>
  <c r="CS18" i="4" s="1"/>
  <c r="BQ24" i="4"/>
  <c r="BU24" i="4"/>
  <c r="BV24" i="4" s="1"/>
  <c r="BY18" i="4"/>
  <c r="CB19" i="4"/>
  <c r="CL20" i="4"/>
  <c r="CM20" i="4" s="1"/>
  <c r="AM22" i="4"/>
  <c r="CF22" i="4" s="1"/>
  <c r="CL23" i="4"/>
  <c r="CM23" i="4" s="1"/>
  <c r="CP21" i="4"/>
  <c r="AD21" i="4"/>
  <c r="AD18" i="4"/>
  <c r="BW23" i="4"/>
  <c r="BY23" i="4" s="1"/>
  <c r="CO21" i="4"/>
  <c r="BS21" i="4"/>
  <c r="BT21" i="4" s="1"/>
  <c r="CL21" i="4"/>
  <c r="CM21" i="4" s="1"/>
  <c r="CL18" i="4"/>
  <c r="CM18" i="4" s="1"/>
  <c r="BS18" i="4"/>
  <c r="BT18" i="4" s="1"/>
  <c r="BO18" i="4"/>
  <c r="BY22" i="4"/>
  <c r="AD20" i="4"/>
  <c r="CQ22" i="4"/>
  <c r="CQ19" i="4"/>
  <c r="AD22" i="4"/>
  <c r="AM19" i="4"/>
  <c r="CF19" i="4" s="1"/>
  <c r="CP22" i="4"/>
  <c r="BO22" i="4"/>
  <c r="CG22" i="4" s="1"/>
  <c r="CB21" i="4"/>
  <c r="BO19" i="4"/>
  <c r="CG19" i="4" s="1"/>
  <c r="BY19" i="4"/>
  <c r="BS23" i="4"/>
  <c r="BT23" i="4" s="1"/>
  <c r="BS20" i="4"/>
  <c r="BT20" i="4" s="1"/>
  <c r="CO19" i="4"/>
  <c r="AD19" i="4"/>
  <c r="CS23" i="4"/>
  <c r="AM18" i="4"/>
  <c r="CF18" i="4" s="1"/>
  <c r="BO21" i="4"/>
  <c r="BW21" i="4"/>
  <c r="BY21" i="4" s="1"/>
  <c r="CL22" i="4"/>
  <c r="CM22" i="4" s="1"/>
  <c r="CL19" i="4"/>
  <c r="CM19" i="4" s="1"/>
  <c r="CB18" i="4"/>
  <c r="BS22" i="4"/>
  <c r="BT22" i="4" s="1"/>
  <c r="BS19" i="4"/>
  <c r="BT19" i="4" s="1"/>
  <c r="AM20" i="4"/>
  <c r="CF20" i="4" s="1"/>
  <c r="F4" i="81"/>
  <c r="F6" i="81" s="1"/>
  <c r="O95" i="4" s="1"/>
  <c r="AY93" i="4"/>
  <c r="L8" i="81"/>
  <c r="CS19" i="4" l="1"/>
  <c r="CS21" i="4"/>
  <c r="CS22" i="4"/>
  <c r="CN22" i="4"/>
  <c r="BO20" i="4"/>
  <c r="CN18" i="4"/>
  <c r="CG18" i="4"/>
  <c r="BP18" i="4"/>
  <c r="BP19" i="4"/>
  <c r="CN19" i="4"/>
  <c r="BP22" i="4"/>
  <c r="BQ22" i="4" s="1"/>
  <c r="BO23" i="4"/>
  <c r="L4" i="81"/>
  <c r="L6" i="81" s="1"/>
  <c r="BI81" i="4"/>
  <c r="CN21" i="4"/>
  <c r="BP21" i="4"/>
  <c r="CG21" i="4"/>
  <c r="AY94" i="4"/>
  <c r="AY13" i="4"/>
  <c r="BW13" i="4" s="1"/>
  <c r="AZ13" i="4"/>
  <c r="BB13" i="4"/>
  <c r="BX13" i="4"/>
  <c r="BZ13" i="4"/>
  <c r="CQ13" i="4" s="1"/>
  <c r="CA13" i="4"/>
  <c r="CR13" i="4" s="1"/>
  <c r="CE13" i="4"/>
  <c r="CH13" i="4"/>
  <c r="CV13" i="4"/>
  <c r="CW13" i="4"/>
  <c r="AY14" i="4"/>
  <c r="AZ14" i="4"/>
  <c r="BB14" i="4"/>
  <c r="BX14" i="4"/>
  <c r="BZ14" i="4"/>
  <c r="CQ14" i="4" s="1"/>
  <c r="CA14" i="4"/>
  <c r="CR14" i="4" s="1"/>
  <c r="CE14" i="4"/>
  <c r="CH14" i="4"/>
  <c r="CV14" i="4"/>
  <c r="CW14" i="4"/>
  <c r="AY15" i="4"/>
  <c r="AZ15" i="4"/>
  <c r="BB15" i="4"/>
  <c r="BX15" i="4"/>
  <c r="BZ15" i="4"/>
  <c r="CQ15" i="4" s="1"/>
  <c r="CA15" i="4"/>
  <c r="CR15" i="4" s="1"/>
  <c r="CE15" i="4"/>
  <c r="CH15" i="4"/>
  <c r="CV15" i="4"/>
  <c r="CW15" i="4"/>
  <c r="AY16" i="4"/>
  <c r="BW16" i="4" s="1"/>
  <c r="AZ16" i="4"/>
  <c r="BB16" i="4"/>
  <c r="BX16" i="4"/>
  <c r="BZ16" i="4"/>
  <c r="CQ16" i="4" s="1"/>
  <c r="CA16" i="4"/>
  <c r="CR16" i="4" s="1"/>
  <c r="CE16" i="4"/>
  <c r="CH16" i="4"/>
  <c r="CV16" i="4"/>
  <c r="CW16" i="4"/>
  <c r="AY17" i="4"/>
  <c r="AZ17" i="4"/>
  <c r="BB17" i="4"/>
  <c r="BX17" i="4"/>
  <c r="BZ17" i="4"/>
  <c r="CQ17" i="4" s="1"/>
  <c r="CA17" i="4"/>
  <c r="CE17" i="4"/>
  <c r="CH17" i="4"/>
  <c r="CV17" i="4"/>
  <c r="CW17" i="4"/>
  <c r="CR17" i="4" l="1"/>
  <c r="CO14" i="4"/>
  <c r="BW14" i="4"/>
  <c r="BY14" i="4" s="1"/>
  <c r="CO17" i="4"/>
  <c r="BW17" i="4"/>
  <c r="BY17" i="4" s="1"/>
  <c r="BQ19" i="4"/>
  <c r="BU19" i="4"/>
  <c r="BV19" i="4" s="1"/>
  <c r="CN23" i="4"/>
  <c r="BP23" i="4"/>
  <c r="CG23" i="4"/>
  <c r="BQ18" i="4"/>
  <c r="BU18" i="4"/>
  <c r="BV18" i="4" s="1"/>
  <c r="CO13" i="4"/>
  <c r="BU22" i="4"/>
  <c r="BV22" i="4" s="1"/>
  <c r="CN20" i="4"/>
  <c r="CG20" i="4"/>
  <c r="BP20" i="4"/>
  <c r="BQ21" i="4"/>
  <c r="BU21" i="4"/>
  <c r="BV21" i="4" s="1"/>
  <c r="CO16" i="4"/>
  <c r="CB13" i="4"/>
  <c r="BO16" i="4"/>
  <c r="CG16" i="4" s="1"/>
  <c r="CB17" i="4"/>
  <c r="CB16" i="4"/>
  <c r="CB15" i="4"/>
  <c r="CO15" i="4"/>
  <c r="BY16" i="4"/>
  <c r="BY13" i="4"/>
  <c r="BW15" i="4"/>
  <c r="BY15" i="4" s="1"/>
  <c r="BO15" i="4"/>
  <c r="CB14" i="4"/>
  <c r="BO13" i="4"/>
  <c r="Q13" i="4"/>
  <c r="S13" i="4"/>
  <c r="AB13" i="4"/>
  <c r="Q14" i="4"/>
  <c r="CP14" i="4" s="1"/>
  <c r="S14" i="4"/>
  <c r="AB14" i="4"/>
  <c r="Q15" i="4"/>
  <c r="S15" i="4"/>
  <c r="AB15" i="4"/>
  <c r="Q16" i="4"/>
  <c r="S16" i="4"/>
  <c r="AB16" i="4"/>
  <c r="Q17" i="4"/>
  <c r="S17" i="4"/>
  <c r="AB17" i="4"/>
  <c r="B13" i="4"/>
  <c r="C13" i="4"/>
  <c r="B14" i="4"/>
  <c r="C14" i="4"/>
  <c r="B15" i="4"/>
  <c r="C15" i="4"/>
  <c r="B16" i="4"/>
  <c r="C16" i="4"/>
  <c r="B17" i="4"/>
  <c r="C17" i="4"/>
  <c r="AY5" i="4"/>
  <c r="BN5" i="4" s="1"/>
  <c r="AZ5" i="4"/>
  <c r="BB5" i="4"/>
  <c r="BX5" i="4"/>
  <c r="BZ5" i="4"/>
  <c r="CQ5" i="4" s="1"/>
  <c r="CA5" i="4"/>
  <c r="CE5" i="4"/>
  <c r="CH5" i="4"/>
  <c r="CV5" i="4"/>
  <c r="CW5" i="4"/>
  <c r="AY6" i="4"/>
  <c r="AZ6" i="4"/>
  <c r="BB6" i="4"/>
  <c r="BX6" i="4"/>
  <c r="BZ6" i="4"/>
  <c r="CQ6" i="4" s="1"/>
  <c r="CA6" i="4"/>
  <c r="CR6" i="4" s="1"/>
  <c r="CE6" i="4"/>
  <c r="CH6" i="4"/>
  <c r="CV6" i="4"/>
  <c r="CW6" i="4"/>
  <c r="AY7" i="4"/>
  <c r="AZ7" i="4"/>
  <c r="BB7" i="4"/>
  <c r="BX7" i="4"/>
  <c r="BZ7" i="4"/>
  <c r="CQ7" i="4" s="1"/>
  <c r="CA7" i="4"/>
  <c r="CR7" i="4" s="1"/>
  <c r="CE7" i="4"/>
  <c r="CH7" i="4"/>
  <c r="CV7" i="4"/>
  <c r="CW7" i="4"/>
  <c r="AY8" i="4"/>
  <c r="AZ8" i="4"/>
  <c r="BB8" i="4"/>
  <c r="BX8" i="4"/>
  <c r="BZ8" i="4"/>
  <c r="CA8" i="4"/>
  <c r="CR8" i="4" s="1"/>
  <c r="CE8" i="4"/>
  <c r="CH8" i="4"/>
  <c r="CV8" i="4"/>
  <c r="CW8" i="4"/>
  <c r="AY9" i="4"/>
  <c r="AZ9" i="4"/>
  <c r="BB9" i="4"/>
  <c r="BX9" i="4"/>
  <c r="BZ9" i="4"/>
  <c r="CQ9" i="4" s="1"/>
  <c r="CA9" i="4"/>
  <c r="CR9" i="4" s="1"/>
  <c r="CE9" i="4"/>
  <c r="CH9" i="4"/>
  <c r="CV9" i="4"/>
  <c r="CW9" i="4"/>
  <c r="AY10" i="4"/>
  <c r="AZ10" i="4"/>
  <c r="BB10" i="4"/>
  <c r="BX10" i="4"/>
  <c r="BZ10" i="4"/>
  <c r="CQ10" i="4" s="1"/>
  <c r="CA10" i="4"/>
  <c r="CE10" i="4"/>
  <c r="CH10" i="4"/>
  <c r="CV10" i="4"/>
  <c r="CW10" i="4"/>
  <c r="AY11" i="4"/>
  <c r="BW11" i="4" s="1"/>
  <c r="AZ11" i="4"/>
  <c r="BB11" i="4"/>
  <c r="BX11" i="4"/>
  <c r="BZ11" i="4"/>
  <c r="CQ11" i="4" s="1"/>
  <c r="CA11" i="4"/>
  <c r="CR11" i="4" s="1"/>
  <c r="CE11" i="4"/>
  <c r="CH11" i="4"/>
  <c r="CV11" i="4"/>
  <c r="CW11" i="4"/>
  <c r="AY12" i="4"/>
  <c r="BW12" i="4" s="1"/>
  <c r="AZ12" i="4"/>
  <c r="BB12" i="4"/>
  <c r="BX12" i="4"/>
  <c r="BZ12" i="4"/>
  <c r="CQ12" i="4" s="1"/>
  <c r="CA12" i="4"/>
  <c r="CE12" i="4"/>
  <c r="CH12" i="4"/>
  <c r="CV12" i="4"/>
  <c r="CW12" i="4"/>
  <c r="Q5" i="4"/>
  <c r="S5" i="4"/>
  <c r="AB5" i="4"/>
  <c r="Q6" i="4"/>
  <c r="CP6" i="4" s="1"/>
  <c r="S6" i="4"/>
  <c r="AB6" i="4"/>
  <c r="Q7" i="4"/>
  <c r="S7" i="4"/>
  <c r="AB7" i="4"/>
  <c r="Q8" i="4"/>
  <c r="S8" i="4"/>
  <c r="AB8" i="4"/>
  <c r="Q9" i="4"/>
  <c r="S9" i="4"/>
  <c r="AB9" i="4"/>
  <c r="Q10" i="4"/>
  <c r="S10" i="4"/>
  <c r="AB10" i="4"/>
  <c r="Q11" i="4"/>
  <c r="S11" i="4"/>
  <c r="AB11" i="4"/>
  <c r="Q12" i="4"/>
  <c r="CP12" i="4" s="1"/>
  <c r="S12" i="4"/>
  <c r="AB12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CS14" i="4" l="1"/>
  <c r="E7" i="5"/>
  <c r="E6" i="5"/>
  <c r="BN6" i="4"/>
  <c r="CO9" i="4"/>
  <c r="BW9" i="4"/>
  <c r="BY9" i="4" s="1"/>
  <c r="E28" i="5"/>
  <c r="BU20" i="4"/>
  <c r="BV20" i="4" s="1"/>
  <c r="BQ20" i="4"/>
  <c r="BQ23" i="4"/>
  <c r="BU23" i="4"/>
  <c r="BV23" i="4" s="1"/>
  <c r="AD17" i="4"/>
  <c r="O11" i="5"/>
  <c r="G11" i="5"/>
  <c r="H11" i="5"/>
  <c r="I11" i="5"/>
  <c r="J11" i="5"/>
  <c r="K11" i="5"/>
  <c r="L11" i="5"/>
  <c r="M11" i="5"/>
  <c r="N11" i="5"/>
  <c r="BS14" i="4"/>
  <c r="BT14" i="4" s="1"/>
  <c r="BS17" i="4"/>
  <c r="BT17" i="4" s="1"/>
  <c r="AM14" i="4"/>
  <c r="CF14" i="4" s="1"/>
  <c r="CL14" i="4"/>
  <c r="CM14" i="4" s="1"/>
  <c r="AD14" i="4"/>
  <c r="AY79" i="4"/>
  <c r="CL16" i="4"/>
  <c r="CM16" i="4" s="1"/>
  <c r="CP16" i="4"/>
  <c r="CS16" i="4" s="1"/>
  <c r="CP13" i="4"/>
  <c r="CS13" i="4" s="1"/>
  <c r="CL13" i="4"/>
  <c r="CM13" i="4" s="1"/>
  <c r="BS13" i="4"/>
  <c r="BT13" i="4" s="1"/>
  <c r="AD15" i="4"/>
  <c r="CP15" i="4"/>
  <c r="CS15" i="4" s="1"/>
  <c r="CL15" i="4"/>
  <c r="CM15" i="4" s="1"/>
  <c r="BS16" i="4"/>
  <c r="BT16" i="4" s="1"/>
  <c r="AM17" i="4"/>
  <c r="CF17" i="4" s="1"/>
  <c r="CP17" i="4"/>
  <c r="CS17" i="4" s="1"/>
  <c r="AM16" i="4"/>
  <c r="CL17" i="4"/>
  <c r="CM17" i="4" s="1"/>
  <c r="AD16" i="4"/>
  <c r="AM13" i="4"/>
  <c r="CF13" i="4" s="1"/>
  <c r="BS15" i="4"/>
  <c r="BT15" i="4" s="1"/>
  <c r="AD13" i="4"/>
  <c r="CG13" i="4"/>
  <c r="BO14" i="4"/>
  <c r="CG15" i="4"/>
  <c r="BO17" i="4"/>
  <c r="AM15" i="4"/>
  <c r="CF15" i="4" s="1"/>
  <c r="AM6" i="4"/>
  <c r="CF6" i="4" s="1"/>
  <c r="CB5" i="4"/>
  <c r="CO7" i="4"/>
  <c r="CO6" i="4"/>
  <c r="CS6" i="4" s="1"/>
  <c r="AD9" i="4"/>
  <c r="AM8" i="4"/>
  <c r="CF8" i="4" s="1"/>
  <c r="BS7" i="4"/>
  <c r="BT7" i="4" s="1"/>
  <c r="CB10" i="4"/>
  <c r="BW5" i="4"/>
  <c r="BY5" i="4" s="1"/>
  <c r="AD11" i="4"/>
  <c r="CB7" i="4"/>
  <c r="AD8" i="4"/>
  <c r="CL5" i="4"/>
  <c r="CM5" i="4" s="1"/>
  <c r="CP9" i="4"/>
  <c r="CO5" i="4"/>
  <c r="AD10" i="4"/>
  <c r="CB12" i="4"/>
  <c r="BW8" i="4"/>
  <c r="BY8" i="4" s="1"/>
  <c r="BY11" i="4"/>
  <c r="BO12" i="4"/>
  <c r="CG12" i="4" s="1"/>
  <c r="CR12" i="4"/>
  <c r="CL6" i="4"/>
  <c r="CM6" i="4" s="1"/>
  <c r="BS6" i="4"/>
  <c r="BT6" i="4" s="1"/>
  <c r="AD12" i="4"/>
  <c r="AD6" i="4"/>
  <c r="CB8" i="4"/>
  <c r="CL7" i="4"/>
  <c r="CM7" i="4" s="1"/>
  <c r="AM11" i="4"/>
  <c r="CF11" i="4" s="1"/>
  <c r="BS11" i="4"/>
  <c r="BT11" i="4" s="1"/>
  <c r="CP11" i="4"/>
  <c r="AM9" i="4"/>
  <c r="CF9" i="4" s="1"/>
  <c r="CO12" i="4"/>
  <c r="BY12" i="4"/>
  <c r="CO11" i="4"/>
  <c r="CQ8" i="4"/>
  <c r="CP8" i="4"/>
  <c r="CP5" i="4"/>
  <c r="AM5" i="4"/>
  <c r="CL12" i="4"/>
  <c r="CM12" i="4" s="1"/>
  <c r="BS12" i="4"/>
  <c r="BT12" i="4" s="1"/>
  <c r="CO8" i="4"/>
  <c r="BS5" i="4"/>
  <c r="BT5" i="4" s="1"/>
  <c r="CP10" i="4"/>
  <c r="BS10" i="4"/>
  <c r="BT10" i="4" s="1"/>
  <c r="AD7" i="4"/>
  <c r="CP7" i="4"/>
  <c r="CL8" i="4"/>
  <c r="CM8" i="4" s="1"/>
  <c r="AM10" i="4"/>
  <c r="CF10" i="4" s="1"/>
  <c r="AD5" i="4"/>
  <c r="CB11" i="4"/>
  <c r="BS9" i="4"/>
  <c r="BT9" i="4" s="1"/>
  <c r="CB6" i="4"/>
  <c r="BO11" i="4"/>
  <c r="CB9" i="4"/>
  <c r="CL10" i="4"/>
  <c r="CM10" i="4" s="1"/>
  <c r="BS8" i="4"/>
  <c r="BT8" i="4" s="1"/>
  <c r="CR5" i="4"/>
  <c r="CR10" i="4"/>
  <c r="CO10" i="4"/>
  <c r="CL11" i="4"/>
  <c r="CM11" i="4" s="1"/>
  <c r="CL9" i="4"/>
  <c r="CM9" i="4" s="1"/>
  <c r="AM7" i="4"/>
  <c r="CF7" i="4" s="1"/>
  <c r="AM12" i="4"/>
  <c r="CF12" i="4" s="1"/>
  <c r="BO7" i="4" l="1"/>
  <c r="BW7" i="4"/>
  <c r="BY7" i="4" s="1"/>
  <c r="BW6" i="4"/>
  <c r="BY6" i="4" s="1"/>
  <c r="BO6" i="4"/>
  <c r="BW10" i="4"/>
  <c r="BY10" i="4" s="1"/>
  <c r="BO10" i="4"/>
  <c r="CS9" i="4"/>
  <c r="E8" i="5"/>
  <c r="BP13" i="4"/>
  <c r="CN15" i="4"/>
  <c r="BP15" i="4"/>
  <c r="BQ15" i="4" s="1"/>
  <c r="CN13" i="4"/>
  <c r="CF16" i="4"/>
  <c r="BP16" i="4"/>
  <c r="CN16" i="4"/>
  <c r="BP17" i="4"/>
  <c r="CG17" i="4"/>
  <c r="CN17" i="4"/>
  <c r="BP14" i="4"/>
  <c r="CG14" i="4"/>
  <c r="CN14" i="4"/>
  <c r="CS5" i="4"/>
  <c r="CS7" i="4"/>
  <c r="CS12" i="4"/>
  <c r="BO8" i="4"/>
  <c r="CG8" i="4" s="1"/>
  <c r="CS11" i="4"/>
  <c r="BO9" i="4"/>
  <c r="BP9" i="4" s="1"/>
  <c r="CS8" i="4"/>
  <c r="BO5" i="4"/>
  <c r="CN5" i="4" s="1"/>
  <c r="BP12" i="4"/>
  <c r="CS10" i="4"/>
  <c r="CF5" i="4"/>
  <c r="CN12" i="4"/>
  <c r="CG11" i="4"/>
  <c r="CN11" i="4"/>
  <c r="BP11" i="4"/>
  <c r="CG7" i="4" l="1"/>
  <c r="BP7" i="4"/>
  <c r="CN7" i="4"/>
  <c r="CG6" i="4"/>
  <c r="CN6" i="4"/>
  <c r="BP6" i="4"/>
  <c r="BP10" i="4"/>
  <c r="CG10" i="4"/>
  <c r="CN10" i="4"/>
  <c r="BQ13" i="4"/>
  <c r="BU13" i="4"/>
  <c r="BV13" i="4" s="1"/>
  <c r="BU15" i="4"/>
  <c r="BV15" i="4" s="1"/>
  <c r="BU16" i="4"/>
  <c r="BV16" i="4" s="1"/>
  <c r="BQ16" i="4"/>
  <c r="BQ14" i="4"/>
  <c r="BU14" i="4"/>
  <c r="BV14" i="4" s="1"/>
  <c r="BQ17" i="4"/>
  <c r="BU17" i="4"/>
  <c r="BV17" i="4" s="1"/>
  <c r="CN8" i="4"/>
  <c r="BP8" i="4"/>
  <c r="BU8" i="4" s="1"/>
  <c r="BV8" i="4" s="1"/>
  <c r="CG9" i="4"/>
  <c r="CN9" i="4"/>
  <c r="CG5" i="4"/>
  <c r="BP5" i="4"/>
  <c r="BQ12" i="4"/>
  <c r="BU12" i="4"/>
  <c r="BV12" i="4" s="1"/>
  <c r="BU9" i="4"/>
  <c r="BV9" i="4" s="1"/>
  <c r="BQ9" i="4"/>
  <c r="BU11" i="4"/>
  <c r="BV11" i="4" s="1"/>
  <c r="BQ11" i="4"/>
  <c r="BQ7" i="4" l="1"/>
  <c r="BU7" i="4"/>
  <c r="BV7" i="4" s="1"/>
  <c r="BQ6" i="4"/>
  <c r="BU6" i="4"/>
  <c r="BV6" i="4" s="1"/>
  <c r="BQ10" i="4"/>
  <c r="BU10" i="4"/>
  <c r="BV10" i="4" s="1"/>
  <c r="BQ8" i="4"/>
  <c r="BQ5" i="4"/>
  <c r="BU5" i="4"/>
  <c r="BV5" i="4" s="1"/>
  <c r="BG79" i="4"/>
  <c r="D42" i="80" l="1"/>
  <c r="H56" i="80" l="1"/>
  <c r="G56" i="80"/>
  <c r="AK87" i="4" l="1"/>
  <c r="D56" i="80" l="1"/>
  <c r="K56" i="80" l="1"/>
  <c r="AC96" i="4" s="1"/>
  <c r="I56" i="80"/>
  <c r="C56" i="80"/>
  <c r="C46" i="80" s="1"/>
  <c r="O96" i="4" l="1"/>
  <c r="G46" i="80"/>
  <c r="AY96" i="4" l="1"/>
  <c r="AE79" i="4" l="1"/>
  <c r="Y79" i="4"/>
  <c r="O79" i="4"/>
  <c r="BC79" i="4"/>
  <c r="BA79" i="4"/>
  <c r="AX79" i="4" l="1"/>
  <c r="AW79" i="4"/>
  <c r="BN87" i="4" l="1"/>
  <c r="BM87" i="4"/>
  <c r="BL87" i="4"/>
  <c r="BG87" i="4"/>
  <c r="BC87" i="4"/>
  <c r="BA87" i="4"/>
  <c r="AW87" i="4"/>
  <c r="AJ87" i="4"/>
  <c r="AG87" i="4"/>
  <c r="AF87" i="4"/>
  <c r="AE87" i="4"/>
  <c r="AA87" i="4"/>
  <c r="Z87" i="4"/>
  <c r="Y87" i="4"/>
  <c r="T87" i="4"/>
  <c r="R87" i="4"/>
  <c r="O87" i="4"/>
  <c r="Q87" i="4" l="1"/>
  <c r="CP87" i="4"/>
  <c r="AB87" i="4"/>
  <c r="BB87" i="4"/>
  <c r="BZ87" i="4"/>
  <c r="S87" i="4"/>
  <c r="CR87" i="4"/>
  <c r="D14" i="5"/>
  <c r="J14" i="5"/>
  <c r="O14" i="5"/>
  <c r="E14" i="5"/>
  <c r="F14" i="5"/>
  <c r="K14" i="5"/>
  <c r="G14" i="5"/>
  <c r="L14" i="5"/>
  <c r="H14" i="5"/>
  <c r="M14" i="5"/>
  <c r="N14" i="5"/>
  <c r="AY87" i="4"/>
  <c r="CA87" i="4"/>
  <c r="BO87" i="4"/>
  <c r="CO87" i="4"/>
  <c r="CB87" i="4"/>
  <c r="AD87" i="4" l="1"/>
  <c r="CL87" i="4"/>
  <c r="CQ87" i="4"/>
  <c r="BS87" i="4"/>
  <c r="I14" i="5"/>
  <c r="P14" i="5" s="1"/>
  <c r="CM87" i="4"/>
  <c r="CS87" i="4"/>
  <c r="BW87" i="4" l="1"/>
  <c r="AL87" i="4"/>
  <c r="CG87" i="4"/>
  <c r="AM87" i="4" l="1"/>
  <c r="BY87" i="4"/>
  <c r="BX87" i="4"/>
  <c r="BP87" i="4" l="1"/>
  <c r="CF87" i="4"/>
  <c r="CN87" i="4"/>
  <c r="H42" i="80" l="1"/>
  <c r="BL79" i="4" l="1"/>
  <c r="AJ79" i="4"/>
  <c r="P3" i="5" l="1"/>
  <c r="B3" i="102" l="1" a="1"/>
  <c r="I42" i="80"/>
  <c r="K42" i="80"/>
  <c r="AC97" i="4" s="1"/>
  <c r="G42" i="80"/>
  <c r="H43" i="80" s="1"/>
  <c r="C42" i="80"/>
  <c r="C43" i="80" s="1"/>
  <c r="O6" i="5"/>
  <c r="CK76" i="4" l="1"/>
  <c r="CK77" i="4"/>
  <c r="CK65" i="4"/>
  <c r="CK71" i="4"/>
  <c r="CK73" i="4"/>
  <c r="CK66" i="4"/>
  <c r="CK67" i="4"/>
  <c r="CK70" i="4"/>
  <c r="CK72" i="4"/>
  <c r="CK74" i="4"/>
  <c r="CK75" i="4"/>
  <c r="CK68" i="4"/>
  <c r="CK69" i="4"/>
  <c r="CK64" i="4"/>
  <c r="CK61" i="4"/>
  <c r="CK62" i="4"/>
  <c r="CK63" i="4"/>
  <c r="CK56" i="4"/>
  <c r="CK59" i="4"/>
  <c r="CK60" i="4"/>
  <c r="CK58" i="4"/>
  <c r="CK55" i="4"/>
  <c r="CK57" i="4"/>
  <c r="CK49" i="4"/>
  <c r="CK52" i="4"/>
  <c r="CK51" i="4"/>
  <c r="CK54" i="4"/>
  <c r="CK53" i="4"/>
  <c r="CK50" i="4"/>
  <c r="CK35" i="4"/>
  <c r="CK36" i="4"/>
  <c r="CK37" i="4"/>
  <c r="CK38" i="4"/>
  <c r="CK39" i="4"/>
  <c r="CK40" i="4"/>
  <c r="CK47" i="4"/>
  <c r="CK41" i="4"/>
  <c r="CK42" i="4"/>
  <c r="CK43" i="4"/>
  <c r="CK48" i="4"/>
  <c r="CK44" i="4"/>
  <c r="CK45" i="4"/>
  <c r="CK46" i="4"/>
  <c r="CK32" i="4"/>
  <c r="CK33" i="4"/>
  <c r="CK34" i="4"/>
  <c r="CK30" i="4"/>
  <c r="CK29" i="4"/>
  <c r="CK31" i="4"/>
  <c r="CK26" i="4"/>
  <c r="CK28" i="4"/>
  <c r="CK27" i="4"/>
  <c r="CK25" i="4"/>
  <c r="CK24" i="4"/>
  <c r="CK20" i="4"/>
  <c r="CK19" i="4"/>
  <c r="CK22" i="4"/>
  <c r="CK23" i="4"/>
  <c r="CK21" i="4"/>
  <c r="CK18" i="4"/>
  <c r="CK17" i="4"/>
  <c r="CK16" i="4"/>
  <c r="CK14" i="4"/>
  <c r="CK15" i="4"/>
  <c r="CK13" i="4"/>
  <c r="CK5" i="4"/>
  <c r="CK8" i="4"/>
  <c r="CK10" i="4"/>
  <c r="CK12" i="4"/>
  <c r="CK11" i="4"/>
  <c r="CK9" i="4"/>
  <c r="CK7" i="4"/>
  <c r="CK6" i="4"/>
  <c r="C3" i="102"/>
  <c r="E3" i="102" s="1"/>
  <c r="N6" i="5" l="1"/>
  <c r="M6" i="5"/>
  <c r="L6" i="5"/>
  <c r="K6" i="5"/>
  <c r="J6" i="5"/>
  <c r="I6" i="5"/>
  <c r="H6" i="5"/>
  <c r="M28" i="5"/>
  <c r="G6" i="5"/>
  <c r="C5" i="95" a="1"/>
  <c r="G6" i="95" l="1"/>
  <c r="E6" i="95"/>
  <c r="F6" i="95"/>
  <c r="D6" i="95"/>
  <c r="N6" i="95"/>
  <c r="K6" i="95" a="1"/>
  <c r="I6" i="95"/>
  <c r="D5" i="95"/>
  <c r="K5" i="95" a="1"/>
  <c r="AC79" i="4"/>
  <c r="J6" i="95" l="1"/>
  <c r="H6" i="95"/>
  <c r="M6" i="95"/>
  <c r="L6" i="95"/>
  <c r="D1" i="102"/>
  <c r="F6" i="5" l="1"/>
  <c r="N5" i="95" l="1"/>
  <c r="N3" i="95" l="1"/>
  <c r="D10" i="84" l="1"/>
  <c r="G8" i="84"/>
  <c r="J8" i="84"/>
  <c r="F7" i="5" l="1"/>
  <c r="H7" i="5"/>
  <c r="K7" i="5"/>
  <c r="L7" i="5"/>
  <c r="M7" i="5"/>
  <c r="N7" i="5"/>
  <c r="O7" i="5"/>
  <c r="C68" i="5"/>
  <c r="AK79" i="4" l="1"/>
  <c r="BM79" i="4"/>
  <c r="C69" i="5"/>
  <c r="B3" i="103" a="1"/>
  <c r="C4" i="97" a="1"/>
  <c r="BI80" i="4" l="1"/>
  <c r="K6" i="80"/>
  <c r="B4" i="97" s="1"/>
  <c r="AL79" i="4" l="1"/>
  <c r="D37" i="5"/>
  <c r="E4" i="97" a="1"/>
  <c r="AJ81" i="4" l="1"/>
  <c r="BN79" i="4"/>
  <c r="D68" i="5"/>
  <c r="Q79" i="4"/>
  <c r="AB79" i="4"/>
  <c r="B5" i="95" a="1"/>
  <c r="E2" i="97" l="1"/>
  <c r="P20" i="5" s="1"/>
  <c r="Q28" i="5"/>
  <c r="Q80" i="4"/>
  <c r="R80" i="4" s="1"/>
  <c r="O90" i="4"/>
  <c r="O92" i="4" s="1"/>
  <c r="S79" i="4"/>
  <c r="BZ79" i="4"/>
  <c r="D10" i="5"/>
  <c r="I5" i="95"/>
  <c r="E5" i="95"/>
  <c r="B3" i="95" s="1"/>
  <c r="E68" i="5"/>
  <c r="H63" i="5"/>
  <c r="L63" i="5"/>
  <c r="E64" i="5"/>
  <c r="I64" i="5"/>
  <c r="M64" i="5"/>
  <c r="F65" i="5"/>
  <c r="N65" i="5"/>
  <c r="F63" i="5"/>
  <c r="J63" i="5"/>
  <c r="N63" i="5"/>
  <c r="G64" i="5"/>
  <c r="K64" i="5"/>
  <c r="O64" i="5"/>
  <c r="H65" i="5"/>
  <c r="L65" i="5"/>
  <c r="G63" i="5"/>
  <c r="K63" i="5"/>
  <c r="O63" i="5"/>
  <c r="H64" i="5"/>
  <c r="M65" i="5"/>
  <c r="E63" i="5"/>
  <c r="I63" i="5"/>
  <c r="M63" i="5"/>
  <c r="F64" i="5"/>
  <c r="J64" i="5"/>
  <c r="N64" i="5"/>
  <c r="K65" i="5"/>
  <c r="O65" i="5"/>
  <c r="L64" i="5"/>
  <c r="AY90" i="4" l="1"/>
  <c r="I3" i="95"/>
  <c r="I2" i="95" s="1"/>
  <c r="AD79" i="4"/>
  <c r="BB79" i="4"/>
  <c r="Q10" i="5"/>
  <c r="L43" i="81"/>
  <c r="Q5" i="95" a="1"/>
  <c r="CP79" i="4"/>
  <c r="CQ79" i="4"/>
  <c r="P21" i="5"/>
  <c r="E65" i="5"/>
  <c r="BS79" i="4" l="1"/>
  <c r="CL79" i="4"/>
  <c r="CM79" i="4"/>
  <c r="CO79" i="4"/>
  <c r="E1" i="102"/>
  <c r="C3" i="95"/>
  <c r="D64" i="5"/>
  <c r="P64" i="5" s="1"/>
  <c r="D63" i="5"/>
  <c r="P63" i="5" s="1"/>
  <c r="F5" i="95"/>
  <c r="BO79" i="4" l="1"/>
  <c r="Q6" i="5" s="1"/>
  <c r="AM5" i="95"/>
  <c r="AM3" i="95" s="1"/>
  <c r="AB5" i="95"/>
  <c r="AB3" i="95" s="1"/>
  <c r="AI5" i="95"/>
  <c r="AI3" i="95" s="1"/>
  <c r="AJ5" i="95"/>
  <c r="AJ3" i="95" s="1"/>
  <c r="AK5" i="95"/>
  <c r="AK3" i="95" s="1"/>
  <c r="AL5" i="95"/>
  <c r="AL3" i="95" s="1"/>
  <c r="X5" i="95"/>
  <c r="X3" i="95" s="1"/>
  <c r="Y5" i="95"/>
  <c r="Y3" i="95" s="1"/>
  <c r="Z5" i="95"/>
  <c r="Z3" i="95" s="1"/>
  <c r="AA5" i="95"/>
  <c r="AA3" i="95" s="1"/>
  <c r="W5" i="95"/>
  <c r="W3" i="95" s="1"/>
  <c r="R5" i="95"/>
  <c r="AH5" i="95"/>
  <c r="AH3" i="95" s="1"/>
  <c r="AG5" i="95"/>
  <c r="AG3" i="95" s="1"/>
  <c r="AD5" i="95"/>
  <c r="AD3" i="95" s="1"/>
  <c r="U5" i="95"/>
  <c r="U3" i="95" s="1"/>
  <c r="V5" i="95"/>
  <c r="V3" i="95" s="1"/>
  <c r="AF5" i="95"/>
  <c r="AF3" i="95" s="1"/>
  <c r="T5" i="95"/>
  <c r="T3" i="95" s="1"/>
  <c r="AE5" i="95"/>
  <c r="AE3" i="95" s="1"/>
  <c r="S5" i="95"/>
  <c r="BW79" i="4"/>
  <c r="J5" i="95"/>
  <c r="M5" i="95"/>
  <c r="L5" i="95"/>
  <c r="D69" i="5"/>
  <c r="D7" i="84"/>
  <c r="F3" i="95" l="1"/>
  <c r="S3" i="95"/>
  <c r="D70" i="5"/>
  <c r="CG79" i="4"/>
  <c r="D24" i="5"/>
  <c r="D44" i="5"/>
  <c r="D15" i="5"/>
  <c r="D30" i="5"/>
  <c r="D29" i="5"/>
  <c r="G7" i="84"/>
  <c r="E37" i="5"/>
  <c r="F37" i="5"/>
  <c r="G37" i="5"/>
  <c r="H37" i="5"/>
  <c r="I37" i="5"/>
  <c r="J37" i="5"/>
  <c r="K37" i="5"/>
  <c r="L37" i="5"/>
  <c r="M37" i="5"/>
  <c r="N37" i="5"/>
  <c r="O37" i="5"/>
  <c r="P37" i="5"/>
  <c r="E43" i="5"/>
  <c r="E48" i="5" s="1"/>
  <c r="E55" i="5" s="1"/>
  <c r="E59" i="5" s="1"/>
  <c r="F43" i="5"/>
  <c r="F48" i="5" s="1"/>
  <c r="F55" i="5" s="1"/>
  <c r="F59" i="5" s="1"/>
  <c r="G43" i="5"/>
  <c r="G48" i="5" s="1"/>
  <c r="G55" i="5" s="1"/>
  <c r="G59" i="5" s="1"/>
  <c r="H43" i="5"/>
  <c r="H48" i="5" s="1"/>
  <c r="H55" i="5" s="1"/>
  <c r="H59" i="5" s="1"/>
  <c r="I43" i="5"/>
  <c r="I48" i="5" s="1"/>
  <c r="I55" i="5" s="1"/>
  <c r="I59" i="5" s="1"/>
  <c r="J43" i="5"/>
  <c r="J48" i="5" s="1"/>
  <c r="J55" i="5" s="1"/>
  <c r="J59" i="5" s="1"/>
  <c r="K43" i="5"/>
  <c r="K48" i="5" s="1"/>
  <c r="K55" i="5" s="1"/>
  <c r="K59" i="5" s="1"/>
  <c r="L43" i="5"/>
  <c r="L48" i="5" s="1"/>
  <c r="L55" i="5" s="1"/>
  <c r="L59" i="5" s="1"/>
  <c r="M43" i="5"/>
  <c r="M48" i="5" s="1"/>
  <c r="M55" i="5" s="1"/>
  <c r="M59" i="5" s="1"/>
  <c r="N43" i="5"/>
  <c r="N48" i="5" s="1"/>
  <c r="N55" i="5" s="1"/>
  <c r="N59" i="5" s="1"/>
  <c r="O43" i="5"/>
  <c r="O48" i="5" s="1"/>
  <c r="O55" i="5" s="1"/>
  <c r="O59" i="5" s="1"/>
  <c r="P43" i="5"/>
  <c r="P48" i="5" s="1"/>
  <c r="P55" i="5" s="1"/>
  <c r="P59" i="5" s="1"/>
  <c r="D43" i="5"/>
  <c r="D48" i="5" s="1"/>
  <c r="D55" i="5" s="1"/>
  <c r="D59" i="5" l="1"/>
  <c r="D56" i="5"/>
  <c r="D65" i="5"/>
  <c r="E3" i="95" l="1"/>
  <c r="L3" i="95" l="1"/>
  <c r="K3" i="95"/>
  <c r="M3" i="95"/>
  <c r="J3" i="95"/>
  <c r="R31" i="80" l="1"/>
  <c r="N80" i="4" s="1"/>
  <c r="P49" i="5"/>
  <c r="P51" i="5"/>
  <c r="R24" i="80"/>
  <c r="G13" i="84"/>
  <c r="D12" i="84"/>
  <c r="J10" i="84"/>
  <c r="AB701" i="80"/>
  <c r="G29" i="80"/>
  <c r="C29" i="80"/>
  <c r="O18" i="80"/>
  <c r="N18" i="80"/>
  <c r="G10" i="84" s="1"/>
  <c r="K18" i="80"/>
  <c r="H18" i="80"/>
  <c r="G18" i="80"/>
  <c r="C18" i="80"/>
  <c r="AK118" i="4"/>
  <c r="BJ111" i="4"/>
  <c r="BJ112" i="4" s="1"/>
  <c r="AZ91" i="4"/>
  <c r="AD91" i="4"/>
  <c r="K4" i="80" s="1"/>
  <c r="AA79" i="4"/>
  <c r="T79" i="4"/>
  <c r="P80" i="4" s="1"/>
  <c r="P53" i="5"/>
  <c r="H52" i="5"/>
  <c r="P50" i="5"/>
  <c r="O2" i="5"/>
  <c r="O22" i="5" s="1" a="1"/>
  <c r="N2" i="5"/>
  <c r="N22" i="5" s="1" a="1"/>
  <c r="M2" i="5"/>
  <c r="M22" i="5" s="1" a="1"/>
  <c r="L2" i="5"/>
  <c r="L22" i="5" s="1" a="1"/>
  <c r="K2" i="5"/>
  <c r="K22" i="5" s="1" a="1"/>
  <c r="J2" i="5"/>
  <c r="J22" i="5" s="1" a="1"/>
  <c r="I2" i="5"/>
  <c r="I22" i="5" s="1" a="1"/>
  <c r="H2" i="5"/>
  <c r="G2" i="5"/>
  <c r="G22" i="5" s="1" a="1"/>
  <c r="F2" i="5"/>
  <c r="F22" i="5" s="1" a="1"/>
  <c r="E2" i="5"/>
  <c r="E22" i="5" s="1" a="1"/>
  <c r="D2" i="5"/>
  <c r="D22" i="5" l="1" a="1"/>
  <c r="D21" i="5" a="1"/>
  <c r="D19" i="5" a="1"/>
  <c r="D20" i="5" a="1"/>
  <c r="AY97" i="4"/>
  <c r="D9" i="84" s="1"/>
  <c r="K9" i="80"/>
  <c r="K10" i="80" s="1"/>
  <c r="AY92" i="4"/>
  <c r="H20" i="5" a="1"/>
  <c r="H19" i="5" a="1"/>
  <c r="H22" i="5" a="1"/>
  <c r="H21" i="5" a="1"/>
  <c r="O97" i="4"/>
  <c r="O98" i="4" s="1"/>
  <c r="G11" i="84"/>
  <c r="J7" i="84"/>
  <c r="Z79" i="4"/>
  <c r="AC90" i="4" s="1"/>
  <c r="D57" i="5"/>
  <c r="D38" i="5" s="1"/>
  <c r="G57" i="5"/>
  <c r="G38" i="5" s="1"/>
  <c r="G56" i="5"/>
  <c r="H5" i="5"/>
  <c r="F57" i="5"/>
  <c r="H10" i="5"/>
  <c r="M10" i="5"/>
  <c r="G10" i="5"/>
  <c r="G5" i="5"/>
  <c r="O26" i="5"/>
  <c r="N10" i="5"/>
  <c r="F10" i="5"/>
  <c r="L10" i="5"/>
  <c r="O10" i="5"/>
  <c r="E10" i="5"/>
  <c r="K10" i="5"/>
  <c r="J10" i="5"/>
  <c r="I5" i="5"/>
  <c r="O30" i="5"/>
  <c r="J5" i="5"/>
  <c r="M60" i="5"/>
  <c r="O56" i="5"/>
  <c r="E5" i="5"/>
  <c r="AC84" i="4" s="1"/>
  <c r="E11" i="5" s="1"/>
  <c r="M5" i="5"/>
  <c r="H60" i="5"/>
  <c r="K5" i="5"/>
  <c r="O28" i="5"/>
  <c r="O5" i="5"/>
  <c r="L5" i="5"/>
  <c r="D60" i="5"/>
  <c r="K60" i="5"/>
  <c r="L60" i="5"/>
  <c r="E60" i="5"/>
  <c r="O60" i="5"/>
  <c r="F60" i="5"/>
  <c r="J60" i="5"/>
  <c r="G60" i="5"/>
  <c r="I60" i="5"/>
  <c r="N60" i="5"/>
  <c r="O57" i="5"/>
  <c r="F5" i="5"/>
  <c r="AC85" i="4" s="1"/>
  <c r="F11" i="5" s="1"/>
  <c r="O19" i="5" a="1"/>
  <c r="O20" i="5" a="1"/>
  <c r="M20" i="5" a="1"/>
  <c r="F20" i="5" a="1"/>
  <c r="J19" i="5" a="1"/>
  <c r="N19" i="5" a="1"/>
  <c r="I19" i="5" a="1"/>
  <c r="M21" i="5" a="1"/>
  <c r="K21" i="5" a="1"/>
  <c r="L21" i="5" a="1"/>
  <c r="G19" i="5" a="1"/>
  <c r="E19" i="5" a="1"/>
  <c r="K19" i="5" a="1"/>
  <c r="L19" i="5" a="1"/>
  <c r="N21" i="5" a="1"/>
  <c r="E21" i="5" a="1"/>
  <c r="F21" i="5" a="1"/>
  <c r="I21" i="5" a="1"/>
  <c r="O21" i="5" a="1"/>
  <c r="J21" i="5" a="1"/>
  <c r="L20" i="5" a="1"/>
  <c r="M19" i="5" a="1"/>
  <c r="F19" i="5" a="1"/>
  <c r="K20" i="5" a="1"/>
  <c r="N20" i="5" a="1"/>
  <c r="G20" i="5" a="1"/>
  <c r="E20" i="5" a="1"/>
  <c r="I20" i="5" a="1"/>
  <c r="G21" i="5" a="1"/>
  <c r="J20" i="5" a="1"/>
  <c r="P11" i="5" l="1"/>
  <c r="AC87" i="4"/>
  <c r="AY98" i="4"/>
  <c r="O12" i="5"/>
  <c r="O39" i="5"/>
  <c r="O38" i="5"/>
  <c r="P22" i="5"/>
  <c r="F52" i="5" s="1"/>
  <c r="M52" i="5" s="1"/>
  <c r="L52" i="5" s="1"/>
  <c r="K52" i="5" s="1"/>
  <c r="E52" i="5" s="1"/>
  <c r="H46" i="5" s="1"/>
  <c r="I52" i="5" s="1"/>
  <c r="N52" i="5" s="1"/>
  <c r="J52" i="5" s="1"/>
  <c r="D52" i="5"/>
  <c r="O52" i="5" s="1"/>
  <c r="H56" i="5"/>
  <c r="H12" i="5"/>
  <c r="H33" i="5" s="1"/>
  <c r="H34" i="5" s="1"/>
  <c r="O24" i="5"/>
  <c r="O27" i="5" s="1"/>
  <c r="E56" i="5"/>
  <c r="H57" i="5"/>
  <c r="H18" i="5"/>
  <c r="H45" i="5"/>
  <c r="G28" i="5"/>
  <c r="F28" i="5"/>
  <c r="O31" i="5"/>
  <c r="I45" i="5"/>
  <c r="G18" i="5"/>
  <c r="O8" i="5"/>
  <c r="O9" i="5" s="1"/>
  <c r="O17" i="5"/>
  <c r="E18" i="5"/>
  <c r="J45" i="5"/>
  <c r="F56" i="5"/>
  <c r="M18" i="5"/>
  <c r="L45" i="5"/>
  <c r="E57" i="5"/>
  <c r="O29" i="5"/>
  <c r="K45" i="5"/>
  <c r="P60" i="5"/>
  <c r="J18" i="5"/>
  <c r="H28" i="5"/>
  <c r="O15" i="5"/>
  <c r="F18" i="5"/>
  <c r="F45" i="5"/>
  <c r="L18" i="5"/>
  <c r="G45" i="5"/>
  <c r="O16" i="5"/>
  <c r="O18" i="5"/>
  <c r="K18" i="5"/>
  <c r="M45" i="5"/>
  <c r="E45" i="5"/>
  <c r="N5" i="5"/>
  <c r="P5" i="5" s="1"/>
  <c r="D18" i="5"/>
  <c r="D45" i="5"/>
  <c r="I10" i="5"/>
  <c r="P10" i="5" s="1"/>
  <c r="I57" i="5"/>
  <c r="L57" i="5"/>
  <c r="K57" i="5"/>
  <c r="M57" i="5"/>
  <c r="J57" i="5"/>
  <c r="O13" i="5" l="1"/>
  <c r="O33" i="5"/>
  <c r="O34" i="5" s="1"/>
  <c r="E12" i="5"/>
  <c r="Q5" i="5"/>
  <c r="R5" i="5" s="1"/>
  <c r="AC92" i="4"/>
  <c r="AC98" i="4" s="1"/>
  <c r="F12" i="5"/>
  <c r="H38" i="5"/>
  <c r="F16" i="5"/>
  <c r="F38" i="5"/>
  <c r="E24" i="5"/>
  <c r="E38" i="5"/>
  <c r="D46" i="5"/>
  <c r="L46" i="5"/>
  <c r="P19" i="5"/>
  <c r="P52" i="5" s="1"/>
  <c r="O46" i="5"/>
  <c r="E46" i="5"/>
  <c r="I46" i="5"/>
  <c r="N46" i="5"/>
  <c r="K46" i="5"/>
  <c r="F46" i="5"/>
  <c r="J46" i="5"/>
  <c r="M46" i="5"/>
  <c r="G46" i="5"/>
  <c r="G52" i="5"/>
  <c r="J6" i="84"/>
  <c r="J9" i="84" s="1"/>
  <c r="J11" i="84" s="1"/>
  <c r="AA80" i="4"/>
  <c r="L24" i="5"/>
  <c r="E30" i="5"/>
  <c r="O40" i="5"/>
  <c r="O41" i="5" s="1"/>
  <c r="H29" i="5"/>
  <c r="H30" i="5"/>
  <c r="H26" i="5"/>
  <c r="F30" i="5"/>
  <c r="D16" i="5"/>
  <c r="I28" i="5"/>
  <c r="BR80" i="4"/>
  <c r="N57" i="5"/>
  <c r="P57" i="5" s="1"/>
  <c r="J28" i="5"/>
  <c r="F15" i="5"/>
  <c r="F24" i="5"/>
  <c r="F29" i="5"/>
  <c r="BK80" i="4"/>
  <c r="O45" i="5"/>
  <c r="N45" i="5"/>
  <c r="N18" i="5"/>
  <c r="M56" i="5"/>
  <c r="P18" i="5"/>
  <c r="I18" i="5"/>
  <c r="H15" i="5"/>
  <c r="H24" i="5"/>
  <c r="H16" i="5"/>
  <c r="K28" i="5"/>
  <c r="G16" i="5"/>
  <c r="G15" i="5"/>
  <c r="G24" i="5"/>
  <c r="G44" i="5"/>
  <c r="G29" i="5"/>
  <c r="H44" i="5"/>
  <c r="I56" i="5"/>
  <c r="K56" i="5"/>
  <c r="J56" i="5"/>
  <c r="L56" i="5"/>
  <c r="L28" i="5"/>
  <c r="E13" i="5" l="1"/>
  <c r="E33" i="5"/>
  <c r="E34" i="5" s="1"/>
  <c r="F13" i="5"/>
  <c r="F33" i="5"/>
  <c r="F34" i="5" s="1"/>
  <c r="H27" i="5"/>
  <c r="M38" i="5"/>
  <c r="M12" i="5"/>
  <c r="M33" i="5" s="1"/>
  <c r="M34" i="5" s="1"/>
  <c r="L38" i="5"/>
  <c r="L12" i="5"/>
  <c r="L33" i="5" s="1"/>
  <c r="L34" i="5" s="1"/>
  <c r="K38" i="5"/>
  <c r="K12" i="5"/>
  <c r="K33" i="5" s="1"/>
  <c r="K34" i="5" s="1"/>
  <c r="F39" i="5"/>
  <c r="F40" i="5" s="1"/>
  <c r="F41" i="5" s="1"/>
  <c r="F26" i="5"/>
  <c r="F27" i="5" s="1"/>
  <c r="E39" i="5"/>
  <c r="E40" i="5" s="1"/>
  <c r="E41" i="5" s="1"/>
  <c r="E26" i="5"/>
  <c r="E27" i="5" s="1"/>
  <c r="J15" i="5"/>
  <c r="J38" i="5"/>
  <c r="I16" i="5"/>
  <c r="I38" i="5"/>
  <c r="H8" i="5"/>
  <c r="H9" i="5" s="1"/>
  <c r="H39" i="5"/>
  <c r="H40" i="5" s="1"/>
  <c r="H41" i="5" s="1"/>
  <c r="D6" i="84"/>
  <c r="D11" i="84" s="1"/>
  <c r="D13" i="84" s="1"/>
  <c r="K2" i="95"/>
  <c r="Q57" i="5"/>
  <c r="R57" i="5" s="1"/>
  <c r="N12" i="5"/>
  <c r="N33" i="5" s="1"/>
  <c r="N34" i="5" s="1"/>
  <c r="E31" i="5"/>
  <c r="E17" i="5"/>
  <c r="E9" i="5"/>
  <c r="J24" i="5"/>
  <c r="J29" i="5"/>
  <c r="J16" i="5"/>
  <c r="K24" i="5"/>
  <c r="K15" i="5"/>
  <c r="K29" i="5"/>
  <c r="K44" i="5"/>
  <c r="K16" i="5"/>
  <c r="E29" i="5"/>
  <c r="H13" i="5"/>
  <c r="I15" i="5"/>
  <c r="J44" i="5"/>
  <c r="I44" i="5"/>
  <c r="I24" i="5"/>
  <c r="I29" i="5"/>
  <c r="F31" i="5"/>
  <c r="F17" i="5"/>
  <c r="F8" i="5"/>
  <c r="F9" i="5" s="1"/>
  <c r="H17" i="5"/>
  <c r="H31" i="5"/>
  <c r="N56" i="5"/>
  <c r="P56" i="5" s="1"/>
  <c r="E15" i="5"/>
  <c r="E16" i="5"/>
  <c r="E44" i="5"/>
  <c r="F44" i="5"/>
  <c r="K30" i="5"/>
  <c r="K26" i="5"/>
  <c r="N28" i="5"/>
  <c r="P28" i="5" s="1"/>
  <c r="R28" i="5" s="1"/>
  <c r="L29" i="5"/>
  <c r="R10" i="5"/>
  <c r="M30" i="5"/>
  <c r="L30" i="5"/>
  <c r="M29" i="5"/>
  <c r="M24" i="5"/>
  <c r="M16" i="5"/>
  <c r="M15" i="5"/>
  <c r="M44" i="5"/>
  <c r="L44" i="5"/>
  <c r="L15" i="5"/>
  <c r="L16" i="5"/>
  <c r="K27" i="5" l="1"/>
  <c r="P6" i="5"/>
  <c r="R6" i="5" s="1"/>
  <c r="L39" i="5"/>
  <c r="L40" i="5" s="1"/>
  <c r="L41" i="5" s="1"/>
  <c r="L26" i="5"/>
  <c r="L27" i="5" s="1"/>
  <c r="M39" i="5"/>
  <c r="M40" i="5" s="1"/>
  <c r="M41" i="5" s="1"/>
  <c r="M26" i="5"/>
  <c r="M27" i="5" s="1"/>
  <c r="K13" i="5"/>
  <c r="K39" i="5"/>
  <c r="K40" i="5" s="1"/>
  <c r="K41" i="5" s="1"/>
  <c r="O44" i="5"/>
  <c r="N38" i="5"/>
  <c r="P38" i="5" s="1"/>
  <c r="Q56" i="5"/>
  <c r="CF80" i="4"/>
  <c r="N44" i="5"/>
  <c r="N24" i="5"/>
  <c r="N16" i="5"/>
  <c r="N15" i="5"/>
  <c r="K17" i="5"/>
  <c r="K8" i="5"/>
  <c r="K9" i="5" s="1"/>
  <c r="K31" i="5"/>
  <c r="N29" i="5"/>
  <c r="N30" i="5"/>
  <c r="N26" i="5"/>
  <c r="M31" i="5"/>
  <c r="M13" i="5"/>
  <c r="L13" i="5"/>
  <c r="L8" i="5"/>
  <c r="L9" i="5" s="1"/>
  <c r="M8" i="5"/>
  <c r="M9" i="5" s="1"/>
  <c r="L31" i="5"/>
  <c r="L17" i="5"/>
  <c r="M17" i="5"/>
  <c r="P24" i="5" l="1"/>
  <c r="F2" i="95"/>
  <c r="N27" i="5"/>
  <c r="N39" i="5"/>
  <c r="N40" i="5" s="1"/>
  <c r="N41" i="5" s="1"/>
  <c r="R56" i="5"/>
  <c r="P29" i="5"/>
  <c r="P15" i="5"/>
  <c r="P16" i="5"/>
  <c r="N17" i="5"/>
  <c r="N31" i="5"/>
  <c r="N8" i="5"/>
  <c r="N9" i="5" l="1"/>
  <c r="N13" i="5"/>
  <c r="G7" i="5" l="1"/>
  <c r="G30" i="5"/>
  <c r="G31" i="5" l="1"/>
  <c r="G12" i="5"/>
  <c r="G33" i="5" s="1"/>
  <c r="G34" i="5" s="1"/>
  <c r="G26" i="5"/>
  <c r="G27" i="5" s="1"/>
  <c r="G8" i="5"/>
  <c r="G39" i="5"/>
  <c r="G17" i="5"/>
  <c r="G65" i="5"/>
  <c r="G13" i="5" l="1"/>
  <c r="G40" i="5"/>
  <c r="G41" i="5" s="1"/>
  <c r="G9" i="5"/>
  <c r="D26" i="5" l="1"/>
  <c r="D27" i="5" s="1"/>
  <c r="D8" i="5"/>
  <c r="D9" i="5" s="1"/>
  <c r="D12" i="5"/>
  <c r="D31" i="5"/>
  <c r="D39" i="5"/>
  <c r="D40" i="5" s="1"/>
  <c r="D41" i="5" s="1"/>
  <c r="D17" i="5"/>
  <c r="AM79" i="4"/>
  <c r="AM80" i="4" s="1"/>
  <c r="I7" i="5"/>
  <c r="I30" i="5"/>
  <c r="BX79" i="4"/>
  <c r="BX80" i="4" s="1"/>
  <c r="CA79" i="4"/>
  <c r="CA80" i="4" s="1"/>
  <c r="Q7" i="5"/>
  <c r="AJ80" i="4"/>
  <c r="AC80" i="4"/>
  <c r="Q30" i="5"/>
  <c r="J30" i="5"/>
  <c r="J7" i="5"/>
  <c r="E69" i="5"/>
  <c r="D4" i="97"/>
  <c r="D13" i="5" l="1"/>
  <c r="D33" i="5"/>
  <c r="D34" i="5" s="1"/>
  <c r="E70" i="5"/>
  <c r="D2" i="97"/>
  <c r="D1" i="97" s="1"/>
  <c r="BP79" i="4"/>
  <c r="BN80" i="4" s="1"/>
  <c r="J65" i="5"/>
  <c r="J31" i="5"/>
  <c r="G6" i="84"/>
  <c r="G12" i="84" s="1"/>
  <c r="G14" i="84" s="1"/>
  <c r="I31" i="5"/>
  <c r="P30" i="5"/>
  <c r="I12" i="5"/>
  <c r="I33" i="5" s="1"/>
  <c r="I34" i="5" s="1"/>
  <c r="I26" i="5"/>
  <c r="I27" i="5" s="1"/>
  <c r="I39" i="5"/>
  <c r="I17" i="5"/>
  <c r="I8" i="5"/>
  <c r="P7" i="5"/>
  <c r="J12" i="5"/>
  <c r="J39" i="5"/>
  <c r="J40" i="5" s="1"/>
  <c r="J41" i="5" s="1"/>
  <c r="J26" i="5"/>
  <c r="J27" i="5" s="1"/>
  <c r="J17" i="5"/>
  <c r="J8" i="5"/>
  <c r="J9" i="5" s="1"/>
  <c r="CB79" i="4"/>
  <c r="G5" i="95"/>
  <c r="CS79" i="4"/>
  <c r="CR79" i="4"/>
  <c r="I65" i="5"/>
  <c r="CN79" i="4"/>
  <c r="BY79" i="4"/>
  <c r="CF79" i="4"/>
  <c r="CE80" i="4" s="1"/>
  <c r="J13" i="5" l="1"/>
  <c r="J33" i="5"/>
  <c r="J34" i="5" s="1"/>
  <c r="G3" i="95"/>
  <c r="P65" i="5"/>
  <c r="I9" i="5"/>
  <c r="P8" i="5"/>
  <c r="P9" i="5" s="1"/>
  <c r="H5" i="95"/>
  <c r="I40" i="5"/>
  <c r="I41" i="5" s="1"/>
  <c r="P39" i="5"/>
  <c r="P40" i="5" s="1"/>
  <c r="P31" i="5"/>
  <c r="R30" i="5"/>
  <c r="I13" i="5"/>
  <c r="P12" i="5"/>
  <c r="R7" i="5"/>
  <c r="P17" i="5"/>
  <c r="P26" i="5"/>
  <c r="P27" i="5" s="1"/>
  <c r="P13" i="5" l="1"/>
  <c r="P33" i="5"/>
  <c r="P34" i="5" s="1"/>
  <c r="H3" i="95"/>
  <c r="G2" i="95"/>
  <c r="Q55" i="5"/>
  <c r="P41" i="5"/>
  <c r="H2" i="95" l="1"/>
  <c r="AE5" i="102"/>
  <c r="AE14" i="102"/>
  <c r="AE15" i="102"/>
  <c r="AE12" i="102"/>
  <c r="AE10" i="102"/>
  <c r="AE8" i="102"/>
  <c r="AE11" i="102"/>
  <c r="AE6" i="102"/>
  <c r="AE9" i="102"/>
  <c r="AE13" i="102"/>
  <c r="AE7" i="102"/>
  <c r="AE3" i="102"/>
  <c r="AE16" i="102"/>
  <c r="AE4" i="102"/>
  <c r="AE1" i="10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9A3DC4-D5F1-4B7A-853E-B1657F94050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etails!$B$4:$BN$1980" type="102" refreshedVersion="8" minRefreshableVersion="5">
    <extLst>
      <ext xmlns:x15="http://schemas.microsoft.com/office/spreadsheetml/2010/11/main" uri="{DE250136-89BD-433C-8126-D09CA5730AF9}">
        <x15:connection id="Range-3c0ce2b5-7498-409b-938e-e65f70856903">
          <x15:rangePr sourceName="_xlcn.WorksheetConnection_DetailsB4BN1980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<sst xmlns="http://schemas.openxmlformats.org/spreadsheetml/2006/main" count="2793" uniqueCount="676">
  <si>
    <t>Quantity (MT)</t>
  </si>
  <si>
    <t>Sales</t>
  </si>
  <si>
    <t>Purchases</t>
  </si>
  <si>
    <t>Transportation Charges</t>
  </si>
  <si>
    <t>Transport Charges (%)</t>
  </si>
  <si>
    <t>Contribution (%)</t>
  </si>
  <si>
    <t>Receivable</t>
  </si>
  <si>
    <t>DSO (Days)</t>
  </si>
  <si>
    <t>Revenue Per Kg</t>
  </si>
  <si>
    <t>Purchase Cost Per Kg</t>
  </si>
  <si>
    <t>Transportation Charges Per Kg</t>
  </si>
  <si>
    <t>No. of Transactions</t>
  </si>
  <si>
    <t>No. of Sellers (Aggregators)</t>
  </si>
  <si>
    <t>No. of Buyers (Recyclers)</t>
  </si>
  <si>
    <t>Credit Notes (Value - Incl. Prov)</t>
  </si>
  <si>
    <t>Credit Notes (% to Revenue)</t>
  </si>
  <si>
    <t>Debit Notes (Value - Incl. Prov)</t>
  </si>
  <si>
    <t>Debit Notes (% to Purchase)</t>
  </si>
  <si>
    <t>Date</t>
  </si>
  <si>
    <t>Month</t>
  </si>
  <si>
    <t>Quarter</t>
  </si>
  <si>
    <t>GST Reg No.</t>
  </si>
  <si>
    <t>P V No.</t>
  </si>
  <si>
    <t>P V Date</t>
  </si>
  <si>
    <t>Vendor Invoice No.</t>
  </si>
  <si>
    <t>Vendor Invoice Date</t>
  </si>
  <si>
    <t>Debit Note No.</t>
  </si>
  <si>
    <t>Debit Note Date.</t>
  </si>
  <si>
    <t>Debit Note No. 2</t>
  </si>
  <si>
    <t>Debit Note Date. 2</t>
  </si>
  <si>
    <t>Supplier Name</t>
  </si>
  <si>
    <t>Location (Origin)</t>
  </si>
  <si>
    <t>State (Origin)</t>
  </si>
  <si>
    <t>Transporter Name</t>
  </si>
  <si>
    <t>Vehicle No.</t>
  </si>
  <si>
    <t>LR NO/BILL NO</t>
  </si>
  <si>
    <t>J V No.</t>
  </si>
  <si>
    <t>JV Date</t>
  </si>
  <si>
    <t>Material</t>
  </si>
  <si>
    <t>Material-Short Form</t>
  </si>
  <si>
    <t>Qty (Kg)</t>
  </si>
  <si>
    <t>Price/Kg</t>
  </si>
  <si>
    <t>Purchase Price</t>
  </si>
  <si>
    <t>Logistics cost</t>
  </si>
  <si>
    <t>Logistics Provision</t>
  </si>
  <si>
    <t>Total Logistics Cost</t>
  </si>
  <si>
    <t>Cost/Kg.</t>
  </si>
  <si>
    <t>Full Debit Note</t>
  </si>
  <si>
    <t>Total Cost</t>
  </si>
  <si>
    <t>Inv. No.</t>
  </si>
  <si>
    <t>Inv. Date</t>
  </si>
  <si>
    <t>Buyer Name</t>
  </si>
  <si>
    <t>Location (Destination)</t>
  </si>
  <si>
    <t>State (Destination)</t>
  </si>
  <si>
    <t>Qty(Kg)</t>
  </si>
  <si>
    <t>Rate/Kg</t>
  </si>
  <si>
    <t>Amount</t>
  </si>
  <si>
    <t>Qty Check</t>
  </si>
  <si>
    <t>Net Revenue</t>
  </si>
  <si>
    <t>Margin</t>
  </si>
  <si>
    <t>Check</t>
  </si>
  <si>
    <t>Remarks</t>
  </si>
  <si>
    <t>Total</t>
  </si>
  <si>
    <t>Net Sales As per report</t>
  </si>
  <si>
    <t>Net Purchase as per report</t>
  </si>
  <si>
    <t>As per ZOHO</t>
  </si>
  <si>
    <t>Variance</t>
  </si>
  <si>
    <t>No of loss Making Transactions</t>
  </si>
  <si>
    <t>% of Loss Making Transactions</t>
  </si>
  <si>
    <t>Debit note on logistic cost</t>
  </si>
  <si>
    <t>Value Of  Making Transactions</t>
  </si>
  <si>
    <t>Reamrks - Margin</t>
  </si>
  <si>
    <t>Bills in report not in P&amp;L</t>
  </si>
  <si>
    <t>Bills in P&amp;L not in report</t>
  </si>
  <si>
    <t>Sales  in report not in P&amp;L</t>
  </si>
  <si>
    <t>Sales  in P&amp;L not in report</t>
  </si>
  <si>
    <t>Credit Note Date</t>
  </si>
  <si>
    <t>Credit Note Number</t>
  </si>
  <si>
    <t>Customer Name</t>
  </si>
  <si>
    <t>SubTotal</t>
  </si>
  <si>
    <t>Final Variance</t>
  </si>
  <si>
    <t>G.Total</t>
  </si>
  <si>
    <t>As Per Report</t>
  </si>
  <si>
    <t>SO Number</t>
  </si>
  <si>
    <t>Bils in Report &amp; P&amp;L , Sale yet to be done</t>
  </si>
  <si>
    <t>Qty</t>
  </si>
  <si>
    <t>Reconciliation</t>
  </si>
  <si>
    <t>Debit Note Date</t>
  </si>
  <si>
    <t>Debit  Note Number</t>
  </si>
  <si>
    <t>Net Logistic Cost as per report</t>
  </si>
  <si>
    <t>Particulars</t>
  </si>
  <si>
    <t xml:space="preserve">As per ZOHO </t>
  </si>
  <si>
    <t>Closing Provision</t>
  </si>
  <si>
    <t>Sales - Reconciliation</t>
  </si>
  <si>
    <t>Net Revenue as per MIS Report</t>
  </si>
  <si>
    <t>Revenue as per P&amp;L Report (Zoho Books)</t>
  </si>
  <si>
    <t>Purchases - Reconciliation</t>
  </si>
  <si>
    <t>Net Purchases as per MIS Report</t>
  </si>
  <si>
    <t>Logistic Cost- Reconciliation</t>
  </si>
  <si>
    <t>Net Logistic as per MIS Report</t>
  </si>
  <si>
    <t>Logistic Cost as per P&amp;L Report (Zoho Books)</t>
  </si>
  <si>
    <t>Final - Variance</t>
  </si>
  <si>
    <t>Cost  as per P&amp;L Report (Zoho Books)</t>
  </si>
  <si>
    <t>NO DN value</t>
  </si>
  <si>
    <t>Margin (%)</t>
  </si>
  <si>
    <t>Margin Bucket</t>
  </si>
  <si>
    <t>Basic Customs Duty</t>
  </si>
  <si>
    <t>DN Provision</t>
  </si>
  <si>
    <t>CN Provision</t>
  </si>
  <si>
    <t>Sales without Provision</t>
  </si>
  <si>
    <t>Purchases without Provision</t>
  </si>
  <si>
    <t>Contribution without Provision</t>
  </si>
  <si>
    <t>Return Qty</t>
  </si>
  <si>
    <t>Net Qty</t>
  </si>
  <si>
    <t>Divertion/Internal</t>
  </si>
  <si>
    <t>Return Type</t>
  </si>
  <si>
    <t>Regular</t>
  </si>
  <si>
    <t>BCD not in Report</t>
  </si>
  <si>
    <t xml:space="preserve"> </t>
  </si>
  <si>
    <t>Bill Date</t>
  </si>
  <si>
    <t>Bill Number</t>
  </si>
  <si>
    <t>PurchaseOrder</t>
  </si>
  <si>
    <t>Vendor Name</t>
  </si>
  <si>
    <t>CN Amount</t>
  </si>
  <si>
    <t>CN &amp; DN Checks</t>
  </si>
  <si>
    <t>Actaul CN</t>
  </si>
  <si>
    <t>Actual DN</t>
  </si>
  <si>
    <t>Credit Note No:1</t>
  </si>
  <si>
    <t>CN Date. No:1</t>
  </si>
  <si>
    <t>Credit Note No:2</t>
  </si>
  <si>
    <t>CN Date. No:2</t>
  </si>
  <si>
    <t>Remarks @ Inception</t>
  </si>
  <si>
    <t>Full Credit Notes</t>
  </si>
  <si>
    <t>Last year bills considered this year</t>
  </si>
  <si>
    <t>Qty Reco</t>
  </si>
  <si>
    <t>FY 2024-25</t>
  </si>
  <si>
    <t>CN &amp; DN Provisions</t>
  </si>
  <si>
    <t>Date : DN to Buyer</t>
  </si>
  <si>
    <t>DN to Buyer</t>
  </si>
  <si>
    <t>KPI's without Provisions</t>
  </si>
  <si>
    <t>Business Trends</t>
  </si>
  <si>
    <t>Loss Making Transactions</t>
  </si>
  <si>
    <t>DN to Customer</t>
  </si>
  <si>
    <t>Credit Notes from Customers</t>
  </si>
  <si>
    <t>Sales Details</t>
  </si>
  <si>
    <t>Debit Notes to Suppliers</t>
  </si>
  <si>
    <t>Logistic Details of the transaction</t>
  </si>
  <si>
    <t>Purchase Details</t>
  </si>
  <si>
    <t xml:space="preserve">Buyer GST Number </t>
  </si>
  <si>
    <t>Revenue</t>
  </si>
  <si>
    <t>Margin(%</t>
  </si>
  <si>
    <t>Debit Notes</t>
  </si>
  <si>
    <t>DN to Sale(%)</t>
  </si>
  <si>
    <t>No of transactions</t>
  </si>
  <si>
    <t>Avg Tran Value</t>
  </si>
  <si>
    <t>Category (Material)</t>
  </si>
  <si>
    <t>Avg.Price/kg</t>
  </si>
  <si>
    <t>Supplier Type</t>
  </si>
  <si>
    <t>Credit Notes issued in FY-25 pertaining to FY-24</t>
  </si>
  <si>
    <t>Debit Notes issued in FY-25 pertaining to FY-24</t>
  </si>
  <si>
    <t>Logistic Bills issued in FY-25 pertaining to FY-24</t>
  </si>
  <si>
    <t>Cost</t>
  </si>
  <si>
    <t>Without Provisions</t>
  </si>
  <si>
    <t>With GST</t>
  </si>
  <si>
    <t>Vendor PAN No</t>
  </si>
  <si>
    <t>Customer PAN No</t>
  </si>
  <si>
    <t>Qty Returned</t>
  </si>
  <si>
    <t>Shipment ID</t>
  </si>
  <si>
    <t>JV for last year Bills</t>
  </si>
  <si>
    <t>JV for Last year Bills</t>
  </si>
  <si>
    <t>Count Recyclers</t>
  </si>
  <si>
    <t>Count Supplier Name</t>
  </si>
  <si>
    <t>Week No:</t>
  </si>
  <si>
    <t>Broad Category</t>
  </si>
  <si>
    <t>POC Name</t>
  </si>
  <si>
    <t>FY 2025-26</t>
  </si>
  <si>
    <t>FY 2024-25 bills considered ths year</t>
  </si>
  <si>
    <t>Customer ID</t>
  </si>
  <si>
    <t>CN Provision in Zoho FY 24-25</t>
  </si>
  <si>
    <t>Total CN(Inc.Provisions)</t>
  </si>
  <si>
    <t>Total DN(Inc.Provisions)</t>
  </si>
  <si>
    <t>LMI @ Inception</t>
  </si>
  <si>
    <t>Gross Margin</t>
  </si>
  <si>
    <t>Recykal Margin</t>
  </si>
  <si>
    <t>Net Margin</t>
  </si>
  <si>
    <t>Margin Buckets</t>
  </si>
  <si>
    <t>Actual Credit Note</t>
  </si>
  <si>
    <t>Actual Debit Note</t>
  </si>
  <si>
    <t>Provision for CN</t>
  </si>
  <si>
    <t>Provision for DN</t>
  </si>
  <si>
    <t>Total CN in FY 2025-26</t>
  </si>
  <si>
    <t>Total CN of FY 2024-25</t>
  </si>
  <si>
    <t>Recivables</t>
  </si>
  <si>
    <t xml:space="preserve">Sales </t>
  </si>
  <si>
    <t>Credit Note</t>
  </si>
  <si>
    <t>Debit Note</t>
  </si>
  <si>
    <t>Financials with GST</t>
  </si>
  <si>
    <t>BLACK GOLD RECYCLING PRIVATE LIMITED</t>
  </si>
  <si>
    <t>DODHIA SYNTHETICS LIMITED</t>
  </si>
  <si>
    <t>Amaani Polyflakes</t>
  </si>
  <si>
    <t>MAHALAKSHMI SPINTEX PRIVATE LIMITED</t>
  </si>
  <si>
    <t>RPG  Industrial Product Private Limited</t>
  </si>
  <si>
    <t>BADRI COTSYN LIMITED</t>
  </si>
  <si>
    <t>RELIANCE INDUSTRIES LIMITED</t>
  </si>
  <si>
    <t>M/S ARIHANT INDUSTRIES</t>
  </si>
  <si>
    <t>J B ECOTEX LIMITED</t>
  </si>
  <si>
    <t>SAMRUDDHI INDUSTRIES</t>
  </si>
  <si>
    <t>Neelesh Dixit</t>
  </si>
  <si>
    <t>M/S KASHI VISHWANATH TEXTILE MILL PRIVATE LIMITED</t>
  </si>
  <si>
    <t>NIRMAL FIBRES PRIVATE LIMITED</t>
  </si>
  <si>
    <t>SHRIMAN NARAYAN FIBER UDHOG PRIVATE LIMITED</t>
  </si>
  <si>
    <t>Ramesh G</t>
  </si>
  <si>
    <t>Sri Chakra Poly Plast India Private Limited</t>
  </si>
  <si>
    <t>Gitika</t>
  </si>
  <si>
    <t>SANDBERRY FIBRETECH PRIVATE LIMITED</t>
  </si>
  <si>
    <t>Pushpraj</t>
  </si>
  <si>
    <t>RSWM LIMITED</t>
  </si>
  <si>
    <t>Ganesha Ecosphere Limited (Unit-2)</t>
  </si>
  <si>
    <t>Ganesha Ecotech Private Limited (Warangal)</t>
  </si>
  <si>
    <t>KANCHAN INDIA LIMITED</t>
  </si>
  <si>
    <t>AEC PLAST PRIVATE LIMITED</t>
  </si>
  <si>
    <t>SULOCHANA COTTON SPINNING MILLS (P)LTD</t>
  </si>
  <si>
    <t>Prism Infratech Management Private Limited</t>
  </si>
  <si>
    <t>KUNDANA TECHNO TEX PRIVATE LIMITED</t>
  </si>
  <si>
    <t>Shashank</t>
  </si>
  <si>
    <t>Nextgen Fibres Private Limited</t>
  </si>
  <si>
    <t>Silver Ecotex LLP</t>
  </si>
  <si>
    <t>Alliance Fibres Limited</t>
  </si>
  <si>
    <t>GUNJAN INDUSTRIES</t>
  </si>
  <si>
    <t>SHRI MAN NARAYAN POLYTAX PVT LTD</t>
  </si>
  <si>
    <t>PASHUPATI EXCRUSION PRIVATE LIMITED</t>
  </si>
  <si>
    <t>BHAGYAVARDHAN POLYFLAKES PRIVATE LIMITED</t>
  </si>
  <si>
    <t>RUNGTA GREENTECH LIMITED</t>
  </si>
  <si>
    <t>TAPADIA POLYESTERS PRIVATE LIMITED</t>
  </si>
  <si>
    <t>KANNAPIRAN POLYMERS LIMITED</t>
  </si>
  <si>
    <t>Shree Renga Polymers</t>
  </si>
  <si>
    <t>EMINENT DEALERS PVT LTD</t>
  </si>
  <si>
    <t>Dalmia Polypro Industries Private Limited</t>
  </si>
  <si>
    <t>UMA PLASTIC</t>
  </si>
  <si>
    <t>MANJUSHREE TECHNOPACK LIMITED</t>
  </si>
  <si>
    <t>GOPAL PLASTIC</t>
  </si>
  <si>
    <t>SAHEB FIBRE PRIVATE LIMITED</t>
  </si>
  <si>
    <t>GOKUL PLASTIC</t>
  </si>
  <si>
    <t>SHREE RENGA POLYESTER PRIVATE LIMITED</t>
  </si>
  <si>
    <t>RECRAFT PROCESSING PRIVATE LIMITED</t>
  </si>
  <si>
    <t>Apex International</t>
  </si>
  <si>
    <t>Pankaj</t>
  </si>
  <si>
    <t>ELITE INDUSTRIES</t>
  </si>
  <si>
    <t>SAARK INDUSTRIES</t>
  </si>
  <si>
    <t>JB RPET INDUSTRIES PRIVATE LIMITED</t>
  </si>
  <si>
    <t>SWACHH POLYMERS</t>
  </si>
  <si>
    <t>VKB PLASTICS PRIVATE LIMITED</t>
  </si>
  <si>
    <t>Plastic</t>
  </si>
  <si>
    <t>customer_name</t>
  </si>
  <si>
    <t>gst_no</t>
  </si>
  <si>
    <t>A N Service Enterprises</t>
  </si>
  <si>
    <t>Marketplace (Plastic Waste)</t>
  </si>
  <si>
    <t>HALIFAX GREENTECH LLP</t>
  </si>
  <si>
    <t>INDIA POLYMERS</t>
  </si>
  <si>
    <t>Jai Jeen Mata Trading Company</t>
  </si>
  <si>
    <t>M/S PAL INDUSTRIES</t>
  </si>
  <si>
    <t>M/S SHLOK AND SANS</t>
  </si>
  <si>
    <t>Maa Durga Industries</t>
  </si>
  <si>
    <t>MLS INDUSTRIES</t>
  </si>
  <si>
    <t>Nitika Polymer</t>
  </si>
  <si>
    <t>PUSHPANJALI ENTERPRISES</t>
  </si>
  <si>
    <t>SHREE SALASAR POLYFLEX (P) LTD.</t>
  </si>
  <si>
    <t>VANSH POLYPACK LLP</t>
  </si>
  <si>
    <t>VERDE POLYSFY PRIVATE LIMITED</t>
  </si>
  <si>
    <t>LUCRO PLASTECYCLE PRIVATE LIMITED</t>
  </si>
  <si>
    <t>SHRI SAI PLASTIC</t>
  </si>
  <si>
    <t>M A R SCRAPS</t>
  </si>
  <si>
    <t>Reco</t>
  </si>
  <si>
    <t>Current O/s</t>
  </si>
  <si>
    <t xml:space="preserve">Legacy </t>
  </si>
  <si>
    <t>Category B</t>
  </si>
  <si>
    <t>Category A</t>
  </si>
  <si>
    <t>Chaitanya</t>
  </si>
  <si>
    <t>Margins</t>
  </si>
  <si>
    <t>Financial with GST</t>
  </si>
  <si>
    <t>Fy 2025-26</t>
  </si>
  <si>
    <t>Sales-Revenue (MoM)</t>
  </si>
  <si>
    <t>Sales-Volume (MoM)</t>
  </si>
  <si>
    <t>Sales-Transactions (MoM)</t>
  </si>
  <si>
    <t>No of LMI</t>
  </si>
  <si>
    <t>Value of LMI</t>
  </si>
  <si>
    <t>AR TRADERS</t>
  </si>
  <si>
    <t>Tanuj Chhajer</t>
  </si>
  <si>
    <t>Total DN in FY 2025-26</t>
  </si>
  <si>
    <t>Total DN of FY 2024-25</t>
  </si>
  <si>
    <t>GANESHA ECOPET PRIVATE LIMITED</t>
  </si>
  <si>
    <t>Receivables</t>
  </si>
  <si>
    <t>Logistic Provision in Zoho FY 24-25</t>
  </si>
  <si>
    <t>DN Provision in Zoho FY 24-25</t>
  </si>
  <si>
    <t>Bill Branch</t>
  </si>
  <si>
    <t>Inv Branch</t>
  </si>
  <si>
    <t>Telangana - HO</t>
  </si>
  <si>
    <t/>
  </si>
  <si>
    <t>RAKSHITAM ECOFIBRE PRIVATE LIMITED</t>
  </si>
  <si>
    <t>HDPE</t>
  </si>
  <si>
    <t>Operational Cost</t>
  </si>
  <si>
    <t>Gross Margin (%)</t>
  </si>
  <si>
    <t>Net Margin (%)</t>
  </si>
  <si>
    <t>Payable</t>
  </si>
  <si>
    <t>DPO (Days)</t>
  </si>
  <si>
    <t>JAINARAIN FABTECH LIMITED</t>
  </si>
  <si>
    <t>KANCHAN ECO PACK</t>
  </si>
  <si>
    <t>DRS</t>
  </si>
  <si>
    <t>Bills</t>
  </si>
  <si>
    <t>Invoices</t>
  </si>
  <si>
    <t>Logistic Bill</t>
  </si>
  <si>
    <t>CN</t>
  </si>
  <si>
    <t>Raghubeer Ranjan Ray</t>
  </si>
  <si>
    <t>Shashank Jadhav</t>
  </si>
  <si>
    <t>Offline orders &amp; Divertions</t>
  </si>
  <si>
    <t>GST TDS Applicability</t>
  </si>
  <si>
    <t>Cash Discount. No</t>
  </si>
  <si>
    <t>CD Date</t>
  </si>
  <si>
    <t>Cash Discount(Provision)</t>
  </si>
  <si>
    <t>Cash Discount</t>
  </si>
  <si>
    <t>Name</t>
  </si>
  <si>
    <t>Apr-25</t>
  </si>
  <si>
    <t>May-25</t>
  </si>
  <si>
    <t>Jun-25</t>
  </si>
  <si>
    <t>Jul-25</t>
  </si>
  <si>
    <t>Aug-25</t>
  </si>
  <si>
    <t>Other Income</t>
  </si>
  <si>
    <t>DN</t>
  </si>
  <si>
    <t>Paper</t>
  </si>
  <si>
    <t>Sep-25</t>
  </si>
  <si>
    <t>Oct-25</t>
  </si>
  <si>
    <t>Nov-25</t>
  </si>
  <si>
    <t>Dec-25</t>
  </si>
  <si>
    <t>Working Capital Days</t>
  </si>
  <si>
    <t>Jan-26</t>
  </si>
  <si>
    <t>date</t>
  </si>
  <si>
    <t>status</t>
  </si>
  <si>
    <t>entity</t>
  </si>
  <si>
    <t>age</t>
  </si>
  <si>
    <t>due_date</t>
  </si>
  <si>
    <t>transaction_number</t>
  </si>
  <si>
    <t>balance</t>
  </si>
  <si>
    <t>amount</t>
  </si>
  <si>
    <t>overdue</t>
  </si>
  <si>
    <t>invoice</t>
  </si>
  <si>
    <t>2026-01-02</t>
  </si>
  <si>
    <t>2026-01-31</t>
  </si>
  <si>
    <t>2026-02-26</t>
  </si>
  <si>
    <t>payment_terms</t>
  </si>
  <si>
    <t>credit_limit</t>
  </si>
  <si>
    <t>contact.CF.Vertical Name</t>
  </si>
  <si>
    <t>Immediate</t>
  </si>
  <si>
    <t>Net 30 (Days)</t>
  </si>
  <si>
    <t>Net 5 (Days)</t>
  </si>
  <si>
    <t>2026-03-13</t>
  </si>
  <si>
    <t>PET</t>
  </si>
  <si>
    <t>Debit note FY 25-26</t>
  </si>
  <si>
    <t>FY 2025-26 Logistics</t>
  </si>
  <si>
    <t>Provision for Logistics (Fy 2025-26) </t>
  </si>
  <si>
    <t>CN Provision in Zoho FY 25-26</t>
  </si>
  <si>
    <t xml:space="preserve">FY 2025-26 Credit notes </t>
  </si>
  <si>
    <t>Provision for CN from Customers(Fy 2025-26) </t>
  </si>
  <si>
    <t>Credit note Pertaining to FY 25-26</t>
  </si>
  <si>
    <t>Accounted in FY 26-27</t>
  </si>
  <si>
    <t>FY 24-25 Logistic Bills accounted Fy 26-27</t>
  </si>
  <si>
    <t>Debit note Pertaining to FY 2026-27</t>
  </si>
  <si>
    <t xml:space="preserve"> Provision for Credit Notes from Aggregators as on 31st Mar-2026</t>
  </si>
  <si>
    <t>As per Zoho (current month)</t>
  </si>
  <si>
    <t>FY 2026-27</t>
  </si>
  <si>
    <t>Marketplace (Rewerse)</t>
  </si>
  <si>
    <t>Raw Data -Rewerse</t>
  </si>
  <si>
    <t>E-WayBill Number</t>
  </si>
  <si>
    <t>SH042606010</t>
  </si>
  <si>
    <t>27AAMCB5608A1ZX</t>
  </si>
  <si>
    <t>25/PUN/INV0270</t>
  </si>
  <si>
    <t>26-27/PUR/000107</t>
  </si>
  <si>
    <t>MH</t>
  </si>
  <si>
    <t>DD01AC9819</t>
  </si>
  <si>
    <t>PET Bottle Scrap Baled - Clear</t>
  </si>
  <si>
    <t>PET Bottle Scrap Baled - Green</t>
  </si>
  <si>
    <t>SH04260802</t>
  </si>
  <si>
    <t>25/PUN/INV0273</t>
  </si>
  <si>
    <t>26-27/PUR/000239</t>
  </si>
  <si>
    <t>DD01J9582</t>
  </si>
  <si>
    <t>PET Liquor Bottle Scrap Baled</t>
  </si>
  <si>
    <t>SH04261101</t>
  </si>
  <si>
    <t>25/PUN/INV0280</t>
  </si>
  <si>
    <t>26-27/PUR/000399</t>
  </si>
  <si>
    <t>MH13EP3779</t>
  </si>
  <si>
    <t>36/REW/27IN00001</t>
  </si>
  <si>
    <t>832139000052985017</t>
  </si>
  <si>
    <t>DALMIA POLYPRO INDUSTRIES PRIVATE LIMITED (27)</t>
  </si>
  <si>
    <t>27AAACD5406E1Z3</t>
  </si>
  <si>
    <t>Koregaon Bhima Maharashtra 412216</t>
  </si>
  <si>
    <t>Dindori</t>
  </si>
  <si>
    <t>Maharashtra</t>
  </si>
  <si>
    <t>36/REW/27IN00002</t>
  </si>
  <si>
    <t>36/REW/27IN00003</t>
  </si>
  <si>
    <t>Provision for DN to Vendors(Fy 2025-26) </t>
  </si>
  <si>
    <t>Fy 2025-26 Logistic Provision Reversal</t>
  </si>
  <si>
    <t>36/REW/27CN00001</t>
  </si>
  <si>
    <t>36/REW/27CN00002</t>
  </si>
  <si>
    <t>36/REW/27CN00003</t>
  </si>
  <si>
    <t>36/REW/27CN00018</t>
  </si>
  <si>
    <t>36/REW/27CN00004</t>
  </si>
  <si>
    <t>36/REW/27CN00008</t>
  </si>
  <si>
    <t>36/REW/27CN00010</t>
  </si>
  <si>
    <t>36/REW/27CN00012</t>
  </si>
  <si>
    <t>36/REW/27CN00015</t>
  </si>
  <si>
    <t>36/REW/27CN00017</t>
  </si>
  <si>
    <t>36/REW/27CN00007</t>
  </si>
  <si>
    <t>36/REW/27CN00011</t>
  </si>
  <si>
    <t>36/REW/27CN00014</t>
  </si>
  <si>
    <t>36/REW/27CN00016</t>
  </si>
  <si>
    <t>36/REW/27CN00009</t>
  </si>
  <si>
    <t>36/REW/27CN00013</t>
  </si>
  <si>
    <t>36/REW/27CN00020</t>
  </si>
  <si>
    <t>36/REW/27CN00019</t>
  </si>
  <si>
    <t>Marketplace Sales (ReWerse)</t>
  </si>
  <si>
    <t>2025-08-30</t>
  </si>
  <si>
    <t>26/MPRE/INV0045</t>
  </si>
  <si>
    <t>DALMIA POLYPRO INDUSTRIES PRIVATE LIMITED(24)</t>
  </si>
  <si>
    <t>24AAACD5406E1Z9</t>
  </si>
  <si>
    <t>2025-10-13</t>
  </si>
  <si>
    <t>26/MPRE/INV0120</t>
  </si>
  <si>
    <t>2025-11-11</t>
  </si>
  <si>
    <t>26/MPRE/INV0155</t>
  </si>
  <si>
    <t>EVER BLOOMING RECYCLING SOLUTIONS PRIVATE LIMITED</t>
  </si>
  <si>
    <t>Net 1 (Day)</t>
  </si>
  <si>
    <t>36AAICE2880K1ZA</t>
  </si>
  <si>
    <t>2025-12-12</t>
  </si>
  <si>
    <t>26/MPRE/INV0225</t>
  </si>
  <si>
    <t>2025-12-14</t>
  </si>
  <si>
    <t>26/MPRE/INV0226</t>
  </si>
  <si>
    <t>HINDALCO INDUSTRIES LIMITED</t>
  </si>
  <si>
    <t>21AAACH1201R1ZZ</t>
  </si>
  <si>
    <t>Marketplace (Metal Waste)</t>
  </si>
  <si>
    <t>26/MPRE/INV0256</t>
  </si>
  <si>
    <t>2026-01-27</t>
  </si>
  <si>
    <t>26/MPRE/INV0272</t>
  </si>
  <si>
    <t>26/MPRE/INV0275</t>
  </si>
  <si>
    <t>26/MPRE/INV0277</t>
  </si>
  <si>
    <t>26/MPRE/INV0283</t>
  </si>
  <si>
    <t>Sunway Paper Products</t>
  </si>
  <si>
    <t>27CLBPP3625C1ZD</t>
  </si>
  <si>
    <t>2026-04-16</t>
  </si>
  <si>
    <t>26/MPRE/INV0303</t>
  </si>
  <si>
    <t>SH04261505</t>
  </si>
  <si>
    <t>25/PUN/INV0282</t>
  </si>
  <si>
    <t>26-27/PUR/000612</t>
  </si>
  <si>
    <t>SH04261806</t>
  </si>
  <si>
    <t>25/PUN/INV0285</t>
  </si>
  <si>
    <t>26-27/PUR/000939</t>
  </si>
  <si>
    <t>DD01AC9274</t>
  </si>
  <si>
    <t>36/REW/27IN00004</t>
  </si>
  <si>
    <t>36/REW/27IN00005</t>
  </si>
  <si>
    <t>SH02261907</t>
  </si>
  <si>
    <t>SH02261906</t>
  </si>
  <si>
    <t>SH022621012</t>
  </si>
  <si>
    <t>SH03262901</t>
  </si>
  <si>
    <t>SH022625015</t>
  </si>
  <si>
    <t>SH03260306</t>
  </si>
  <si>
    <t>SH03260308</t>
  </si>
  <si>
    <t>SH03261502</t>
  </si>
  <si>
    <t>SH03262205</t>
  </si>
  <si>
    <t>SH03262801</t>
  </si>
  <si>
    <t>SH022628020</t>
  </si>
  <si>
    <t>SH03261204</t>
  </si>
  <si>
    <t>SH03261708</t>
  </si>
  <si>
    <t>SH03262409</t>
  </si>
  <si>
    <t>SH032607010</t>
  </si>
  <si>
    <t>SH03261503</t>
  </si>
  <si>
    <t>SH022627038</t>
  </si>
  <si>
    <t>SH022627018</t>
  </si>
  <si>
    <t>Marketplace DN, CN and Expense Provisions | 31-03-2026</t>
  </si>
  <si>
    <t>Accounted in this Year</t>
  </si>
  <si>
    <t>Q1</t>
  </si>
  <si>
    <t>Positive Margin</t>
  </si>
  <si>
    <t>Positive Margin at Inception</t>
  </si>
  <si>
    <t>0</t>
  </si>
  <si>
    <t>More than 2%</t>
  </si>
  <si>
    <t>Marketplace Purchases (Rewerse)</t>
  </si>
  <si>
    <t>Cloud X</t>
  </si>
  <si>
    <t>Swapnil</t>
  </si>
  <si>
    <t>AAMCB5608A</t>
  </si>
  <si>
    <t>Full Rejections</t>
  </si>
  <si>
    <t>SH04262206</t>
  </si>
  <si>
    <t>25/PUN/INV0286</t>
  </si>
  <si>
    <t>26-27/PUR/001265</t>
  </si>
  <si>
    <t>MH27DT1409</t>
  </si>
  <si>
    <t>SH04262501</t>
  </si>
  <si>
    <t>25/PUN/INV0290</t>
  </si>
  <si>
    <t>26-27/PUR/001435</t>
  </si>
  <si>
    <t>36/REW/27IN00006</t>
  </si>
  <si>
    <t>Bhima Maharashtra 412216</t>
  </si>
  <si>
    <t>36/REW/27IN00007</t>
  </si>
  <si>
    <t>Koregaon Bhima,Maharashtra,412216</t>
  </si>
  <si>
    <t>SH022623011</t>
  </si>
  <si>
    <t>36/REW/27CN00022</t>
  </si>
  <si>
    <t>SH012631025</t>
  </si>
  <si>
    <t>36/REW/27CN00021</t>
  </si>
  <si>
    <t>Supporting Service charges-Apr-26 (Variable)</t>
  </si>
  <si>
    <t>unused_credits_receivable_amount</t>
  </si>
  <si>
    <t>SH05260301</t>
  </si>
  <si>
    <t>25/PUN/INV0293</t>
  </si>
  <si>
    <t>26-27/PUR/001702</t>
  </si>
  <si>
    <t>36/REW/27IN00008</t>
  </si>
  <si>
    <t>Supporting Service charges-May-26 (Variable)</t>
  </si>
  <si>
    <t>Supporting Service charges-Apr-26</t>
  </si>
  <si>
    <t>SH05260505</t>
  </si>
  <si>
    <t>25/PUN/INV0295</t>
  </si>
  <si>
    <t>26-27/PUR/001826</t>
  </si>
  <si>
    <t>DD01AG9184</t>
  </si>
  <si>
    <t>36/REW/27IN00009</t>
  </si>
  <si>
    <t>SH012630012</t>
  </si>
  <si>
    <t>36/REW/27CN00023</t>
  </si>
  <si>
    <t>SH05260903</t>
  </si>
  <si>
    <t>25/PUN/INV0298</t>
  </si>
  <si>
    <t>26-27/PUR/001930</t>
  </si>
  <si>
    <t>DD01AE9181</t>
  </si>
  <si>
    <t>36/REW/27IN00010</t>
  </si>
  <si>
    <t>2026-05-05</t>
  </si>
  <si>
    <t>sent</t>
  </si>
  <si>
    <t>2026-05-21</t>
  </si>
  <si>
    <t>2026-05-24</t>
  </si>
  <si>
    <t>2026-06-01</t>
  </si>
  <si>
    <t>2026-06-03</t>
  </si>
  <si>
    <t>2026-06-07</t>
  </si>
  <si>
    <t>2026-06-14</t>
  </si>
  <si>
    <t>36/REW/27IN00011</t>
  </si>
  <si>
    <t>SH05261603</t>
  </si>
  <si>
    <t>25/PUN/INV0302</t>
  </si>
  <si>
    <t>26-27/PUR/002263</t>
  </si>
  <si>
    <t>MH43BP9096</t>
  </si>
  <si>
    <t>Koregaon Bhima, Maharashtra 412216</t>
  </si>
  <si>
    <t>SH122521013</t>
  </si>
  <si>
    <t>M/S HINDALCO INDUSTRIES LIMITED</t>
  </si>
  <si>
    <t>Penalty Charges</t>
  </si>
  <si>
    <t>SH122526022</t>
  </si>
  <si>
    <t>SH05262207</t>
  </si>
  <si>
    <t>25/PUN/INV0305</t>
  </si>
  <si>
    <t>26-27/PUR/002494</t>
  </si>
  <si>
    <t>DD01H9940</t>
  </si>
  <si>
    <t>SH05262208</t>
  </si>
  <si>
    <t>25/PUN/INV0306</t>
  </si>
  <si>
    <t>26-27/PUR/002495</t>
  </si>
  <si>
    <t>MH41AU5461</t>
  </si>
  <si>
    <t>SH05262309</t>
  </si>
  <si>
    <t>25/PUN/INV0307</t>
  </si>
  <si>
    <t>26-27/PUR/002499</t>
  </si>
  <si>
    <t>SH05262401</t>
  </si>
  <si>
    <t>25/PUN/INV0309</t>
  </si>
  <si>
    <t>26-27/PUR/002500</t>
  </si>
  <si>
    <t>MH15KS3637</t>
  </si>
  <si>
    <t>SH05262402</t>
  </si>
  <si>
    <t>25/PUN/INV0310</t>
  </si>
  <si>
    <t>26-27/PUR/002501</t>
  </si>
  <si>
    <t>MH45AF9350</t>
  </si>
  <si>
    <t>36/REW/27IN00012</t>
  </si>
  <si>
    <t>36/REW/27IN00013</t>
  </si>
  <si>
    <t>36/REW/27IN00014</t>
  </si>
  <si>
    <t>36/REW/27IN00015</t>
  </si>
  <si>
    <t>36/REW/27IN00016</t>
  </si>
  <si>
    <t>2026-06-20</t>
  </si>
  <si>
    <t>2026-06-21</t>
  </si>
  <si>
    <t>2026-06-22</t>
  </si>
  <si>
    <t>Supporting Service charges</t>
  </si>
  <si>
    <t>25/PUN/INV0292</t>
  </si>
  <si>
    <t>25/PUN/INV0294</t>
  </si>
  <si>
    <t>SH05262802</t>
  </si>
  <si>
    <t>25/PUN/INV0312</t>
  </si>
  <si>
    <t>26-27/PUR/002761</t>
  </si>
  <si>
    <t>GJ21Z0263</t>
  </si>
  <si>
    <t>SH052630014</t>
  </si>
  <si>
    <t>25/PUN/INV0313</t>
  </si>
  <si>
    <t>26-27/PUR/002995</t>
  </si>
  <si>
    <t>36/REW/27IN00017</t>
  </si>
  <si>
    <t>36/REW/27IN00018</t>
  </si>
  <si>
    <t>2026-06-26</t>
  </si>
  <si>
    <t>2026-06-28</t>
  </si>
  <si>
    <t>SH06260204</t>
  </si>
  <si>
    <t>25/PUN/INV0314</t>
  </si>
  <si>
    <t>26-27/PUR/003173</t>
  </si>
  <si>
    <t>MH15KV1113</t>
  </si>
  <si>
    <t>SH06260606</t>
  </si>
  <si>
    <t>25/PUN/INV0315</t>
  </si>
  <si>
    <t>26-27/PUR/003301</t>
  </si>
  <si>
    <t>MH15JW2934</t>
  </si>
  <si>
    <t>36/REW/27IN00019</t>
  </si>
  <si>
    <t>36/REW/27IN00020</t>
  </si>
  <si>
    <t>Supporting Service charges-Junne-26 (Variable)</t>
  </si>
  <si>
    <t>Supporting Service charges-June-26 (Variable)</t>
  </si>
  <si>
    <t>As per Zoho(till May)</t>
  </si>
  <si>
    <t>31</t>
  </si>
  <si>
    <t>28</t>
  </si>
  <si>
    <t>2026-07-01</t>
  </si>
  <si>
    <t>2026-07-05</t>
  </si>
  <si>
    <t>SH06261402</t>
  </si>
  <si>
    <t>25/PUN/INV0318</t>
  </si>
  <si>
    <t>26-27/PUR/003647</t>
  </si>
  <si>
    <t>36/REW/27IN00021</t>
  </si>
  <si>
    <t>36/REW/27CN00031</t>
  </si>
  <si>
    <t>CN Issued</t>
  </si>
  <si>
    <t>36/REW/27CN00030</t>
  </si>
  <si>
    <t>36/REW/27CN00027</t>
  </si>
  <si>
    <t>36/REW/27CN00029</t>
  </si>
  <si>
    <t>36/REW/27CN00026</t>
  </si>
  <si>
    <t>SH03263106</t>
  </si>
  <si>
    <t>36/REW/27CN00025</t>
  </si>
  <si>
    <t>36/REW/27CN00028</t>
  </si>
  <si>
    <t>36/REW/27CN00024</t>
  </si>
  <si>
    <t>7</t>
  </si>
  <si>
    <t>2026-07-13</t>
  </si>
  <si>
    <t>SH06261504</t>
  </si>
  <si>
    <t>25/PUN/INV0321</t>
  </si>
  <si>
    <t>26-27/PUR/003716</t>
  </si>
  <si>
    <t>DN09R9152</t>
  </si>
  <si>
    <t>SH06261502</t>
  </si>
  <si>
    <t>25/PUN/INV0320</t>
  </si>
  <si>
    <t>26-27/PUR/003714</t>
  </si>
  <si>
    <t>MH15JW5807</t>
  </si>
  <si>
    <t>SH06261908</t>
  </si>
  <si>
    <t>25/PUN/INV0322</t>
  </si>
  <si>
    <t>26-27/PUR/003992</t>
  </si>
  <si>
    <t>DD01W9376</t>
  </si>
  <si>
    <t>SH06262101</t>
  </si>
  <si>
    <t>25/PUN/INV0324</t>
  </si>
  <si>
    <t>26-27/PUR/004000</t>
  </si>
  <si>
    <t>36/REW/27IN00023</t>
  </si>
  <si>
    <t>832139000058476217</t>
  </si>
  <si>
    <t>NATIONAL FIBRES PRIVATE LIMITED</t>
  </si>
  <si>
    <t>26AAICN2675D1ZG</t>
  </si>
  <si>
    <t>Silvassa</t>
  </si>
  <si>
    <t>Dadra and Nagar Haveli and Daman and Diu</t>
  </si>
  <si>
    <t>182458834092</t>
  </si>
  <si>
    <t>36/REW/27IN00022</t>
  </si>
  <si>
    <t>36/REW/27IN00024</t>
  </si>
  <si>
    <t>172462827580</t>
  </si>
  <si>
    <t>36/REW/27IN00025</t>
  </si>
  <si>
    <t>295</t>
  </si>
  <si>
    <t>251</t>
  </si>
  <si>
    <t>222</t>
  </si>
  <si>
    <t>191</t>
  </si>
  <si>
    <t>189</t>
  </si>
  <si>
    <t>170</t>
  </si>
  <si>
    <t>145</t>
  </si>
  <si>
    <t>141</t>
  </si>
  <si>
    <t>115</t>
  </si>
  <si>
    <t>100</t>
  </si>
  <si>
    <t>66</t>
  </si>
  <si>
    <t>47</t>
  </si>
  <si>
    <t>20</t>
  </si>
  <si>
    <t>18</t>
  </si>
  <si>
    <t>14</t>
  </si>
  <si>
    <t>1</t>
  </si>
  <si>
    <t>2026-07-09</t>
  </si>
  <si>
    <t>2026-07-14</t>
  </si>
  <si>
    <t>2026-07-20</t>
  </si>
  <si>
    <t>SH06261404</t>
  </si>
  <si>
    <t>25/PUN/INV0319</t>
  </si>
  <si>
    <t>26-27/PUR/003669</t>
  </si>
  <si>
    <t>KA569441</t>
  </si>
  <si>
    <t>Used Beverage Cans scrap (UBC)</t>
  </si>
  <si>
    <t>Aluminum Scrap</t>
  </si>
  <si>
    <t>27/MET/27IN00003</t>
  </si>
  <si>
    <t>832139000076790009</t>
  </si>
  <si>
    <t>VINAYAK METAL AND ALLOYS PRIVATE LIMITED</t>
  </si>
  <si>
    <t>36AAGCV9303A1ZK</t>
  </si>
  <si>
    <t>Mutpoor</t>
  </si>
  <si>
    <t>Telangana</t>
  </si>
  <si>
    <t>3</t>
  </si>
  <si>
    <t>2026-06-18</t>
  </si>
  <si>
    <t>Marketplace Sales (Metal)</t>
  </si>
  <si>
    <t>Indirect Expenses</t>
  </si>
  <si>
    <t>Margin after Indirect Expenses</t>
  </si>
  <si>
    <t>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</si>
</sst>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_(* #,##0.00_);_(* \(#,##0.0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u/>
      <sz val="11"/>
      <color theme="1" tint="0.34998626667073579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mbria"/>
      <family val="1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u val="singleAccounting"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21252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rgb="FF0000FF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mbria"/>
      <family val="1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u/>
      <sz val="9"/>
      <color theme="1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5F5F5"/>
      </patternFill>
    </fill>
  </fills>
  <borders count="3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theme="0"/>
      </left>
      <right style="medium">
        <color theme="1"/>
      </right>
      <top style="medium">
        <color theme="1"/>
      </top>
      <bottom/>
      <diagonal/>
    </border>
    <border>
      <left style="medium">
        <color theme="0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/>
      <diagonal/>
    </border>
  </borders>
  <cellStyleXfs count="1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9" fontId="1" fillId="0" borderId="0" applyFont="0" applyFill="0" applyBorder="0" applyAlignment="0" applyProtection="0"/>
    <xf numFmtId="0" fontId="18" fillId="0" borderId="0"/>
  </cellStyleXfs>
  <cellXfs count="398">
    <xf numFmtId="0" fontId="0" fillId="0" borderId="0" xfId="0"/>
    <xf numFmtId="165" fontId="0" fillId="0" borderId="0" xfId="0" applyNumberFormat="1"/>
    <xf numFmtId="0" fontId="4" fillId="0" borderId="0" xfId="0" applyFont="1"/>
    <xf numFmtId="165" fontId="0" fillId="0" borderId="0" xfId="7" applyNumberFormat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2" xfId="0" applyBorder="1"/>
    <xf numFmtId="0" fontId="4" fillId="0" borderId="5" xfId="0" applyFont="1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165" fontId="0" fillId="0" borderId="9" xfId="7" applyNumberFormat="1" applyFont="1" applyBorder="1"/>
    <xf numFmtId="1" fontId="4" fillId="0" borderId="8" xfId="7" applyNumberFormat="1" applyFont="1" applyBorder="1"/>
    <xf numFmtId="3" fontId="0" fillId="0" borderId="9" xfId="0" applyNumberFormat="1" applyBorder="1" applyAlignment="1">
      <alignment horizontal="right"/>
    </xf>
    <xf numFmtId="1" fontId="4" fillId="0" borderId="0" xfId="7" applyNumberFormat="1" applyFont="1" applyBorder="1"/>
    <xf numFmtId="3" fontId="0" fillId="0" borderId="9" xfId="0" applyNumberFormat="1" applyBorder="1"/>
    <xf numFmtId="4" fontId="0" fillId="0" borderId="2" xfId="0" applyNumberFormat="1" applyBorder="1"/>
    <xf numFmtId="165" fontId="0" fillId="0" borderId="3" xfId="7" applyNumberFormat="1" applyFont="1" applyBorder="1"/>
    <xf numFmtId="3" fontId="0" fillId="0" borderId="3" xfId="0" applyNumberFormat="1" applyBorder="1"/>
    <xf numFmtId="3" fontId="0" fillId="0" borderId="10" xfId="0" applyNumberFormat="1" applyBorder="1"/>
    <xf numFmtId="3" fontId="0" fillId="0" borderId="0" xfId="0" applyNumberFormat="1"/>
    <xf numFmtId="0" fontId="4" fillId="3" borderId="0" xfId="0" applyFont="1" applyFill="1"/>
    <xf numFmtId="165" fontId="4" fillId="3" borderId="0" xfId="7" applyNumberFormat="1" applyFont="1" applyFill="1"/>
    <xf numFmtId="165" fontId="4" fillId="3" borderId="0" xfId="7" applyNumberFormat="1" applyFont="1" applyFill="1" applyBorder="1"/>
    <xf numFmtId="0" fontId="0" fillId="0" borderId="9" xfId="0" applyBorder="1" applyAlignment="1">
      <alignment horizontal="center"/>
    </xf>
    <xf numFmtId="0" fontId="7" fillId="4" borderId="5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 vertical="center"/>
    </xf>
    <xf numFmtId="3" fontId="4" fillId="0" borderId="8" xfId="0" applyNumberFormat="1" applyFont="1" applyBorder="1"/>
    <xf numFmtId="14" fontId="7" fillId="4" borderId="5" xfId="0" applyNumberFormat="1" applyFont="1" applyFill="1" applyBorder="1" applyAlignment="1">
      <alignment horizontal="center"/>
    </xf>
    <xf numFmtId="3" fontId="7" fillId="4" borderId="8" xfId="0" applyNumberFormat="1" applyFont="1" applyFill="1" applyBorder="1"/>
    <xf numFmtId="3" fontId="6" fillId="0" borderId="9" xfId="0" applyNumberFormat="1" applyFont="1" applyBorder="1"/>
    <xf numFmtId="3" fontId="4" fillId="0" borderId="0" xfId="7" applyNumberFormat="1" applyFont="1" applyBorder="1" applyAlignment="1">
      <alignment vertical="center"/>
    </xf>
    <xf numFmtId="3" fontId="4" fillId="0" borderId="8" xfId="0" applyNumberFormat="1" applyFont="1" applyBorder="1" applyAlignment="1">
      <alignment horizontal="center"/>
    </xf>
    <xf numFmtId="0" fontId="4" fillId="0" borderId="8" xfId="0" applyFont="1" applyBorder="1"/>
    <xf numFmtId="0" fontId="7" fillId="4" borderId="6" xfId="0" applyFont="1" applyFill="1" applyBorder="1" applyAlignment="1">
      <alignment horizontal="center"/>
    </xf>
    <xf numFmtId="0" fontId="4" fillId="0" borderId="2" xfId="0" applyFont="1" applyBorder="1"/>
    <xf numFmtId="1" fontId="4" fillId="0" borderId="9" xfId="7" applyNumberFormat="1" applyFont="1" applyBorder="1"/>
    <xf numFmtId="3" fontId="4" fillId="0" borderId="6" xfId="7" applyNumberFormat="1" applyFont="1" applyBorder="1"/>
    <xf numFmtId="14" fontId="0" fillId="0" borderId="2" xfId="0" applyNumberFormat="1" applyBorder="1"/>
    <xf numFmtId="0" fontId="9" fillId="0" borderId="13" xfId="0" applyFont="1" applyBorder="1"/>
    <xf numFmtId="0" fontId="4" fillId="0" borderId="5" xfId="0" applyFont="1" applyBorder="1" applyAlignment="1">
      <alignment horizontal="center"/>
    </xf>
    <xf numFmtId="14" fontId="0" fillId="0" borderId="9" xfId="0" applyNumberFormat="1" applyBorder="1"/>
    <xf numFmtId="3" fontId="4" fillId="0" borderId="6" xfId="0" applyNumberFormat="1" applyFont="1" applyBorder="1"/>
    <xf numFmtId="0" fontId="8" fillId="0" borderId="13" xfId="0" applyFont="1" applyBorder="1"/>
    <xf numFmtId="0" fontId="15" fillId="0" borderId="0" xfId="0" applyFont="1"/>
    <xf numFmtId="0" fontId="0" fillId="3" borderId="2" xfId="0" applyFill="1" applyBorder="1"/>
    <xf numFmtId="0" fontId="7" fillId="4" borderId="23" xfId="0" applyFont="1" applyFill="1" applyBorder="1" applyAlignment="1">
      <alignment horizontal="center"/>
    </xf>
    <xf numFmtId="165" fontId="7" fillId="4" borderId="14" xfId="7" applyNumberFormat="1" applyFont="1" applyFill="1" applyBorder="1" applyAlignment="1">
      <alignment horizontal="center"/>
    </xf>
    <xf numFmtId="165" fontId="0" fillId="3" borderId="9" xfId="7" applyNumberFormat="1" applyFont="1" applyFill="1" applyBorder="1"/>
    <xf numFmtId="165" fontId="4" fillId="3" borderId="6" xfId="7" applyNumberFormat="1" applyFont="1" applyFill="1" applyBorder="1"/>
    <xf numFmtId="0" fontId="4" fillId="3" borderId="2" xfId="0" applyFont="1" applyFill="1" applyBorder="1"/>
    <xf numFmtId="0" fontId="4" fillId="3" borderId="5" xfId="0" applyFont="1" applyFill="1" applyBorder="1" applyAlignment="1">
      <alignment horizontal="center"/>
    </xf>
    <xf numFmtId="165" fontId="4" fillId="3" borderId="6" xfId="7" applyNumberFormat="1" applyFont="1" applyFill="1" applyBorder="1" applyAlignment="1">
      <alignment horizontal="center"/>
    </xf>
    <xf numFmtId="0" fontId="0" fillId="3" borderId="23" xfId="0" applyFill="1" applyBorder="1"/>
    <xf numFmtId="165" fontId="0" fillId="3" borderId="14" xfId="7" applyNumberFormat="1" applyFont="1" applyFill="1" applyBorder="1"/>
    <xf numFmtId="165" fontId="3" fillId="3" borderId="8" xfId="7" applyNumberFormat="1" applyFont="1" applyFill="1" applyBorder="1"/>
    <xf numFmtId="3" fontId="4" fillId="0" borderId="7" xfId="0" applyNumberFormat="1" applyFont="1" applyBorder="1"/>
    <xf numFmtId="0" fontId="7" fillId="4" borderId="14" xfId="0" applyFont="1" applyFill="1" applyBorder="1" applyAlignment="1">
      <alignment horizontal="center"/>
    </xf>
    <xf numFmtId="0" fontId="13" fillId="0" borderId="0" xfId="0" applyFont="1"/>
    <xf numFmtId="4" fontId="0" fillId="0" borderId="0" xfId="7" applyNumberFormat="1" applyFont="1"/>
    <xf numFmtId="165" fontId="0" fillId="0" borderId="2" xfId="7" applyNumberFormat="1" applyFont="1" applyBorder="1"/>
    <xf numFmtId="165" fontId="0" fillId="0" borderId="0" xfId="7" applyNumberFormat="1" applyFont="1" applyBorder="1"/>
    <xf numFmtId="165" fontId="3" fillId="0" borderId="0" xfId="7" applyNumberFormat="1" applyFont="1"/>
    <xf numFmtId="10" fontId="3" fillId="0" borderId="0" xfId="12" applyNumberFormat="1" applyFont="1"/>
    <xf numFmtId="10" fontId="16" fillId="0" borderId="0" xfId="12" applyNumberFormat="1" applyFont="1" applyBorder="1"/>
    <xf numFmtId="10" fontId="16" fillId="0" borderId="9" xfId="12" applyNumberFormat="1" applyFont="1" applyBorder="1"/>
    <xf numFmtId="165" fontId="7" fillId="6" borderId="5" xfId="7" applyNumberFormat="1" applyFont="1" applyFill="1" applyBorder="1" applyAlignment="1">
      <alignment horizontal="center"/>
    </xf>
    <xf numFmtId="165" fontId="7" fillId="6" borderId="8" xfId="7" applyNumberFormat="1" applyFont="1" applyFill="1" applyBorder="1" applyAlignment="1">
      <alignment horizontal="center"/>
    </xf>
    <xf numFmtId="165" fontId="16" fillId="0" borderId="0" xfId="7" applyNumberFormat="1" applyFont="1"/>
    <xf numFmtId="165" fontId="7" fillId="6" borderId="7" xfId="7" applyNumberFormat="1" applyFont="1" applyFill="1" applyBorder="1" applyAlignment="1">
      <alignment horizontal="center"/>
    </xf>
    <xf numFmtId="4" fontId="16" fillId="0" borderId="0" xfId="7" applyNumberFormat="1" applyFont="1"/>
    <xf numFmtId="165" fontId="7" fillId="6" borderId="11" xfId="7" applyNumberFormat="1" applyFont="1" applyFill="1" applyBorder="1" applyAlignment="1">
      <alignment horizontal="center"/>
    </xf>
    <xf numFmtId="4" fontId="0" fillId="0" borderId="3" xfId="7" applyNumberFormat="1" applyFont="1" applyBorder="1"/>
    <xf numFmtId="165" fontId="7" fillId="6" borderId="23" xfId="7" applyNumberFormat="1" applyFont="1" applyFill="1" applyBorder="1" applyAlignment="1">
      <alignment horizontal="center"/>
    </xf>
    <xf numFmtId="165" fontId="17" fillId="0" borderId="0" xfId="7" applyNumberFormat="1" applyFont="1" applyAlignment="1">
      <alignment horizontal="center"/>
    </xf>
    <xf numFmtId="165" fontId="7" fillId="6" borderId="0" xfId="7" applyNumberFormat="1" applyFont="1" applyFill="1" applyBorder="1" applyAlignment="1">
      <alignment horizontal="center"/>
    </xf>
    <xf numFmtId="4" fontId="0" fillId="0" borderId="0" xfId="7" applyNumberFormat="1" applyFont="1" applyBorder="1"/>
    <xf numFmtId="0" fontId="3" fillId="0" borderId="5" xfId="0" applyFont="1" applyBorder="1" applyAlignment="1">
      <alignment horizontal="center"/>
    </xf>
    <xf numFmtId="165" fontId="3" fillId="0" borderId="0" xfId="7" applyNumberFormat="1" applyFont="1" applyBorder="1"/>
    <xf numFmtId="0" fontId="3" fillId="0" borderId="6" xfId="0" applyFont="1" applyBorder="1" applyAlignment="1">
      <alignment horizontal="center"/>
    </xf>
    <xf numFmtId="165" fontId="19" fillId="0" borderId="0" xfId="7" applyNumberFormat="1" applyFont="1" applyAlignment="1"/>
    <xf numFmtId="165" fontId="20" fillId="0" borderId="0" xfId="7" applyNumberFormat="1" applyFont="1" applyAlignment="1">
      <alignment vertical="center"/>
    </xf>
    <xf numFmtId="165" fontId="19" fillId="0" borderId="0" xfId="7" applyNumberFormat="1" applyFont="1" applyAlignment="1">
      <alignment horizontal="left"/>
    </xf>
    <xf numFmtId="14" fontId="19" fillId="0" borderId="0" xfId="7" applyNumberFormat="1" applyFont="1" applyAlignment="1">
      <alignment horizontal="left"/>
    </xf>
    <xf numFmtId="165" fontId="19" fillId="4" borderId="0" xfId="7" applyNumberFormat="1" applyFont="1" applyFill="1" applyBorder="1" applyAlignment="1">
      <alignment horizontal="center"/>
    </xf>
    <xf numFmtId="165" fontId="19" fillId="0" borderId="0" xfId="7" applyNumberFormat="1" applyFont="1" applyFill="1" applyBorder="1" applyAlignment="1">
      <alignment horizontal="right"/>
    </xf>
    <xf numFmtId="165" fontId="19" fillId="0" borderId="0" xfId="7" applyNumberFormat="1" applyFont="1" applyAlignment="1">
      <alignment horizontal="center" vertical="center"/>
    </xf>
    <xf numFmtId="165" fontId="19" fillId="4" borderId="0" xfId="7" applyNumberFormat="1" applyFont="1" applyFill="1" applyAlignment="1">
      <alignment vertical="center"/>
    </xf>
    <xf numFmtId="165" fontId="19" fillId="0" borderId="0" xfId="7" applyNumberFormat="1" applyFont="1" applyFill="1" applyBorder="1" applyAlignment="1"/>
    <xf numFmtId="165" fontId="19" fillId="5" borderId="0" xfId="7" applyNumberFormat="1" applyFont="1" applyFill="1" applyBorder="1" applyAlignment="1">
      <alignment horizontal="center"/>
    </xf>
    <xf numFmtId="165" fontId="19" fillId="0" borderId="0" xfId="7" applyNumberFormat="1" applyFont="1" applyAlignment="1">
      <alignment horizontal="left" vertical="top"/>
    </xf>
    <xf numFmtId="165" fontId="22" fillId="0" borderId="13" xfId="7" applyNumberFormat="1" applyFont="1" applyBorder="1" applyAlignment="1"/>
    <xf numFmtId="14" fontId="22" fillId="0" borderId="13" xfId="7" applyNumberFormat="1" applyFont="1" applyBorder="1" applyAlignment="1"/>
    <xf numFmtId="165" fontId="20" fillId="0" borderId="0" xfId="7" applyNumberFormat="1" applyFont="1" applyFill="1" applyBorder="1" applyAlignment="1">
      <alignment horizontal="right"/>
    </xf>
    <xf numFmtId="165" fontId="22" fillId="0" borderId="13" xfId="7" applyNumberFormat="1" applyFont="1" applyBorder="1" applyAlignment="1">
      <alignment vertical="center"/>
    </xf>
    <xf numFmtId="165" fontId="19" fillId="0" borderId="0" xfId="7" applyNumberFormat="1" applyFont="1" applyAlignment="1">
      <alignment horizontal="right"/>
    </xf>
    <xf numFmtId="165" fontId="23" fillId="0" borderId="13" xfId="7" applyNumberFormat="1" applyFont="1" applyFill="1" applyBorder="1" applyAlignment="1"/>
    <xf numFmtId="10" fontId="19" fillId="0" borderId="0" xfId="12" applyNumberFormat="1" applyFont="1" applyFill="1" applyBorder="1" applyAlignment="1">
      <alignment horizontal="right"/>
    </xf>
    <xf numFmtId="165" fontId="23" fillId="0" borderId="0" xfId="7" applyNumberFormat="1" applyFont="1" applyBorder="1" applyAlignment="1">
      <alignment horizontal="center" vertical="center"/>
    </xf>
    <xf numFmtId="165" fontId="20" fillId="0" borderId="0" xfId="7" applyNumberFormat="1" applyFont="1" applyBorder="1" applyAlignment="1">
      <alignment horizontal="center"/>
    </xf>
    <xf numFmtId="165" fontId="19" fillId="0" borderId="0" xfId="7" applyNumberFormat="1" applyFont="1" applyAlignment="1">
      <alignment horizontal="left" vertical="center"/>
    </xf>
    <xf numFmtId="165" fontId="19" fillId="0" borderId="0" xfId="7" applyNumberFormat="1" applyFont="1" applyBorder="1" applyAlignment="1">
      <alignment horizontal="right"/>
    </xf>
    <xf numFmtId="165" fontId="19" fillId="0" borderId="0" xfId="7" applyNumberFormat="1" applyFont="1" applyBorder="1" applyAlignment="1"/>
    <xf numFmtId="165" fontId="19" fillId="0" borderId="0" xfId="7" applyNumberFormat="1" applyFont="1" applyAlignment="1">
      <alignment horizontal="center"/>
    </xf>
    <xf numFmtId="165" fontId="20" fillId="0" borderId="0" xfId="7" applyNumberFormat="1" applyFont="1" applyAlignment="1">
      <alignment horizontal="right"/>
    </xf>
    <xf numFmtId="165" fontId="20" fillId="0" borderId="0" xfId="7" applyNumberFormat="1" applyFont="1" applyAlignment="1"/>
    <xf numFmtId="165" fontId="19" fillId="0" borderId="0" xfId="7" applyNumberFormat="1" applyFont="1" applyAlignment="1">
      <alignment horizontal="right" vertical="center"/>
    </xf>
    <xf numFmtId="165" fontId="24" fillId="0" borderId="0" xfId="7" applyNumberFormat="1" applyFont="1" applyBorder="1" applyAlignment="1">
      <alignment horizontal="right"/>
    </xf>
    <xf numFmtId="165" fontId="19" fillId="0" borderId="1" xfId="7" applyNumberFormat="1" applyFont="1" applyBorder="1" applyAlignment="1"/>
    <xf numFmtId="165" fontId="19" fillId="0" borderId="0" xfId="7" applyNumberFormat="1" applyFont="1" applyBorder="1" applyAlignment="1">
      <alignment horizontal="center" vertical="center"/>
    </xf>
    <xf numFmtId="165" fontId="1" fillId="0" borderId="0" xfId="7" applyNumberFormat="1" applyFont="1" applyAlignment="1"/>
    <xf numFmtId="165" fontId="1" fillId="0" borderId="0" xfId="7" applyNumberFormat="1" applyFont="1" applyAlignment="1">
      <alignment horizontal="right"/>
    </xf>
    <xf numFmtId="165" fontId="3" fillId="0" borderId="0" xfId="7" applyNumberFormat="1" applyFont="1" applyBorder="1" applyAlignment="1"/>
    <xf numFmtId="165" fontId="25" fillId="6" borderId="5" xfId="7" applyNumberFormat="1" applyFont="1" applyFill="1" applyBorder="1" applyAlignment="1">
      <alignment horizontal="center" vertical="center"/>
    </xf>
    <xf numFmtId="165" fontId="25" fillId="6" borderId="8" xfId="7" applyNumberFormat="1" applyFont="1" applyFill="1" applyBorder="1" applyAlignment="1">
      <alignment horizontal="center" vertical="center"/>
    </xf>
    <xf numFmtId="165" fontId="25" fillId="6" borderId="7" xfId="7" applyNumberFormat="1" applyFont="1" applyFill="1" applyBorder="1" applyAlignment="1">
      <alignment horizontal="center" vertical="center"/>
    </xf>
    <xf numFmtId="14" fontId="25" fillId="6" borderId="8" xfId="7" applyNumberFormat="1" applyFont="1" applyFill="1" applyBorder="1" applyAlignment="1">
      <alignment horizontal="center" vertical="center"/>
    </xf>
    <xf numFmtId="165" fontId="25" fillId="6" borderId="6" xfId="7" applyNumberFormat="1" applyFont="1" applyFill="1" applyBorder="1" applyAlignment="1">
      <alignment horizontal="center" vertical="center"/>
    </xf>
    <xf numFmtId="165" fontId="25" fillId="6" borderId="0" xfId="7" applyNumberFormat="1" applyFont="1" applyFill="1" applyBorder="1" applyAlignment="1">
      <alignment horizontal="center" vertical="center"/>
    </xf>
    <xf numFmtId="165" fontId="25" fillId="6" borderId="19" xfId="7" applyNumberFormat="1" applyFont="1" applyFill="1" applyBorder="1" applyAlignment="1">
      <alignment horizontal="center" vertical="center"/>
    </xf>
    <xf numFmtId="165" fontId="20" fillId="0" borderId="0" xfId="7" applyNumberFormat="1" applyFont="1" applyAlignment="1">
      <alignment horizontal="center" vertical="center"/>
    </xf>
    <xf numFmtId="165" fontId="11" fillId="0" borderId="20" xfId="7" applyNumberFormat="1" applyFont="1" applyBorder="1" applyAlignment="1">
      <alignment horizontal="center"/>
    </xf>
    <xf numFmtId="17" fontId="11" fillId="0" borderId="21" xfId="7" applyNumberFormat="1" applyFont="1" applyBorder="1" applyAlignment="1">
      <alignment horizontal="center"/>
    </xf>
    <xf numFmtId="14" fontId="11" fillId="0" borderId="20" xfId="7" applyNumberFormat="1" applyFont="1" applyBorder="1" applyAlignment="1">
      <alignment horizontal="left"/>
    </xf>
    <xf numFmtId="165" fontId="11" fillId="0" borderId="21" xfId="7" applyNumberFormat="1" applyFont="1" applyBorder="1" applyAlignment="1">
      <alignment horizontal="left"/>
    </xf>
    <xf numFmtId="165" fontId="11" fillId="0" borderId="22" xfId="7" applyNumberFormat="1" applyFont="1" applyBorder="1" applyAlignment="1">
      <alignment horizontal="left"/>
    </xf>
    <xf numFmtId="165" fontId="11" fillId="0" borderId="18" xfId="7" applyNumberFormat="1" applyFont="1" applyFill="1" applyBorder="1" applyAlignment="1"/>
    <xf numFmtId="165" fontId="11" fillId="0" borderId="19" xfId="7" applyNumberFormat="1" applyFont="1" applyFill="1" applyBorder="1" applyAlignment="1"/>
    <xf numFmtId="165" fontId="11" fillId="0" borderId="16" xfId="7" applyNumberFormat="1" applyFont="1" applyFill="1" applyBorder="1" applyAlignment="1"/>
    <xf numFmtId="165" fontId="11" fillId="0" borderId="15" xfId="7" applyNumberFormat="1" applyFont="1" applyFill="1" applyBorder="1" applyAlignment="1"/>
    <xf numFmtId="165" fontId="11" fillId="0" borderId="19" xfId="5" applyNumberFormat="1" applyFont="1" applyFill="1" applyBorder="1" applyAlignment="1"/>
    <xf numFmtId="165" fontId="11" fillId="0" borderId="18" xfId="5" applyNumberFormat="1" applyFont="1" applyFill="1" applyBorder="1" applyAlignment="1"/>
    <xf numFmtId="43" fontId="11" fillId="0" borderId="16" xfId="7" applyFont="1" applyFill="1" applyBorder="1" applyAlignment="1"/>
    <xf numFmtId="165" fontId="11" fillId="0" borderId="18" xfId="7" applyNumberFormat="1" applyFont="1" applyFill="1" applyBorder="1" applyAlignment="1">
      <alignment horizontal="right"/>
    </xf>
    <xf numFmtId="14" fontId="11" fillId="0" borderId="22" xfId="7" applyNumberFormat="1" applyFont="1" applyBorder="1" applyAlignment="1"/>
    <xf numFmtId="165" fontId="11" fillId="0" borderId="21" xfId="7" applyNumberFormat="1" applyFont="1" applyFill="1" applyBorder="1" applyAlignment="1">
      <alignment horizontal="left"/>
    </xf>
    <xf numFmtId="165" fontId="11" fillId="0" borderId="22" xfId="7" applyNumberFormat="1" applyFont="1" applyFill="1" applyBorder="1" applyAlignment="1">
      <alignment horizontal="left"/>
    </xf>
    <xf numFmtId="165" fontId="11" fillId="0" borderId="21" xfId="7" applyNumberFormat="1" applyFont="1" applyFill="1" applyBorder="1" applyAlignment="1"/>
    <xf numFmtId="165" fontId="11" fillId="0" borderId="21" xfId="7" applyNumberFormat="1" applyFont="1" applyBorder="1" applyAlignment="1"/>
    <xf numFmtId="165" fontId="11" fillId="0" borderId="22" xfId="7" applyNumberFormat="1" applyFont="1" applyFill="1" applyBorder="1" applyAlignment="1"/>
    <xf numFmtId="165" fontId="11" fillId="0" borderId="22" xfId="7" applyNumberFormat="1" applyFont="1" applyBorder="1" applyAlignment="1"/>
    <xf numFmtId="165" fontId="11" fillId="0" borderId="19" xfId="7" applyNumberFormat="1" applyFont="1" applyBorder="1" applyAlignment="1"/>
    <xf numFmtId="165" fontId="11" fillId="0" borderId="18" xfId="7" applyNumberFormat="1" applyFont="1" applyBorder="1" applyAlignment="1"/>
    <xf numFmtId="165" fontId="11" fillId="0" borderId="16" xfId="7" applyNumberFormat="1" applyFont="1" applyFill="1" applyBorder="1" applyAlignment="1">
      <alignment horizontal="center"/>
    </xf>
    <xf numFmtId="165" fontId="11" fillId="0" borderId="15" xfId="7" applyNumberFormat="1" applyFont="1" applyBorder="1" applyAlignment="1"/>
    <xf numFmtId="165" fontId="11" fillId="0" borderId="17" xfId="7" applyNumberFormat="1" applyFont="1" applyFill="1" applyBorder="1" applyAlignment="1"/>
    <xf numFmtId="10" fontId="11" fillId="0" borderId="17" xfId="12" applyNumberFormat="1" applyFont="1" applyFill="1" applyBorder="1" applyAlignment="1"/>
    <xf numFmtId="165" fontId="11" fillId="0" borderId="16" xfId="7" applyNumberFormat="1" applyFont="1" applyBorder="1" applyAlignment="1"/>
    <xf numFmtId="165" fontId="11" fillId="0" borderId="21" xfId="5" applyNumberFormat="1" applyFont="1" applyFill="1" applyBorder="1" applyAlignment="1"/>
    <xf numFmtId="165" fontId="11" fillId="0" borderId="0" xfId="7" applyNumberFormat="1" applyFont="1" applyAlignment="1">
      <alignment horizontal="center" vertical="center"/>
    </xf>
    <xf numFmtId="165" fontId="11" fillId="0" borderId="0" xfId="7" applyNumberFormat="1" applyFont="1" applyAlignment="1"/>
    <xf numFmtId="165" fontId="11" fillId="0" borderId="21" xfId="7" applyNumberFormat="1" applyFont="1" applyFill="1" applyBorder="1" applyAlignment="1">
      <alignment horizontal="center"/>
    </xf>
    <xf numFmtId="165" fontId="26" fillId="0" borderId="5" xfId="7" applyNumberFormat="1" applyFont="1" applyFill="1" applyBorder="1" applyAlignment="1"/>
    <xf numFmtId="165" fontId="26" fillId="0" borderId="7" xfId="7" applyNumberFormat="1" applyFont="1" applyFill="1" applyBorder="1" applyAlignment="1"/>
    <xf numFmtId="165" fontId="26" fillId="0" borderId="7" xfId="7" applyNumberFormat="1" applyFont="1" applyBorder="1" applyAlignment="1">
      <alignment horizontal="left"/>
    </xf>
    <xf numFmtId="14" fontId="26" fillId="0" borderId="7" xfId="7" applyNumberFormat="1" applyFont="1" applyFill="1" applyBorder="1" applyAlignment="1"/>
    <xf numFmtId="165" fontId="11" fillId="0" borderId="8" xfId="7" applyNumberFormat="1" applyFont="1" applyBorder="1" applyAlignment="1">
      <alignment horizontal="left"/>
    </xf>
    <xf numFmtId="165" fontId="26" fillId="0" borderId="7" xfId="7" applyNumberFormat="1" applyFont="1" applyBorder="1" applyAlignment="1">
      <alignment horizontal="left" vertical="top"/>
    </xf>
    <xf numFmtId="165" fontId="26" fillId="0" borderId="7" xfId="7" applyNumberFormat="1" applyFont="1" applyFill="1" applyBorder="1" applyAlignment="1">
      <alignment horizontal="right"/>
    </xf>
    <xf numFmtId="165" fontId="26" fillId="0" borderId="7" xfId="7" applyNumberFormat="1" applyFont="1" applyBorder="1" applyAlignment="1">
      <alignment horizontal="right"/>
    </xf>
    <xf numFmtId="165" fontId="26" fillId="0" borderId="7" xfId="7" applyNumberFormat="1" applyFont="1" applyBorder="1" applyAlignment="1">
      <alignment horizontal="left" vertical="center"/>
    </xf>
    <xf numFmtId="165" fontId="26" fillId="0" borderId="7" xfId="7" applyNumberFormat="1" applyFont="1" applyBorder="1" applyAlignment="1">
      <alignment horizontal="center" vertical="center"/>
    </xf>
    <xf numFmtId="165" fontId="26" fillId="0" borderId="7" xfId="7" applyNumberFormat="1" applyFont="1" applyBorder="1" applyAlignment="1">
      <alignment horizontal="center"/>
    </xf>
    <xf numFmtId="165" fontId="26" fillId="0" borderId="6" xfId="7" applyNumberFormat="1" applyFont="1" applyFill="1" applyBorder="1" applyAlignment="1">
      <alignment horizontal="right"/>
    </xf>
    <xf numFmtId="165" fontId="26" fillId="0" borderId="7" xfId="7" applyNumberFormat="1" applyFont="1" applyBorder="1" applyAlignment="1">
      <alignment horizontal="right" vertical="center"/>
    </xf>
    <xf numFmtId="165" fontId="26" fillId="0" borderId="0" xfId="7" applyNumberFormat="1" applyFont="1" applyFill="1" applyBorder="1" applyAlignment="1"/>
    <xf numFmtId="165" fontId="11" fillId="0" borderId="0" xfId="7" applyNumberFormat="1" applyFont="1" applyFill="1" applyBorder="1" applyAlignment="1"/>
    <xf numFmtId="165" fontId="11" fillId="0" borderId="0" xfId="7" applyNumberFormat="1" applyFont="1" applyAlignment="1">
      <alignment horizontal="left" vertical="top"/>
    </xf>
    <xf numFmtId="165" fontId="11" fillId="0" borderId="0" xfId="7" applyNumberFormat="1" applyFont="1" applyAlignment="1">
      <alignment horizontal="left"/>
    </xf>
    <xf numFmtId="14" fontId="11" fillId="0" borderId="0" xfId="7" applyNumberFormat="1" applyFont="1" applyAlignment="1">
      <alignment horizontal="left" vertical="top"/>
    </xf>
    <xf numFmtId="165" fontId="11" fillId="0" borderId="0" xfId="7" applyNumberFormat="1" applyFont="1" applyAlignment="1">
      <alignment horizontal="left" vertical="center"/>
    </xf>
    <xf numFmtId="165" fontId="11" fillId="7" borderId="0" xfId="7" applyNumberFormat="1" applyFont="1" applyFill="1" applyBorder="1" applyAlignment="1">
      <alignment horizontal="center"/>
    </xf>
    <xf numFmtId="165" fontId="11" fillId="0" borderId="0" xfId="7" applyNumberFormat="1" applyFont="1" applyBorder="1" applyAlignment="1">
      <alignment horizontal="center"/>
    </xf>
    <xf numFmtId="165" fontId="11" fillId="0" borderId="0" xfId="7" applyNumberFormat="1" applyFont="1" applyBorder="1" applyAlignment="1">
      <alignment horizontal="right"/>
    </xf>
    <xf numFmtId="165" fontId="11" fillId="0" borderId="0" xfId="7" applyNumberFormat="1" applyFont="1" applyBorder="1" applyAlignment="1"/>
    <xf numFmtId="165" fontId="11" fillId="0" borderId="0" xfId="7" applyNumberFormat="1" applyFont="1" applyAlignment="1">
      <alignment horizontal="right"/>
    </xf>
    <xf numFmtId="165" fontId="11" fillId="0" borderId="0" xfId="7" applyNumberFormat="1" applyFont="1" applyAlignment="1">
      <alignment horizontal="center"/>
    </xf>
    <xf numFmtId="165" fontId="26" fillId="0" borderId="13" xfId="7" applyNumberFormat="1" applyFont="1" applyBorder="1" applyAlignment="1">
      <alignment horizontal="left"/>
    </xf>
    <xf numFmtId="10" fontId="11" fillId="0" borderId="0" xfId="12" applyNumberFormat="1" applyFont="1" applyAlignment="1"/>
    <xf numFmtId="10" fontId="11" fillId="0" borderId="0" xfId="12" applyNumberFormat="1" applyFont="1" applyBorder="1" applyAlignment="1"/>
    <xf numFmtId="10" fontId="11" fillId="0" borderId="1" xfId="12" applyNumberFormat="1" applyFont="1" applyBorder="1" applyAlignment="1"/>
    <xf numFmtId="165" fontId="12" fillId="0" borderId="0" xfId="7" applyNumberFormat="1" applyFont="1" applyAlignment="1"/>
    <xf numFmtId="165" fontId="11" fillId="2" borderId="0" xfId="7" applyNumberFormat="1" applyFont="1" applyFill="1" applyAlignment="1"/>
    <xf numFmtId="165" fontId="12" fillId="0" borderId="0" xfId="7" applyNumberFormat="1" applyFont="1" applyBorder="1" applyAlignment="1">
      <alignment horizontal="right"/>
    </xf>
    <xf numFmtId="165" fontId="11" fillId="0" borderId="0" xfId="7" applyNumberFormat="1" applyFont="1" applyAlignment="1">
      <alignment horizontal="right" vertical="center"/>
    </xf>
    <xf numFmtId="165" fontId="26" fillId="0" borderId="0" xfId="7" applyNumberFormat="1" applyFont="1" applyBorder="1" applyAlignment="1"/>
    <xf numFmtId="165" fontId="26" fillId="0" borderId="0" xfId="7" applyNumberFormat="1" applyFont="1" applyBorder="1" applyAlignment="1">
      <alignment horizontal="right"/>
    </xf>
    <xf numFmtId="165" fontId="11" fillId="0" borderId="1" xfId="7" applyNumberFormat="1" applyFont="1" applyBorder="1" applyAlignment="1"/>
    <xf numFmtId="14" fontId="11" fillId="0" borderId="0" xfId="7" applyNumberFormat="1" applyFont="1" applyAlignment="1">
      <alignment horizontal="left"/>
    </xf>
    <xf numFmtId="165" fontId="12" fillId="0" borderId="5" xfId="7" applyNumberFormat="1" applyFont="1" applyBorder="1" applyAlignment="1">
      <alignment horizontal="center" vertical="center"/>
    </xf>
    <xf numFmtId="165" fontId="12" fillId="0" borderId="8" xfId="7" applyNumberFormat="1" applyFont="1" applyBorder="1" applyAlignment="1">
      <alignment horizontal="center" vertical="center"/>
    </xf>
    <xf numFmtId="165" fontId="27" fillId="0" borderId="0" xfId="7" applyNumberFormat="1" applyFont="1" applyAlignment="1"/>
    <xf numFmtId="165" fontId="12" fillId="0" borderId="6" xfId="7" applyNumberFormat="1" applyFont="1" applyBorder="1" applyAlignment="1">
      <alignment horizontal="center" vertical="center"/>
    </xf>
    <xf numFmtId="165" fontId="12" fillId="0" borderId="8" xfId="7" applyNumberFormat="1" applyFont="1" applyBorder="1" applyAlignment="1">
      <alignment horizontal="center"/>
    </xf>
    <xf numFmtId="165" fontId="12" fillId="0" borderId="0" xfId="7" applyNumberFormat="1" applyFont="1" applyBorder="1" applyAlignment="1">
      <alignment horizontal="center"/>
    </xf>
    <xf numFmtId="165" fontId="11" fillId="0" borderId="2" xfId="7" applyNumberFormat="1" applyFont="1" applyBorder="1" applyAlignment="1">
      <alignment horizontal="center"/>
    </xf>
    <xf numFmtId="165" fontId="12" fillId="0" borderId="9" xfId="7" applyNumberFormat="1" applyFont="1" applyBorder="1" applyAlignment="1">
      <alignment horizontal="center"/>
    </xf>
    <xf numFmtId="165" fontId="12" fillId="0" borderId="11" xfId="7" applyNumberFormat="1" applyFont="1" applyFill="1" applyBorder="1" applyAlignment="1"/>
    <xf numFmtId="165" fontId="12" fillId="0" borderId="9" xfId="7" applyNumberFormat="1" applyFont="1" applyBorder="1" applyAlignment="1"/>
    <xf numFmtId="165" fontId="12" fillId="0" borderId="0" xfId="7" applyNumberFormat="1" applyFont="1" applyBorder="1" applyAlignment="1"/>
    <xf numFmtId="14" fontId="12" fillId="0" borderId="0" xfId="7" applyNumberFormat="1" applyFont="1" applyAlignment="1">
      <alignment horizontal="left"/>
    </xf>
    <xf numFmtId="165" fontId="12" fillId="2" borderId="3" xfId="7" applyNumberFormat="1" applyFont="1" applyFill="1" applyBorder="1" applyAlignment="1"/>
    <xf numFmtId="165" fontId="12" fillId="0" borderId="9" xfId="7" applyNumberFormat="1" applyFont="1" applyBorder="1" applyAlignment="1">
      <alignment horizontal="right"/>
    </xf>
    <xf numFmtId="165" fontId="26" fillId="0" borderId="9" xfId="7" applyNumberFormat="1" applyFont="1" applyBorder="1" applyAlignment="1"/>
    <xf numFmtId="165" fontId="26" fillId="0" borderId="3" xfId="7" applyNumberFormat="1" applyFont="1" applyBorder="1" applyAlignment="1"/>
    <xf numFmtId="165" fontId="12" fillId="0" borderId="3" xfId="7" applyNumberFormat="1" applyFont="1" applyFill="1" applyBorder="1" applyAlignment="1"/>
    <xf numFmtId="165" fontId="11" fillId="0" borderId="0" xfId="7" applyNumberFormat="1" applyFont="1" applyFill="1" applyAlignment="1"/>
    <xf numFmtId="165" fontId="11" fillId="0" borderId="0" xfId="7" applyNumberFormat="1" applyFont="1" applyFill="1" applyBorder="1" applyAlignment="1">
      <alignment horizontal="right"/>
    </xf>
    <xf numFmtId="165" fontId="12" fillId="0" borderId="3" xfId="7" applyNumberFormat="1" applyFont="1" applyBorder="1" applyAlignment="1"/>
    <xf numFmtId="165" fontId="26" fillId="0" borderId="5" xfId="7" applyNumberFormat="1" applyFont="1" applyBorder="1" applyAlignment="1">
      <alignment horizontal="center"/>
    </xf>
    <xf numFmtId="165" fontId="26" fillId="0" borderId="6" xfId="7" applyNumberFormat="1" applyFont="1" applyBorder="1" applyAlignment="1"/>
    <xf numFmtId="165" fontId="26" fillId="0" borderId="8" xfId="7" applyNumberFormat="1" applyFont="1" applyBorder="1" applyAlignment="1"/>
    <xf numFmtId="10" fontId="12" fillId="0" borderId="0" xfId="12" applyNumberFormat="1" applyFont="1" applyAlignment="1">
      <alignment horizontal="right"/>
    </xf>
    <xf numFmtId="10" fontId="12" fillId="0" borderId="0" xfId="12" applyNumberFormat="1" applyFont="1" applyAlignment="1"/>
    <xf numFmtId="165" fontId="12" fillId="0" borderId="0" xfId="7" applyNumberFormat="1" applyFont="1" applyFill="1" applyBorder="1" applyAlignment="1"/>
    <xf numFmtId="165" fontId="12" fillId="0" borderId="2" xfId="7" applyNumberFormat="1" applyFont="1" applyBorder="1" applyAlignment="1"/>
    <xf numFmtId="0" fontId="7" fillId="4" borderId="27" xfId="0" applyFont="1" applyFill="1" applyBorder="1" applyAlignment="1">
      <alignment horizontal="center" vertical="center"/>
    </xf>
    <xf numFmtId="0" fontId="0" fillId="0" borderId="28" xfId="0" applyBorder="1"/>
    <xf numFmtId="0" fontId="7" fillId="4" borderId="29" xfId="0" applyFont="1" applyFill="1" applyBorder="1" applyAlignment="1">
      <alignment horizontal="center" vertical="center"/>
    </xf>
    <xf numFmtId="165" fontId="0" fillId="0" borderId="30" xfId="0" applyNumberFormat="1" applyBorder="1"/>
    <xf numFmtId="165" fontId="0" fillId="0" borderId="31" xfId="7" applyNumberFormat="1" applyFont="1" applyBorder="1"/>
    <xf numFmtId="165" fontId="0" fillId="0" borderId="32" xfId="7" applyNumberFormat="1" applyFont="1" applyBorder="1"/>
    <xf numFmtId="165" fontId="3" fillId="0" borderId="6" xfId="7" applyNumberFormat="1" applyFont="1" applyBorder="1" applyAlignment="1">
      <alignment horizontal="center"/>
    </xf>
    <xf numFmtId="14" fontId="9" fillId="0" borderId="0" xfId="7" applyNumberFormat="1" applyFont="1"/>
    <xf numFmtId="0" fontId="28" fillId="0" borderId="0" xfId="1" applyFont="1" applyAlignment="1">
      <alignment horizontal="left" indent="1"/>
    </xf>
    <xf numFmtId="0" fontId="28" fillId="0" borderId="0" xfId="1" applyFont="1"/>
    <xf numFmtId="43" fontId="28" fillId="0" borderId="0" xfId="7" applyFont="1"/>
    <xf numFmtId="17" fontId="29" fillId="0" borderId="0" xfId="1" applyNumberFormat="1" applyFont="1" applyAlignment="1">
      <alignment horizontal="center"/>
    </xf>
    <xf numFmtId="0" fontId="30" fillId="6" borderId="23" xfId="1" applyFont="1" applyFill="1" applyBorder="1" applyAlignment="1">
      <alignment horizontal="center"/>
    </xf>
    <xf numFmtId="17" fontId="30" fillId="6" borderId="14" xfId="1" applyNumberFormat="1" applyFont="1" applyFill="1" applyBorder="1" applyAlignment="1">
      <alignment horizontal="center" vertical="center"/>
    </xf>
    <xf numFmtId="17" fontId="30" fillId="6" borderId="12" xfId="1" applyNumberFormat="1" applyFont="1" applyFill="1" applyBorder="1" applyAlignment="1">
      <alignment horizontal="center" vertical="center"/>
    </xf>
    <xf numFmtId="0" fontId="30" fillId="6" borderId="14" xfId="1" applyFont="1" applyFill="1" applyBorder="1" applyAlignment="1">
      <alignment horizontal="center" vertical="center"/>
    </xf>
    <xf numFmtId="0" fontId="28" fillId="0" borderId="2" xfId="1" applyFont="1" applyBorder="1" applyAlignment="1">
      <alignment horizontal="left" indent="1"/>
    </xf>
    <xf numFmtId="164" fontId="28" fillId="0" borderId="9" xfId="2" applyNumberFormat="1" applyFont="1" applyBorder="1" applyAlignment="1"/>
    <xf numFmtId="164" fontId="28" fillId="0" borderId="2" xfId="2" applyNumberFormat="1" applyFont="1" applyBorder="1" applyAlignment="1"/>
    <xf numFmtId="164" fontId="28" fillId="0" borderId="0" xfId="1" applyNumberFormat="1" applyFont="1"/>
    <xf numFmtId="165" fontId="28" fillId="0" borderId="9" xfId="7" applyNumberFormat="1" applyFont="1" applyBorder="1" applyAlignment="1"/>
    <xf numFmtId="165" fontId="28" fillId="0" borderId="0" xfId="7" applyNumberFormat="1" applyFont="1" applyBorder="1"/>
    <xf numFmtId="164" fontId="28" fillId="0" borderId="0" xfId="2" applyNumberFormat="1" applyFont="1" applyBorder="1" applyAlignment="1"/>
    <xf numFmtId="43" fontId="28" fillId="0" borderId="0" xfId="7" applyFont="1" applyBorder="1"/>
    <xf numFmtId="164" fontId="28" fillId="0" borderId="0" xfId="2" applyNumberFormat="1" applyFont="1" applyBorder="1"/>
    <xf numFmtId="43" fontId="28" fillId="0" borderId="0" xfId="1" applyNumberFormat="1" applyFont="1"/>
    <xf numFmtId="10" fontId="32" fillId="0" borderId="9" xfId="3" applyNumberFormat="1" applyFont="1" applyBorder="1" applyAlignment="1"/>
    <xf numFmtId="10" fontId="32" fillId="0" borderId="0" xfId="3" applyNumberFormat="1" applyFont="1" applyBorder="1" applyAlignment="1"/>
    <xf numFmtId="165" fontId="28" fillId="0" borderId="0" xfId="1" applyNumberFormat="1" applyFont="1"/>
    <xf numFmtId="0" fontId="28" fillId="0" borderId="9" xfId="1" applyFont="1" applyBorder="1"/>
    <xf numFmtId="0" fontId="28" fillId="0" borderId="2" xfId="1" applyFont="1" applyBorder="1"/>
    <xf numFmtId="165" fontId="28" fillId="0" borderId="9" xfId="2" applyNumberFormat="1" applyFont="1" applyBorder="1" applyAlignment="1"/>
    <xf numFmtId="165" fontId="28" fillId="0" borderId="0" xfId="2" applyNumberFormat="1" applyFont="1" applyBorder="1" applyAlignment="1"/>
    <xf numFmtId="165" fontId="31" fillId="0" borderId="9" xfId="2" applyNumberFormat="1" applyFont="1" applyBorder="1" applyAlignment="1"/>
    <xf numFmtId="165" fontId="31" fillId="0" borderId="0" xfId="2" applyNumberFormat="1" applyFont="1" applyBorder="1" applyAlignment="1"/>
    <xf numFmtId="165" fontId="28" fillId="0" borderId="2" xfId="2" applyNumberFormat="1" applyFont="1" applyBorder="1" applyAlignment="1"/>
    <xf numFmtId="10" fontId="32" fillId="0" borderId="9" xfId="3" applyNumberFormat="1" applyFont="1" applyFill="1" applyBorder="1" applyAlignment="1"/>
    <xf numFmtId="10" fontId="32" fillId="0" borderId="0" xfId="3" applyNumberFormat="1" applyFont="1" applyFill="1" applyBorder="1" applyAlignment="1"/>
    <xf numFmtId="10" fontId="32" fillId="0" borderId="10" xfId="3" applyNumberFormat="1" applyFont="1" applyBorder="1" applyAlignment="1"/>
    <xf numFmtId="0" fontId="30" fillId="6" borderId="23" xfId="1" applyFont="1" applyFill="1" applyBorder="1" applyAlignment="1">
      <alignment horizontal="center" vertical="center"/>
    </xf>
    <xf numFmtId="0" fontId="28" fillId="0" borderId="2" xfId="0" applyFont="1" applyBorder="1" applyAlignment="1">
      <alignment horizontal="left" indent="1"/>
    </xf>
    <xf numFmtId="3" fontId="28" fillId="0" borderId="9" xfId="12" applyNumberFormat="1" applyFont="1" applyBorder="1" applyAlignment="1">
      <alignment horizontal="center"/>
    </xf>
    <xf numFmtId="3" fontId="31" fillId="0" borderId="9" xfId="12" applyNumberFormat="1" applyFont="1" applyBorder="1" applyAlignment="1">
      <alignment horizontal="center"/>
    </xf>
    <xf numFmtId="3" fontId="31" fillId="0" borderId="0" xfId="12" applyNumberFormat="1" applyFont="1" applyBorder="1" applyAlignment="1">
      <alignment horizontal="center"/>
    </xf>
    <xf numFmtId="0" fontId="28" fillId="0" borderId="4" xfId="0" applyFont="1" applyBorder="1" applyAlignment="1">
      <alignment horizontal="left" indent="1"/>
    </xf>
    <xf numFmtId="10" fontId="31" fillId="0" borderId="10" xfId="12" applyNumberFormat="1" applyFont="1" applyBorder="1" applyAlignment="1">
      <alignment horizontal="center"/>
    </xf>
    <xf numFmtId="10" fontId="31" fillId="0" borderId="13" xfId="12" applyNumberFormat="1" applyFont="1" applyBorder="1" applyAlignment="1">
      <alignment horizontal="center"/>
    </xf>
    <xf numFmtId="9" fontId="31" fillId="0" borderId="9" xfId="3" applyFont="1" applyBorder="1" applyAlignment="1"/>
    <xf numFmtId="9" fontId="31" fillId="0" borderId="0" xfId="3" applyFont="1" applyBorder="1" applyAlignment="1"/>
    <xf numFmtId="0" fontId="28" fillId="0" borderId="4" xfId="1" applyFont="1" applyBorder="1" applyAlignment="1">
      <alignment horizontal="left" indent="1"/>
    </xf>
    <xf numFmtId="9" fontId="31" fillId="0" borderId="10" xfId="3" applyFont="1" applyBorder="1" applyAlignment="1"/>
    <xf numFmtId="9" fontId="31" fillId="0" borderId="13" xfId="3" applyFont="1" applyBorder="1" applyAlignment="1"/>
    <xf numFmtId="165" fontId="28" fillId="0" borderId="10" xfId="2" applyNumberFormat="1" applyFont="1" applyBorder="1" applyAlignment="1"/>
    <xf numFmtId="164" fontId="28" fillId="0" borderId="9" xfId="2" applyNumberFormat="1" applyFont="1" applyBorder="1"/>
    <xf numFmtId="10" fontId="31" fillId="0" borderId="9" xfId="12" applyNumberFormat="1" applyFont="1" applyBorder="1" applyAlignment="1"/>
    <xf numFmtId="10" fontId="31" fillId="0" borderId="0" xfId="12" applyNumberFormat="1" applyFont="1" applyBorder="1" applyAlignment="1"/>
    <xf numFmtId="165" fontId="28" fillId="0" borderId="13" xfId="2" applyNumberFormat="1" applyFont="1" applyBorder="1" applyAlignment="1"/>
    <xf numFmtId="165" fontId="28" fillId="0" borderId="0" xfId="7" applyNumberFormat="1" applyFont="1"/>
    <xf numFmtId="165" fontId="28" fillId="0" borderId="9" xfId="7" applyNumberFormat="1" applyFont="1" applyBorder="1" applyAlignment="1">
      <alignment horizontal="center"/>
    </xf>
    <xf numFmtId="3" fontId="28" fillId="0" borderId="3" xfId="12" applyNumberFormat="1" applyFont="1" applyBorder="1" applyAlignment="1">
      <alignment horizontal="center"/>
    </xf>
    <xf numFmtId="3" fontId="28" fillId="0" borderId="0" xfId="1" applyNumberFormat="1" applyFont="1"/>
    <xf numFmtId="165" fontId="28" fillId="0" borderId="10" xfId="7" applyNumberFormat="1" applyFont="1" applyBorder="1" applyAlignment="1">
      <alignment horizontal="center"/>
    </xf>
    <xf numFmtId="3" fontId="28" fillId="0" borderId="24" xfId="12" applyNumberFormat="1" applyFont="1" applyBorder="1" applyAlignment="1">
      <alignment horizontal="center"/>
    </xf>
    <xf numFmtId="165" fontId="28" fillId="0" borderId="10" xfId="7" applyNumberFormat="1" applyFont="1" applyBorder="1"/>
    <xf numFmtId="0" fontId="28" fillId="0" borderId="10" xfId="1" applyFont="1" applyBorder="1" applyAlignment="1">
      <alignment horizontal="left" indent="1"/>
    </xf>
    <xf numFmtId="165" fontId="28" fillId="0" borderId="13" xfId="7" applyNumberFormat="1" applyFont="1" applyBorder="1"/>
    <xf numFmtId="165" fontId="28" fillId="0" borderId="24" xfId="1" applyNumberFormat="1" applyFont="1" applyBorder="1"/>
    <xf numFmtId="43" fontId="11" fillId="0" borderId="22" xfId="7" applyFont="1" applyBorder="1" applyAlignment="1">
      <alignment horizontal="left"/>
    </xf>
    <xf numFmtId="0" fontId="3" fillId="0" borderId="33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43" fontId="11" fillId="0" borderId="20" xfId="7" applyFont="1" applyBorder="1" applyAlignment="1">
      <alignment horizontal="left"/>
    </xf>
    <xf numFmtId="43" fontId="11" fillId="0" borderId="21" xfId="7" applyFont="1" applyBorder="1" applyAlignment="1">
      <alignment horizontal="left"/>
    </xf>
    <xf numFmtId="14" fontId="11" fillId="0" borderId="22" xfId="7" applyNumberFormat="1" applyFont="1" applyBorder="1" applyAlignment="1">
      <alignment horizontal="left"/>
    </xf>
    <xf numFmtId="165" fontId="7" fillId="6" borderId="14" xfId="7" applyNumberFormat="1" applyFont="1" applyFill="1" applyBorder="1" applyAlignment="1">
      <alignment horizontal="center"/>
    </xf>
    <xf numFmtId="165" fontId="0" fillId="0" borderId="4" xfId="7" applyNumberFormat="1" applyFont="1" applyBorder="1"/>
    <xf numFmtId="165" fontId="33" fillId="8" borderId="5" xfId="7" applyNumberFormat="1" applyFont="1" applyFill="1" applyBorder="1" applyAlignment="1">
      <alignment horizontal="center"/>
    </xf>
    <xf numFmtId="165" fontId="33" fillId="8" borderId="8" xfId="7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43" fontId="3" fillId="0" borderId="0" xfId="7" applyFont="1"/>
    <xf numFmtId="165" fontId="28" fillId="0" borderId="23" xfId="7" applyNumberFormat="1" applyFont="1" applyBorder="1"/>
    <xf numFmtId="164" fontId="28" fillId="0" borderId="14" xfId="2" applyNumberFormat="1" applyFont="1" applyBorder="1" applyAlignment="1"/>
    <xf numFmtId="165" fontId="28" fillId="0" borderId="2" xfId="7" applyNumberFormat="1" applyFont="1" applyBorder="1"/>
    <xf numFmtId="165" fontId="28" fillId="0" borderId="4" xfId="7" applyNumberFormat="1" applyFont="1" applyBorder="1"/>
    <xf numFmtId="164" fontId="28" fillId="0" borderId="10" xfId="2" applyNumberFormat="1" applyFont="1" applyBorder="1" applyAlignment="1"/>
    <xf numFmtId="17" fontId="30" fillId="6" borderId="23" xfId="1" applyNumberFormat="1" applyFont="1" applyFill="1" applyBorder="1" applyAlignment="1">
      <alignment horizontal="center" vertical="center"/>
    </xf>
    <xf numFmtId="17" fontId="30" fillId="6" borderId="11" xfId="1" applyNumberFormat="1" applyFont="1" applyFill="1" applyBorder="1" applyAlignment="1">
      <alignment horizontal="center" vertical="center"/>
    </xf>
    <xf numFmtId="14" fontId="28" fillId="0" borderId="2" xfId="1" applyNumberFormat="1" applyFont="1" applyBorder="1" applyAlignment="1">
      <alignment horizontal="left" indent="1"/>
    </xf>
    <xf numFmtId="165" fontId="28" fillId="0" borderId="2" xfId="7" applyNumberFormat="1" applyFont="1" applyBorder="1" applyAlignment="1">
      <alignment horizontal="left" indent="1"/>
    </xf>
    <xf numFmtId="165" fontId="28" fillId="0" borderId="4" xfId="7" applyNumberFormat="1" applyFont="1" applyBorder="1" applyAlignment="1">
      <alignment horizontal="left" indent="1"/>
    </xf>
    <xf numFmtId="165" fontId="28" fillId="0" borderId="9" xfId="7" applyNumberFormat="1" applyFont="1" applyBorder="1" applyAlignment="1">
      <alignment horizontal="left" indent="1"/>
    </xf>
    <xf numFmtId="165" fontId="28" fillId="0" borderId="10" xfId="7" applyNumberFormat="1" applyFont="1" applyBorder="1" applyAlignment="1">
      <alignment horizontal="left" indent="1"/>
    </xf>
    <xf numFmtId="43" fontId="19" fillId="0" borderId="0" xfId="7" applyFont="1" applyAlignment="1">
      <alignment horizontal="left"/>
    </xf>
    <xf numFmtId="43" fontId="22" fillId="0" borderId="13" xfId="7" applyFont="1" applyBorder="1" applyAlignment="1"/>
    <xf numFmtId="43" fontId="25" fillId="6" borderId="7" xfId="7" applyFont="1" applyFill="1" applyBorder="1" applyAlignment="1">
      <alignment horizontal="center" vertical="center"/>
    </xf>
    <xf numFmtId="43" fontId="11" fillId="0" borderId="22" xfId="7" applyFont="1" applyFill="1" applyBorder="1" applyAlignment="1"/>
    <xf numFmtId="43" fontId="26" fillId="0" borderId="7" xfId="7" applyFont="1" applyFill="1" applyBorder="1" applyAlignment="1">
      <alignment horizontal="right"/>
    </xf>
    <xf numFmtId="43" fontId="11" fillId="0" borderId="0" xfId="7" applyFont="1" applyAlignment="1"/>
    <xf numFmtId="43" fontId="19" fillId="0" borderId="0" xfId="7" applyFont="1" applyAlignment="1"/>
    <xf numFmtId="165" fontId="0" fillId="0" borderId="10" xfId="7" applyNumberFormat="1" applyFont="1" applyBorder="1"/>
    <xf numFmtId="165" fontId="12" fillId="0" borderId="5" xfId="7" applyNumberFormat="1" applyFont="1" applyBorder="1" applyAlignment="1">
      <alignment horizontal="center"/>
    </xf>
    <xf numFmtId="165" fontId="34" fillId="0" borderId="0" xfId="7" applyNumberFormat="1" applyFont="1" applyAlignment="1">
      <alignment horizontal="center"/>
    </xf>
    <xf numFmtId="165" fontId="12" fillId="0" borderId="14" xfId="7" applyNumberFormat="1" applyFont="1" applyBorder="1" applyAlignment="1">
      <alignment horizontal="center"/>
    </xf>
    <xf numFmtId="165" fontId="11" fillId="0" borderId="9" xfId="7" applyNumberFormat="1" applyFont="1" applyFill="1" applyBorder="1" applyAlignment="1"/>
    <xf numFmtId="165" fontId="35" fillId="0" borderId="0" xfId="7" applyNumberFormat="1" applyFont="1"/>
    <xf numFmtId="14" fontId="19" fillId="0" borderId="0" xfId="7" applyNumberFormat="1" applyFont="1" applyAlignment="1"/>
    <xf numFmtId="14" fontId="19" fillId="4" borderId="0" xfId="7" applyNumberFormat="1" applyFont="1" applyFill="1" applyAlignment="1">
      <alignment vertical="center"/>
    </xf>
    <xf numFmtId="14" fontId="22" fillId="0" borderId="13" xfId="7" applyNumberFormat="1" applyFont="1" applyBorder="1" applyAlignment="1">
      <alignment vertical="center"/>
    </xf>
    <xf numFmtId="14" fontId="26" fillId="0" borderId="7" xfId="7" applyNumberFormat="1" applyFont="1" applyBorder="1" applyAlignment="1">
      <alignment horizontal="right"/>
    </xf>
    <xf numFmtId="14" fontId="11" fillId="0" borderId="0" xfId="7" applyNumberFormat="1" applyFont="1" applyAlignment="1"/>
    <xf numFmtId="14" fontId="11" fillId="0" borderId="0" xfId="7" applyNumberFormat="1" applyFont="1" applyFill="1" applyBorder="1" applyAlignment="1"/>
    <xf numFmtId="14" fontId="20" fillId="0" borderId="0" xfId="7" applyNumberFormat="1" applyFont="1" applyAlignment="1"/>
    <xf numFmtId="14" fontId="24" fillId="0" borderId="0" xfId="7" applyNumberFormat="1" applyFont="1" applyBorder="1" applyAlignment="1">
      <alignment horizontal="right"/>
    </xf>
    <xf numFmtId="14" fontId="19" fillId="0" borderId="0" xfId="7" applyNumberFormat="1" applyFont="1" applyAlignment="1">
      <alignment horizontal="right"/>
    </xf>
    <xf numFmtId="4" fontId="28" fillId="0" borderId="0" xfId="7" applyNumberFormat="1" applyFont="1"/>
    <xf numFmtId="165" fontId="0" fillId="0" borderId="0" xfId="7" applyNumberFormat="1" applyFont="1" applyFill="1" applyBorder="1"/>
    <xf numFmtId="4" fontId="11" fillId="0" borderId="18" xfId="7" applyNumberFormat="1" applyFont="1" applyFill="1" applyBorder="1" applyAlignment="1"/>
    <xf numFmtId="165" fontId="11" fillId="0" borderId="10" xfId="7" applyNumberFormat="1" applyFont="1" applyFill="1" applyBorder="1" applyAlignment="1"/>
    <xf numFmtId="165" fontId="25" fillId="6" borderId="7" xfId="7" applyNumberFormat="1" applyFont="1" applyFill="1" applyBorder="1" applyAlignment="1">
      <alignment vertical="center"/>
    </xf>
    <xf numFmtId="0" fontId="28" fillId="0" borderId="9" xfId="1" applyFont="1" applyBorder="1" applyAlignment="1">
      <alignment horizontal="left" indent="1"/>
    </xf>
    <xf numFmtId="0" fontId="31" fillId="0" borderId="9" xfId="1" applyFont="1" applyBorder="1" applyAlignment="1">
      <alignment horizontal="left" indent="1"/>
    </xf>
    <xf numFmtId="166" fontId="28" fillId="0" borderId="9" xfId="2" applyNumberFormat="1" applyFont="1" applyBorder="1" applyAlignment="1"/>
    <xf numFmtId="166" fontId="28" fillId="0" borderId="0" xfId="2" applyNumberFormat="1" applyFont="1" applyBorder="1" applyAlignment="1"/>
    <xf numFmtId="3" fontId="0" fillId="0" borderId="0" xfId="0" applyNumberFormat="1" applyAlignment="1">
      <alignment horizontal="center"/>
    </xf>
    <xf numFmtId="10" fontId="28" fillId="0" borderId="9" xfId="3" applyNumberFormat="1" applyFont="1" applyBorder="1" applyAlignment="1"/>
    <xf numFmtId="10" fontId="28" fillId="0" borderId="0" xfId="3" applyNumberFormat="1" applyFont="1" applyBorder="1" applyAlignment="1"/>
    <xf numFmtId="165" fontId="36" fillId="0" borderId="0" xfId="7" applyNumberFormat="1" applyFont="1"/>
    <xf numFmtId="4" fontId="3" fillId="0" borderId="0" xfId="7" applyNumberFormat="1" applyFont="1"/>
    <xf numFmtId="165" fontId="37" fillId="0" borderId="13" xfId="7" applyNumberFormat="1" applyFont="1" applyBorder="1" applyAlignment="1"/>
    <xf numFmtId="165" fontId="0" fillId="0" borderId="9" xfId="7" applyNumberFormat="1" applyFont="1" applyBorder="1" applyAlignment="1">
      <alignment horizontal="center"/>
    </xf>
    <xf numFmtId="0" fontId="0" fillId="0" borderId="9" xfId="0" applyBorder="1" applyAlignment="1">
      <alignment horizontal="right"/>
    </xf>
    <xf numFmtId="10" fontId="28" fillId="0" borderId="0" xfId="12" applyNumberFormat="1" applyFont="1"/>
    <xf numFmtId="10" fontId="28" fillId="0" borderId="0" xfId="1" applyNumberFormat="1" applyFont="1" applyAlignment="1">
      <alignment horizontal="left" indent="1"/>
    </xf>
    <xf numFmtId="165" fontId="0" fillId="0" borderId="2" xfId="7" applyNumberFormat="1" applyFont="1" applyBorder="1" applyAlignment="1">
      <alignment horizontal="right"/>
    </xf>
    <xf numFmtId="0" fontId="3" fillId="0" borderId="0" xfId="0" applyFont="1"/>
    <xf numFmtId="0" fontId="9" fillId="0" borderId="0" xfId="0" applyFont="1"/>
    <xf numFmtId="14" fontId="7" fillId="6" borderId="11" xfId="7" applyNumberFormat="1" applyFont="1" applyFill="1" applyBorder="1" applyAlignment="1">
      <alignment horizontal="center"/>
    </xf>
    <xf numFmtId="3" fontId="4" fillId="0" borderId="0" xfId="0" applyNumberFormat="1" applyFont="1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165" fontId="0" fillId="0" borderId="0" xfId="7" applyNumberFormat="1" applyFont="1" applyAlignment="1">
      <alignment horizontal="center"/>
    </xf>
    <xf numFmtId="165" fontId="0" fillId="0" borderId="9" xfId="7" applyNumberFormat="1" applyFont="1" applyBorder="1" applyAlignment="1">
      <alignment horizontal="right"/>
    </xf>
    <xf numFmtId="165" fontId="38" fillId="8" borderId="0" xfId="7" applyNumberFormat="1" applyFont="1" applyFill="1" applyBorder="1"/>
    <xf numFmtId="0" fontId="38" fillId="8" borderId="35" xfId="0" applyFont="1" applyFill="1" applyBorder="1" applyAlignment="1">
      <alignment horizontal="center"/>
    </xf>
    <xf numFmtId="0" fontId="36" fillId="0" borderId="0" xfId="0" applyFont="1"/>
    <xf numFmtId="14" fontId="36" fillId="0" borderId="0" xfId="0" applyNumberFormat="1" applyFont="1"/>
    <xf numFmtId="14" fontId="0" fillId="0" borderId="0" xfId="0" applyNumberFormat="1"/>
    <xf numFmtId="4" fontId="11" fillId="0" borderId="9" xfId="7" applyNumberFormat="1" applyFont="1" applyFill="1" applyBorder="1" applyAlignment="1"/>
    <xf numFmtId="165" fontId="0" fillId="0" borderId="36" xfId="7" applyNumberFormat="1" applyFont="1" applyBorder="1"/>
    <xf numFmtId="0" fontId="7" fillId="4" borderId="37" xfId="0" applyFont="1" applyFill="1" applyBorder="1" applyAlignment="1">
      <alignment horizontal="center" vertical="center"/>
    </xf>
    <xf numFmtId="165" fontId="0" fillId="0" borderId="38" xfId="7" applyNumberFormat="1" applyFont="1" applyBorder="1"/>
    <xf numFmtId="0" fontId="0" fillId="0" borderId="5" xfId="0" applyBorder="1"/>
    <xf numFmtId="165" fontId="0" fillId="0" borderId="26" xfId="7" applyNumberFormat="1" applyFont="1" applyBorder="1"/>
    <xf numFmtId="4" fontId="28" fillId="0" borderId="0" xfId="1" applyNumberFormat="1" applyFont="1"/>
    <xf numFmtId="0" fontId="35" fillId="0" borderId="0" xfId="0" applyFont="1"/>
    <xf numFmtId="14" fontId="11" fillId="0" borderId="16" xfId="7" applyNumberFormat="1" applyFont="1" applyFill="1" applyBorder="1" applyAlignment="1"/>
    <xf numFmtId="0" fontId="0" fillId="0" borderId="0" xfId="0" applyAlignment="1">
      <alignment horizontal="left"/>
    </xf>
    <xf numFmtId="164" fontId="28" fillId="0" borderId="3" xfId="2" applyNumberFormat="1" applyFont="1" applyBorder="1" applyAlignment="1"/>
    <xf numFmtId="165" fontId="28" fillId="0" borderId="3" xfId="7" applyNumberFormat="1" applyFont="1" applyBorder="1" applyAlignment="1"/>
    <xf numFmtId="0" fontId="28" fillId="0" borderId="3" xfId="1" applyFont="1" applyBorder="1"/>
    <xf numFmtId="165" fontId="28" fillId="0" borderId="3" xfId="2" applyNumberFormat="1" applyFont="1" applyBorder="1" applyAlignment="1"/>
    <xf numFmtId="165" fontId="31" fillId="0" borderId="3" xfId="2" applyNumberFormat="1" applyFont="1" applyBorder="1" applyAlignment="1"/>
    <xf numFmtId="0" fontId="30" fillId="6" borderId="14" xfId="1" applyFont="1" applyFill="1" applyBorder="1" applyAlignment="1">
      <alignment horizontal="center"/>
    </xf>
    <xf numFmtId="165" fontId="28" fillId="0" borderId="2" xfId="7" applyNumberFormat="1" applyFont="1" applyBorder="1" applyAlignment="1"/>
    <xf numFmtId="165" fontId="31" fillId="0" borderId="2" xfId="2" applyNumberFormat="1" applyFont="1" applyBorder="1" applyAlignment="1"/>
    <xf numFmtId="165" fontId="21" fillId="0" borderId="13" xfId="7" applyNumberFormat="1" applyFont="1" applyBorder="1" applyAlignment="1">
      <alignment horizontal="center"/>
    </xf>
    <xf numFmtId="165" fontId="23" fillId="0" borderId="13" xfId="7" applyNumberFormat="1" applyFont="1" applyBorder="1" applyAlignment="1">
      <alignment horizontal="center" vertical="center"/>
    </xf>
    <xf numFmtId="165" fontId="19" fillId="5" borderId="0" xfId="7" applyNumberFormat="1" applyFont="1" applyFill="1" applyBorder="1" applyAlignment="1">
      <alignment horizontal="center"/>
    </xf>
    <xf numFmtId="165" fontId="25" fillId="6" borderId="25" xfId="7" applyNumberFormat="1" applyFont="1" applyFill="1" applyBorder="1" applyAlignment="1">
      <alignment horizontal="center"/>
    </xf>
    <xf numFmtId="165" fontId="12" fillId="0" borderId="2" xfId="7" applyNumberFormat="1" applyFont="1" applyBorder="1" applyAlignment="1">
      <alignment horizontal="center"/>
    </xf>
    <xf numFmtId="165" fontId="12" fillId="0" borderId="3" xfId="7" applyNumberFormat="1" applyFont="1" applyBorder="1" applyAlignment="1">
      <alignment horizontal="center"/>
    </xf>
    <xf numFmtId="165" fontId="12" fillId="0" borderId="5" xfId="7" applyNumberFormat="1" applyFont="1" applyBorder="1" applyAlignment="1">
      <alignment horizontal="center" vertical="center"/>
    </xf>
    <xf numFmtId="165" fontId="12" fillId="0" borderId="6" xfId="7" applyNumberFormat="1" applyFont="1" applyBorder="1" applyAlignment="1">
      <alignment horizontal="center" vertical="center"/>
    </xf>
    <xf numFmtId="165" fontId="12" fillId="0" borderId="2" xfId="7" applyNumberFormat="1" applyFont="1" applyBorder="1" applyAlignment="1">
      <alignment horizontal="center" vertical="center"/>
    </xf>
    <xf numFmtId="165" fontId="12" fillId="0" borderId="3" xfId="7" applyNumberFormat="1" applyFont="1" applyBorder="1" applyAlignment="1">
      <alignment horizontal="center" vertical="center"/>
    </xf>
    <xf numFmtId="165" fontId="20" fillId="0" borderId="5" xfId="7" applyNumberFormat="1" applyFont="1" applyBorder="1" applyAlignment="1">
      <alignment horizontal="center"/>
    </xf>
    <xf numFmtId="165" fontId="20" fillId="0" borderId="6" xfId="7" applyNumberFormat="1" applyFont="1" applyBorder="1" applyAlignment="1">
      <alignment horizontal="center"/>
    </xf>
  </cellXfs>
  <cellStyles count="14">
    <cellStyle name="Comma" xfId="7" builtinId="3"/>
    <cellStyle name="Comma 2" xfId="2" xr:uid="{00000000-0005-0000-0000-000001000000}"/>
    <cellStyle name="Comma 2 2" xfId="5" xr:uid="{00000000-0005-0000-0000-000002000000}"/>
    <cellStyle name="Comma 2 2 2" xfId="9" xr:uid="{00000000-0005-0000-0000-000003000000}"/>
    <cellStyle name="Comma 2 3" xfId="8" xr:uid="{00000000-0005-0000-0000-000004000000}"/>
    <cellStyle name="Comma 3" xfId="10" xr:uid="{00000000-0005-0000-0000-000005000000}"/>
    <cellStyle name="Normal" xfId="0" builtinId="0"/>
    <cellStyle name="Normal 2" xfId="1" xr:uid="{00000000-0005-0000-0000-000007000000}"/>
    <cellStyle name="Normal 2 2" xfId="4" xr:uid="{00000000-0005-0000-0000-000008000000}"/>
    <cellStyle name="Normal 3" xfId="11" xr:uid="{00000000-0005-0000-0000-000009000000}"/>
    <cellStyle name="Normal 4" xfId="13" xr:uid="{00000000-0005-0000-0000-00000A000000}"/>
    <cellStyle name="Percent" xfId="12" builtinId="5"/>
    <cellStyle name="Percent 2" xfId="3" xr:uid="{00000000-0005-0000-0000-00000C000000}"/>
    <cellStyle name="Percent 2 2" xfId="6" xr:uid="{00000000-0005-0000-0000-00000D000000}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0000FF"/>
      <color rgb="FF007A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FCACCA-A769-4885-B6B2-93AB53DF1231}">
  <we:reference id="wa200005702" version="1.0.0.5" store="en-IN" storeType="OMEX"/>
  <we:alternateReferences>
    <we:reference id="wa200005702" version="1.0.0.5" store="WA20000570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2:W81"/>
  <sheetViews>
    <sheetView showGridLines="0" topLeftCell="A2" zoomScale="73" zoomScaleNormal="61" workbookViewId="0">
      <selection activeCell="F11" sqref="F11"/>
    </sheetView>
  </sheetViews>
  <sheetFormatPr defaultColWidth="8.6328125" defaultRowHeight="15.5" x14ac:dyDescent="0.35"/>
  <cols>
    <col min="1" max="1" width="8.6328125" style="231"/>
    <col min="2" max="2" width="2.81640625" style="231" customWidth="1"/>
    <col min="3" max="3" width="31.6328125" style="230" bestFit="1" customWidth="1"/>
    <col min="4" max="4" width="12.1796875" style="231" bestFit="1" customWidth="1"/>
    <col min="5" max="6" width="12.54296875" style="231" bestFit="1" customWidth="1"/>
    <col min="7" max="15" width="8.90625" style="231" hidden="1" customWidth="1"/>
    <col min="16" max="16" width="12.54296875" style="231" bestFit="1" customWidth="1"/>
    <col min="17" max="17" width="13.6328125" style="231" bestFit="1" customWidth="1"/>
    <col min="18" max="18" width="15.54296875" style="232" bestFit="1" customWidth="1"/>
    <col min="19" max="19" width="6.1796875" style="232" bestFit="1" customWidth="1"/>
    <col min="20" max="20" width="5" style="232" hidden="1" customWidth="1"/>
    <col min="21" max="21" width="11" style="231" hidden="1" customWidth="1"/>
    <col min="22" max="22" width="8.6328125" style="231"/>
    <col min="23" max="23" width="12.81640625" style="231" bestFit="1" customWidth="1"/>
    <col min="24" max="24" width="8.6328125" style="231"/>
    <col min="25" max="25" width="11.453125" style="231" bestFit="1" customWidth="1"/>
    <col min="26" max="16384" width="8.6328125" style="231"/>
  </cols>
  <sheetData>
    <row r="2" spans="3:21" x14ac:dyDescent="0.35">
      <c r="D2" s="233" t="str">
        <f>TEXT(D4, "mmm-yy")</f>
        <v>Apr-26</v>
      </c>
      <c r="E2" s="233" t="str">
        <f t="shared" ref="E2:O2" si="0">TEXT(E4, "mmm-yy")</f>
        <v>May-26</v>
      </c>
      <c r="F2" s="233" t="str">
        <f t="shared" si="0"/>
        <v>Jun-26</v>
      </c>
      <c r="G2" s="233" t="str">
        <f t="shared" si="0"/>
        <v>Jul-26</v>
      </c>
      <c r="H2" s="233" t="str">
        <f t="shared" si="0"/>
        <v>Aug-26</v>
      </c>
      <c r="I2" s="233" t="str">
        <f t="shared" si="0"/>
        <v>Sep-26</v>
      </c>
      <c r="J2" s="233" t="str">
        <f t="shared" si="0"/>
        <v>Oct-26</v>
      </c>
      <c r="K2" s="233" t="str">
        <f t="shared" si="0"/>
        <v>Nov-26</v>
      </c>
      <c r="L2" s="233" t="str">
        <f t="shared" si="0"/>
        <v>Dec-26</v>
      </c>
      <c r="M2" s="233" t="str">
        <f t="shared" si="0"/>
        <v>Jan-27</v>
      </c>
      <c r="N2" s="233" t="str">
        <f t="shared" si="0"/>
        <v>Feb-27</v>
      </c>
      <c r="O2" s="233" t="str">
        <f t="shared" si="0"/>
        <v>Mar-27</v>
      </c>
    </row>
    <row r="3" spans="3:21" ht="16" thickBot="1" x14ac:dyDescent="0.4">
      <c r="D3" s="231">
        <v>30</v>
      </c>
      <c r="E3" s="231">
        <v>31</v>
      </c>
      <c r="F3" s="231">
        <v>21</v>
      </c>
      <c r="G3" s="231">
        <v>0</v>
      </c>
      <c r="H3" s="231">
        <v>0</v>
      </c>
      <c r="I3" s="231">
        <v>0</v>
      </c>
      <c r="J3" s="231">
        <v>0</v>
      </c>
      <c r="K3" s="231">
        <v>0</v>
      </c>
      <c r="L3" s="231">
        <v>0</v>
      </c>
      <c r="M3" s="231">
        <v>0</v>
      </c>
      <c r="N3" s="231">
        <v>0</v>
      </c>
      <c r="O3" s="231">
        <v>0</v>
      </c>
      <c r="P3" s="231">
        <f>SUM(D3:O3)</f>
        <v>82</v>
      </c>
    </row>
    <row r="4" spans="3:21" x14ac:dyDescent="0.35">
      <c r="C4" s="383" t="s">
        <v>369</v>
      </c>
      <c r="D4" s="235">
        <v>46113</v>
      </c>
      <c r="E4" s="235">
        <v>46143</v>
      </c>
      <c r="F4" s="235">
        <v>46174</v>
      </c>
      <c r="G4" s="236">
        <v>46204</v>
      </c>
      <c r="H4" s="235">
        <v>46235</v>
      </c>
      <c r="I4" s="236">
        <v>46266</v>
      </c>
      <c r="J4" s="235">
        <v>46296</v>
      </c>
      <c r="K4" s="236">
        <v>46327</v>
      </c>
      <c r="L4" s="235">
        <v>46357</v>
      </c>
      <c r="M4" s="236">
        <v>46388</v>
      </c>
      <c r="N4" s="235">
        <v>46419</v>
      </c>
      <c r="O4" s="236">
        <v>46447</v>
      </c>
      <c r="P4" s="237" t="s">
        <v>368</v>
      </c>
    </row>
    <row r="5" spans="3:21" x14ac:dyDescent="0.35">
      <c r="C5" s="340" t="s">
        <v>0</v>
      </c>
      <c r="D5" s="239">
        <v>66.680000000000007</v>
      </c>
      <c r="E5" s="239">
        <f>SUMIFS(Details!$BB$4:$BB$78,Details!$C$4:$C$78,Summary!E$4)/1000</f>
        <v>104.875</v>
      </c>
      <c r="F5" s="239">
        <f>SUMIFS(Details!$BB$4:$BB$78,Details!$C$4:$C$78,Summary!F$4)/1000</f>
        <v>78.795000000000002</v>
      </c>
      <c r="G5" s="378">
        <f>SUMIFS(Details!$BB$4:$BB$78,Details!$C$4:$C$78,Summary!G$4)/1000</f>
        <v>0</v>
      </c>
      <c r="H5" s="239">
        <f>SUMIFS(Details!$BB$4:$BB$78,Details!$C$4:$C$78,Summary!H$4)/1000</f>
        <v>0</v>
      </c>
      <c r="I5" s="239">
        <f>SUMIFS(Details!$BB$4:$BB$78,Details!$C$4:$C$78,Summary!I$4)/1000</f>
        <v>0</v>
      </c>
      <c r="J5" s="239">
        <f>SUMIFS(Details!$BB$4:$BB$78,Details!$C$4:$C$78,Summary!J$4)/1000</f>
        <v>0</v>
      </c>
      <c r="K5" s="239">
        <f>SUMIFS(Details!$BB$4:$BB$78,Details!$C$4:$C$78,Summary!K$4)/1000</f>
        <v>0</v>
      </c>
      <c r="L5" s="239">
        <f>SUMIFS(Details!$BB$4:$BB$78,Details!$C$4:$C$78,Summary!L$4)/1000</f>
        <v>0</v>
      </c>
      <c r="M5" s="239">
        <f>SUMIFS(Details!$BB$4:$BB$78,Details!$C$4:$C$78,Summary!M$4)/1000</f>
        <v>0</v>
      </c>
      <c r="N5" s="239">
        <f>SUMIFS(Details!$BB$4:$BB$78,Details!$C$4:$C$78,Summary!N$4)/1000</f>
        <v>0</v>
      </c>
      <c r="O5" s="240">
        <f>SUMIFS(Details!$BB$4:$BB$78,Details!$C$4:$C$78,Summary!O$4)/1000</f>
        <v>0</v>
      </c>
      <c r="P5" s="239">
        <f t="shared" ref="P5" si="1">SUM(D5:O5)</f>
        <v>250.35000000000002</v>
      </c>
      <c r="Q5" s="241">
        <f>Details!BB79/1000</f>
        <v>250.35</v>
      </c>
      <c r="R5" s="232">
        <f>P5-Q5</f>
        <v>0</v>
      </c>
    </row>
    <row r="6" spans="3:21" x14ac:dyDescent="0.35">
      <c r="C6" s="340" t="s">
        <v>58</v>
      </c>
      <c r="D6" s="239">
        <v>3196586.25</v>
      </c>
      <c r="E6" s="239">
        <f>SUMIFS(Details!$BO$4:$BO$78,Details!$C$4:$C$78,Summary!E$4)</f>
        <v>5917999.5649999995</v>
      </c>
      <c r="F6" s="239">
        <f>SUMIFS(Details!$BO$4:$BO$78,Details!$C$4:$C$78,Summary!F$4)</f>
        <v>5820545.25</v>
      </c>
      <c r="G6" s="378">
        <f>SUMIFS(Details!$BO$4:$BO$78,Details!$C$4:$C$78,Summary!G$4)</f>
        <v>0</v>
      </c>
      <c r="H6" s="239">
        <f>SUMIFS(Details!$BO$4:$BO$78,Details!$C$4:$C$78,Summary!H$4)</f>
        <v>0</v>
      </c>
      <c r="I6" s="239">
        <f>SUMIFS(Details!$BO$4:$BO$78,Details!$C$4:$C$78,Summary!I$4)</f>
        <v>0</v>
      </c>
      <c r="J6" s="239">
        <f>SUMIFS(Details!$BO$4:$BO$78,Details!$C$4:$C$78,Summary!J$4)</f>
        <v>0</v>
      </c>
      <c r="K6" s="239">
        <f>SUMIFS(Details!$BO$4:$BO$78,Details!$C$4:$C$78,Summary!K$4)</f>
        <v>0</v>
      </c>
      <c r="L6" s="239">
        <f>SUMIFS(Details!$BO$4:$BO$78,Details!$C$4:$C$78,Summary!L$4)</f>
        <v>0</v>
      </c>
      <c r="M6" s="239">
        <f>SUMIFS(Details!$BO$4:$BO$78,Details!$C$4:$C$78,Summary!M$4)</f>
        <v>0</v>
      </c>
      <c r="N6" s="239">
        <f>SUMIFS(Details!$BO$4:$BO$78,Details!$C$4:$C$78,Summary!N$4)</f>
        <v>0</v>
      </c>
      <c r="O6" s="240">
        <f>SUMIFS(Details!$BO$4:$BO$78,Details!$C$4:$C$78,Summary!O$4)</f>
        <v>0</v>
      </c>
      <c r="P6" s="242">
        <f>SUM(D6:O6)</f>
        <v>14935131.064999999</v>
      </c>
      <c r="Q6" s="243">
        <f>Details!BO79</f>
        <v>14964433.185000002</v>
      </c>
      <c r="R6" s="232">
        <f>P6-Q6</f>
        <v>-29302.120000002906</v>
      </c>
      <c r="U6" s="241"/>
    </row>
    <row r="7" spans="3:21" x14ac:dyDescent="0.35">
      <c r="C7" s="340" t="s">
        <v>2</v>
      </c>
      <c r="D7" s="239">
        <v>2734490</v>
      </c>
      <c r="E7" s="239">
        <f>SUMIFS(Details!$AM$4:$AM$78,Details!$C$4:$C$78,Summary!E$4)-SUMIFS(Details!$AB$4:$AB$78,Details!$C$4:$C$78,Summary!E$4)</f>
        <v>4656790</v>
      </c>
      <c r="F7" s="239">
        <f>SUMIFS(Details!$AM$4:$AM$78,Details!$C$4:$C$78,Summary!F$4)-SUMIFS(Details!$AB$4:$AB$78,Details!$C$4:$C$78,Summary!F$4)</f>
        <v>4432995</v>
      </c>
      <c r="G7" s="378">
        <f>SUMIFS(Details!$AM$4:$AM$78,Details!$C$4:$C$78,Summary!G$4)-SUMIFS(Details!$AB$4:$AB$78,Details!$C$4:$C$78,Summary!G$4)</f>
        <v>0</v>
      </c>
      <c r="H7" s="239">
        <f>SUMIFS(Details!$AM$4:$AM$78,Details!$C$4:$C$78,Summary!H$4)-SUMIFS(Details!$AB$4:$AB$78,Details!$C$4:$C$78,Summary!H$4)</f>
        <v>0</v>
      </c>
      <c r="I7" s="239">
        <f>SUMIFS(Details!$AM$4:$AM$78,Details!$C$4:$C$78,Summary!I$4)-SUMIFS(Details!$AB$4:$AB$78,Details!$C$4:$C$78,Summary!I$4)</f>
        <v>0</v>
      </c>
      <c r="J7" s="239">
        <f>SUMIFS(Details!$AM$4:$AM$78,Details!$C$4:$C$78,Summary!J$4)-SUMIFS(Details!$AB$4:$AB$78,Details!$C$4:$C$78,Summary!J$4)</f>
        <v>0</v>
      </c>
      <c r="K7" s="239">
        <f>SUMIFS(Details!$AM$4:$AM$78,Details!$C$4:$C$78,Summary!K$4)-SUMIFS(Details!$AB$4:$AB$78,Details!$C$4:$C$78,Summary!K$4)</f>
        <v>0</v>
      </c>
      <c r="L7" s="239">
        <f>SUMIFS(Details!$AM$4:$AM$78,Details!$C$4:$C$78,Summary!L$4)-SUMIFS(Details!$AB$4:$AB$78,Details!$C$4:$C$78,Summary!L$4)</f>
        <v>0</v>
      </c>
      <c r="M7" s="239">
        <f>SUMIFS(Details!$AM$4:$AM$78,Details!$C$4:$C$78,Summary!M$4)-SUMIFS(Details!$AB$4:$AB$78,Details!$C$4:$C$78,Summary!M$4)</f>
        <v>0</v>
      </c>
      <c r="N7" s="239">
        <f>SUMIFS(Details!$AM$4:$AM$78,Details!$C$4:$C$78,Summary!N$4)-SUMIFS(Details!$AB$4:$AB$78,Details!$C$4:$C$78,Summary!N$4)</f>
        <v>0</v>
      </c>
      <c r="O7" s="240">
        <f>SUMIFS(Details!$AM$4:$AM$78,Details!$C$4:$C$78,Summary!O$4)-SUMIFS(Details!$AB$4:$AB$78,Details!$C$4:$C$78,Summary!O$4)</f>
        <v>0</v>
      </c>
      <c r="P7" s="242">
        <f>SUM(D7:O7)</f>
        <v>11824275</v>
      </c>
      <c r="Q7" s="243">
        <f>Details!P80</f>
        <v>11824275</v>
      </c>
      <c r="R7" s="245">
        <f>P7-Q7</f>
        <v>0</v>
      </c>
      <c r="T7" s="245"/>
      <c r="U7" s="241"/>
    </row>
    <row r="8" spans="3:21" x14ac:dyDescent="0.35">
      <c r="C8" s="340" t="s">
        <v>182</v>
      </c>
      <c r="D8" s="239">
        <f t="shared" ref="D8:O8" si="2">D6-D7</f>
        <v>462096.25</v>
      </c>
      <c r="E8" s="239">
        <f>E6-E7</f>
        <v>1261209.5649999995</v>
      </c>
      <c r="F8" s="239">
        <f t="shared" si="2"/>
        <v>1387550.25</v>
      </c>
      <c r="G8" s="244">
        <f t="shared" si="2"/>
        <v>0</v>
      </c>
      <c r="H8" s="239">
        <f t="shared" si="2"/>
        <v>0</v>
      </c>
      <c r="I8" s="244">
        <f t="shared" si="2"/>
        <v>0</v>
      </c>
      <c r="J8" s="239">
        <f t="shared" si="2"/>
        <v>0</v>
      </c>
      <c r="K8" s="244">
        <f t="shared" si="2"/>
        <v>0</v>
      </c>
      <c r="L8" s="239">
        <f t="shared" si="2"/>
        <v>0</v>
      </c>
      <c r="M8" s="244">
        <f t="shared" si="2"/>
        <v>0</v>
      </c>
      <c r="N8" s="239">
        <f t="shared" si="2"/>
        <v>0</v>
      </c>
      <c r="O8" s="244">
        <f t="shared" si="2"/>
        <v>0</v>
      </c>
      <c r="P8" s="239">
        <f>SUM(D8:O8)</f>
        <v>3110856.0649999995</v>
      </c>
      <c r="Q8" s="247"/>
    </row>
    <row r="9" spans="3:21" x14ac:dyDescent="0.35">
      <c r="C9" s="341" t="s">
        <v>301</v>
      </c>
      <c r="D9" s="248">
        <f t="shared" ref="D9:O9" si="3">IFERROR((D8/D6),0)</f>
        <v>0.14455929352758745</v>
      </c>
      <c r="E9" s="248">
        <f t="shared" si="3"/>
        <v>0.21311416993995666</v>
      </c>
      <c r="F9" s="248">
        <f t="shared" si="3"/>
        <v>0.23838836232739535</v>
      </c>
      <c r="G9" s="249">
        <f t="shared" si="3"/>
        <v>0</v>
      </c>
      <c r="H9" s="248">
        <f t="shared" si="3"/>
        <v>0</v>
      </c>
      <c r="I9" s="249">
        <f t="shared" si="3"/>
        <v>0</v>
      </c>
      <c r="J9" s="248">
        <f t="shared" si="3"/>
        <v>0</v>
      </c>
      <c r="K9" s="249">
        <f t="shared" si="3"/>
        <v>0</v>
      </c>
      <c r="L9" s="248">
        <f t="shared" si="3"/>
        <v>0</v>
      </c>
      <c r="M9" s="249">
        <f t="shared" si="3"/>
        <v>0</v>
      </c>
      <c r="N9" s="248">
        <f t="shared" si="3"/>
        <v>0</v>
      </c>
      <c r="O9" s="249">
        <f t="shared" si="3"/>
        <v>0</v>
      </c>
      <c r="P9" s="248">
        <f>IFERROR((P8/P6),0)</f>
        <v>0.2082911794654545</v>
      </c>
    </row>
    <row r="10" spans="3:21" hidden="1" x14ac:dyDescent="0.35">
      <c r="C10" s="340" t="s">
        <v>3</v>
      </c>
      <c r="D10" s="239">
        <f>SUMIFS(Details!$AB$4:$AB$78,Details!$C$4:$C$78,Summary!D$4)</f>
        <v>0</v>
      </c>
      <c r="E10" s="239">
        <f>SUMIFS(Details!$AB$4:$AB$78,Details!$C$4:$C$78,Summary!E$4)</f>
        <v>0</v>
      </c>
      <c r="F10" s="239">
        <f>SUMIFS(Details!$AB$4:$AB$78,Details!$C$4:$C$78,Summary!F$4)</f>
        <v>0</v>
      </c>
      <c r="G10" s="244">
        <f>SUMIFS(Details!$AB$4:$AB$78,Details!$C$4:$C$78,Summary!G$4)</f>
        <v>0</v>
      </c>
      <c r="H10" s="239">
        <f>SUMIFS(Details!$AB$4:$AB$78,Details!$C$4:$C$78,Summary!H$4)</f>
        <v>0</v>
      </c>
      <c r="I10" s="244">
        <f>SUMIFS(Details!$AB$4:$AB$78,Details!$C$4:$C$78,Summary!I$4)</f>
        <v>0</v>
      </c>
      <c r="J10" s="239">
        <f>SUMIFS(Details!$AB$4:$AB$78,Details!$C$4:$C$78,Summary!J$4)</f>
        <v>0</v>
      </c>
      <c r="K10" s="244">
        <f>SUMIFS(Details!$AB$4:$AB$78,Details!$C$4:$C$78,Summary!K$4)</f>
        <v>0</v>
      </c>
      <c r="L10" s="239">
        <f>SUMIFS(Details!$AB$4:$AB$78,Details!$C$4:$C$78,Summary!L$4)</f>
        <v>0</v>
      </c>
      <c r="M10" s="244">
        <f>SUMIFS(Details!$AB$4:$AB$78,Details!$C$4:$C$78,Summary!M$4)</f>
        <v>0</v>
      </c>
      <c r="N10" s="239">
        <f>SUMIFS(Details!$AB$4:$AB$78,Details!$C$4:$C$78,Summary!N$4)</f>
        <v>0</v>
      </c>
      <c r="O10" s="244">
        <f>SUMIFS(Details!$AB$4:$AB$78,Details!$C$4:$C$78,Summary!O$4)</f>
        <v>0</v>
      </c>
      <c r="P10" s="239">
        <f>SUM(D10:O10)</f>
        <v>0</v>
      </c>
      <c r="Q10" s="246">
        <f>Details!AB79</f>
        <v>0</v>
      </c>
      <c r="R10" s="245">
        <f>P10-Q10</f>
        <v>0</v>
      </c>
      <c r="S10" s="245"/>
      <c r="T10" s="245"/>
      <c r="U10" s="241"/>
    </row>
    <row r="11" spans="3:21" x14ac:dyDescent="0.35">
      <c r="C11" s="340" t="s">
        <v>300</v>
      </c>
      <c r="D11" s="239">
        <f>Details!AC83</f>
        <v>857135.62048780499</v>
      </c>
      <c r="E11" s="239">
        <f>Details!AC84</f>
        <v>1348111.8506097561</v>
      </c>
      <c r="F11" s="239">
        <f>Details!AC85</f>
        <v>1112867.4447560976</v>
      </c>
      <c r="G11" s="378">
        <f>SUMIFS(Details!$AC$4:$AC$86,Details!$C$4:$C$86,Summary!G$4)</f>
        <v>0</v>
      </c>
      <c r="H11" s="239">
        <f>SUMIFS(Details!$AC$4:$AC$86,Details!$C$4:$C$86,Summary!H$4)</f>
        <v>0</v>
      </c>
      <c r="I11" s="239">
        <f>SUMIFS(Details!$AC$4:$AC$86,Details!$C$4:$C$86,Summary!I$4)</f>
        <v>0</v>
      </c>
      <c r="J11" s="239">
        <f>SUMIFS(Details!$AC$4:$AC$86,Details!$C$4:$C$86,Summary!J$4)</f>
        <v>0</v>
      </c>
      <c r="K11" s="239">
        <f>SUMIFS(Details!$AC$4:$AC$86,Details!$C$4:$C$86,Summary!K$4)</f>
        <v>0</v>
      </c>
      <c r="L11" s="239">
        <f>SUMIFS(Details!$AC$4:$AC$86,Details!$C$4:$C$86,Summary!L$4)</f>
        <v>0</v>
      </c>
      <c r="M11" s="239">
        <f>SUMIFS(Details!$AC$4:$AC$86,Details!$C$4:$C$86,Summary!M$4)</f>
        <v>0</v>
      </c>
      <c r="N11" s="239">
        <f>SUMIFS(Details!$AC$4:$AC$86,Details!$C$4:$C$86,Summary!N$4)</f>
        <v>0</v>
      </c>
      <c r="O11" s="240">
        <f>SUMIFS(Details!$AC$4:$AC$86,Details!$C$4:$C$86,Summary!O$4)</f>
        <v>0</v>
      </c>
      <c r="P11" s="239">
        <f>SUM(D11:O11)</f>
        <v>3318114.9158536587</v>
      </c>
      <c r="Q11" s="246"/>
      <c r="R11" s="245"/>
      <c r="S11" s="245"/>
      <c r="T11" s="245"/>
      <c r="U11" s="241"/>
    </row>
    <row r="12" spans="3:21" x14ac:dyDescent="0.35">
      <c r="C12" s="340" t="s">
        <v>184</v>
      </c>
      <c r="D12" s="239">
        <f t="shared" ref="D12:O12" si="4">D6-D7-D10-D11</f>
        <v>-395039.37048780499</v>
      </c>
      <c r="E12" s="239">
        <f t="shared" si="4"/>
        <v>-86902.285609756596</v>
      </c>
      <c r="F12" s="239">
        <f t="shared" si="4"/>
        <v>274682.80524390237</v>
      </c>
      <c r="G12" s="378">
        <f t="shared" si="4"/>
        <v>0</v>
      </c>
      <c r="H12" s="239">
        <f t="shared" si="4"/>
        <v>0</v>
      </c>
      <c r="I12" s="239">
        <f t="shared" si="4"/>
        <v>0</v>
      </c>
      <c r="J12" s="239">
        <f t="shared" si="4"/>
        <v>0</v>
      </c>
      <c r="K12" s="239">
        <f t="shared" si="4"/>
        <v>0</v>
      </c>
      <c r="L12" s="239">
        <f t="shared" si="4"/>
        <v>0</v>
      </c>
      <c r="M12" s="239">
        <f t="shared" si="4"/>
        <v>0</v>
      </c>
      <c r="N12" s="239">
        <f t="shared" si="4"/>
        <v>0</v>
      </c>
      <c r="O12" s="240">
        <f t="shared" si="4"/>
        <v>0</v>
      </c>
      <c r="P12" s="239">
        <f>SUM(D12:O12)</f>
        <v>-207258.85085365921</v>
      </c>
      <c r="Q12" s="241" t="s">
        <v>118</v>
      </c>
    </row>
    <row r="13" spans="3:21" x14ac:dyDescent="0.35">
      <c r="C13" s="341" t="s">
        <v>302</v>
      </c>
      <c r="D13" s="248">
        <f t="shared" ref="D13:O13" si="5">IFERROR((D12/D6),0)</f>
        <v>-0.12358163978456861</v>
      </c>
      <c r="E13" s="248">
        <f t="shared" si="5"/>
        <v>-1.4684402162465622E-2</v>
      </c>
      <c r="F13" s="248">
        <f t="shared" si="5"/>
        <v>4.7191937085946094E-2</v>
      </c>
      <c r="G13" s="249">
        <f t="shared" si="5"/>
        <v>0</v>
      </c>
      <c r="H13" s="248">
        <f t="shared" si="5"/>
        <v>0</v>
      </c>
      <c r="I13" s="249">
        <f t="shared" si="5"/>
        <v>0</v>
      </c>
      <c r="J13" s="248">
        <f t="shared" si="5"/>
        <v>0</v>
      </c>
      <c r="K13" s="249">
        <f t="shared" si="5"/>
        <v>0</v>
      </c>
      <c r="L13" s="248">
        <f t="shared" si="5"/>
        <v>0</v>
      </c>
      <c r="M13" s="249">
        <f t="shared" si="5"/>
        <v>0</v>
      </c>
      <c r="N13" s="248">
        <f t="shared" si="5"/>
        <v>0</v>
      </c>
      <c r="O13" s="249">
        <f t="shared" si="5"/>
        <v>0</v>
      </c>
      <c r="P13" s="248">
        <f>IFERROR((P12/P6),0)</f>
        <v>-1.3877270306610411E-2</v>
      </c>
    </row>
    <row r="14" spans="3:21" hidden="1" x14ac:dyDescent="0.35">
      <c r="C14" s="340" t="s">
        <v>326</v>
      </c>
      <c r="D14" s="242">
        <f>SUMIFS(Details!$BO$83:$BO$86,Details!$C$83:$C$86,Summary!D$4)</f>
        <v>0</v>
      </c>
      <c r="E14" s="242">
        <f>SUMIFS(Details!$BO$83:$BO$86,Details!$C$83:$C$86,Summary!E$4)</f>
        <v>0</v>
      </c>
      <c r="F14" s="242">
        <f>SUMIFS(Details!$BO$83:$BO$86,Details!$C$83:$C$86,Summary!F$4)</f>
        <v>0</v>
      </c>
      <c r="G14" s="379">
        <f>SUMIFS(Details!$BO$83:$BO$86,Details!$C$83:$C$86,Summary!G$4)</f>
        <v>0</v>
      </c>
      <c r="H14" s="242">
        <f>SUMIFS(Details!$BO$83:$BO$86,Details!$C$83:$C$86,Summary!H$4)</f>
        <v>0</v>
      </c>
      <c r="I14" s="242">
        <f>SUMIFS(Details!$BO$83:$BO$86,Details!$C$83:$C$86,Summary!I$4)</f>
        <v>0</v>
      </c>
      <c r="J14" s="242">
        <f>SUMIFS(Details!$BO$83:$BO$86,Details!$C$83:$C$86,Summary!J$4)</f>
        <v>0</v>
      </c>
      <c r="K14" s="242">
        <f>SUMIFS(Details!$BO$83:$BO$86,Details!$C$83:$C$86,Summary!K$4)</f>
        <v>0</v>
      </c>
      <c r="L14" s="242">
        <f>SUMIFS(Details!$BO$83:$BO$86,Details!$C$83:$C$86,Summary!L$4)</f>
        <v>0</v>
      </c>
      <c r="M14" s="242">
        <f>SUMIFS(Details!$BO$83:$BO$86,Details!$C$83:$C$86,Summary!M$4)</f>
        <v>0</v>
      </c>
      <c r="N14" s="242">
        <f>SUMIFS(Details!$BO$83:$BO$86,Details!$C$83:$C$86,Summary!N$4)</f>
        <v>0</v>
      </c>
      <c r="O14" s="384">
        <f>SUMIFS(Details!$BO$83:$BO$86,Details!$C$83:$C$86,Summary!O$4)</f>
        <v>0</v>
      </c>
      <c r="P14" s="239">
        <f>SUM(D14:O14)</f>
        <v>0</v>
      </c>
      <c r="Q14" s="250"/>
    </row>
    <row r="15" spans="3:21" x14ac:dyDescent="0.35">
      <c r="C15" s="340" t="s">
        <v>4</v>
      </c>
      <c r="D15" s="345">
        <f t="shared" ref="D15:P15" si="6">IFERROR((D10/D6),0)</f>
        <v>0</v>
      </c>
      <c r="E15" s="345">
        <f t="shared" si="6"/>
        <v>0</v>
      </c>
      <c r="F15" s="345">
        <f t="shared" si="6"/>
        <v>0</v>
      </c>
      <c r="G15" s="346">
        <f t="shared" si="6"/>
        <v>0</v>
      </c>
      <c r="H15" s="345">
        <f t="shared" si="6"/>
        <v>0</v>
      </c>
      <c r="I15" s="346">
        <f t="shared" si="6"/>
        <v>0</v>
      </c>
      <c r="J15" s="345">
        <f t="shared" si="6"/>
        <v>0</v>
      </c>
      <c r="K15" s="346">
        <f t="shared" si="6"/>
        <v>0</v>
      </c>
      <c r="L15" s="345">
        <f t="shared" si="6"/>
        <v>0</v>
      </c>
      <c r="M15" s="346">
        <f t="shared" si="6"/>
        <v>0</v>
      </c>
      <c r="N15" s="345">
        <f t="shared" si="6"/>
        <v>0</v>
      </c>
      <c r="O15" s="346">
        <f t="shared" si="6"/>
        <v>0</v>
      </c>
      <c r="P15" s="345">
        <f t="shared" si="6"/>
        <v>0</v>
      </c>
      <c r="Q15" s="250"/>
    </row>
    <row r="16" spans="3:21" x14ac:dyDescent="0.35">
      <c r="C16" s="340" t="s">
        <v>8</v>
      </c>
      <c r="D16" s="342">
        <f t="shared" ref="D16:P16" si="7">+D6/(D5*1000)</f>
        <v>47.939205908818238</v>
      </c>
      <c r="E16" s="342">
        <f t="shared" si="7"/>
        <v>56.429078092967814</v>
      </c>
      <c r="F16" s="342">
        <f t="shared" si="7"/>
        <v>73.869474585950883</v>
      </c>
      <c r="G16" s="343" t="e">
        <f t="shared" si="7"/>
        <v>#DIV/0!</v>
      </c>
      <c r="H16" s="342" t="e">
        <f t="shared" si="7"/>
        <v>#DIV/0!</v>
      </c>
      <c r="I16" s="343" t="e">
        <f t="shared" si="7"/>
        <v>#DIV/0!</v>
      </c>
      <c r="J16" s="342" t="e">
        <f t="shared" si="7"/>
        <v>#DIV/0!</v>
      </c>
      <c r="K16" s="343" t="e">
        <f t="shared" si="7"/>
        <v>#DIV/0!</v>
      </c>
      <c r="L16" s="342" t="e">
        <f t="shared" si="7"/>
        <v>#DIV/0!</v>
      </c>
      <c r="M16" s="343" t="e">
        <f t="shared" si="7"/>
        <v>#DIV/0!</v>
      </c>
      <c r="N16" s="342" t="e">
        <f t="shared" si="7"/>
        <v>#DIV/0!</v>
      </c>
      <c r="O16" s="343" t="e">
        <f t="shared" si="7"/>
        <v>#DIV/0!</v>
      </c>
      <c r="P16" s="342">
        <f t="shared" si="7"/>
        <v>59.657004453764721</v>
      </c>
      <c r="R16" s="245"/>
      <c r="S16" s="245"/>
      <c r="T16" s="245"/>
    </row>
    <row r="17" spans="3:23" x14ac:dyDescent="0.35">
      <c r="C17" s="340" t="s">
        <v>9</v>
      </c>
      <c r="D17" s="342">
        <f t="shared" ref="D17:P17" si="8">+D7/(D5*1000)</f>
        <v>41.009148170365926</v>
      </c>
      <c r="E17" s="342">
        <f t="shared" si="8"/>
        <v>44.403241954707987</v>
      </c>
      <c r="F17" s="342">
        <f t="shared" si="8"/>
        <v>56.259851513420905</v>
      </c>
      <c r="G17" s="343" t="e">
        <f t="shared" si="8"/>
        <v>#DIV/0!</v>
      </c>
      <c r="H17" s="342" t="e">
        <f t="shared" si="8"/>
        <v>#DIV/0!</v>
      </c>
      <c r="I17" s="343" t="e">
        <f t="shared" si="8"/>
        <v>#DIV/0!</v>
      </c>
      <c r="J17" s="342" t="e">
        <f t="shared" si="8"/>
        <v>#DIV/0!</v>
      </c>
      <c r="K17" s="343" t="e">
        <f t="shared" si="8"/>
        <v>#DIV/0!</v>
      </c>
      <c r="L17" s="342" t="e">
        <f t="shared" si="8"/>
        <v>#DIV/0!</v>
      </c>
      <c r="M17" s="343" t="e">
        <f t="shared" si="8"/>
        <v>#DIV/0!</v>
      </c>
      <c r="N17" s="342" t="e">
        <f t="shared" si="8"/>
        <v>#DIV/0!</v>
      </c>
      <c r="O17" s="343" t="e">
        <f t="shared" si="8"/>
        <v>#DIV/0!</v>
      </c>
      <c r="P17" s="342">
        <f t="shared" si="8"/>
        <v>47.230976632714196</v>
      </c>
    </row>
    <row r="18" spans="3:23" hidden="1" x14ac:dyDescent="0.35">
      <c r="C18" s="340" t="s">
        <v>10</v>
      </c>
      <c r="D18" s="342">
        <f t="shared" ref="D18:P18" si="9">D10/(D5*1000)</f>
        <v>0</v>
      </c>
      <c r="E18" s="342">
        <f t="shared" si="9"/>
        <v>0</v>
      </c>
      <c r="F18" s="342">
        <f t="shared" si="9"/>
        <v>0</v>
      </c>
      <c r="G18" s="343" t="e">
        <f t="shared" si="9"/>
        <v>#DIV/0!</v>
      </c>
      <c r="H18" s="342" t="e">
        <f t="shared" si="9"/>
        <v>#DIV/0!</v>
      </c>
      <c r="I18" s="343" t="e">
        <f t="shared" si="9"/>
        <v>#DIV/0!</v>
      </c>
      <c r="J18" s="342" t="e">
        <f t="shared" si="9"/>
        <v>#DIV/0!</v>
      </c>
      <c r="K18" s="343" t="e">
        <f t="shared" si="9"/>
        <v>#DIV/0!</v>
      </c>
      <c r="L18" s="342" t="e">
        <f t="shared" si="9"/>
        <v>#DIV/0!</v>
      </c>
      <c r="M18" s="343" t="e">
        <f t="shared" si="9"/>
        <v>#DIV/0!</v>
      </c>
      <c r="N18" s="342" t="e">
        <f t="shared" si="9"/>
        <v>#DIV/0!</v>
      </c>
      <c r="O18" s="343" t="e">
        <f t="shared" si="9"/>
        <v>#DIV/0!</v>
      </c>
      <c r="P18" s="342">
        <f t="shared" si="9"/>
        <v>0</v>
      </c>
    </row>
    <row r="19" spans="3:23" x14ac:dyDescent="0.35">
      <c r="C19" s="340" t="s">
        <v>11</v>
      </c>
      <c r="D19" s="251" cm="1">
        <f t="array" ref="D19">IFERROR(ROWS(_xlfn.UNIQUE(_xlfn._xlws.FILTER(Details!$AO$5:$AO$78, (Details!$C$5:$C$78)=Summary!D$2))),0)-1</f>
        <v>6</v>
      </c>
      <c r="E19" s="251" cm="1">
        <f t="array" ref="E19">IFERROR(ROWS(_xlfn.UNIQUE(_xlfn._xlws.FILTER(Details!$AO$5:$AO$78, (Details!$C$5:$C$78)=Summary!E$2))),0)</f>
        <v>11</v>
      </c>
      <c r="F19" s="251" cm="1">
        <f t="array" ref="F19">IFERROR(ROWS(_xlfn.UNIQUE(_xlfn._xlws.FILTER(Details!$AO$5:$AO$78, (Details!$C$5:$C$78)=Summary!F$2))),0)</f>
        <v>8</v>
      </c>
      <c r="G19" s="231" cm="1">
        <f t="array" ref="G19">IFERROR(ROWS(_xlfn.UNIQUE(_xlfn._xlws.FILTER(Details!$AO$5:$AO$78, (Details!$C$5:$C$78)=Summary!G$2))),0)</f>
        <v>0</v>
      </c>
      <c r="H19" s="251" cm="1">
        <f t="array" ref="H19">IFERROR(ROWS(_xlfn.UNIQUE(_xlfn._xlws.FILTER(Details!$AO$5:$AO$78, (Details!$C$5:$C$78)=Summary!H$2))),0)</f>
        <v>0</v>
      </c>
      <c r="I19" s="231" cm="1">
        <f t="array" ref="I19">IFERROR(ROWS(_xlfn.UNIQUE(_xlfn._xlws.FILTER(Details!$AO$5:$AO$78, (Details!$C$5:$C$78)=Summary!I$2))),0)</f>
        <v>0</v>
      </c>
      <c r="J19" s="251" cm="1">
        <f t="array" ref="J19">IFERROR(ROWS(_xlfn.UNIQUE(_xlfn._xlws.FILTER(Details!$AO$5:$AO$78, (Details!$C$5:$C$78)=Summary!J$2))),0)</f>
        <v>0</v>
      </c>
      <c r="K19" s="231" cm="1">
        <f t="array" ref="K19">IFERROR(ROWS(_xlfn.UNIQUE(_xlfn._xlws.FILTER(Details!$AO$5:$AO$78, (Details!$C$5:$C$78)=Summary!K$2))),0)</f>
        <v>0</v>
      </c>
      <c r="L19" s="251" cm="1">
        <f t="array" ref="L19">IFERROR(ROWS(_xlfn.UNIQUE(_xlfn._xlws.FILTER(Details!$AO$5:$AO$78, (Details!$C$5:$C$78)=Summary!L$2))),0)</f>
        <v>0</v>
      </c>
      <c r="M19" s="231" cm="1">
        <f t="array" ref="M19">IFERROR(ROWS(_xlfn.UNIQUE(_xlfn._xlws.FILTER(Details!$AO$5:$AO$78, (Details!$C$5:$C$78)=Summary!M$2))),0)</f>
        <v>0</v>
      </c>
      <c r="N19" s="251" cm="1">
        <f t="array" ref="N19">IFERROR(ROWS(_xlfn.UNIQUE(_xlfn._xlws.FILTER(Details!$AO$5:$AO$78, (Details!$C$5:$C$78)=Summary!N$2))),0)</f>
        <v>0</v>
      </c>
      <c r="O19" s="231" cm="1">
        <f t="array" ref="O19">IFERROR(ROWS(_xlfn.UNIQUE(_xlfn._xlws.FILTER(Details!$AO$5:$AO$78, (Details!$C$5:$C$78)=Summary!O$2))),0)</f>
        <v>0</v>
      </c>
      <c r="P19" s="239">
        <f>SUM(D19:O19)</f>
        <v>25</v>
      </c>
      <c r="Q19" s="241"/>
    </row>
    <row r="20" spans="3:23" x14ac:dyDescent="0.35">
      <c r="C20" s="340" t="s">
        <v>12</v>
      </c>
      <c r="D20" s="251" cm="1">
        <f t="array" ref="D20">IFERROR(ROWS(_xlfn.UNIQUE(_xlfn._xlws.FILTER(MID(Details!$G$5:$G$78,3,10), (Details!$C$5:$C$78)=Summary!D$2))),0)</f>
        <v>1</v>
      </c>
      <c r="E20" s="251" cm="1">
        <f t="array" ref="E20">IFERROR(ROWS(_xlfn.UNIQUE(_xlfn._xlws.FILTER(MID(Details!$G$5:$G$78,3,10), (Details!$C$5:$C$78)=Summary!E$2))),0)</f>
        <v>1</v>
      </c>
      <c r="F20" s="251" cm="1">
        <f t="array" ref="F20">IFERROR(ROWS(_xlfn.UNIQUE(_xlfn._xlws.FILTER(MID(Details!$G$5:$G$78,3,10), (Details!$C$5:$C$78)=Summary!F$2))),0)</f>
        <v>1</v>
      </c>
      <c r="G20" s="380" cm="1">
        <f t="array" ref="G20">IFERROR(ROWS(_xlfn.UNIQUE(_xlfn._xlws.FILTER(MID(Details!$G$5:$G$78,3,10), (Details!$C$5:$C$78)=Summary!G$2))),0)</f>
        <v>0</v>
      </c>
      <c r="H20" s="251" cm="1">
        <f t="array" ref="H20">IFERROR(ROWS(_xlfn.UNIQUE(_xlfn._xlws.FILTER(MID(Details!$G$5:$G$78,3,10), (Details!$C$5:$C$78)=Summary!H$2))),0)</f>
        <v>0</v>
      </c>
      <c r="I20" s="251" cm="1">
        <f t="array" ref="I20">IFERROR(ROWS(_xlfn.UNIQUE(_xlfn._xlws.FILTER(MID(Details!$G$5:$G$78,3,10), (Details!$C$5:$C$78)=Summary!I$2))),0)</f>
        <v>0</v>
      </c>
      <c r="J20" s="251" cm="1">
        <f t="array" ref="J20">IFERROR(ROWS(_xlfn.UNIQUE(_xlfn._xlws.FILTER(MID(Details!$G$5:$G$78,3,10), (Details!$C$5:$C$78)=Summary!J$2))),0)</f>
        <v>0</v>
      </c>
      <c r="K20" s="251" cm="1">
        <f t="array" ref="K20">IFERROR(ROWS(_xlfn.UNIQUE(_xlfn._xlws.FILTER(MID(Details!$G$5:$G$78,3,10), (Details!$C$5:$C$78)=Summary!K$2))),0)</f>
        <v>0</v>
      </c>
      <c r="L20" s="251" cm="1">
        <f t="array" ref="L20">IFERROR(ROWS(_xlfn.UNIQUE(_xlfn._xlws.FILTER(MID(Details!$G$5:$G$78,3,10), (Details!$C$5:$C$78)=Summary!L$2))),0)</f>
        <v>0</v>
      </c>
      <c r="M20" s="251" cm="1">
        <f t="array" ref="M20">IFERROR(ROWS(_xlfn.UNIQUE(_xlfn._xlws.FILTER(MID(Details!$G$5:$G$78,3,10), (Details!$C$5:$C$78)=Summary!M$2))),0)</f>
        <v>0</v>
      </c>
      <c r="N20" s="251" cm="1">
        <f t="array" ref="N20">IFERROR(ROWS(_xlfn.UNIQUE(_xlfn._xlws.FILTER(MID(Details!$G$5:$G$78,3,10), (Details!$C$5:$C$78)=Summary!N$2))),0)</f>
        <v>0</v>
      </c>
      <c r="O20" s="252" cm="1">
        <f t="array" ref="O20">IFERROR(ROWS(_xlfn.UNIQUE(_xlfn._xlws.FILTER(MID(Details!$G$5:$G$78,3,10), (Details!$C$5:$C$78)=Summary!O$2))),0)</f>
        <v>0</v>
      </c>
      <c r="P20" s="239">
        <f>'Supplier Metrics'!E2</f>
        <v>1</v>
      </c>
    </row>
    <row r="21" spans="3:23" x14ac:dyDescent="0.35">
      <c r="C21" s="340" t="s">
        <v>13</v>
      </c>
      <c r="D21" s="251" cm="1">
        <f t="array" ref="D21">IFERROR(ROWS(_xlfn.UNIQUE(_xlfn._xlws.FILTER(MID(Details!$AR$5:$AR$78,3,10), (Details!$C$5:$C$78)=Summary!D$2))),0)</f>
        <v>1</v>
      </c>
      <c r="E21" s="251" cm="1">
        <f t="array" ref="E21">IFERROR(ROWS(_xlfn.UNIQUE(_xlfn._xlws.FILTER(MID(Details!$AR$5:$AR$78,3,10), (Details!$C$5:$C$78)=Summary!E$2))),0)</f>
        <v>1</v>
      </c>
      <c r="F21" s="251" cm="1">
        <f t="array" ref="F21">IFERROR(ROWS(_xlfn.UNIQUE(_xlfn._xlws.FILTER(MID(Details!$AR$5:$AR$78,3,10), (Details!$C$5:$C$78)=Summary!F$2))),0)</f>
        <v>3</v>
      </c>
      <c r="G21" s="380" cm="1">
        <f t="array" ref="G21">IFERROR(ROWS(_xlfn.UNIQUE(_xlfn._xlws.FILTER(MID(Details!$AR$5:$AR$78,3,10), (Details!$C$5:$C$78)=Summary!G$2))),0)</f>
        <v>0</v>
      </c>
      <c r="H21" s="251" cm="1">
        <f t="array" ref="H21">IFERROR(ROWS(_xlfn.UNIQUE(_xlfn._xlws.FILTER(MID(Details!$AR$5:$AR$78,3,10), (Details!$C$5:$C$78)=Summary!H$2))),0)</f>
        <v>0</v>
      </c>
      <c r="I21" s="251" cm="1">
        <f t="array" ref="I21">IFERROR(ROWS(_xlfn.UNIQUE(_xlfn._xlws.FILTER(MID(Details!$AR$5:$AR$78,3,10), (Details!$C$5:$C$78)=Summary!I$2))),0)</f>
        <v>0</v>
      </c>
      <c r="J21" s="251" cm="1">
        <f t="array" ref="J21">IFERROR(ROWS(_xlfn.UNIQUE(_xlfn._xlws.FILTER(MID(Details!$AR$5:$AR$78,3,10), (Details!$C$5:$C$78)=Summary!J$2))),0)</f>
        <v>0</v>
      </c>
      <c r="K21" s="251" cm="1">
        <f t="array" ref="K21">IFERROR(ROWS(_xlfn.UNIQUE(_xlfn._xlws.FILTER(MID(Details!$AR$5:$AR$78,3,10), (Details!$C$5:$C$78)=Summary!K$2))),0)</f>
        <v>0</v>
      </c>
      <c r="L21" s="251" cm="1">
        <f t="array" ref="L21">IFERROR(ROWS(_xlfn.UNIQUE(_xlfn._xlws.FILTER(MID(Details!$AR$5:$AR$78,3,10), (Details!$C$5:$C$78)=Summary!L$2))),0)</f>
        <v>0</v>
      </c>
      <c r="M21" s="251" cm="1">
        <f t="array" ref="M21">IFERROR(ROWS(_xlfn.UNIQUE(_xlfn._xlws.FILTER(MID(Details!$AR$5:$AR$78,3,10), (Details!$C$5:$C$78)=Summary!M$2))),0)</f>
        <v>0</v>
      </c>
      <c r="N21" s="251" cm="1">
        <f t="array" ref="N21">IFERROR(ROWS(_xlfn.UNIQUE(_xlfn._xlws.FILTER(MID(Details!$AR$5:$AR$78,3,10), (Details!$C$5:$C$78)=Summary!N$2))),0)</f>
        <v>0</v>
      </c>
      <c r="O21" s="252" cm="1">
        <f t="array" ref="O21">IFERROR(ROWS(_xlfn.UNIQUE(_xlfn._xlws.FILTER(MID(Details!$AR$5:$AR$78,3,10), (Details!$C$5:$C$78)=Summary!O$2))),0)</f>
        <v>0</v>
      </c>
      <c r="P21" s="239">
        <f>'Buyer Metrics'!B3</f>
        <v>3</v>
      </c>
    </row>
    <row r="22" spans="3:23" x14ac:dyDescent="0.35">
      <c r="C22" s="340" t="s">
        <v>485</v>
      </c>
      <c r="D22" s="253" cm="1">
        <f t="array" ref="D22">IFERROR(ROWS(_xlfn.UNIQUE(_xlfn._xlws.FILTER(Details!$E$5:$E$78,(Details!$C$5:$C$78=Summary!D$2)*(Details!$BR$5:$BR$78=Summary!$C$22)))),0)</f>
        <v>0</v>
      </c>
      <c r="E22" s="253" cm="1">
        <f t="array" ref="E22">IFERROR(ROWS(_xlfn.UNIQUE(_xlfn._xlws.FILTER(Details!$E$5:$E$78,(Details!$C$5:$C$78=Summary!E$2)*(Details!$BR$5:$BR$78=Summary!$C$22)))),0)</f>
        <v>0</v>
      </c>
      <c r="F22" s="253" cm="1">
        <f t="array" ref="F22">IFERROR(ROWS(_xlfn.UNIQUE(_xlfn._xlws.FILTER(Details!$E$5:$E$78,(Details!$C$5:$C$78=Summary!F$2)*(Details!$BR$5:$BR$78=Summary!$C$22)))),0)</f>
        <v>0</v>
      </c>
      <c r="G22" s="381" cm="1">
        <f t="array" ref="G22">IFERROR(ROWS(_xlfn.UNIQUE(_xlfn._xlws.FILTER(Details!$E$5:$E$78,(Details!$C$5:$C$78=Summary!G$2)*(Details!$BR$5:$BR$78=Summary!$C$22)))),0)</f>
        <v>0</v>
      </c>
      <c r="H22" s="253" cm="1">
        <f t="array" ref="H22">IFERROR(ROWS(_xlfn.UNIQUE(_xlfn._xlws.FILTER(Details!$E$5:$E$78,(Details!$C$5:$C$78=Summary!H$2)*(Details!$BR$5:$BR$78=Summary!$C$22)))),0)</f>
        <v>0</v>
      </c>
      <c r="I22" s="253" cm="1">
        <f t="array" ref="I22">IFERROR(ROWS(_xlfn.UNIQUE(_xlfn._xlws.FILTER(Details!$E$5:$E$78,(Details!$C$5:$C$78=Summary!I$2)*(Details!$BR$5:$BR$78=Summary!$C$22)))),0)</f>
        <v>0</v>
      </c>
      <c r="J22" s="253" cm="1">
        <f t="array" ref="J22">IFERROR(ROWS(_xlfn.UNIQUE(_xlfn._xlws.FILTER(Details!$E$5:$E$78,(Details!$C$5:$C$78=Summary!J$2)*(Details!$BR$5:$BR$78=Summary!$C$22)))),0)</f>
        <v>0</v>
      </c>
      <c r="K22" s="253" cm="1">
        <f t="array" ref="K22">IFERROR(ROWS(_xlfn.UNIQUE(_xlfn._xlws.FILTER(Details!$E$5:$E$78,(Details!$C$5:$C$78=Summary!K$2)*(Details!$BR$5:$BR$78=Summary!$C$22)))),0)</f>
        <v>0</v>
      </c>
      <c r="L22" s="253" cm="1">
        <f t="array" ref="L22">IFERROR(ROWS(_xlfn.UNIQUE(_xlfn._xlws.FILTER(Details!$E$5:$E$78,(Details!$C$5:$C$78=Summary!L$2)*(Details!$BR$5:$BR$78=Summary!$C$22)))),0)</f>
        <v>0</v>
      </c>
      <c r="M22" s="253" cm="1">
        <f t="array" ref="M22">IFERROR(ROWS(_xlfn.UNIQUE(_xlfn._xlws.FILTER(Details!$E$5:$E$78,(Details!$C$5:$C$78=Summary!M$2)*(Details!$BR$5:$BR$78=Summary!$C$22)))),0)</f>
        <v>0</v>
      </c>
      <c r="N22" s="253" cm="1">
        <f t="array" ref="N22">IFERROR(ROWS(_xlfn.UNIQUE(_xlfn._xlws.FILTER(Details!$E$5:$E$78,(Details!$C$5:$C$78=Summary!N$2)*(Details!$BR$5:$BR$78=Summary!$C$22)))),0)</f>
        <v>0</v>
      </c>
      <c r="O22" s="257" cm="1">
        <f t="array" ref="O22">IFERROR(ROWS(_xlfn.UNIQUE(_xlfn._xlws.FILTER(Details!$E$5:$E$78,(Details!$C$5:$C$78=Summary!O$2)*(Details!$BR$5:$BR$78=Summary!$C$22)))),0)</f>
        <v>0</v>
      </c>
      <c r="P22" s="239">
        <f>SUM(D22:O22)</f>
        <v>0</v>
      </c>
    </row>
    <row r="23" spans="3:23" x14ac:dyDescent="0.35">
      <c r="C23" s="340" t="s">
        <v>6</v>
      </c>
      <c r="D23" s="253">
        <v>6409082.0299999993</v>
      </c>
      <c r="E23" s="253">
        <v>11960842.729999999</v>
      </c>
      <c r="F23" s="253">
        <v>13783192.050000001</v>
      </c>
      <c r="G23" s="381">
        <v>0</v>
      </c>
      <c r="H23" s="253">
        <v>0</v>
      </c>
      <c r="I23" s="253">
        <v>0</v>
      </c>
      <c r="J23" s="253">
        <v>0</v>
      </c>
      <c r="K23" s="253">
        <v>0</v>
      </c>
      <c r="L23" s="253">
        <v>0</v>
      </c>
      <c r="M23" s="253">
        <v>0</v>
      </c>
      <c r="N23" s="253">
        <v>0</v>
      </c>
      <c r="O23" s="257">
        <v>0</v>
      </c>
      <c r="P23" s="253">
        <f>F23</f>
        <v>13783192.050000001</v>
      </c>
      <c r="U23" s="247"/>
    </row>
    <row r="24" spans="3:23" x14ac:dyDescent="0.35">
      <c r="C24" s="341" t="s">
        <v>7</v>
      </c>
      <c r="D24" s="255">
        <f t="shared" ref="D24:O24" si="10">IFERROR(((D23/(D6*1.18))*D3),0)</f>
        <v>50.973992481690821</v>
      </c>
      <c r="E24" s="255">
        <f t="shared" si="10"/>
        <v>53.096578648947165</v>
      </c>
      <c r="F24" s="255">
        <f t="shared" si="10"/>
        <v>42.14280368408523</v>
      </c>
      <c r="G24" s="256">
        <f t="shared" si="10"/>
        <v>0</v>
      </c>
      <c r="H24" s="255">
        <f t="shared" si="10"/>
        <v>0</v>
      </c>
      <c r="I24" s="256">
        <f t="shared" si="10"/>
        <v>0</v>
      </c>
      <c r="J24" s="255">
        <f t="shared" si="10"/>
        <v>0</v>
      </c>
      <c r="K24" s="256">
        <f t="shared" si="10"/>
        <v>0</v>
      </c>
      <c r="L24" s="255">
        <f>IFERROR(((L23/(L6*1.18))*L3),0)</f>
        <v>0</v>
      </c>
      <c r="M24" s="256">
        <f t="shared" si="10"/>
        <v>0</v>
      </c>
      <c r="N24" s="255">
        <f t="shared" si="10"/>
        <v>0</v>
      </c>
      <c r="O24" s="256">
        <f t="shared" si="10"/>
        <v>0</v>
      </c>
      <c r="P24" s="255">
        <f>IFERROR(((P23)/(P6*1.18)*P3),0)</f>
        <v>64.131679634691707</v>
      </c>
    </row>
    <row r="25" spans="3:23" x14ac:dyDescent="0.35">
      <c r="C25" s="340" t="s">
        <v>303</v>
      </c>
      <c r="D25" s="253">
        <v>-6728200.6299999999</v>
      </c>
      <c r="E25" s="253">
        <v>-5803401.5099999998</v>
      </c>
      <c r="F25" s="253">
        <v>-6406913.2699999996</v>
      </c>
      <c r="G25" s="381">
        <v>0</v>
      </c>
      <c r="H25" s="253">
        <v>0</v>
      </c>
      <c r="I25" s="253">
        <v>0</v>
      </c>
      <c r="J25" s="253">
        <v>0</v>
      </c>
      <c r="K25" s="253">
        <v>0</v>
      </c>
      <c r="L25" s="253">
        <v>0</v>
      </c>
      <c r="M25" s="253">
        <v>0</v>
      </c>
      <c r="N25" s="253">
        <v>0</v>
      </c>
      <c r="O25" s="257">
        <v>0</v>
      </c>
      <c r="P25" s="253">
        <f>F25</f>
        <v>-6406913.2699999996</v>
      </c>
      <c r="W25" s="374"/>
    </row>
    <row r="26" spans="3:23" x14ac:dyDescent="0.35">
      <c r="C26" s="341" t="s">
        <v>304</v>
      </c>
      <c r="D26" s="255">
        <f t="shared" ref="D26:P26" si="11">IFERROR(((D25/(D7*1.18))*D3),0)</f>
        <v>-62.554973037143668</v>
      </c>
      <c r="E26" s="255">
        <f t="shared" si="11"/>
        <v>-32.739772044546143</v>
      </c>
      <c r="F26" s="255">
        <f t="shared" si="11"/>
        <v>-25.721061687624779</v>
      </c>
      <c r="G26" s="256">
        <f t="shared" si="11"/>
        <v>0</v>
      </c>
      <c r="H26" s="255">
        <f t="shared" si="11"/>
        <v>0</v>
      </c>
      <c r="I26" s="256">
        <f t="shared" si="11"/>
        <v>0</v>
      </c>
      <c r="J26" s="255">
        <f t="shared" si="11"/>
        <v>0</v>
      </c>
      <c r="K26" s="256">
        <f t="shared" si="11"/>
        <v>0</v>
      </c>
      <c r="L26" s="255">
        <f t="shared" si="11"/>
        <v>0</v>
      </c>
      <c r="M26" s="256">
        <f t="shared" si="11"/>
        <v>0</v>
      </c>
      <c r="N26" s="255">
        <f t="shared" si="11"/>
        <v>0</v>
      </c>
      <c r="O26" s="256">
        <f t="shared" si="11"/>
        <v>0</v>
      </c>
      <c r="P26" s="255">
        <f t="shared" si="11"/>
        <v>-37.653570843864046</v>
      </c>
    </row>
    <row r="27" spans="3:23" x14ac:dyDescent="0.35">
      <c r="C27" s="341" t="s">
        <v>333</v>
      </c>
      <c r="D27" s="255">
        <f>D24-D26</f>
        <v>113.5289655188345</v>
      </c>
      <c r="E27" s="255">
        <f t="shared" ref="E27:P27" si="12">E24-E26</f>
        <v>85.836350693493301</v>
      </c>
      <c r="F27" s="255">
        <f t="shared" si="12"/>
        <v>67.863865371710006</v>
      </c>
      <c r="G27" s="382">
        <f t="shared" si="12"/>
        <v>0</v>
      </c>
      <c r="H27" s="255">
        <f t="shared" si="12"/>
        <v>0</v>
      </c>
      <c r="I27" s="255">
        <f t="shared" si="12"/>
        <v>0</v>
      </c>
      <c r="J27" s="255">
        <f t="shared" si="12"/>
        <v>0</v>
      </c>
      <c r="K27" s="255">
        <f t="shared" si="12"/>
        <v>0</v>
      </c>
      <c r="L27" s="255">
        <f t="shared" si="12"/>
        <v>0</v>
      </c>
      <c r="M27" s="255">
        <f t="shared" si="12"/>
        <v>0</v>
      </c>
      <c r="N27" s="255">
        <f t="shared" si="12"/>
        <v>0</v>
      </c>
      <c r="O27" s="385">
        <f t="shared" si="12"/>
        <v>0</v>
      </c>
      <c r="P27" s="255">
        <f t="shared" si="12"/>
        <v>101.78525047855575</v>
      </c>
    </row>
    <row r="28" spans="3:23" x14ac:dyDescent="0.35">
      <c r="C28" s="340" t="s">
        <v>14</v>
      </c>
      <c r="D28" s="253">
        <v>81963.75</v>
      </c>
      <c r="E28" s="253">
        <f>-SUMIFS(Details!$BW$4:$BW$78,Details!$C$4:$C$78,Summary!E4)</f>
        <v>143785.435</v>
      </c>
      <c r="F28" s="253">
        <f>-SUMIFS(Details!$BW$4:$BW$78,Details!$C$4:$C$78,Summary!F4)</f>
        <v>149244.75</v>
      </c>
      <c r="G28" s="254">
        <f>-SUMIFS(Details!$BW$4:$BW$78,Details!$C$4:$C$78,Summary!G4)</f>
        <v>0</v>
      </c>
      <c r="H28" s="253">
        <f>-SUMIFS(Details!$BW$4:$BW$78,Details!$C$4:$C$78,Summary!H4)</f>
        <v>0</v>
      </c>
      <c r="I28" s="253">
        <f>-SUMIFS(Details!$BW$4:$BW$78,Details!$C$4:$C$78,Summary!I4)</f>
        <v>0</v>
      </c>
      <c r="J28" s="253">
        <f>-SUMIFS(Details!$BW$4:$BW$78,Details!$C$4:$C$78,Summary!J4)</f>
        <v>0</v>
      </c>
      <c r="K28" s="253">
        <f>-SUMIFS(Details!$BW$4:$BW$78,Details!$C$4:$C$78,Summary!K4)</f>
        <v>0</v>
      </c>
      <c r="L28" s="253">
        <f>-SUMIFS(Details!$BW$4:$BW$78,Details!$C$4:$C$78,Summary!L4)</f>
        <v>0</v>
      </c>
      <c r="M28" s="253">
        <f>-SUMIFS(Details!$BW$4:$BW$78,Details!$C$4:$C$78,Summary!M4)</f>
        <v>0</v>
      </c>
      <c r="N28" s="253">
        <f>-SUMIFS(Details!$BW$4:$BW$78,Details!$C$4:$C$78,Summary!N4)</f>
        <v>0</v>
      </c>
      <c r="O28" s="257">
        <f>-SUMIFS(Details!$BW$4:$BW$78,Details!$C$4:$C$78,Summary!O4)</f>
        <v>0</v>
      </c>
      <c r="P28" s="239">
        <f>SUM(D28:O28)</f>
        <v>374993.935</v>
      </c>
      <c r="Q28" s="250">
        <f>(-Details!BM79-Details!BN79)</f>
        <v>345691.815</v>
      </c>
      <c r="R28" s="232">
        <f>P28-Q28</f>
        <v>29302.119999999995</v>
      </c>
    </row>
    <row r="29" spans="3:23" x14ac:dyDescent="0.35">
      <c r="C29" s="341" t="s">
        <v>15</v>
      </c>
      <c r="D29" s="248">
        <f t="shared" ref="D29:P29" si="13">+D28/D6</f>
        <v>2.564102564102564E-2</v>
      </c>
      <c r="E29" s="248">
        <f t="shared" si="13"/>
        <v>2.4296290227929413E-2</v>
      </c>
      <c r="F29" s="248">
        <f t="shared" si="13"/>
        <v>2.564102564102564E-2</v>
      </c>
      <c r="G29" s="249" t="e">
        <f t="shared" si="13"/>
        <v>#DIV/0!</v>
      </c>
      <c r="H29" s="258" t="e">
        <f t="shared" si="13"/>
        <v>#DIV/0!</v>
      </c>
      <c r="I29" s="259" t="e">
        <f t="shared" si="13"/>
        <v>#DIV/0!</v>
      </c>
      <c r="J29" s="258" t="e">
        <f t="shared" si="13"/>
        <v>#DIV/0!</v>
      </c>
      <c r="K29" s="259" t="e">
        <f t="shared" si="13"/>
        <v>#DIV/0!</v>
      </c>
      <c r="L29" s="258" t="e">
        <f t="shared" si="13"/>
        <v>#DIV/0!</v>
      </c>
      <c r="M29" s="259" t="e">
        <f t="shared" si="13"/>
        <v>#DIV/0!</v>
      </c>
      <c r="N29" s="258" t="e">
        <f t="shared" si="13"/>
        <v>#DIV/0!</v>
      </c>
      <c r="O29" s="259" t="e">
        <f t="shared" si="13"/>
        <v>#DIV/0!</v>
      </c>
      <c r="P29" s="258">
        <f t="shared" si="13"/>
        <v>2.5108178386113147E-2</v>
      </c>
      <c r="Q29" s="250"/>
    </row>
    <row r="30" spans="3:23" x14ac:dyDescent="0.35">
      <c r="C30" s="340" t="s">
        <v>16</v>
      </c>
      <c r="D30" s="253">
        <f>-SUMIFS(Details!$BX$4:$BX$78,Details!$C$4:$C$78,Summary!D4)</f>
        <v>0</v>
      </c>
      <c r="E30" s="253">
        <f>-SUMIFS(Details!$BX$4:$BX$78,Details!$C$4:$C$78,Summary!E4)</f>
        <v>0</v>
      </c>
      <c r="F30" s="253">
        <f>-SUMIFS(Details!$BX$4:$BX$78,Details!$C$4:$C$78,Summary!F4)</f>
        <v>0</v>
      </c>
      <c r="G30" s="254">
        <f>-SUMIFS(Details!$BX$4:$BX$78,Details!$C$4:$C$78,Summary!G4)</f>
        <v>0</v>
      </c>
      <c r="H30" s="253">
        <f>-SUMIFS(Details!$BX$4:$BX$78,Details!$C$4:$C$78,Summary!H4)</f>
        <v>0</v>
      </c>
      <c r="I30" s="253">
        <f>-SUMIFS(Details!$BX$4:$BX$78,Details!$C$4:$C$78,Summary!I4)</f>
        <v>0</v>
      </c>
      <c r="J30" s="253">
        <f>-SUMIFS(Details!$BX$4:$BX$78,Details!$C$4:$C$78,Summary!J4)</f>
        <v>0</v>
      </c>
      <c r="K30" s="253">
        <f>-SUMIFS(Details!$BX$4:$BX$78,Details!$C$4:$C$78,Summary!K4)</f>
        <v>0</v>
      </c>
      <c r="L30" s="253">
        <f>-SUMIFS(Details!$BX$4:$BX$78,Details!$C$4:$C$78,Summary!L4)</f>
        <v>0</v>
      </c>
      <c r="M30" s="253">
        <f>-SUMIFS(Details!$BX$4:$BX$78,Details!$C$4:$C$78,Summary!M4)</f>
        <v>0</v>
      </c>
      <c r="N30" s="253">
        <f>-SUMIFS(Details!$BX$4:$BX$78,Details!$C$4:$C$78,Summary!N4)</f>
        <v>0</v>
      </c>
      <c r="O30" s="257">
        <f>-SUMIFS(Details!$BX$4:$BX$78,Details!$C$4:$C$78,Summary!O4)</f>
        <v>0</v>
      </c>
      <c r="P30" s="239">
        <f>SUM(D30:O30)</f>
        <v>0</v>
      </c>
      <c r="Q30" s="250">
        <f>(-Details!AK79-Details!AL79)</f>
        <v>0</v>
      </c>
      <c r="R30" s="232">
        <f>P30-Q30</f>
        <v>0</v>
      </c>
    </row>
    <row r="31" spans="3:23" x14ac:dyDescent="0.35">
      <c r="C31" s="341" t="s">
        <v>17</v>
      </c>
      <c r="D31" s="248">
        <f>(D30/D7)</f>
        <v>0</v>
      </c>
      <c r="E31" s="248">
        <f>(E30/E7)</f>
        <v>0</v>
      </c>
      <c r="F31" s="248">
        <f>(F30/F7)</f>
        <v>0</v>
      </c>
      <c r="G31" s="249" t="e">
        <f>(G30/G7)</f>
        <v>#DIV/0!</v>
      </c>
      <c r="H31" s="258" t="e">
        <f t="shared" ref="H31:P31" si="14">(H30/(H7+H10))</f>
        <v>#DIV/0!</v>
      </c>
      <c r="I31" s="259" t="e">
        <f t="shared" si="14"/>
        <v>#DIV/0!</v>
      </c>
      <c r="J31" s="258" t="e">
        <f t="shared" si="14"/>
        <v>#DIV/0!</v>
      </c>
      <c r="K31" s="259" t="e">
        <f t="shared" si="14"/>
        <v>#DIV/0!</v>
      </c>
      <c r="L31" s="258" t="e">
        <f t="shared" si="14"/>
        <v>#DIV/0!</v>
      </c>
      <c r="M31" s="259" t="e">
        <f t="shared" si="14"/>
        <v>#DIV/0!</v>
      </c>
      <c r="N31" s="258" t="e">
        <f t="shared" si="14"/>
        <v>#DIV/0!</v>
      </c>
      <c r="O31" s="259" t="e">
        <f t="shared" si="14"/>
        <v>#DIV/0!</v>
      </c>
      <c r="P31" s="258">
        <f t="shared" si="14"/>
        <v>0</v>
      </c>
      <c r="Q31" s="250"/>
    </row>
    <row r="32" spans="3:23" x14ac:dyDescent="0.35">
      <c r="C32" s="340" t="s">
        <v>673</v>
      </c>
      <c r="D32" s="253">
        <v>226775</v>
      </c>
      <c r="E32" s="253">
        <v>226775</v>
      </c>
      <c r="F32" s="253">
        <f>E32*F3/30</f>
        <v>158742.5</v>
      </c>
      <c r="G32" s="254"/>
      <c r="H32" s="254"/>
      <c r="I32" s="254"/>
      <c r="J32" s="254"/>
      <c r="K32" s="254"/>
      <c r="L32" s="254"/>
      <c r="M32" s="254"/>
      <c r="N32" s="254"/>
      <c r="O32" s="254"/>
      <c r="P32" s="239">
        <f>SUM(D32:F32)</f>
        <v>612292.5</v>
      </c>
      <c r="Q32" s="250"/>
    </row>
    <row r="33" spans="3:17" x14ac:dyDescent="0.35">
      <c r="C33" s="340" t="s">
        <v>674</v>
      </c>
      <c r="D33" s="253">
        <f>D12-D32</f>
        <v>-621814.37048780499</v>
      </c>
      <c r="E33" s="253">
        <f t="shared" ref="E33:P33" si="15">E12-E32</f>
        <v>-313677.2856097566</v>
      </c>
      <c r="F33" s="253">
        <f t="shared" si="15"/>
        <v>115940.30524390237</v>
      </c>
      <c r="G33" s="253">
        <f t="shared" si="15"/>
        <v>0</v>
      </c>
      <c r="H33" s="253">
        <f t="shared" si="15"/>
        <v>0</v>
      </c>
      <c r="I33" s="253">
        <f t="shared" si="15"/>
        <v>0</v>
      </c>
      <c r="J33" s="253">
        <f t="shared" si="15"/>
        <v>0</v>
      </c>
      <c r="K33" s="253">
        <f t="shared" si="15"/>
        <v>0</v>
      </c>
      <c r="L33" s="253">
        <f t="shared" si="15"/>
        <v>0</v>
      </c>
      <c r="M33" s="253">
        <f t="shared" si="15"/>
        <v>0</v>
      </c>
      <c r="N33" s="253">
        <f t="shared" si="15"/>
        <v>0</v>
      </c>
      <c r="O33" s="253">
        <f t="shared" si="15"/>
        <v>0</v>
      </c>
      <c r="P33" s="253">
        <f t="shared" si="15"/>
        <v>-819551.35085365921</v>
      </c>
      <c r="Q33" s="250"/>
    </row>
    <row r="34" spans="3:17" ht="16" thickBot="1" x14ac:dyDescent="0.4">
      <c r="C34" s="286" t="s">
        <v>675</v>
      </c>
      <c r="D34" s="260">
        <f>D33/D6</f>
        <v>-0.1945245089156612</v>
      </c>
      <c r="E34" s="260">
        <f t="shared" ref="E34:P34" si="16">E33/E6</f>
        <v>-5.3003938605351457E-2</v>
      </c>
      <c r="F34" s="260">
        <f t="shared" si="16"/>
        <v>1.9919148509996099E-2</v>
      </c>
      <c r="G34" s="248" t="e">
        <f t="shared" si="16"/>
        <v>#DIV/0!</v>
      </c>
      <c r="H34" s="248" t="e">
        <f t="shared" si="16"/>
        <v>#DIV/0!</v>
      </c>
      <c r="I34" s="248" t="e">
        <f t="shared" si="16"/>
        <v>#DIV/0!</v>
      </c>
      <c r="J34" s="248" t="e">
        <f t="shared" si="16"/>
        <v>#DIV/0!</v>
      </c>
      <c r="K34" s="248" t="e">
        <f t="shared" si="16"/>
        <v>#DIV/0!</v>
      </c>
      <c r="L34" s="248" t="e">
        <f t="shared" si="16"/>
        <v>#DIV/0!</v>
      </c>
      <c r="M34" s="248" t="e">
        <f t="shared" si="16"/>
        <v>#DIV/0!</v>
      </c>
      <c r="N34" s="248" t="e">
        <f t="shared" si="16"/>
        <v>#DIV/0!</v>
      </c>
      <c r="O34" s="248" t="e">
        <f t="shared" si="16"/>
        <v>#DIV/0!</v>
      </c>
      <c r="P34" s="260">
        <f t="shared" si="16"/>
        <v>-5.4874064866712251E-2</v>
      </c>
      <c r="Q34" s="250"/>
    </row>
    <row r="35" spans="3:17" x14ac:dyDescent="0.35">
      <c r="C35" s="231"/>
      <c r="Q35" s="250"/>
    </row>
    <row r="36" spans="3:17" ht="16" thickBot="1" x14ac:dyDescent="0.4">
      <c r="C36" s="353"/>
      <c r="D36" s="352"/>
      <c r="E36" s="352"/>
      <c r="F36" s="352"/>
      <c r="G36" s="352"/>
      <c r="H36" s="352"/>
      <c r="I36" s="352"/>
      <c r="J36" s="352"/>
      <c r="K36" s="352"/>
      <c r="L36" s="352"/>
      <c r="M36" s="352"/>
      <c r="N36" s="352"/>
      <c r="O36" s="352"/>
      <c r="P36" s="352"/>
      <c r="Q36" s="250"/>
    </row>
    <row r="37" spans="3:17" x14ac:dyDescent="0.35">
      <c r="C37" s="261" t="s">
        <v>139</v>
      </c>
      <c r="D37" s="235">
        <f t="shared" ref="D37:P37" si="17">D4</f>
        <v>46113</v>
      </c>
      <c r="E37" s="235">
        <f t="shared" si="17"/>
        <v>46143</v>
      </c>
      <c r="F37" s="235">
        <f t="shared" si="17"/>
        <v>46174</v>
      </c>
      <c r="G37" s="235">
        <f t="shared" si="17"/>
        <v>46204</v>
      </c>
      <c r="H37" s="235">
        <f t="shared" si="17"/>
        <v>46235</v>
      </c>
      <c r="I37" s="235">
        <f t="shared" si="17"/>
        <v>46266</v>
      </c>
      <c r="J37" s="235">
        <f t="shared" si="17"/>
        <v>46296</v>
      </c>
      <c r="K37" s="235">
        <f t="shared" si="17"/>
        <v>46327</v>
      </c>
      <c r="L37" s="235">
        <f t="shared" si="17"/>
        <v>46357</v>
      </c>
      <c r="M37" s="235">
        <f t="shared" si="17"/>
        <v>46388</v>
      </c>
      <c r="N37" s="235">
        <f t="shared" si="17"/>
        <v>46419</v>
      </c>
      <c r="O37" s="235">
        <f t="shared" si="17"/>
        <v>46447</v>
      </c>
      <c r="P37" s="235" t="str">
        <f t="shared" si="17"/>
        <v>FY 2026-27</v>
      </c>
    </row>
    <row r="38" spans="3:17" x14ac:dyDescent="0.35">
      <c r="C38" s="262" t="s">
        <v>109</v>
      </c>
      <c r="D38" s="263">
        <f t="shared" ref="D38:O38" si="18">D6+D57</f>
        <v>3207647.5</v>
      </c>
      <c r="E38" s="263">
        <f t="shared" si="18"/>
        <v>6056973.4399999995</v>
      </c>
      <c r="F38" s="263">
        <f t="shared" si="18"/>
        <v>5969790</v>
      </c>
      <c r="G38" s="263">
        <f t="shared" si="18"/>
        <v>0</v>
      </c>
      <c r="H38" s="263">
        <f t="shared" si="18"/>
        <v>0</v>
      </c>
      <c r="I38" s="263">
        <f t="shared" si="18"/>
        <v>0</v>
      </c>
      <c r="J38" s="263">
        <f t="shared" si="18"/>
        <v>0</v>
      </c>
      <c r="K38" s="263">
        <f t="shared" si="18"/>
        <v>0</v>
      </c>
      <c r="L38" s="263">
        <f t="shared" si="18"/>
        <v>0</v>
      </c>
      <c r="M38" s="263">
        <f t="shared" si="18"/>
        <v>0</v>
      </c>
      <c r="N38" s="263">
        <f t="shared" si="18"/>
        <v>0</v>
      </c>
      <c r="O38" s="263">
        <f t="shared" si="18"/>
        <v>0</v>
      </c>
      <c r="P38" s="263">
        <f>SUM(D38:O38)</f>
        <v>15234410.939999999</v>
      </c>
    </row>
    <row r="39" spans="3:17" x14ac:dyDescent="0.35">
      <c r="C39" s="262" t="s">
        <v>110</v>
      </c>
      <c r="D39" s="263">
        <f t="shared" ref="D39:O39" si="19">D7+D10+D56</f>
        <v>2734490</v>
      </c>
      <c r="E39" s="263">
        <f t="shared" si="19"/>
        <v>4656790</v>
      </c>
      <c r="F39" s="263">
        <f t="shared" si="19"/>
        <v>4432995</v>
      </c>
      <c r="G39" s="263">
        <f t="shared" si="19"/>
        <v>0</v>
      </c>
      <c r="H39" s="263">
        <f t="shared" si="19"/>
        <v>0</v>
      </c>
      <c r="I39" s="263">
        <f t="shared" si="19"/>
        <v>0</v>
      </c>
      <c r="J39" s="263">
        <f t="shared" si="19"/>
        <v>0</v>
      </c>
      <c r="K39" s="263">
        <f t="shared" si="19"/>
        <v>0</v>
      </c>
      <c r="L39" s="263">
        <f t="shared" si="19"/>
        <v>0</v>
      </c>
      <c r="M39" s="263">
        <f t="shared" si="19"/>
        <v>0</v>
      </c>
      <c r="N39" s="263">
        <f t="shared" si="19"/>
        <v>0</v>
      </c>
      <c r="O39" s="263">
        <f t="shared" si="19"/>
        <v>0</v>
      </c>
      <c r="P39" s="263">
        <f>SUM(D39:O39)</f>
        <v>11824275</v>
      </c>
    </row>
    <row r="40" spans="3:17" x14ac:dyDescent="0.35">
      <c r="C40" s="262" t="s">
        <v>111</v>
      </c>
      <c r="D40" s="264">
        <f>D38-D39</f>
        <v>473157.5</v>
      </c>
      <c r="E40" s="265">
        <f>E38-E39</f>
        <v>1400183.4399999995</v>
      </c>
      <c r="F40" s="264">
        <f t="shared" ref="F40:O40" si="20">F38-F39</f>
        <v>1536795</v>
      </c>
      <c r="G40" s="264">
        <f t="shared" si="20"/>
        <v>0</v>
      </c>
      <c r="H40" s="264">
        <f t="shared" si="20"/>
        <v>0</v>
      </c>
      <c r="I40" s="264">
        <f t="shared" si="20"/>
        <v>0</v>
      </c>
      <c r="J40" s="265">
        <f>J38-J39</f>
        <v>0</v>
      </c>
      <c r="K40" s="264">
        <f t="shared" si="20"/>
        <v>0</v>
      </c>
      <c r="L40" s="264">
        <f t="shared" si="20"/>
        <v>0</v>
      </c>
      <c r="M40" s="264">
        <f t="shared" si="20"/>
        <v>0</v>
      </c>
      <c r="N40" s="265">
        <f t="shared" si="20"/>
        <v>0</v>
      </c>
      <c r="O40" s="264">
        <f t="shared" si="20"/>
        <v>0</v>
      </c>
      <c r="P40" s="264">
        <f>P38-P39</f>
        <v>3410135.9399999995</v>
      </c>
    </row>
    <row r="41" spans="3:17" ht="16" thickBot="1" x14ac:dyDescent="0.4">
      <c r="C41" s="266" t="s">
        <v>5</v>
      </c>
      <c r="D41" s="267">
        <f>D40/D38</f>
        <v>0.14750919482268549</v>
      </c>
      <c r="E41" s="268">
        <f>E40/E38</f>
        <v>0.23116882612580841</v>
      </c>
      <c r="F41" s="267">
        <f t="shared" ref="F41:N41" si="21">F40/F38</f>
        <v>0.25742865326921049</v>
      </c>
      <c r="G41" s="267" t="e">
        <f t="shared" si="21"/>
        <v>#DIV/0!</v>
      </c>
      <c r="H41" s="267" t="e">
        <f t="shared" si="21"/>
        <v>#DIV/0!</v>
      </c>
      <c r="I41" s="267" t="e">
        <f t="shared" si="21"/>
        <v>#DIV/0!</v>
      </c>
      <c r="J41" s="268" t="e">
        <f t="shared" si="21"/>
        <v>#DIV/0!</v>
      </c>
      <c r="K41" s="267" t="e">
        <f t="shared" si="21"/>
        <v>#DIV/0!</v>
      </c>
      <c r="L41" s="267" t="e">
        <f t="shared" si="21"/>
        <v>#DIV/0!</v>
      </c>
      <c r="M41" s="267" t="e">
        <f t="shared" si="21"/>
        <v>#DIV/0!</v>
      </c>
      <c r="N41" s="268" t="e">
        <f t="shared" si="21"/>
        <v>#DIV/0!</v>
      </c>
      <c r="O41" s="267" t="e">
        <f>O40/O38</f>
        <v>#DIV/0!</v>
      </c>
      <c r="P41" s="267">
        <f>P40/P38</f>
        <v>0.22384429259724298</v>
      </c>
    </row>
    <row r="42" spans="3:17" ht="16" thickBot="1" x14ac:dyDescent="0.4"/>
    <row r="43" spans="3:17" x14ac:dyDescent="0.35">
      <c r="C43" s="234" t="s">
        <v>140</v>
      </c>
      <c r="D43" s="235">
        <f t="shared" ref="D43:P43" si="22">D4</f>
        <v>46113</v>
      </c>
      <c r="E43" s="235">
        <f t="shared" si="22"/>
        <v>46143</v>
      </c>
      <c r="F43" s="235">
        <f t="shared" si="22"/>
        <v>46174</v>
      </c>
      <c r="G43" s="235">
        <f t="shared" si="22"/>
        <v>46204</v>
      </c>
      <c r="H43" s="235">
        <f t="shared" si="22"/>
        <v>46235</v>
      </c>
      <c r="I43" s="235">
        <f t="shared" si="22"/>
        <v>46266</v>
      </c>
      <c r="J43" s="235">
        <f t="shared" si="22"/>
        <v>46296</v>
      </c>
      <c r="K43" s="235">
        <f t="shared" si="22"/>
        <v>46327</v>
      </c>
      <c r="L43" s="235">
        <f t="shared" si="22"/>
        <v>46357</v>
      </c>
      <c r="M43" s="235">
        <f t="shared" si="22"/>
        <v>46388</v>
      </c>
      <c r="N43" s="235">
        <f t="shared" si="22"/>
        <v>46419</v>
      </c>
      <c r="O43" s="235">
        <f t="shared" si="22"/>
        <v>46447</v>
      </c>
      <c r="P43" s="235" t="str">
        <f t="shared" si="22"/>
        <v>FY 2026-27</v>
      </c>
      <c r="Q43" s="250"/>
    </row>
    <row r="44" spans="3:17" x14ac:dyDescent="0.35">
      <c r="C44" s="238" t="s">
        <v>281</v>
      </c>
      <c r="D44" s="269">
        <f t="shared" ref="D44:O44" si="23">IFERROR(((D6/C6)-1),0)</f>
        <v>0</v>
      </c>
      <c r="E44" s="270">
        <f t="shared" si="23"/>
        <v>0.85134987832723086</v>
      </c>
      <c r="F44" s="269">
        <f t="shared" si="23"/>
        <v>-1.6467442068830107E-2</v>
      </c>
      <c r="G44" s="269">
        <f t="shared" si="23"/>
        <v>-1</v>
      </c>
      <c r="H44" s="270">
        <f t="shared" si="23"/>
        <v>0</v>
      </c>
      <c r="I44" s="269">
        <f t="shared" si="23"/>
        <v>0</v>
      </c>
      <c r="J44" s="269">
        <f t="shared" si="23"/>
        <v>0</v>
      </c>
      <c r="K44" s="270">
        <f t="shared" si="23"/>
        <v>0</v>
      </c>
      <c r="L44" s="269">
        <f t="shared" si="23"/>
        <v>0</v>
      </c>
      <c r="M44" s="270">
        <f t="shared" si="23"/>
        <v>0</v>
      </c>
      <c r="N44" s="269">
        <f t="shared" si="23"/>
        <v>0</v>
      </c>
      <c r="O44" s="270">
        <f t="shared" si="23"/>
        <v>0</v>
      </c>
      <c r="P44" s="253">
        <v>0</v>
      </c>
      <c r="Q44" s="250"/>
    </row>
    <row r="45" spans="3:17" x14ac:dyDescent="0.35">
      <c r="C45" s="238" t="s">
        <v>282</v>
      </c>
      <c r="D45" s="269">
        <f t="shared" ref="D45:O45" si="24">IFERROR(((D5/C5)-1),0)</f>
        <v>0</v>
      </c>
      <c r="E45" s="270">
        <f t="shared" si="24"/>
        <v>0.57281043791241726</v>
      </c>
      <c r="F45" s="269">
        <f t="shared" si="24"/>
        <v>-0.24867699642431462</v>
      </c>
      <c r="G45" s="269">
        <f t="shared" si="24"/>
        <v>-1</v>
      </c>
      <c r="H45" s="270">
        <f t="shared" si="24"/>
        <v>0</v>
      </c>
      <c r="I45" s="269">
        <f t="shared" si="24"/>
        <v>0</v>
      </c>
      <c r="J45" s="269">
        <f t="shared" si="24"/>
        <v>0</v>
      </c>
      <c r="K45" s="270">
        <f t="shared" si="24"/>
        <v>0</v>
      </c>
      <c r="L45" s="269">
        <f t="shared" si="24"/>
        <v>0</v>
      </c>
      <c r="M45" s="270">
        <f t="shared" si="24"/>
        <v>0</v>
      </c>
      <c r="N45" s="269">
        <f t="shared" si="24"/>
        <v>0</v>
      </c>
      <c r="O45" s="270">
        <f t="shared" si="24"/>
        <v>0</v>
      </c>
      <c r="P45" s="253">
        <v>0</v>
      </c>
    </row>
    <row r="46" spans="3:17" ht="16" thickBot="1" x14ac:dyDescent="0.4">
      <c r="C46" s="271" t="s">
        <v>283</v>
      </c>
      <c r="D46" s="272">
        <f>IFERROR(((D19/C19)-1),0)</f>
        <v>0</v>
      </c>
      <c r="E46" s="273">
        <f>IFERROR(((E19/D19)-1),0)</f>
        <v>0.83333333333333326</v>
      </c>
      <c r="F46" s="272">
        <f>IFERROR(((F19/E19)-1),0)</f>
        <v>-0.27272727272727271</v>
      </c>
      <c r="G46" s="272">
        <f>IFERROR(((G19/F19)-1),0)</f>
        <v>-1</v>
      </c>
      <c r="H46" s="273">
        <f>IFERROR(((#REF!/G19)-1),0)</f>
        <v>0</v>
      </c>
      <c r="I46" s="272">
        <f>IFERROR(((I19/#REF!)-1),0)</f>
        <v>0</v>
      </c>
      <c r="J46" s="272">
        <f t="shared" ref="J46:O46" si="25">IFERROR(((J19/I19)-1),0)</f>
        <v>0</v>
      </c>
      <c r="K46" s="273">
        <f t="shared" si="25"/>
        <v>0</v>
      </c>
      <c r="L46" s="272">
        <f t="shared" si="25"/>
        <v>0</v>
      </c>
      <c r="M46" s="273">
        <f t="shared" si="25"/>
        <v>0</v>
      </c>
      <c r="N46" s="272">
        <f t="shared" si="25"/>
        <v>0</v>
      </c>
      <c r="O46" s="273">
        <f t="shared" si="25"/>
        <v>0</v>
      </c>
      <c r="P46" s="274">
        <v>0</v>
      </c>
    </row>
    <row r="47" spans="3:17" ht="16" thickBot="1" x14ac:dyDescent="0.4">
      <c r="C47" s="231"/>
    </row>
    <row r="48" spans="3:17" x14ac:dyDescent="0.35">
      <c r="C48" s="234" t="s">
        <v>141</v>
      </c>
      <c r="D48" s="235">
        <f>D43</f>
        <v>46113</v>
      </c>
      <c r="E48" s="235">
        <f t="shared" ref="E48:P48" si="26">E43</f>
        <v>46143</v>
      </c>
      <c r="F48" s="235">
        <f t="shared" si="26"/>
        <v>46174</v>
      </c>
      <c r="G48" s="235">
        <f t="shared" si="26"/>
        <v>46204</v>
      </c>
      <c r="H48" s="235">
        <f t="shared" si="26"/>
        <v>46235</v>
      </c>
      <c r="I48" s="235">
        <f t="shared" si="26"/>
        <v>46266</v>
      </c>
      <c r="J48" s="235">
        <f t="shared" si="26"/>
        <v>46296</v>
      </c>
      <c r="K48" s="235">
        <f t="shared" si="26"/>
        <v>46327</v>
      </c>
      <c r="L48" s="235">
        <f t="shared" si="26"/>
        <v>46357</v>
      </c>
      <c r="M48" s="235">
        <f t="shared" si="26"/>
        <v>46388</v>
      </c>
      <c r="N48" s="235">
        <f t="shared" si="26"/>
        <v>46419</v>
      </c>
      <c r="O48" s="235">
        <f t="shared" si="26"/>
        <v>46447</v>
      </c>
      <c r="P48" s="235" t="str">
        <f t="shared" si="26"/>
        <v>FY 2026-27</v>
      </c>
    </row>
    <row r="49" spans="3:18" x14ac:dyDescent="0.35">
      <c r="C49" s="238" t="s">
        <v>284</v>
      </c>
      <c r="D49" s="253">
        <v>0</v>
      </c>
      <c r="E49" s="254">
        <v>0</v>
      </c>
      <c r="F49" s="253">
        <v>0</v>
      </c>
      <c r="G49" s="253">
        <v>0</v>
      </c>
      <c r="H49" s="254">
        <v>0</v>
      </c>
      <c r="I49" s="253">
        <v>0</v>
      </c>
      <c r="J49" s="253">
        <v>0</v>
      </c>
      <c r="K49" s="254">
        <v>0</v>
      </c>
      <c r="L49" s="253">
        <v>0</v>
      </c>
      <c r="M49" s="253">
        <v>0</v>
      </c>
      <c r="N49" s="254">
        <v>0</v>
      </c>
      <c r="O49" s="253">
        <v>0</v>
      </c>
      <c r="P49" s="275">
        <f>SUM(D49:O49)</f>
        <v>0</v>
      </c>
    </row>
    <row r="50" spans="3:18" x14ac:dyDescent="0.35">
      <c r="C50" s="238" t="s">
        <v>285</v>
      </c>
      <c r="D50" s="253">
        <v>0</v>
      </c>
      <c r="E50" s="254">
        <v>0</v>
      </c>
      <c r="F50" s="253">
        <v>0</v>
      </c>
      <c r="G50" s="253">
        <v>0</v>
      </c>
      <c r="H50" s="254">
        <v>0</v>
      </c>
      <c r="I50" s="253">
        <v>0</v>
      </c>
      <c r="J50" s="253">
        <v>0</v>
      </c>
      <c r="K50" s="254">
        <v>0</v>
      </c>
      <c r="L50" s="253">
        <v>0</v>
      </c>
      <c r="M50" s="253">
        <v>0</v>
      </c>
      <c r="N50" s="254">
        <v>0</v>
      </c>
      <c r="O50" s="253">
        <v>0</v>
      </c>
      <c r="P50" s="253">
        <f>SUM(D50:O50)</f>
        <v>0</v>
      </c>
    </row>
    <row r="51" spans="3:18" x14ac:dyDescent="0.35">
      <c r="C51" s="238" t="s">
        <v>67</v>
      </c>
      <c r="D51" s="253">
        <v>0</v>
      </c>
      <c r="E51" s="254">
        <v>0</v>
      </c>
      <c r="F51" s="253">
        <v>0</v>
      </c>
      <c r="G51" s="253">
        <v>0</v>
      </c>
      <c r="H51" s="254">
        <v>0</v>
      </c>
      <c r="I51" s="253">
        <v>0</v>
      </c>
      <c r="J51" s="253">
        <v>0</v>
      </c>
      <c r="K51" s="254">
        <v>0</v>
      </c>
      <c r="L51" s="253">
        <v>0</v>
      </c>
      <c r="M51" s="253">
        <v>0</v>
      </c>
      <c r="N51" s="254">
        <v>0</v>
      </c>
      <c r="O51" s="253">
        <v>0</v>
      </c>
      <c r="P51" s="253">
        <f>SUM(D51:O51)</f>
        <v>0</v>
      </c>
    </row>
    <row r="52" spans="3:18" x14ac:dyDescent="0.35">
      <c r="C52" s="238" t="s">
        <v>68</v>
      </c>
      <c r="D52" s="276">
        <f>IFERROR(D51/D19,0)</f>
        <v>0</v>
      </c>
      <c r="E52" s="277">
        <f>IFERROR(E51/E19,0)</f>
        <v>0</v>
      </c>
      <c r="F52" s="276">
        <f>IFERROR(F51/F19,0)</f>
        <v>0</v>
      </c>
      <c r="G52" s="276">
        <f>IFERROR(G51/G19,0)</f>
        <v>0</v>
      </c>
      <c r="H52" s="277">
        <f>IFERROR(H51/#REF!,0)</f>
        <v>0</v>
      </c>
      <c r="I52" s="276">
        <f t="shared" ref="I52:P52" si="27">IFERROR(I51/I19,0)</f>
        <v>0</v>
      </c>
      <c r="J52" s="276">
        <f t="shared" si="27"/>
        <v>0</v>
      </c>
      <c r="K52" s="277">
        <f t="shared" si="27"/>
        <v>0</v>
      </c>
      <c r="L52" s="276">
        <f t="shared" si="27"/>
        <v>0</v>
      </c>
      <c r="M52" s="276">
        <f t="shared" si="27"/>
        <v>0</v>
      </c>
      <c r="N52" s="277">
        <f t="shared" si="27"/>
        <v>0</v>
      </c>
      <c r="O52" s="276">
        <f t="shared" si="27"/>
        <v>0</v>
      </c>
      <c r="P52" s="276">
        <f t="shared" si="27"/>
        <v>0</v>
      </c>
    </row>
    <row r="53" spans="3:18" ht="16" thickBot="1" x14ac:dyDescent="0.4">
      <c r="C53" s="271" t="s">
        <v>70</v>
      </c>
      <c r="D53" s="274">
        <v>0</v>
      </c>
      <c r="E53" s="278">
        <v>0</v>
      </c>
      <c r="F53" s="274">
        <v>0</v>
      </c>
      <c r="G53" s="274">
        <v>0</v>
      </c>
      <c r="H53" s="278">
        <v>0</v>
      </c>
      <c r="I53" s="274">
        <v>0</v>
      </c>
      <c r="J53" s="274">
        <v>0</v>
      </c>
      <c r="K53" s="278">
        <v>0</v>
      </c>
      <c r="L53" s="274">
        <v>0</v>
      </c>
      <c r="M53" s="274">
        <v>0</v>
      </c>
      <c r="N53" s="278">
        <v>0</v>
      </c>
      <c r="O53" s="274">
        <v>0</v>
      </c>
      <c r="P53" s="274">
        <f>SUM(D53:O53)</f>
        <v>0</v>
      </c>
      <c r="Q53" s="247"/>
    </row>
    <row r="54" spans="3:18" ht="16" thickBot="1" x14ac:dyDescent="0.4">
      <c r="C54" s="231"/>
      <c r="Q54" s="279"/>
    </row>
    <row r="55" spans="3:18" x14ac:dyDescent="0.35">
      <c r="C55" s="261" t="s">
        <v>136</v>
      </c>
      <c r="D55" s="235">
        <f>D48</f>
        <v>46113</v>
      </c>
      <c r="E55" s="235">
        <f t="shared" ref="E55:P55" si="28">E48</f>
        <v>46143</v>
      </c>
      <c r="F55" s="235">
        <f t="shared" si="28"/>
        <v>46174</v>
      </c>
      <c r="G55" s="235">
        <f t="shared" si="28"/>
        <v>46204</v>
      </c>
      <c r="H55" s="235">
        <f t="shared" si="28"/>
        <v>46235</v>
      </c>
      <c r="I55" s="235">
        <f t="shared" si="28"/>
        <v>46266</v>
      </c>
      <c r="J55" s="235">
        <f t="shared" si="28"/>
        <v>46296</v>
      </c>
      <c r="K55" s="235">
        <f t="shared" si="28"/>
        <v>46327</v>
      </c>
      <c r="L55" s="235">
        <f t="shared" si="28"/>
        <v>46357</v>
      </c>
      <c r="M55" s="235">
        <f t="shared" si="28"/>
        <v>46388</v>
      </c>
      <c r="N55" s="235">
        <f t="shared" si="28"/>
        <v>46419</v>
      </c>
      <c r="O55" s="235">
        <f t="shared" si="28"/>
        <v>46447</v>
      </c>
      <c r="P55" s="235" t="str">
        <f t="shared" si="28"/>
        <v>FY 2026-27</v>
      </c>
      <c r="Q55" s="335">
        <f>ROUND(Q56-Q57,2)-ROUND(P40-P12,2)</f>
        <v>-3318114.91</v>
      </c>
    </row>
    <row r="56" spans="3:18" x14ac:dyDescent="0.35">
      <c r="C56" s="262" t="s">
        <v>107</v>
      </c>
      <c r="D56" s="280">
        <f>-SUMIFS(Details!$AL$4:$AL$78,Details!$C$4:$C$78,Summary!D55)</f>
        <v>0</v>
      </c>
      <c r="E56" s="280">
        <f>-SUMIFS(Details!$AL$4:$AL$78,Details!$C$4:$C$78,Summary!E55)</f>
        <v>0</v>
      </c>
      <c r="F56" s="280">
        <f>-SUMIFS(Details!$AL$4:$AL$78,Details!$C$4:$C$78,Summary!F55)</f>
        <v>0</v>
      </c>
      <c r="G56" s="280">
        <f>-SUMIFS(Details!$AL$4:$AL$78,Details!$C$4:$C$78,Summary!G55)</f>
        <v>0</v>
      </c>
      <c r="H56" s="280">
        <f>-SUMIFS(Details!$AL$4:$AL$78,Details!$C$4:$C$78,Summary!H55)</f>
        <v>0</v>
      </c>
      <c r="I56" s="280">
        <f>-SUMIFS(Details!$AL$4:$AL$78,Details!$C$4:$C$78,Summary!I55)</f>
        <v>0</v>
      </c>
      <c r="J56" s="280">
        <f>-SUMIFS(Details!$AL$4:$AL$78,Details!$C$4:$C$78,Summary!J55)</f>
        <v>0</v>
      </c>
      <c r="K56" s="280">
        <f>-SUMIFS(Details!$AL$4:$AL$78,Details!$C$4:$C$78,Summary!K55)</f>
        <v>0</v>
      </c>
      <c r="L56" s="280">
        <f>-SUMIFS(Details!$AL$4:$AL$78,Details!$C$4:$C$78,Summary!L55)</f>
        <v>0</v>
      </c>
      <c r="M56" s="280">
        <f>-SUMIFS(Details!$AL$4:$AL$78,Details!$C$4:$C$78,Summary!M55)</f>
        <v>0</v>
      </c>
      <c r="N56" s="280">
        <f>-SUMIFS(Details!$AL$4:$AL$78,Details!$C$4:$C$78,Summary!N55)</f>
        <v>0</v>
      </c>
      <c r="O56" s="280">
        <f>-SUMIFS(Details!$AL$4:$AL$78,Details!$C$4:$C$78,Summary!O55)</f>
        <v>0</v>
      </c>
      <c r="P56" s="281">
        <f>SUM(D56:O56)</f>
        <v>0</v>
      </c>
      <c r="Q56" s="282">
        <f>Details!AL79</f>
        <v>0</v>
      </c>
      <c r="R56" s="232">
        <f>Q56+P56</f>
        <v>0</v>
      </c>
    </row>
    <row r="57" spans="3:18" ht="16" thickBot="1" x14ac:dyDescent="0.4">
      <c r="C57" s="266" t="s">
        <v>108</v>
      </c>
      <c r="D57" s="283">
        <f>-SUMIFS(Details!$BN$4:$BN$78,Details!$C$4:$C$78,Summary!D55)</f>
        <v>11061.250000000002</v>
      </c>
      <c r="E57" s="283">
        <f>-SUMIFS(Details!$BN$4:$BN$78,Details!$C$4:$C$78,Summary!E55)</f>
        <v>138973.875</v>
      </c>
      <c r="F57" s="283">
        <f>-SUMIFS(Details!$BN$4:$BN$78,Details!$C$4:$C$78,Summary!F55)</f>
        <v>149244.75</v>
      </c>
      <c r="G57" s="283">
        <f>-SUMIFS(Details!$BN$4:$BN$78,Details!$C$4:$C$78,Summary!G55)</f>
        <v>0</v>
      </c>
      <c r="H57" s="283">
        <f>-SUMIFS(Details!$BN$4:$BN$78,Details!$C$4:$C$78,Summary!H55)</f>
        <v>0</v>
      </c>
      <c r="I57" s="283">
        <f>-SUMIFS(Details!$BN$4:$BN$78,Details!$C$4:$C$78,Summary!I55)</f>
        <v>0</v>
      </c>
      <c r="J57" s="283">
        <f>-SUMIFS(Details!$BN$4:$BN$78,Details!$C$4:$C$78,Summary!J55)</f>
        <v>0</v>
      </c>
      <c r="K57" s="283">
        <f>-SUMIFS(Details!$BN$4:$BN$78,Details!$C$4:$C$78,Summary!K55)</f>
        <v>0</v>
      </c>
      <c r="L57" s="283">
        <f>-SUMIFS(Details!$BN$4:$BN$78,Details!$C$4:$C$78,Summary!L55)</f>
        <v>0</v>
      </c>
      <c r="M57" s="283">
        <f>-SUMIFS(Details!$BN$4:$BN$78,Details!$C$4:$C$78,Summary!M55)</f>
        <v>0</v>
      </c>
      <c r="N57" s="283">
        <f>-SUMIFS(Details!$BN$4:$BN$78,Details!$C$4:$C$78,Summary!N55)</f>
        <v>0</v>
      </c>
      <c r="O57" s="283">
        <f>-SUMIFS(Details!$BN$4:$BN$78,Details!$C$4:$C$78,Summary!O55)</f>
        <v>0</v>
      </c>
      <c r="P57" s="284">
        <f>SUM(D57:O57)</f>
        <v>299279.875</v>
      </c>
      <c r="Q57" s="282">
        <f>Details!BN79</f>
        <v>-299279.875</v>
      </c>
      <c r="R57" s="232">
        <f>Q57+P57</f>
        <v>0</v>
      </c>
    </row>
    <row r="58" spans="3:18" ht="16" thickBot="1" x14ac:dyDescent="0.4">
      <c r="C58" s="231"/>
      <c r="D58" s="279"/>
      <c r="E58" s="279"/>
    </row>
    <row r="59" spans="3:18" x14ac:dyDescent="0.35">
      <c r="C59" s="236" t="s">
        <v>166</v>
      </c>
      <c r="D59" s="236">
        <f t="shared" ref="D59:P59" si="29">D55</f>
        <v>46113</v>
      </c>
      <c r="E59" s="236">
        <f t="shared" si="29"/>
        <v>46143</v>
      </c>
      <c r="F59" s="236">
        <f t="shared" si="29"/>
        <v>46174</v>
      </c>
      <c r="G59" s="236">
        <f t="shared" si="29"/>
        <v>46204</v>
      </c>
      <c r="H59" s="236">
        <f t="shared" si="29"/>
        <v>46235</v>
      </c>
      <c r="I59" s="236">
        <f t="shared" si="29"/>
        <v>46266</v>
      </c>
      <c r="J59" s="236">
        <f t="shared" si="29"/>
        <v>46296</v>
      </c>
      <c r="K59" s="236">
        <f t="shared" si="29"/>
        <v>46327</v>
      </c>
      <c r="L59" s="236">
        <f t="shared" si="29"/>
        <v>46357</v>
      </c>
      <c r="M59" s="236">
        <f t="shared" si="29"/>
        <v>46388</v>
      </c>
      <c r="N59" s="236">
        <f t="shared" si="29"/>
        <v>46419</v>
      </c>
      <c r="O59" s="236">
        <f t="shared" si="29"/>
        <v>46447</v>
      </c>
      <c r="P59" s="236" t="str">
        <f t="shared" si="29"/>
        <v>FY 2026-27</v>
      </c>
    </row>
    <row r="60" spans="3:18" ht="16" thickBot="1" x14ac:dyDescent="0.4">
      <c r="C60" s="286"/>
      <c r="D60" s="287">
        <f>SUMIFS(Details!$R$5:$R$78,Details!$C$5:$C$78,Summary!D59)/1000</f>
        <v>0</v>
      </c>
      <c r="E60" s="285">
        <f>SUMIFS(Details!$R$5:$R$78,Details!$C$5:$C$78,Summary!E59)/1000</f>
        <v>0</v>
      </c>
      <c r="F60" s="287">
        <f>SUMIFS(Details!$R$5:$R$78,Details!$C$5:$C$78,Summary!F59)/1000</f>
        <v>0</v>
      </c>
      <c r="G60" s="285">
        <f>SUMIFS(Details!$R$5:$R$78,Details!$C$5:$C$78,Summary!G59)/1000</f>
        <v>0</v>
      </c>
      <c r="H60" s="287">
        <f>SUMIFS(Details!$R$5:$R$78,Details!$C$5:$C$78,Summary!H59)/1000</f>
        <v>0</v>
      </c>
      <c r="I60" s="285">
        <f>SUMIFS(Details!$R$5:$R$78,Details!$C$5:$C$78,Summary!I59)/1000</f>
        <v>0</v>
      </c>
      <c r="J60" s="287">
        <f>SUMIFS(Details!$R$5:$R$78,Details!$C$5:$C$78,Summary!J59)/1000</f>
        <v>0</v>
      </c>
      <c r="K60" s="285">
        <f>SUMIFS(Details!$R$5:$R$78,Details!$C$5:$C$78,Summary!K59)/1000</f>
        <v>0</v>
      </c>
      <c r="L60" s="287">
        <f>SUMIFS(Details!$R$5:$R$78,Details!$C$5:$C$78,Summary!L59)/1000</f>
        <v>0</v>
      </c>
      <c r="M60" s="285">
        <f>SUMIFS(Details!$R$5:$R$78,Details!$C$5:$C$78,Summary!M59)/1000</f>
        <v>0</v>
      </c>
      <c r="N60" s="287">
        <f>SUMIFS(Details!$R$5:$R$78,Details!$C$5:$C$78,Summary!N59)/1000</f>
        <v>0</v>
      </c>
      <c r="O60" s="285">
        <f>SUMIFS(Details!$R$5:$R$78,Details!$C$5:$C$78,Summary!O59)/1000</f>
        <v>0</v>
      </c>
      <c r="P60" s="288">
        <f>SUM(D60:O60)</f>
        <v>0</v>
      </c>
    </row>
    <row r="61" spans="3:18" ht="16" thickBot="1" x14ac:dyDescent="0.4">
      <c r="C61" s="231"/>
      <c r="R61" s="231"/>
    </row>
    <row r="62" spans="3:18" ht="16" thickBot="1" x14ac:dyDescent="0.4">
      <c r="C62" s="237" t="s">
        <v>278</v>
      </c>
      <c r="D62" s="235">
        <v>45748</v>
      </c>
      <c r="E62" s="235">
        <v>45778</v>
      </c>
      <c r="F62" s="235">
        <v>45809</v>
      </c>
      <c r="G62" s="235">
        <v>45839</v>
      </c>
      <c r="H62" s="235">
        <v>45870</v>
      </c>
      <c r="I62" s="235">
        <v>45901</v>
      </c>
      <c r="J62" s="235">
        <v>45931</v>
      </c>
      <c r="K62" s="235">
        <v>45962</v>
      </c>
      <c r="L62" s="235">
        <v>45992</v>
      </c>
      <c r="M62" s="235">
        <v>46023</v>
      </c>
      <c r="N62" s="235">
        <v>46054</v>
      </c>
      <c r="O62" s="235">
        <v>46082</v>
      </c>
      <c r="P62" s="235" t="s">
        <v>175</v>
      </c>
    </row>
    <row r="63" spans="3:18" x14ac:dyDescent="0.35">
      <c r="C63" s="301" t="s">
        <v>182</v>
      </c>
      <c r="D63" s="301">
        <f>SUMIFS(Details!$CL$5:$CL$78,Details!$C$5:$C$78,Summary!D$62)</f>
        <v>0</v>
      </c>
      <c r="E63" s="301">
        <f>SUMIFS(Details!$CL$5:$CL$78,Details!$C$5:$C$78,Summary!E$62)</f>
        <v>0</v>
      </c>
      <c r="F63" s="301">
        <f>SUMIFS(Details!$CL$5:$CL$78,Details!$C$5:$C$78,Summary!F$62)</f>
        <v>0</v>
      </c>
      <c r="G63" s="301">
        <f>SUMIFS(Details!$CL$5:$CL$78,Details!$C$5:$C$78,Summary!G$62)</f>
        <v>0</v>
      </c>
      <c r="H63" s="301">
        <f>SUMIFS(Details!$CL$5:$CL$78,Details!$C$5:$C$78,Summary!H$62)</f>
        <v>0</v>
      </c>
      <c r="I63" s="301">
        <f>SUMIFS(Details!$CL$5:$CL$78,Details!$C$5:$C$78,Summary!I$62)</f>
        <v>0</v>
      </c>
      <c r="J63" s="301">
        <f>SUMIFS(Details!$CL$5:$CL$78,Details!$C$5:$C$78,Summary!J$62)</f>
        <v>0</v>
      </c>
      <c r="K63" s="301">
        <f>SUMIFS(Details!$CL$5:$CL$78,Details!$C$5:$C$78,Summary!K$62)</f>
        <v>0</v>
      </c>
      <c r="L63" s="301">
        <f>SUMIFS(Details!$CL$5:$CL$78,Details!$C$5:$C$78,Summary!L$62)</f>
        <v>0</v>
      </c>
      <c r="M63" s="301">
        <f>SUMIFS(Details!$CL$5:$CL$78,Details!$C$5:$C$78,Summary!M$62)</f>
        <v>0</v>
      </c>
      <c r="N63" s="301">
        <f>SUMIFS(Details!$CL$5:$CL$78,Details!$C$5:$C$78,Summary!N$62)</f>
        <v>0</v>
      </c>
      <c r="O63" s="301">
        <f>SUMIFS(Details!$CL$5:$CL$78,Details!$C$5:$C$78,Summary!O$62)</f>
        <v>0</v>
      </c>
      <c r="P63" s="302">
        <f>SUM(D63:O63)</f>
        <v>0</v>
      </c>
    </row>
    <row r="64" spans="3:18" x14ac:dyDescent="0.35">
      <c r="C64" s="303" t="s">
        <v>183</v>
      </c>
      <c r="D64" s="303">
        <f>SUMIFS(Details!$CM$5:$CM$78,Details!$C$5:$C$78,Summary!D$62)</f>
        <v>0</v>
      </c>
      <c r="E64" s="303">
        <f>SUMIFS(Details!$CM$5:$CM$78,Details!$C$5:$C$78,Summary!E$62)</f>
        <v>0</v>
      </c>
      <c r="F64" s="303">
        <f>SUMIFS(Details!$CM$5:$CM$78,Details!$C$5:$C$78,Summary!F$62)</f>
        <v>0</v>
      </c>
      <c r="G64" s="303">
        <f>SUMIFS(Details!$CM$5:$CM$78,Details!$C$5:$C$78,Summary!G$62)</f>
        <v>0</v>
      </c>
      <c r="H64" s="303">
        <f>SUMIFS(Details!$CM$5:$CM$78,Details!$C$5:$C$78,Summary!H$62)</f>
        <v>0</v>
      </c>
      <c r="I64" s="303">
        <f>SUMIFS(Details!$CM$5:$CM$78,Details!$C$5:$C$78,Summary!I$62)</f>
        <v>0</v>
      </c>
      <c r="J64" s="303">
        <f>SUMIFS(Details!$CM$5:$CM$78,Details!$C$5:$C$78,Summary!J$62)</f>
        <v>0</v>
      </c>
      <c r="K64" s="303">
        <f>SUMIFS(Details!$CM$5:$CM$78,Details!$C$5:$C$78,Summary!K$62)</f>
        <v>0</v>
      </c>
      <c r="L64" s="303">
        <f>SUMIFS(Details!$CM$5:$CM$78,Details!$C$5:$C$78,Summary!L$62)</f>
        <v>0</v>
      </c>
      <c r="M64" s="303">
        <f>SUMIFS(Details!$CM$5:$CM$78,Details!$C$5:$C$78,Summary!M$62)</f>
        <v>0</v>
      </c>
      <c r="N64" s="303">
        <f>SUMIFS(Details!$CM$5:$CM$78,Details!$C$5:$C$78,Summary!N$62)</f>
        <v>0</v>
      </c>
      <c r="O64" s="303">
        <f>SUMIFS(Details!$CM$5:$CM$78,Details!$C$5:$C$78,Summary!O$62)</f>
        <v>0</v>
      </c>
      <c r="P64" s="239">
        <f t="shared" ref="P64:P65" si="30">SUM(D64:O64)</f>
        <v>0</v>
      </c>
    </row>
    <row r="65" spans="3:16" ht="16" thickBot="1" x14ac:dyDescent="0.4">
      <c r="C65" s="304" t="s">
        <v>184</v>
      </c>
      <c r="D65" s="304">
        <f>SUMIFS(Details!$CN$5:$CN$78,Details!$C$5:$C$78,Summary!D$62)</f>
        <v>0</v>
      </c>
      <c r="E65" s="304">
        <f>SUMIFS(Details!$CN$5:$CN$78,Details!$C$5:$C$78,Summary!E$62)</f>
        <v>0</v>
      </c>
      <c r="F65" s="304">
        <f>SUMIFS(Details!$CN$5:$CN$78,Details!$C$5:$C$78,Summary!F$62)</f>
        <v>0</v>
      </c>
      <c r="G65" s="304">
        <f>SUMIFS(Details!$CN$5:$CN$78,Details!$C$5:$C$78,Summary!G$62)</f>
        <v>0</v>
      </c>
      <c r="H65" s="304">
        <f>SUMIFS(Details!$CN$5:$CN$78,Details!$C$5:$C$78,Summary!H$62)</f>
        <v>0</v>
      </c>
      <c r="I65" s="304">
        <f>SUMIFS(Details!$CN$5:$CN$78,Details!$C$5:$C$78,Summary!I$62)</f>
        <v>0</v>
      </c>
      <c r="J65" s="304">
        <f>SUMIFS(Details!$CN$5:$CN$78,Details!$C$5:$C$78,Summary!J$62)</f>
        <v>0</v>
      </c>
      <c r="K65" s="304">
        <f>SUMIFS(Details!$CN$5:$CN$78,Details!$C$5:$C$78,Summary!K$62)</f>
        <v>0</v>
      </c>
      <c r="L65" s="304">
        <f>SUMIFS(Details!$CN$5:$CN$78,Details!$C$5:$C$78,Summary!L$62)</f>
        <v>0</v>
      </c>
      <c r="M65" s="304">
        <f>SUMIFS(Details!$CN$5:$CN$78,Details!$C$5:$C$78,Summary!M$62)</f>
        <v>0</v>
      </c>
      <c r="N65" s="304">
        <f>SUMIFS(Details!$CN$5:$CN$78,Details!$C$5:$C$78,Summary!N$62)</f>
        <v>0</v>
      </c>
      <c r="O65" s="304">
        <f>SUMIFS(Details!$CN$5:$CN$78,Details!$C$5:$C$78,Summary!O$62)</f>
        <v>0</v>
      </c>
      <c r="P65" s="305">
        <f t="shared" si="30"/>
        <v>0</v>
      </c>
    </row>
    <row r="66" spans="3:16" ht="16" thickBot="1" x14ac:dyDescent="0.4">
      <c r="C66" s="231"/>
      <c r="D66" s="279"/>
      <c r="E66" s="279"/>
    </row>
    <row r="67" spans="3:16" x14ac:dyDescent="0.35">
      <c r="C67" s="306" t="s">
        <v>279</v>
      </c>
      <c r="D67" s="236" t="s">
        <v>1</v>
      </c>
      <c r="E67" s="307" t="s">
        <v>2</v>
      </c>
      <c r="G67" s="232"/>
    </row>
    <row r="68" spans="3:16" x14ac:dyDescent="0.35">
      <c r="C68" s="308">
        <f>Details!P91</f>
        <v>46194</v>
      </c>
      <c r="D68" s="309">
        <f>SUMIFS(Details!$BO$5:$BO$78,Details!$D$5:$D$78,Summary!C68)*118%</f>
        <v>652529.08499999996</v>
      </c>
      <c r="E68" s="311">
        <f>SUMIFS(Details!$AM$5:$AM$78,Details!$D$5:$D$78,Summary!C68)*118%</f>
        <v>522132.3</v>
      </c>
      <c r="G68" s="232"/>
    </row>
    <row r="69" spans="3:16" x14ac:dyDescent="0.35">
      <c r="C69" s="238" t="str">
        <f>TEXT(C68,"mmm-yy")</f>
        <v>Jun-26</v>
      </c>
      <c r="D69" s="309">
        <f>SUMIFS(Details!$BO$5:$BO$78,Details!$C$5:$C$78,Summary!C69)*118%</f>
        <v>6868243.3949999996</v>
      </c>
      <c r="E69" s="311">
        <f>SUMIFS(Details!$AM$5:$AM$78,Details!$C$5:$C$78,Summary!C69)*118%</f>
        <v>5230934.0999999996</v>
      </c>
      <c r="G69" s="232"/>
    </row>
    <row r="70" spans="3:16" ht="16" thickBot="1" x14ac:dyDescent="0.4">
      <c r="C70" s="271" t="s">
        <v>280</v>
      </c>
      <c r="D70" s="310">
        <f>Details!BO79*118%</f>
        <v>17658031.158300001</v>
      </c>
      <c r="E70" s="312">
        <f>Details!AM79*118%</f>
        <v>13952644.5</v>
      </c>
      <c r="G70" s="232"/>
    </row>
    <row r="71" spans="3:16" x14ac:dyDescent="0.35">
      <c r="D71" s="279"/>
      <c r="E71" s="279"/>
    </row>
    <row r="72" spans="3:16" x14ac:dyDescent="0.35">
      <c r="D72" s="279"/>
      <c r="E72" s="279"/>
    </row>
    <row r="73" spans="3:16" x14ac:dyDescent="0.35">
      <c r="D73" s="279"/>
      <c r="E73" s="279"/>
    </row>
    <row r="74" spans="3:16" x14ac:dyDescent="0.35">
      <c r="D74" s="279"/>
      <c r="E74" s="279"/>
    </row>
    <row r="75" spans="3:16" x14ac:dyDescent="0.35">
      <c r="D75" s="279"/>
      <c r="E75" s="279"/>
    </row>
    <row r="76" spans="3:16" x14ac:dyDescent="0.35">
      <c r="D76" s="279"/>
      <c r="E76" s="279"/>
    </row>
    <row r="77" spans="3:16" x14ac:dyDescent="0.35">
      <c r="D77" s="279"/>
      <c r="E77" s="279"/>
    </row>
    <row r="78" spans="3:16" x14ac:dyDescent="0.35">
      <c r="D78" s="279"/>
      <c r="E78" s="279"/>
    </row>
    <row r="79" spans="3:16" x14ac:dyDescent="0.35">
      <c r="D79" s="279"/>
      <c r="E79" s="279"/>
    </row>
    <row r="80" spans="3:16" x14ac:dyDescent="0.35">
      <c r="D80" s="279"/>
      <c r="E80" s="279"/>
    </row>
    <row r="81" spans="4:5" x14ac:dyDescent="0.35">
      <c r="D81" s="279"/>
      <c r="E81" s="279"/>
    </row>
  </sheetData>
  <phoneticPr fontId="1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2:DB120"/>
  <sheetViews>
    <sheetView showGridLines="0" tabSelected="1" zoomScale="93" zoomScaleNormal="100" workbookViewId="0">
      <pane xSplit="5" ySplit="4" topLeftCell="BH50" activePane="bottomRight" state="frozen"/>
      <selection pane="topRight" activeCell="F1" sqref="F1"/>
      <selection pane="bottomLeft" activeCell="A5" sqref="A5"/>
      <selection pane="bottomRight" activeCell="BH60" sqref="BH60"/>
    </sheetView>
  </sheetViews>
  <sheetFormatPr defaultColWidth="7.90625" defaultRowHeight="10.5" x14ac:dyDescent="0.25"/>
  <cols>
    <col min="1" max="1" width="2.90625" style="86" customWidth="1"/>
    <col min="2" max="2" width="7.81640625" style="86" bestFit="1" customWidth="1"/>
    <col min="3" max="3" width="6.90625" style="86" bestFit="1" customWidth="1"/>
    <col min="4" max="4" width="8.90625" style="86" bestFit="1" customWidth="1"/>
    <col min="5" max="5" width="32.54296875" style="96" bestFit="1" customWidth="1"/>
    <col min="6" max="6" width="30.453125" style="88" bestFit="1" customWidth="1"/>
    <col min="7" max="7" width="15.81640625" style="86" bestFit="1" customWidth="1"/>
    <col min="8" max="8" width="16.54296875" style="88" bestFit="1" customWidth="1"/>
    <col min="9" max="9" width="16.81640625" style="89" bestFit="1" customWidth="1"/>
    <col min="10" max="10" width="15.1796875" style="101" bestFit="1" customWidth="1"/>
    <col min="11" max="11" width="8.90625" style="89" bestFit="1" customWidth="1"/>
    <col min="12" max="12" width="12.08984375" style="106" bestFit="1" customWidth="1"/>
    <col min="13" max="13" width="11.1796875" style="88" bestFit="1" customWidth="1"/>
    <col min="14" max="14" width="30.1796875" style="109" bestFit="1" customWidth="1"/>
    <col min="15" max="15" width="9.90625" style="109" bestFit="1" customWidth="1"/>
    <col min="16" max="16" width="8.90625" style="101" bestFit="1" customWidth="1"/>
    <col min="17" max="17" width="13" style="86" bestFit="1" customWidth="1"/>
    <col min="18" max="18" width="10.1796875" style="86" bestFit="1" customWidth="1"/>
    <col min="19" max="19" width="7.81640625" style="86" bestFit="1" customWidth="1"/>
    <col min="20" max="20" width="16.90625" style="86" bestFit="1" customWidth="1"/>
    <col min="21" max="21" width="22.36328125" style="106" bestFit="1" customWidth="1"/>
    <col min="22" max="22" width="13.1796875" style="92" bestFit="1" customWidth="1"/>
    <col min="23" max="23" width="7" style="92" bestFit="1" customWidth="1"/>
    <col min="24" max="24" width="7.54296875" style="88" bestFit="1" customWidth="1"/>
    <col min="25" max="25" width="11.90625" style="86" bestFit="1" customWidth="1"/>
    <col min="26" max="26" width="22.08984375" style="86" bestFit="1" customWidth="1"/>
    <col min="27" max="27" width="16" style="86" bestFit="1" customWidth="1"/>
    <col min="28" max="28" width="16.54296875" style="86" bestFit="1" customWidth="1"/>
    <col min="29" max="29" width="14.81640625" style="86" bestFit="1" customWidth="1"/>
    <col min="30" max="30" width="8.90625" style="101" bestFit="1" customWidth="1"/>
    <col min="31" max="31" width="16" style="101" bestFit="1" customWidth="1"/>
    <col min="32" max="32" width="16.6328125" style="109" bestFit="1" customWidth="1"/>
    <col min="33" max="33" width="14.90625" style="109" bestFit="1" customWidth="1"/>
    <col min="34" max="34" width="14.81640625" style="88" bestFit="1" customWidth="1"/>
    <col min="35" max="35" width="17.81640625" style="86" bestFit="1" customWidth="1"/>
    <col min="36" max="36" width="13.453125" style="86" bestFit="1" customWidth="1"/>
    <col min="37" max="37" width="15.81640625" style="86" bestFit="1" customWidth="1"/>
    <col min="38" max="38" width="14.453125" style="86" bestFit="1" customWidth="1"/>
    <col min="39" max="39" width="9.453125" style="101" bestFit="1" customWidth="1"/>
    <col min="40" max="40" width="8.90625" style="86" bestFit="1" customWidth="1"/>
    <col min="41" max="41" width="15.6328125" style="86" bestFit="1" customWidth="1"/>
    <col min="42" max="42" width="17.54296875" style="86" bestFit="1" customWidth="1"/>
    <col min="43" max="43" width="37.81640625" style="86" bestFit="1" customWidth="1"/>
    <col min="44" max="44" width="16.81640625" style="112" bestFit="1" customWidth="1"/>
    <col min="45" max="45" width="28.08984375" style="86" bestFit="1" customWidth="1"/>
    <col min="46" max="46" width="19.08984375" style="86" bestFit="1" customWidth="1"/>
    <col min="47" max="47" width="16.54296875" style="86" bestFit="1" customWidth="1"/>
    <col min="48" max="48" width="15.90625" style="86" bestFit="1" customWidth="1"/>
    <col min="49" max="49" width="7.54296875" style="319" bestFit="1" customWidth="1"/>
    <col min="50" max="50" width="15.08984375" style="86" customWidth="1"/>
    <col min="51" max="51" width="19.08984375" style="86" customWidth="1"/>
    <col min="52" max="52" width="9.453125" style="86" bestFit="1" customWidth="1"/>
    <col min="53" max="53" width="10.1796875" style="86" bestFit="1" customWidth="1"/>
    <col min="54" max="54" width="7.81640625" style="86" bestFit="1" customWidth="1"/>
    <col min="55" max="55" width="16" style="86" bestFit="1" customWidth="1"/>
    <col min="56" max="56" width="11.1796875" style="86" bestFit="1" customWidth="1"/>
    <col min="57" max="57" width="16.1796875" style="86" bestFit="1" customWidth="1"/>
    <col min="58" max="58" width="11.1796875" style="86" bestFit="1" customWidth="1"/>
    <col min="59" max="59" width="7.90625" style="86" bestFit="1" customWidth="1"/>
    <col min="60" max="60" width="18.81640625" style="326" bestFit="1" customWidth="1"/>
    <col min="61" max="61" width="12.6328125" style="86" bestFit="1" customWidth="1"/>
    <col min="62" max="62" width="14.90625" style="86" bestFit="1" customWidth="1"/>
    <col min="63" max="63" width="12.6328125" style="86" bestFit="1" customWidth="1"/>
    <col min="64" max="64" width="14.81640625" style="109" bestFit="1" customWidth="1"/>
    <col min="65" max="65" width="16.1796875" style="86" bestFit="1" customWidth="1"/>
    <col min="66" max="66" width="14.1796875" style="86" bestFit="1" customWidth="1"/>
    <col min="67" max="67" width="11.81640625" style="86" bestFit="1" customWidth="1"/>
    <col min="68" max="68" width="12.1796875" style="86" bestFit="1" customWidth="1"/>
    <col min="69" max="69" width="25.36328125" style="88" bestFit="1" customWidth="1"/>
    <col min="70" max="70" width="10.36328125" style="114" bestFit="1" customWidth="1"/>
    <col min="71" max="72" width="21" style="86" bestFit="1" customWidth="1"/>
    <col min="73" max="73" width="11.36328125" style="86" bestFit="1" customWidth="1"/>
    <col min="74" max="74" width="13" style="86" bestFit="1" customWidth="1"/>
    <col min="75" max="75" width="20.36328125" style="86" bestFit="1" customWidth="1"/>
    <col min="76" max="76" width="20.54296875" style="88" bestFit="1" customWidth="1"/>
    <col min="77" max="77" width="6.90625" style="86" bestFit="1" customWidth="1"/>
    <col min="78" max="78" width="9.1796875" style="86" bestFit="1" customWidth="1"/>
    <col min="79" max="79" width="9.453125" style="86" bestFit="1" customWidth="1"/>
    <col min="80" max="80" width="24.81640625" style="96" bestFit="1" customWidth="1"/>
    <col min="81" max="81" width="17.81640625" style="86" bestFit="1" customWidth="1"/>
    <col min="82" max="82" width="12.1796875" style="86" bestFit="1" customWidth="1"/>
    <col min="83" max="85" width="8.6328125" style="86" bestFit="1" customWidth="1"/>
    <col min="86" max="86" width="9.1796875" style="88" bestFit="1" customWidth="1"/>
    <col min="87" max="87" width="17" style="86" bestFit="1" customWidth="1"/>
    <col min="88" max="88" width="13.54296875" style="86" bestFit="1" customWidth="1"/>
    <col min="89" max="89" width="10.453125" style="86" bestFit="1" customWidth="1"/>
    <col min="90" max="90" width="12" style="86" bestFit="1" customWidth="1"/>
    <col min="91" max="91" width="13.54296875" style="86" bestFit="1" customWidth="1"/>
    <col min="92" max="92" width="10.54296875" style="86" bestFit="1" customWidth="1"/>
    <col min="93" max="93" width="8.6328125" style="86" bestFit="1" customWidth="1"/>
    <col min="94" max="94" width="9.453125" style="86" bestFit="1" customWidth="1"/>
    <col min="95" max="95" width="10.81640625" style="86" bestFit="1" customWidth="1"/>
    <col min="96" max="96" width="10.1796875" style="86" bestFit="1" customWidth="1"/>
    <col min="97" max="99" width="11.90625" style="86" bestFit="1" customWidth="1"/>
    <col min="100" max="100" width="13.90625" style="86" bestFit="1" customWidth="1"/>
    <col min="101" max="101" width="15.81640625" style="86" bestFit="1" customWidth="1"/>
    <col min="102" max="102" width="18.1796875" style="86" bestFit="1" customWidth="1"/>
    <col min="103" max="103" width="21.08984375" style="86" bestFit="1" customWidth="1"/>
    <col min="104" max="104" width="12.54296875" style="86" bestFit="1" customWidth="1"/>
    <col min="105" max="105" width="15.81640625" style="86" bestFit="1" customWidth="1"/>
    <col min="106" max="106" width="8" style="86" bestFit="1" customWidth="1"/>
    <col min="107" max="16384" width="7.90625" style="86"/>
  </cols>
  <sheetData>
    <row r="2" spans="2:106" ht="11" thickBot="1" x14ac:dyDescent="0.3">
      <c r="D2" s="87"/>
      <c r="E2" s="88"/>
      <c r="G2" s="88"/>
      <c r="J2" s="88"/>
      <c r="L2" s="88"/>
      <c r="N2" s="88"/>
      <c r="O2" s="88"/>
      <c r="P2" s="88"/>
      <c r="Q2" s="88"/>
      <c r="R2" s="88"/>
      <c r="S2" s="88"/>
      <c r="T2" s="88"/>
      <c r="U2" s="88"/>
      <c r="V2" s="88"/>
      <c r="W2" s="88"/>
      <c r="Y2" s="88"/>
      <c r="Z2" s="88"/>
      <c r="AA2" s="88"/>
      <c r="AB2" s="88"/>
      <c r="AC2" s="88"/>
      <c r="AD2" s="88"/>
      <c r="AE2" s="88"/>
      <c r="AF2" s="88"/>
      <c r="AG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313"/>
      <c r="AX2" s="88"/>
      <c r="AY2" s="88"/>
      <c r="AZ2" s="90"/>
      <c r="BA2" s="90"/>
      <c r="BB2" s="90"/>
      <c r="BC2" s="91"/>
      <c r="BD2" s="90"/>
      <c r="BE2" s="90"/>
      <c r="BF2" s="90"/>
      <c r="BG2" s="92"/>
      <c r="BH2" s="327"/>
      <c r="BI2" s="93"/>
      <c r="BJ2" s="93"/>
      <c r="BK2" s="93"/>
      <c r="BL2" s="93"/>
      <c r="BM2" s="93"/>
      <c r="BN2" s="94"/>
      <c r="BO2" s="94"/>
      <c r="BR2" s="86"/>
      <c r="BS2" s="94"/>
      <c r="BV2" s="388"/>
      <c r="BW2" s="388"/>
      <c r="BX2" s="388"/>
      <c r="BY2" s="388"/>
      <c r="BZ2" s="388"/>
      <c r="CA2" s="388"/>
      <c r="CB2" s="88"/>
      <c r="CC2" s="95"/>
      <c r="CD2" s="95"/>
    </row>
    <row r="3" spans="2:106" ht="14.5" thickBot="1" x14ac:dyDescent="0.45">
      <c r="B3" s="386" t="s">
        <v>370</v>
      </c>
      <c r="C3" s="386"/>
      <c r="D3" s="386"/>
      <c r="F3" s="349" t="s">
        <v>147</v>
      </c>
      <c r="G3" s="97"/>
      <c r="H3" s="97"/>
      <c r="I3" s="98"/>
      <c r="J3" s="97"/>
      <c r="K3" s="98"/>
      <c r="L3" s="97"/>
      <c r="M3" s="97"/>
      <c r="N3" s="97"/>
      <c r="O3" s="97"/>
      <c r="P3" s="97"/>
      <c r="Q3" s="97"/>
      <c r="R3" s="97"/>
      <c r="S3" s="97"/>
      <c r="T3" s="99"/>
      <c r="U3" s="100" t="s">
        <v>146</v>
      </c>
      <c r="V3" s="100"/>
      <c r="W3" s="100"/>
      <c r="X3" s="100"/>
      <c r="Y3" s="100"/>
      <c r="Z3" s="100"/>
      <c r="AA3" s="100"/>
      <c r="AB3" s="100"/>
      <c r="AC3" s="100"/>
      <c r="AF3" s="97" t="s">
        <v>145</v>
      </c>
      <c r="AG3" s="97"/>
      <c r="AH3" s="97"/>
      <c r="AI3" s="97"/>
      <c r="AJ3" s="97"/>
      <c r="AK3" s="97"/>
      <c r="AM3" s="97" t="s">
        <v>144</v>
      </c>
      <c r="AN3" s="97"/>
      <c r="AO3" s="97"/>
      <c r="AP3" s="97"/>
      <c r="AQ3" s="97"/>
      <c r="AR3" s="97"/>
      <c r="AS3" s="97"/>
      <c r="AT3" s="97"/>
      <c r="AU3" s="97"/>
      <c r="AV3" s="97"/>
      <c r="AW3" s="314"/>
      <c r="AX3" s="97"/>
      <c r="AY3" s="97"/>
      <c r="AZ3" s="97"/>
      <c r="BA3" s="97"/>
      <c r="BB3" s="97"/>
      <c r="BC3" s="91"/>
      <c r="BD3" s="102" t="s">
        <v>142</v>
      </c>
      <c r="BE3" s="102"/>
      <c r="BF3" s="102"/>
      <c r="BG3" s="92"/>
      <c r="BH3" s="328" t="s">
        <v>143</v>
      </c>
      <c r="BI3" s="100"/>
      <c r="BJ3" s="100"/>
      <c r="BK3" s="100"/>
      <c r="BL3" s="100"/>
      <c r="BM3" s="103">
        <v>-2.5000000000000001E-2</v>
      </c>
      <c r="BN3" s="91"/>
      <c r="BO3" s="99"/>
      <c r="BR3" s="86"/>
      <c r="BS3" s="91"/>
      <c r="BV3" s="387" t="s">
        <v>124</v>
      </c>
      <c r="BW3" s="387"/>
      <c r="BX3" s="387"/>
      <c r="BY3" s="387"/>
      <c r="BZ3" s="387"/>
      <c r="CA3" s="387"/>
      <c r="CB3" s="97"/>
      <c r="CC3" s="104"/>
      <c r="CD3" s="104"/>
      <c r="CE3" s="396" t="s">
        <v>162</v>
      </c>
      <c r="CF3" s="397"/>
      <c r="CG3" s="105"/>
      <c r="CH3" s="97"/>
      <c r="CI3" s="105"/>
      <c r="CJ3" s="105"/>
      <c r="CK3" s="389" t="s">
        <v>185</v>
      </c>
      <c r="CL3" s="389"/>
      <c r="CM3" s="389"/>
      <c r="CN3" s="389" t="s">
        <v>196</v>
      </c>
      <c r="CO3" s="389"/>
      <c r="CP3" s="389"/>
      <c r="CQ3" s="389"/>
      <c r="CR3" s="389"/>
    </row>
    <row r="4" spans="2:106" s="126" customFormat="1" ht="13.5" thickBot="1" x14ac:dyDescent="0.4">
      <c r="B4" s="119" t="s">
        <v>20</v>
      </c>
      <c r="C4" s="120" t="s">
        <v>19</v>
      </c>
      <c r="D4" s="119" t="s">
        <v>18</v>
      </c>
      <c r="E4" s="120" t="s">
        <v>167</v>
      </c>
      <c r="F4" s="120" t="s">
        <v>30</v>
      </c>
      <c r="G4" s="120" t="s">
        <v>21</v>
      </c>
      <c r="H4" s="121" t="s">
        <v>24</v>
      </c>
      <c r="I4" s="122" t="s">
        <v>25</v>
      </c>
      <c r="J4" s="120" t="s">
        <v>22</v>
      </c>
      <c r="K4" s="122" t="s">
        <v>23</v>
      </c>
      <c r="L4" s="120" t="s">
        <v>32</v>
      </c>
      <c r="M4" s="120" t="s">
        <v>34</v>
      </c>
      <c r="N4" s="121" t="s">
        <v>38</v>
      </c>
      <c r="O4" s="120" t="s">
        <v>40</v>
      </c>
      <c r="P4" s="121" t="s">
        <v>41</v>
      </c>
      <c r="Q4" s="120" t="s">
        <v>42</v>
      </c>
      <c r="R4" s="121" t="s">
        <v>112</v>
      </c>
      <c r="S4" s="120" t="s">
        <v>113</v>
      </c>
      <c r="T4" s="121" t="s">
        <v>106</v>
      </c>
      <c r="U4" s="120" t="s">
        <v>33</v>
      </c>
      <c r="V4" s="121" t="s">
        <v>35</v>
      </c>
      <c r="W4" s="120" t="s">
        <v>36</v>
      </c>
      <c r="X4" s="121" t="s">
        <v>37</v>
      </c>
      <c r="Y4" s="120" t="s">
        <v>43</v>
      </c>
      <c r="Z4" s="120" t="s">
        <v>69</v>
      </c>
      <c r="AA4" s="121" t="s">
        <v>44</v>
      </c>
      <c r="AB4" s="120" t="s">
        <v>45</v>
      </c>
      <c r="AC4" s="339" t="s">
        <v>300</v>
      </c>
      <c r="AD4" s="120" t="s">
        <v>46</v>
      </c>
      <c r="AE4" s="121" t="s">
        <v>114</v>
      </c>
      <c r="AF4" s="120" t="s">
        <v>26</v>
      </c>
      <c r="AG4" s="121" t="s">
        <v>27</v>
      </c>
      <c r="AH4" s="120" t="s">
        <v>28</v>
      </c>
      <c r="AI4" s="121" t="s">
        <v>29</v>
      </c>
      <c r="AJ4" s="120" t="s">
        <v>47</v>
      </c>
      <c r="AK4" s="120" t="s">
        <v>187</v>
      </c>
      <c r="AL4" s="120" t="s">
        <v>189</v>
      </c>
      <c r="AM4" s="120" t="s">
        <v>48</v>
      </c>
      <c r="AN4" s="121" t="s">
        <v>50</v>
      </c>
      <c r="AO4" s="120" t="s">
        <v>49</v>
      </c>
      <c r="AP4" s="121" t="s">
        <v>177</v>
      </c>
      <c r="AQ4" s="121" t="s">
        <v>51</v>
      </c>
      <c r="AR4" s="120" t="s">
        <v>148</v>
      </c>
      <c r="AS4" s="120" t="s">
        <v>31</v>
      </c>
      <c r="AT4" s="120" t="s">
        <v>52</v>
      </c>
      <c r="AU4" s="120" t="s">
        <v>53</v>
      </c>
      <c r="AV4" s="121" t="s">
        <v>371</v>
      </c>
      <c r="AW4" s="120" t="s">
        <v>54</v>
      </c>
      <c r="AX4" s="315" t="s">
        <v>55</v>
      </c>
      <c r="AY4" s="120" t="s">
        <v>56</v>
      </c>
      <c r="AZ4" s="121" t="s">
        <v>57</v>
      </c>
      <c r="BA4" s="120" t="s">
        <v>112</v>
      </c>
      <c r="BB4" s="121" t="s">
        <v>113</v>
      </c>
      <c r="BC4" s="120" t="s">
        <v>114</v>
      </c>
      <c r="BD4" s="121" t="s">
        <v>115</v>
      </c>
      <c r="BE4" s="120" t="s">
        <v>137</v>
      </c>
      <c r="BF4" s="121" t="s">
        <v>138</v>
      </c>
      <c r="BG4" s="120" t="s">
        <v>56</v>
      </c>
      <c r="BH4" s="120" t="s">
        <v>127</v>
      </c>
      <c r="BI4" s="120" t="s">
        <v>128</v>
      </c>
      <c r="BJ4" s="120" t="s">
        <v>129</v>
      </c>
      <c r="BK4" s="120" t="s">
        <v>130</v>
      </c>
      <c r="BL4" s="120" t="s">
        <v>132</v>
      </c>
      <c r="BM4" s="120" t="s">
        <v>186</v>
      </c>
      <c r="BN4" s="120" t="s">
        <v>188</v>
      </c>
      <c r="BO4" s="121" t="s">
        <v>58</v>
      </c>
      <c r="BP4" s="120" t="s">
        <v>59</v>
      </c>
      <c r="BQ4" s="120" t="s">
        <v>71</v>
      </c>
      <c r="BR4" s="121" t="s">
        <v>61</v>
      </c>
      <c r="BS4" s="120" t="s">
        <v>181</v>
      </c>
      <c r="BT4" s="123" t="s">
        <v>131</v>
      </c>
      <c r="BU4" s="120" t="s">
        <v>104</v>
      </c>
      <c r="BV4" s="120" t="s">
        <v>105</v>
      </c>
      <c r="BW4" s="120" t="s">
        <v>179</v>
      </c>
      <c r="BX4" s="120" t="s">
        <v>180</v>
      </c>
      <c r="BY4" s="120" t="s">
        <v>60</v>
      </c>
      <c r="BZ4" s="120" t="s">
        <v>125</v>
      </c>
      <c r="CA4" s="120" t="s">
        <v>126</v>
      </c>
      <c r="CB4" s="120" t="s">
        <v>60</v>
      </c>
      <c r="CC4" s="120" t="s">
        <v>39</v>
      </c>
      <c r="CD4" s="120" t="s">
        <v>157</v>
      </c>
      <c r="CE4" s="120" t="s">
        <v>19</v>
      </c>
      <c r="CF4" s="120" t="s">
        <v>161</v>
      </c>
      <c r="CG4" s="120" t="s">
        <v>149</v>
      </c>
      <c r="CH4" s="120" t="s">
        <v>172</v>
      </c>
      <c r="CI4" s="120" t="s">
        <v>155</v>
      </c>
      <c r="CJ4" s="120" t="s">
        <v>173</v>
      </c>
      <c r="CK4" s="124" t="s">
        <v>174</v>
      </c>
      <c r="CL4" s="125" t="s">
        <v>182</v>
      </c>
      <c r="CM4" s="124" t="s">
        <v>183</v>
      </c>
      <c r="CN4" s="124" t="s">
        <v>184</v>
      </c>
      <c r="CO4" s="124" t="s">
        <v>193</v>
      </c>
      <c r="CP4" s="124" t="s">
        <v>2</v>
      </c>
      <c r="CQ4" s="124" t="s">
        <v>194</v>
      </c>
      <c r="CR4" s="124" t="s">
        <v>195</v>
      </c>
      <c r="CS4" s="124" t="s">
        <v>59</v>
      </c>
      <c r="CT4" s="124" t="s">
        <v>294</v>
      </c>
      <c r="CU4" s="124" t="s">
        <v>295</v>
      </c>
      <c r="CV4" s="124" t="s">
        <v>164</v>
      </c>
      <c r="CW4" s="124" t="s">
        <v>165</v>
      </c>
      <c r="CX4" s="124" t="s">
        <v>315</v>
      </c>
      <c r="CY4" s="124" t="s">
        <v>318</v>
      </c>
      <c r="CZ4" s="124" t="s">
        <v>319</v>
      </c>
      <c r="DA4" s="124" t="s">
        <v>316</v>
      </c>
      <c r="DB4" s="124" t="s">
        <v>317</v>
      </c>
    </row>
    <row r="5" spans="2:106" s="156" customFormat="1" ht="11.9" customHeight="1" x14ac:dyDescent="0.3">
      <c r="B5" s="127" t="str">
        <f t="shared" ref="B5:B12" si="0">"Q" &amp; IF(ROUNDUP(MONTH(D5)/3,0)-1=0,4,ROUNDUP(MONTH(D5)/3,0)-1)</f>
        <v>Q1</v>
      </c>
      <c r="C5" s="128" t="str">
        <f t="shared" ref="C5:C12" si="1">TEXT(AN5,"mmm-yy")</f>
        <v>Apr-26</v>
      </c>
      <c r="D5" s="294">
        <v>46118</v>
      </c>
      <c r="E5" s="130" t="s">
        <v>372</v>
      </c>
      <c r="F5" s="130" t="s">
        <v>197</v>
      </c>
      <c r="G5" s="130" t="s">
        <v>373</v>
      </c>
      <c r="H5" s="131" t="s">
        <v>374</v>
      </c>
      <c r="I5" s="129">
        <v>46118</v>
      </c>
      <c r="J5" s="130" t="s">
        <v>375</v>
      </c>
      <c r="K5" s="129">
        <v>46118</v>
      </c>
      <c r="L5" s="130" t="s">
        <v>376</v>
      </c>
      <c r="M5" s="130" t="s">
        <v>377</v>
      </c>
      <c r="N5" s="131" t="s">
        <v>378</v>
      </c>
      <c r="O5" s="130">
        <v>9217</v>
      </c>
      <c r="P5" s="289">
        <v>39.5</v>
      </c>
      <c r="Q5" s="132">
        <f t="shared" ref="Q5:Q12" si="2">O5*P5</f>
        <v>364071.5</v>
      </c>
      <c r="R5" s="133">
        <v>0</v>
      </c>
      <c r="S5" s="132">
        <f t="shared" ref="S5:S12" si="3">O5-R5</f>
        <v>9217</v>
      </c>
      <c r="T5" s="133">
        <v>0</v>
      </c>
      <c r="U5" s="134">
        <v>0</v>
      </c>
      <c r="V5" s="135">
        <v>0</v>
      </c>
      <c r="W5" s="134">
        <v>0</v>
      </c>
      <c r="X5" s="136">
        <v>0</v>
      </c>
      <c r="Y5" s="134">
        <v>0</v>
      </c>
      <c r="Z5" s="134">
        <v>0</v>
      </c>
      <c r="AA5" s="133">
        <v>0</v>
      </c>
      <c r="AB5" s="137">
        <f t="shared" ref="AB5:AB12" si="4">Y5+AA5+Z5</f>
        <v>0</v>
      </c>
      <c r="AC5" s="136">
        <v>0</v>
      </c>
      <c r="AD5" s="337">
        <f t="shared" ref="AD5:AD12" si="5">IFERROR((Q5+AB5)/S5,0)</f>
        <v>39.5</v>
      </c>
      <c r="AE5" s="151">
        <v>0</v>
      </c>
      <c r="AF5" s="134">
        <v>0</v>
      </c>
      <c r="AG5" s="134">
        <v>0</v>
      </c>
      <c r="AH5" s="134">
        <v>0</v>
      </c>
      <c r="AI5" s="135">
        <v>0</v>
      </c>
      <c r="AJ5" s="134">
        <v>0</v>
      </c>
      <c r="AK5" s="134">
        <v>0</v>
      </c>
      <c r="AL5" s="134">
        <v>0</v>
      </c>
      <c r="AM5" s="139">
        <f t="shared" ref="AM5:AM12" si="6">Q5+AB5+AL5+AK5+AJ5+T5+AE5</f>
        <v>364071.5</v>
      </c>
      <c r="AN5" s="140">
        <v>46118</v>
      </c>
      <c r="AO5" s="141" t="s">
        <v>389</v>
      </c>
      <c r="AP5" s="142" t="s">
        <v>390</v>
      </c>
      <c r="AQ5" s="143" t="s">
        <v>391</v>
      </c>
      <c r="AR5" s="143" t="s">
        <v>392</v>
      </c>
      <c r="AS5" s="130" t="s">
        <v>393</v>
      </c>
      <c r="AT5" s="144" t="s">
        <v>394</v>
      </c>
      <c r="AU5" s="144" t="s">
        <v>395</v>
      </c>
      <c r="AV5" s="145">
        <v>0</v>
      </c>
      <c r="AW5" s="143">
        <v>9217</v>
      </c>
      <c r="AX5" s="316">
        <v>46</v>
      </c>
      <c r="AY5" s="143">
        <f t="shared" ref="AY5:AY12" si="7">AW5*AX5</f>
        <v>423982</v>
      </c>
      <c r="AZ5" s="146" t="b">
        <f t="shared" ref="AZ5:AZ12" si="8">AW5=O5</f>
        <v>1</v>
      </c>
      <c r="BA5" s="132">
        <v>0</v>
      </c>
      <c r="BB5" s="147">
        <f t="shared" ref="BB5:BB12" si="9">AW5-BA5</f>
        <v>9217</v>
      </c>
      <c r="BC5" s="148">
        <v>0</v>
      </c>
      <c r="BD5" s="147" t="s">
        <v>116</v>
      </c>
      <c r="BE5" s="148">
        <v>0</v>
      </c>
      <c r="BF5" s="147">
        <v>0</v>
      </c>
      <c r="BG5" s="148">
        <v>0</v>
      </c>
      <c r="BH5" s="134">
        <v>0</v>
      </c>
      <c r="BI5" s="134">
        <v>0</v>
      </c>
      <c r="BJ5" s="135">
        <v>0</v>
      </c>
      <c r="BK5" s="132">
        <v>0</v>
      </c>
      <c r="BL5" s="143">
        <v>0</v>
      </c>
      <c r="BM5" s="134">
        <v>0</v>
      </c>
      <c r="BN5" s="149">
        <f t="shared" ref="BN5:BN6" si="10">AY5*$BM$3</f>
        <v>-10599.550000000001</v>
      </c>
      <c r="BO5" s="133">
        <f t="shared" ref="BO5:BO12" si="11">AY5+BL5+BM5+BN5+BC5+BG5</f>
        <v>413382.45</v>
      </c>
      <c r="BP5" s="139">
        <f t="shared" ref="BP5:BP12" si="12">BO5-AM5</f>
        <v>49310.950000000012</v>
      </c>
      <c r="BQ5" s="148" t="str">
        <f t="shared" ref="BQ5:BQ12" si="13">IF(BP5&gt;=0,"Positive Margin","Negative Margin")</f>
        <v>Positive Margin</v>
      </c>
      <c r="BR5" s="150" t="s">
        <v>108</v>
      </c>
      <c r="BS5" s="132">
        <f t="shared" ref="BS5:BS12" si="14">AY5-Y5-Q5-AA5-T5+BC5</f>
        <v>59910.5</v>
      </c>
      <c r="BT5" s="151" t="str">
        <f t="shared" ref="BT5:BT12" si="15">IF(BS5&lt;0, "Negative Margin at Inception", "Positive Margin at Inception")</f>
        <v>Positive Margin at Inception</v>
      </c>
      <c r="BU5" s="152">
        <f t="shared" ref="BU5:BU12" si="16">IFERROR(BP5/BO5,"0")</f>
        <v>0.11928651059085844</v>
      </c>
      <c r="BV5" s="151" t="str">
        <f t="shared" ref="BV5:BV12" si="17">IF(BU5&lt;1%,"Less Than 1%",IF(BU5&gt;2%,"More than 2%",IF(BU5&gt;=1%,"1% - 2%")))</f>
        <v>More than 2%</v>
      </c>
      <c r="BW5" s="132">
        <f t="shared" ref="BW5:BW12" si="18">BM5+BN5</f>
        <v>-10599.550000000001</v>
      </c>
      <c r="BX5" s="133">
        <f t="shared" ref="BX5:BX12" si="19">AL5+AK5</f>
        <v>0</v>
      </c>
      <c r="BY5" s="132">
        <f t="shared" ref="BY5:BY12" si="20">BW5-BX5</f>
        <v>-10599.550000000001</v>
      </c>
      <c r="BZ5" s="153">
        <f t="shared" ref="BZ5:BZ12" si="21">BM5</f>
        <v>0</v>
      </c>
      <c r="CA5" s="153">
        <f t="shared" ref="CA5:CA12" si="22">AK5</f>
        <v>0</v>
      </c>
      <c r="CB5" s="134">
        <f t="shared" ref="CB5:CB12" si="23">BZ5-CA5</f>
        <v>0</v>
      </c>
      <c r="CC5" s="153" t="s">
        <v>369</v>
      </c>
      <c r="CD5" s="134">
        <v>0</v>
      </c>
      <c r="CE5" s="134" t="str">
        <f t="shared" ref="CE5:CE12" si="24">TEXT(AN5,"mmm-yy")</f>
        <v>Apr-26</v>
      </c>
      <c r="CF5" s="134">
        <f t="shared" ref="CF5:CF12" si="25">AM5-AL5-AA5</f>
        <v>364071.5</v>
      </c>
      <c r="CG5" s="134">
        <f t="shared" ref="CG5:CG12" si="26">BO5-BN5</f>
        <v>423982</v>
      </c>
      <c r="CH5" s="134">
        <f t="shared" ref="CH5:CH12" si="27">INT((D5- IF(MONTH(D5) &gt;= 4, DATE(YEAR(D5), 4, 1), DATE(YEAR(D5)-1, 4, 1))) / 7) + 1</f>
        <v>1</v>
      </c>
      <c r="CI5" s="154" t="s">
        <v>252</v>
      </c>
      <c r="CJ5" s="134" t="s">
        <v>252</v>
      </c>
      <c r="CK5" s="134" t="str">
        <f>_xlfn.XLOOKUP(AR5,receivables!B:B,receivables!D:D)</f>
        <v>Neelesh Dixit</v>
      </c>
      <c r="CL5" s="134">
        <f t="shared" ref="CL5:CL12" si="28">AY5-Q5</f>
        <v>59910.5</v>
      </c>
      <c r="CM5" s="134">
        <f t="shared" ref="CM5:CM12" si="29">CL5-Y5+Z5</f>
        <v>59910.5</v>
      </c>
      <c r="CN5" s="134">
        <f t="shared" ref="CN5:CN12" si="30">BO5-AM5</f>
        <v>49310.950000000012</v>
      </c>
      <c r="CO5" s="134">
        <f t="shared" ref="CO5:CO12" si="31">AY5*118%</f>
        <v>500298.75999999995</v>
      </c>
      <c r="CP5" s="134">
        <f t="shared" ref="CP5:CP12" si="32">-Q5*118%</f>
        <v>-429604.37</v>
      </c>
      <c r="CQ5" s="134">
        <f t="shared" ref="CQ5:CQ12" si="33">-BZ5*118%</f>
        <v>0</v>
      </c>
      <c r="CR5" s="134">
        <f t="shared" ref="CR5:CR12" si="34">-CA5*118%</f>
        <v>0</v>
      </c>
      <c r="CS5" s="134">
        <f t="shared" ref="CS5:CS12" si="35">SUM(CO5:CR5)</f>
        <v>70694.389999999956</v>
      </c>
      <c r="CT5" s="134" t="s">
        <v>296</v>
      </c>
      <c r="CU5" s="134" t="s">
        <v>296</v>
      </c>
      <c r="CV5" s="149" t="str">
        <f t="shared" ref="CV5:CV12" si="36">MID(G5,3,10)</f>
        <v>AAMCB5608A</v>
      </c>
      <c r="CW5" s="149" t="str">
        <f t="shared" ref="CW5:CW12" si="37">MID(AR5,3,10)</f>
        <v>AAACD5406E</v>
      </c>
      <c r="CX5" s="149">
        <v>0</v>
      </c>
      <c r="CY5" s="149">
        <v>0</v>
      </c>
      <c r="CZ5" s="149">
        <v>0</v>
      </c>
      <c r="DA5" s="149">
        <v>0</v>
      </c>
      <c r="DB5" s="149">
        <v>0</v>
      </c>
    </row>
    <row r="6" spans="2:106" s="156" customFormat="1" ht="11.9" customHeight="1" x14ac:dyDescent="0.3">
      <c r="B6" s="127" t="str">
        <f t="shared" si="0"/>
        <v>Q1</v>
      </c>
      <c r="C6" s="128" t="str">
        <f t="shared" si="1"/>
        <v>Apr-26</v>
      </c>
      <c r="D6" s="294">
        <v>46118</v>
      </c>
      <c r="E6" s="130" t="s">
        <v>372</v>
      </c>
      <c r="F6" s="130" t="s">
        <v>197</v>
      </c>
      <c r="G6" s="130" t="s">
        <v>373</v>
      </c>
      <c r="H6" s="131" t="s">
        <v>374</v>
      </c>
      <c r="I6" s="129">
        <v>46118</v>
      </c>
      <c r="J6" s="130" t="s">
        <v>375</v>
      </c>
      <c r="K6" s="129">
        <v>46118</v>
      </c>
      <c r="L6" s="130" t="s">
        <v>376</v>
      </c>
      <c r="M6" s="130" t="s">
        <v>377</v>
      </c>
      <c r="N6" s="131" t="s">
        <v>379</v>
      </c>
      <c r="O6" s="130">
        <v>513</v>
      </c>
      <c r="P6" s="289">
        <v>34.5</v>
      </c>
      <c r="Q6" s="132">
        <f t="shared" si="2"/>
        <v>17698.5</v>
      </c>
      <c r="R6" s="133">
        <v>0</v>
      </c>
      <c r="S6" s="132">
        <f t="shared" si="3"/>
        <v>513</v>
      </c>
      <c r="T6" s="133">
        <v>0</v>
      </c>
      <c r="U6" s="134">
        <v>0</v>
      </c>
      <c r="V6" s="135">
        <v>0</v>
      </c>
      <c r="W6" s="134">
        <v>0</v>
      </c>
      <c r="X6" s="136">
        <v>0</v>
      </c>
      <c r="Y6" s="134">
        <v>0</v>
      </c>
      <c r="Z6" s="134">
        <v>0</v>
      </c>
      <c r="AA6" s="133">
        <v>0</v>
      </c>
      <c r="AB6" s="137">
        <f t="shared" si="4"/>
        <v>0</v>
      </c>
      <c r="AC6" s="136">
        <v>0</v>
      </c>
      <c r="AD6" s="337">
        <f t="shared" si="5"/>
        <v>34.5</v>
      </c>
      <c r="AE6" s="151">
        <v>0</v>
      </c>
      <c r="AF6" s="134">
        <v>0</v>
      </c>
      <c r="AG6" s="134">
        <v>0</v>
      </c>
      <c r="AH6" s="134">
        <v>0</v>
      </c>
      <c r="AI6" s="135">
        <v>0</v>
      </c>
      <c r="AJ6" s="134">
        <v>0</v>
      </c>
      <c r="AK6" s="134">
        <v>0</v>
      </c>
      <c r="AL6" s="134">
        <v>0</v>
      </c>
      <c r="AM6" s="139">
        <f t="shared" si="6"/>
        <v>17698.5</v>
      </c>
      <c r="AN6" s="140">
        <v>46118</v>
      </c>
      <c r="AO6" s="141" t="s">
        <v>389</v>
      </c>
      <c r="AP6" s="142" t="s">
        <v>390</v>
      </c>
      <c r="AQ6" s="143" t="s">
        <v>391</v>
      </c>
      <c r="AR6" s="143" t="s">
        <v>392</v>
      </c>
      <c r="AS6" s="130" t="s">
        <v>393</v>
      </c>
      <c r="AT6" s="144" t="s">
        <v>394</v>
      </c>
      <c r="AU6" s="144" t="s">
        <v>395</v>
      </c>
      <c r="AV6" s="145">
        <v>0</v>
      </c>
      <c r="AW6" s="143">
        <v>513</v>
      </c>
      <c r="AX6" s="316">
        <v>36</v>
      </c>
      <c r="AY6" s="143">
        <f t="shared" si="7"/>
        <v>18468</v>
      </c>
      <c r="AZ6" s="146" t="b">
        <f t="shared" si="8"/>
        <v>1</v>
      </c>
      <c r="BA6" s="132">
        <v>0</v>
      </c>
      <c r="BB6" s="147">
        <f t="shared" si="9"/>
        <v>513</v>
      </c>
      <c r="BC6" s="148">
        <v>0</v>
      </c>
      <c r="BD6" s="147" t="s">
        <v>116</v>
      </c>
      <c r="BE6" s="148">
        <v>0</v>
      </c>
      <c r="BF6" s="147">
        <v>0</v>
      </c>
      <c r="BG6" s="148">
        <v>0</v>
      </c>
      <c r="BH6" s="134">
        <v>0</v>
      </c>
      <c r="BI6" s="134">
        <v>0</v>
      </c>
      <c r="BJ6" s="135">
        <v>0</v>
      </c>
      <c r="BK6" s="132">
        <v>0</v>
      </c>
      <c r="BL6" s="143">
        <v>0</v>
      </c>
      <c r="BM6" s="134">
        <v>0</v>
      </c>
      <c r="BN6" s="149">
        <f t="shared" si="10"/>
        <v>-461.70000000000005</v>
      </c>
      <c r="BO6" s="133">
        <f t="shared" si="11"/>
        <v>18006.3</v>
      </c>
      <c r="BP6" s="139">
        <f t="shared" si="12"/>
        <v>307.79999999999927</v>
      </c>
      <c r="BQ6" s="148" t="str">
        <f t="shared" si="13"/>
        <v>Positive Margin</v>
      </c>
      <c r="BR6" s="150" t="s">
        <v>108</v>
      </c>
      <c r="BS6" s="132">
        <f t="shared" si="14"/>
        <v>769.5</v>
      </c>
      <c r="BT6" s="151" t="str">
        <f t="shared" si="15"/>
        <v>Positive Margin at Inception</v>
      </c>
      <c r="BU6" s="152">
        <f t="shared" si="16"/>
        <v>1.7094017094017054E-2</v>
      </c>
      <c r="BV6" s="151" t="str">
        <f t="shared" si="17"/>
        <v>1% - 2%</v>
      </c>
      <c r="BW6" s="132">
        <f t="shared" si="18"/>
        <v>-461.70000000000005</v>
      </c>
      <c r="BX6" s="133">
        <f t="shared" si="19"/>
        <v>0</v>
      </c>
      <c r="BY6" s="132">
        <f t="shared" si="20"/>
        <v>-461.70000000000005</v>
      </c>
      <c r="BZ6" s="153">
        <f t="shared" si="21"/>
        <v>0</v>
      </c>
      <c r="CA6" s="153">
        <f t="shared" si="22"/>
        <v>0</v>
      </c>
      <c r="CB6" s="134">
        <f t="shared" si="23"/>
        <v>0</v>
      </c>
      <c r="CC6" s="153" t="s">
        <v>369</v>
      </c>
      <c r="CD6" s="134">
        <v>0</v>
      </c>
      <c r="CE6" s="134" t="str">
        <f t="shared" si="24"/>
        <v>Apr-26</v>
      </c>
      <c r="CF6" s="134">
        <f t="shared" si="25"/>
        <v>17698.5</v>
      </c>
      <c r="CG6" s="134">
        <f t="shared" si="26"/>
        <v>18468</v>
      </c>
      <c r="CH6" s="134">
        <f t="shared" si="27"/>
        <v>1</v>
      </c>
      <c r="CI6" s="154" t="s">
        <v>252</v>
      </c>
      <c r="CJ6" s="134" t="s">
        <v>252</v>
      </c>
      <c r="CK6" s="134" t="str">
        <f>_xlfn.XLOOKUP(AR6,receivables!B:B,receivables!D:D)</f>
        <v>Neelesh Dixit</v>
      </c>
      <c r="CL6" s="134">
        <f t="shared" si="28"/>
        <v>769.5</v>
      </c>
      <c r="CM6" s="134">
        <f t="shared" si="29"/>
        <v>769.5</v>
      </c>
      <c r="CN6" s="134">
        <f t="shared" si="30"/>
        <v>307.79999999999927</v>
      </c>
      <c r="CO6" s="134">
        <f t="shared" si="31"/>
        <v>21792.239999999998</v>
      </c>
      <c r="CP6" s="134">
        <f t="shared" si="32"/>
        <v>-20884.23</v>
      </c>
      <c r="CQ6" s="134">
        <f t="shared" si="33"/>
        <v>0</v>
      </c>
      <c r="CR6" s="134">
        <f t="shared" si="34"/>
        <v>0</v>
      </c>
      <c r="CS6" s="134">
        <f t="shared" si="35"/>
        <v>908.0099999999984</v>
      </c>
      <c r="CT6" s="134" t="s">
        <v>296</v>
      </c>
      <c r="CU6" s="134" t="s">
        <v>296</v>
      </c>
      <c r="CV6" s="149" t="str">
        <f t="shared" si="36"/>
        <v>AAMCB5608A</v>
      </c>
      <c r="CW6" s="149" t="str">
        <f t="shared" si="37"/>
        <v>AAACD5406E</v>
      </c>
      <c r="CX6" s="149">
        <v>0</v>
      </c>
      <c r="CY6" s="149">
        <v>0</v>
      </c>
      <c r="CZ6" s="149">
        <v>0</v>
      </c>
      <c r="DA6" s="149">
        <v>0</v>
      </c>
      <c r="DB6" s="149">
        <v>0</v>
      </c>
    </row>
    <row r="7" spans="2:106" s="156" customFormat="1" ht="11.9" customHeight="1" x14ac:dyDescent="0.3">
      <c r="B7" s="127" t="str">
        <f t="shared" si="0"/>
        <v>Q1</v>
      </c>
      <c r="C7" s="128" t="str">
        <f t="shared" si="1"/>
        <v>Apr-26</v>
      </c>
      <c r="D7" s="294">
        <v>46120</v>
      </c>
      <c r="E7" s="130" t="s">
        <v>380</v>
      </c>
      <c r="F7" s="130" t="s">
        <v>197</v>
      </c>
      <c r="G7" s="130" t="s">
        <v>373</v>
      </c>
      <c r="H7" s="131" t="s">
        <v>381</v>
      </c>
      <c r="I7" s="129">
        <v>46120</v>
      </c>
      <c r="J7" s="130" t="s">
        <v>382</v>
      </c>
      <c r="K7" s="129">
        <v>46120</v>
      </c>
      <c r="L7" s="130" t="s">
        <v>376</v>
      </c>
      <c r="M7" s="130" t="s">
        <v>383</v>
      </c>
      <c r="N7" s="131" t="s">
        <v>378</v>
      </c>
      <c r="O7" s="130">
        <v>7945</v>
      </c>
      <c r="P7" s="289">
        <v>41</v>
      </c>
      <c r="Q7" s="132">
        <f t="shared" si="2"/>
        <v>325745</v>
      </c>
      <c r="R7" s="133">
        <v>0</v>
      </c>
      <c r="S7" s="132">
        <f t="shared" si="3"/>
        <v>7945</v>
      </c>
      <c r="T7" s="133">
        <v>0</v>
      </c>
      <c r="U7" s="134">
        <v>0</v>
      </c>
      <c r="V7" s="135">
        <v>0</v>
      </c>
      <c r="W7" s="134">
        <v>0</v>
      </c>
      <c r="X7" s="136">
        <v>0</v>
      </c>
      <c r="Y7" s="134">
        <v>0</v>
      </c>
      <c r="Z7" s="134">
        <v>0</v>
      </c>
      <c r="AA7" s="133">
        <v>0</v>
      </c>
      <c r="AB7" s="137">
        <f t="shared" si="4"/>
        <v>0</v>
      </c>
      <c r="AC7" s="136">
        <v>0</v>
      </c>
      <c r="AD7" s="337">
        <f t="shared" si="5"/>
        <v>41</v>
      </c>
      <c r="AE7" s="151">
        <v>0</v>
      </c>
      <c r="AF7" s="134">
        <v>0</v>
      </c>
      <c r="AG7" s="134">
        <v>0</v>
      </c>
      <c r="AH7" s="134">
        <v>0</v>
      </c>
      <c r="AI7" s="135">
        <v>0</v>
      </c>
      <c r="AJ7" s="134">
        <v>0</v>
      </c>
      <c r="AK7" s="134">
        <v>0</v>
      </c>
      <c r="AL7" s="134">
        <v>0</v>
      </c>
      <c r="AM7" s="139">
        <f t="shared" si="6"/>
        <v>325745</v>
      </c>
      <c r="AN7" s="140">
        <v>46120</v>
      </c>
      <c r="AO7" s="141" t="s">
        <v>396</v>
      </c>
      <c r="AP7" s="142" t="s">
        <v>390</v>
      </c>
      <c r="AQ7" s="143" t="s">
        <v>391</v>
      </c>
      <c r="AR7" s="143" t="s">
        <v>392</v>
      </c>
      <c r="AS7" s="130" t="s">
        <v>393</v>
      </c>
      <c r="AT7" s="144" t="s">
        <v>394</v>
      </c>
      <c r="AU7" s="144" t="s">
        <v>395</v>
      </c>
      <c r="AV7" s="145">
        <v>0</v>
      </c>
      <c r="AW7" s="143">
        <v>7945</v>
      </c>
      <c r="AX7" s="316">
        <v>46</v>
      </c>
      <c r="AY7" s="143">
        <f t="shared" si="7"/>
        <v>365470</v>
      </c>
      <c r="AZ7" s="146" t="b">
        <f t="shared" si="8"/>
        <v>1</v>
      </c>
      <c r="BA7" s="132">
        <v>0</v>
      </c>
      <c r="BB7" s="147">
        <f t="shared" si="9"/>
        <v>7945</v>
      </c>
      <c r="BC7" s="148">
        <v>0</v>
      </c>
      <c r="BD7" s="147" t="s">
        <v>116</v>
      </c>
      <c r="BE7" s="148">
        <v>0</v>
      </c>
      <c r="BF7" s="147">
        <v>0</v>
      </c>
      <c r="BG7" s="148">
        <v>0</v>
      </c>
      <c r="BH7" s="134" t="s">
        <v>610</v>
      </c>
      <c r="BI7" s="376">
        <v>46181</v>
      </c>
      <c r="BJ7" s="135">
        <v>0</v>
      </c>
      <c r="BK7" s="132">
        <v>0</v>
      </c>
      <c r="BL7" s="143">
        <v>0</v>
      </c>
      <c r="BM7" s="134">
        <v>-4529.62</v>
      </c>
      <c r="BN7" s="149">
        <v>0</v>
      </c>
      <c r="BO7" s="133">
        <f t="shared" si="11"/>
        <v>360940.38</v>
      </c>
      <c r="BP7" s="139">
        <f t="shared" si="12"/>
        <v>35195.380000000005</v>
      </c>
      <c r="BQ7" s="148" t="str">
        <f t="shared" si="13"/>
        <v>Positive Margin</v>
      </c>
      <c r="BR7" s="150" t="s">
        <v>602</v>
      </c>
      <c r="BS7" s="132">
        <f t="shared" si="14"/>
        <v>39725</v>
      </c>
      <c r="BT7" s="151" t="str">
        <f t="shared" si="15"/>
        <v>Positive Margin at Inception</v>
      </c>
      <c r="BU7" s="152">
        <f t="shared" si="16"/>
        <v>9.7510231468144415E-2</v>
      </c>
      <c r="BV7" s="151" t="str">
        <f t="shared" si="17"/>
        <v>More than 2%</v>
      </c>
      <c r="BW7" s="132">
        <f t="shared" si="18"/>
        <v>-4529.62</v>
      </c>
      <c r="BX7" s="133">
        <f t="shared" si="19"/>
        <v>0</v>
      </c>
      <c r="BY7" s="132">
        <f t="shared" si="20"/>
        <v>-4529.62</v>
      </c>
      <c r="BZ7" s="153">
        <f t="shared" si="21"/>
        <v>-4529.62</v>
      </c>
      <c r="CA7" s="153">
        <f t="shared" si="22"/>
        <v>0</v>
      </c>
      <c r="CB7" s="134">
        <f t="shared" si="23"/>
        <v>-4529.62</v>
      </c>
      <c r="CC7" s="153" t="s">
        <v>369</v>
      </c>
      <c r="CD7" s="134">
        <v>0</v>
      </c>
      <c r="CE7" s="134" t="str">
        <f t="shared" si="24"/>
        <v>Apr-26</v>
      </c>
      <c r="CF7" s="134">
        <f t="shared" si="25"/>
        <v>325745</v>
      </c>
      <c r="CG7" s="134">
        <f t="shared" si="26"/>
        <v>360940.38</v>
      </c>
      <c r="CH7" s="134">
        <f t="shared" si="27"/>
        <v>2</v>
      </c>
      <c r="CI7" s="154" t="s">
        <v>252</v>
      </c>
      <c r="CJ7" s="134" t="s">
        <v>252</v>
      </c>
      <c r="CK7" s="134" t="str">
        <f>_xlfn.XLOOKUP(AR7,receivables!B:B,receivables!D:D)</f>
        <v>Neelesh Dixit</v>
      </c>
      <c r="CL7" s="134">
        <f t="shared" si="28"/>
        <v>39725</v>
      </c>
      <c r="CM7" s="134">
        <f t="shared" si="29"/>
        <v>39725</v>
      </c>
      <c r="CN7" s="134">
        <f t="shared" si="30"/>
        <v>35195.380000000005</v>
      </c>
      <c r="CO7" s="134">
        <f t="shared" si="31"/>
        <v>431254.6</v>
      </c>
      <c r="CP7" s="134">
        <f t="shared" si="32"/>
        <v>-384379.1</v>
      </c>
      <c r="CQ7" s="134">
        <f t="shared" si="33"/>
        <v>5344.9515999999994</v>
      </c>
      <c r="CR7" s="134">
        <f t="shared" si="34"/>
        <v>0</v>
      </c>
      <c r="CS7" s="134">
        <f t="shared" si="35"/>
        <v>52220.4516</v>
      </c>
      <c r="CT7" s="134" t="s">
        <v>296</v>
      </c>
      <c r="CU7" s="134" t="s">
        <v>296</v>
      </c>
      <c r="CV7" s="149" t="str">
        <f t="shared" si="36"/>
        <v>AAMCB5608A</v>
      </c>
      <c r="CW7" s="149" t="str">
        <f t="shared" si="37"/>
        <v>AAACD5406E</v>
      </c>
      <c r="CX7" s="149">
        <v>0</v>
      </c>
      <c r="CY7" s="149">
        <v>0</v>
      </c>
      <c r="CZ7" s="149">
        <v>0</v>
      </c>
      <c r="DA7" s="149">
        <v>0</v>
      </c>
      <c r="DB7" s="149">
        <v>0</v>
      </c>
    </row>
    <row r="8" spans="2:106" s="156" customFormat="1" ht="11.9" customHeight="1" x14ac:dyDescent="0.3">
      <c r="B8" s="127" t="str">
        <f t="shared" si="0"/>
        <v>Q1</v>
      </c>
      <c r="C8" s="128" t="str">
        <f t="shared" si="1"/>
        <v>Apr-26</v>
      </c>
      <c r="D8" s="294">
        <v>46120</v>
      </c>
      <c r="E8" s="130" t="s">
        <v>380</v>
      </c>
      <c r="F8" s="130" t="s">
        <v>197</v>
      </c>
      <c r="G8" s="130" t="s">
        <v>373</v>
      </c>
      <c r="H8" s="131" t="s">
        <v>381</v>
      </c>
      <c r="I8" s="129">
        <v>46120</v>
      </c>
      <c r="J8" s="130" t="s">
        <v>382</v>
      </c>
      <c r="K8" s="129">
        <v>46120</v>
      </c>
      <c r="L8" s="130" t="s">
        <v>376</v>
      </c>
      <c r="M8" s="130" t="s">
        <v>383</v>
      </c>
      <c r="N8" s="131" t="s">
        <v>379</v>
      </c>
      <c r="O8" s="130">
        <v>348</v>
      </c>
      <c r="P8" s="289">
        <v>36</v>
      </c>
      <c r="Q8" s="132">
        <f t="shared" si="2"/>
        <v>12528</v>
      </c>
      <c r="R8" s="133">
        <v>0</v>
      </c>
      <c r="S8" s="132">
        <f t="shared" si="3"/>
        <v>348</v>
      </c>
      <c r="T8" s="133">
        <v>0</v>
      </c>
      <c r="U8" s="134">
        <v>0</v>
      </c>
      <c r="V8" s="135">
        <v>0</v>
      </c>
      <c r="W8" s="134">
        <v>0</v>
      </c>
      <c r="X8" s="136">
        <v>0</v>
      </c>
      <c r="Y8" s="134">
        <v>0</v>
      </c>
      <c r="Z8" s="134">
        <v>0</v>
      </c>
      <c r="AA8" s="133">
        <v>0</v>
      </c>
      <c r="AB8" s="137">
        <f t="shared" si="4"/>
        <v>0</v>
      </c>
      <c r="AC8" s="136">
        <v>0</v>
      </c>
      <c r="AD8" s="337">
        <f t="shared" si="5"/>
        <v>36</v>
      </c>
      <c r="AE8" s="151">
        <v>0</v>
      </c>
      <c r="AF8" s="134">
        <v>0</v>
      </c>
      <c r="AG8" s="134">
        <v>0</v>
      </c>
      <c r="AH8" s="134">
        <v>0</v>
      </c>
      <c r="AI8" s="135">
        <v>0</v>
      </c>
      <c r="AJ8" s="134">
        <v>0</v>
      </c>
      <c r="AK8" s="134">
        <v>0</v>
      </c>
      <c r="AL8" s="134">
        <v>0</v>
      </c>
      <c r="AM8" s="139">
        <f t="shared" si="6"/>
        <v>12528</v>
      </c>
      <c r="AN8" s="140">
        <v>46120</v>
      </c>
      <c r="AO8" s="141" t="s">
        <v>396</v>
      </c>
      <c r="AP8" s="142" t="s">
        <v>390</v>
      </c>
      <c r="AQ8" s="143" t="s">
        <v>391</v>
      </c>
      <c r="AR8" s="143" t="s">
        <v>392</v>
      </c>
      <c r="AS8" s="130" t="s">
        <v>393</v>
      </c>
      <c r="AT8" s="144" t="s">
        <v>394</v>
      </c>
      <c r="AU8" s="144" t="s">
        <v>395</v>
      </c>
      <c r="AV8" s="145">
        <v>0</v>
      </c>
      <c r="AW8" s="143">
        <v>348</v>
      </c>
      <c r="AX8" s="316">
        <v>36</v>
      </c>
      <c r="AY8" s="143">
        <f t="shared" si="7"/>
        <v>12528</v>
      </c>
      <c r="AZ8" s="146" t="b">
        <f t="shared" si="8"/>
        <v>1</v>
      </c>
      <c r="BA8" s="132">
        <v>0</v>
      </c>
      <c r="BB8" s="147">
        <f t="shared" si="9"/>
        <v>348</v>
      </c>
      <c r="BC8" s="148">
        <v>0</v>
      </c>
      <c r="BD8" s="147" t="s">
        <v>116</v>
      </c>
      <c r="BE8" s="148">
        <v>0</v>
      </c>
      <c r="BF8" s="147">
        <v>0</v>
      </c>
      <c r="BG8" s="148">
        <v>0</v>
      </c>
      <c r="BH8" s="134" t="s">
        <v>610</v>
      </c>
      <c r="BI8" s="376">
        <v>46181</v>
      </c>
      <c r="BJ8" s="135">
        <v>0</v>
      </c>
      <c r="BK8" s="132">
        <v>0</v>
      </c>
      <c r="BL8" s="143">
        <v>0</v>
      </c>
      <c r="BM8" s="134">
        <v>0</v>
      </c>
      <c r="BN8" s="149">
        <v>0</v>
      </c>
      <c r="BO8" s="133">
        <f t="shared" si="11"/>
        <v>12528</v>
      </c>
      <c r="BP8" s="139">
        <f t="shared" si="12"/>
        <v>0</v>
      </c>
      <c r="BQ8" s="148" t="str">
        <f t="shared" si="13"/>
        <v>Positive Margin</v>
      </c>
      <c r="BR8" s="150" t="s">
        <v>602</v>
      </c>
      <c r="BS8" s="132">
        <f t="shared" si="14"/>
        <v>0</v>
      </c>
      <c r="BT8" s="151" t="str">
        <f t="shared" si="15"/>
        <v>Positive Margin at Inception</v>
      </c>
      <c r="BU8" s="152">
        <f t="shared" si="16"/>
        <v>0</v>
      </c>
      <c r="BV8" s="151" t="str">
        <f t="shared" si="17"/>
        <v>Less Than 1%</v>
      </c>
      <c r="BW8" s="132">
        <f t="shared" si="18"/>
        <v>0</v>
      </c>
      <c r="BX8" s="133">
        <f t="shared" si="19"/>
        <v>0</v>
      </c>
      <c r="BY8" s="132">
        <f t="shared" si="20"/>
        <v>0</v>
      </c>
      <c r="BZ8" s="153">
        <f t="shared" si="21"/>
        <v>0</v>
      </c>
      <c r="CA8" s="153">
        <f t="shared" si="22"/>
        <v>0</v>
      </c>
      <c r="CB8" s="134">
        <f t="shared" si="23"/>
        <v>0</v>
      </c>
      <c r="CC8" s="153" t="s">
        <v>369</v>
      </c>
      <c r="CD8" s="134">
        <v>0</v>
      </c>
      <c r="CE8" s="134" t="str">
        <f t="shared" si="24"/>
        <v>Apr-26</v>
      </c>
      <c r="CF8" s="134">
        <f t="shared" si="25"/>
        <v>12528</v>
      </c>
      <c r="CG8" s="134">
        <f t="shared" si="26"/>
        <v>12528</v>
      </c>
      <c r="CH8" s="134">
        <f t="shared" si="27"/>
        <v>2</v>
      </c>
      <c r="CI8" s="154" t="s">
        <v>252</v>
      </c>
      <c r="CJ8" s="134" t="s">
        <v>252</v>
      </c>
      <c r="CK8" s="134" t="str">
        <f>_xlfn.XLOOKUP(AR8,receivables!B:B,receivables!D:D)</f>
        <v>Neelesh Dixit</v>
      </c>
      <c r="CL8" s="134">
        <f t="shared" si="28"/>
        <v>0</v>
      </c>
      <c r="CM8" s="134">
        <f t="shared" si="29"/>
        <v>0</v>
      </c>
      <c r="CN8" s="134">
        <f t="shared" si="30"/>
        <v>0</v>
      </c>
      <c r="CO8" s="134">
        <f t="shared" si="31"/>
        <v>14783.039999999999</v>
      </c>
      <c r="CP8" s="134">
        <f t="shared" si="32"/>
        <v>-14783.039999999999</v>
      </c>
      <c r="CQ8" s="134">
        <f t="shared" si="33"/>
        <v>0</v>
      </c>
      <c r="CR8" s="134">
        <f t="shared" si="34"/>
        <v>0</v>
      </c>
      <c r="CS8" s="134">
        <f t="shared" si="35"/>
        <v>0</v>
      </c>
      <c r="CT8" s="134" t="s">
        <v>296</v>
      </c>
      <c r="CU8" s="134" t="s">
        <v>296</v>
      </c>
      <c r="CV8" s="149" t="str">
        <f t="shared" si="36"/>
        <v>AAMCB5608A</v>
      </c>
      <c r="CW8" s="149" t="str">
        <f t="shared" si="37"/>
        <v>AAACD5406E</v>
      </c>
      <c r="CX8" s="149">
        <v>0</v>
      </c>
      <c r="CY8" s="149">
        <v>0</v>
      </c>
      <c r="CZ8" s="149">
        <v>0</v>
      </c>
      <c r="DA8" s="149">
        <v>0</v>
      </c>
      <c r="DB8" s="149">
        <v>0</v>
      </c>
    </row>
    <row r="9" spans="2:106" s="156" customFormat="1" ht="11.9" customHeight="1" x14ac:dyDescent="0.3">
      <c r="B9" s="127" t="str">
        <f t="shared" si="0"/>
        <v>Q1</v>
      </c>
      <c r="C9" s="128" t="str">
        <f t="shared" si="1"/>
        <v>Apr-26</v>
      </c>
      <c r="D9" s="294">
        <v>46120</v>
      </c>
      <c r="E9" s="130" t="s">
        <v>380</v>
      </c>
      <c r="F9" s="130" t="s">
        <v>197</v>
      </c>
      <c r="G9" s="130" t="s">
        <v>373</v>
      </c>
      <c r="H9" s="131" t="s">
        <v>381</v>
      </c>
      <c r="I9" s="129">
        <v>46120</v>
      </c>
      <c r="J9" s="130" t="s">
        <v>382</v>
      </c>
      <c r="K9" s="129">
        <v>46120</v>
      </c>
      <c r="L9" s="130" t="s">
        <v>376</v>
      </c>
      <c r="M9" s="130" t="s">
        <v>383</v>
      </c>
      <c r="N9" s="131" t="s">
        <v>384</v>
      </c>
      <c r="O9" s="130">
        <v>927</v>
      </c>
      <c r="P9" s="289">
        <v>41</v>
      </c>
      <c r="Q9" s="132">
        <f t="shared" si="2"/>
        <v>38007</v>
      </c>
      <c r="R9" s="133">
        <v>0</v>
      </c>
      <c r="S9" s="132">
        <f t="shared" si="3"/>
        <v>927</v>
      </c>
      <c r="T9" s="133">
        <v>0</v>
      </c>
      <c r="U9" s="134">
        <v>0</v>
      </c>
      <c r="V9" s="135">
        <v>0</v>
      </c>
      <c r="W9" s="134">
        <v>0</v>
      </c>
      <c r="X9" s="136">
        <v>0</v>
      </c>
      <c r="Y9" s="134">
        <v>0</v>
      </c>
      <c r="Z9" s="134">
        <v>0</v>
      </c>
      <c r="AA9" s="133">
        <v>0</v>
      </c>
      <c r="AB9" s="137">
        <f t="shared" si="4"/>
        <v>0</v>
      </c>
      <c r="AC9" s="136">
        <v>0</v>
      </c>
      <c r="AD9" s="337">
        <f t="shared" si="5"/>
        <v>41</v>
      </c>
      <c r="AE9" s="151">
        <v>0</v>
      </c>
      <c r="AF9" s="134">
        <v>0</v>
      </c>
      <c r="AG9" s="134">
        <v>0</v>
      </c>
      <c r="AH9" s="134">
        <v>0</v>
      </c>
      <c r="AI9" s="135">
        <v>0</v>
      </c>
      <c r="AJ9" s="134">
        <v>0</v>
      </c>
      <c r="AK9" s="134">
        <v>0</v>
      </c>
      <c r="AL9" s="134">
        <v>0</v>
      </c>
      <c r="AM9" s="139">
        <f t="shared" si="6"/>
        <v>38007</v>
      </c>
      <c r="AN9" s="140">
        <v>46120</v>
      </c>
      <c r="AO9" s="141" t="s">
        <v>396</v>
      </c>
      <c r="AP9" s="142" t="s">
        <v>390</v>
      </c>
      <c r="AQ9" s="143" t="s">
        <v>391</v>
      </c>
      <c r="AR9" s="143" t="s">
        <v>392</v>
      </c>
      <c r="AS9" s="130" t="s">
        <v>393</v>
      </c>
      <c r="AT9" s="144" t="s">
        <v>394</v>
      </c>
      <c r="AU9" s="144" t="s">
        <v>395</v>
      </c>
      <c r="AV9" s="145">
        <v>0</v>
      </c>
      <c r="AW9" s="143">
        <v>927</v>
      </c>
      <c r="AX9" s="316">
        <v>51</v>
      </c>
      <c r="AY9" s="143">
        <f t="shared" si="7"/>
        <v>47277</v>
      </c>
      <c r="AZ9" s="146" t="b">
        <f t="shared" si="8"/>
        <v>1</v>
      </c>
      <c r="BA9" s="132">
        <v>0</v>
      </c>
      <c r="BB9" s="147">
        <f t="shared" si="9"/>
        <v>927</v>
      </c>
      <c r="BC9" s="148">
        <v>0</v>
      </c>
      <c r="BD9" s="147" t="s">
        <v>116</v>
      </c>
      <c r="BE9" s="148">
        <v>0</v>
      </c>
      <c r="BF9" s="147">
        <v>0</v>
      </c>
      <c r="BG9" s="148">
        <v>0</v>
      </c>
      <c r="BH9" s="134" t="s">
        <v>610</v>
      </c>
      <c r="BI9" s="376">
        <v>46181</v>
      </c>
      <c r="BJ9" s="135">
        <v>0</v>
      </c>
      <c r="BK9" s="132">
        <v>0</v>
      </c>
      <c r="BL9" s="143">
        <v>0</v>
      </c>
      <c r="BM9" s="134">
        <v>0</v>
      </c>
      <c r="BN9" s="149">
        <v>0</v>
      </c>
      <c r="BO9" s="133">
        <f t="shared" si="11"/>
        <v>47277</v>
      </c>
      <c r="BP9" s="139">
        <f t="shared" si="12"/>
        <v>9270</v>
      </c>
      <c r="BQ9" s="148" t="str">
        <f t="shared" si="13"/>
        <v>Positive Margin</v>
      </c>
      <c r="BR9" s="150" t="s">
        <v>602</v>
      </c>
      <c r="BS9" s="132">
        <f t="shared" si="14"/>
        <v>9270</v>
      </c>
      <c r="BT9" s="151" t="str">
        <f t="shared" si="15"/>
        <v>Positive Margin at Inception</v>
      </c>
      <c r="BU9" s="152">
        <f t="shared" si="16"/>
        <v>0.19607843137254902</v>
      </c>
      <c r="BV9" s="151" t="str">
        <f t="shared" si="17"/>
        <v>More than 2%</v>
      </c>
      <c r="BW9" s="132">
        <f t="shared" si="18"/>
        <v>0</v>
      </c>
      <c r="BX9" s="133">
        <f t="shared" si="19"/>
        <v>0</v>
      </c>
      <c r="BY9" s="132">
        <f t="shared" si="20"/>
        <v>0</v>
      </c>
      <c r="BZ9" s="153">
        <f t="shared" si="21"/>
        <v>0</v>
      </c>
      <c r="CA9" s="153">
        <f t="shared" si="22"/>
        <v>0</v>
      </c>
      <c r="CB9" s="134">
        <f t="shared" si="23"/>
        <v>0</v>
      </c>
      <c r="CC9" s="153" t="s">
        <v>369</v>
      </c>
      <c r="CD9" s="134">
        <v>0</v>
      </c>
      <c r="CE9" s="134" t="str">
        <f t="shared" si="24"/>
        <v>Apr-26</v>
      </c>
      <c r="CF9" s="134">
        <f t="shared" si="25"/>
        <v>38007</v>
      </c>
      <c r="CG9" s="134">
        <f t="shared" si="26"/>
        <v>47277</v>
      </c>
      <c r="CH9" s="134">
        <f t="shared" si="27"/>
        <v>2</v>
      </c>
      <c r="CI9" s="154" t="s">
        <v>252</v>
      </c>
      <c r="CJ9" s="134" t="s">
        <v>252</v>
      </c>
      <c r="CK9" s="134" t="str">
        <f>_xlfn.XLOOKUP(AR9,receivables!B:B,receivables!D:D)</f>
        <v>Neelesh Dixit</v>
      </c>
      <c r="CL9" s="134">
        <f t="shared" si="28"/>
        <v>9270</v>
      </c>
      <c r="CM9" s="134">
        <f t="shared" si="29"/>
        <v>9270</v>
      </c>
      <c r="CN9" s="134">
        <f t="shared" si="30"/>
        <v>9270</v>
      </c>
      <c r="CO9" s="134">
        <f t="shared" si="31"/>
        <v>55786.86</v>
      </c>
      <c r="CP9" s="134">
        <f t="shared" si="32"/>
        <v>-44848.259999999995</v>
      </c>
      <c r="CQ9" s="134">
        <f t="shared" si="33"/>
        <v>0</v>
      </c>
      <c r="CR9" s="134">
        <f t="shared" si="34"/>
        <v>0</v>
      </c>
      <c r="CS9" s="134">
        <f t="shared" si="35"/>
        <v>10938.600000000006</v>
      </c>
      <c r="CT9" s="134" t="s">
        <v>296</v>
      </c>
      <c r="CU9" s="134" t="s">
        <v>296</v>
      </c>
      <c r="CV9" s="149" t="str">
        <f t="shared" si="36"/>
        <v>AAMCB5608A</v>
      </c>
      <c r="CW9" s="149" t="str">
        <f t="shared" si="37"/>
        <v>AAACD5406E</v>
      </c>
      <c r="CX9" s="149">
        <v>0</v>
      </c>
      <c r="CY9" s="149">
        <v>0</v>
      </c>
      <c r="CZ9" s="149">
        <v>0</v>
      </c>
      <c r="DA9" s="149">
        <v>0</v>
      </c>
      <c r="DB9" s="149">
        <v>0</v>
      </c>
    </row>
    <row r="10" spans="2:106" s="156" customFormat="1" ht="11.9" customHeight="1" x14ac:dyDescent="0.3">
      <c r="B10" s="127" t="str">
        <f t="shared" si="0"/>
        <v>Q1</v>
      </c>
      <c r="C10" s="128" t="str">
        <f t="shared" si="1"/>
        <v>Apr-26</v>
      </c>
      <c r="D10" s="294">
        <v>46123</v>
      </c>
      <c r="E10" s="130" t="s">
        <v>385</v>
      </c>
      <c r="F10" s="130" t="s">
        <v>197</v>
      </c>
      <c r="G10" s="130" t="s">
        <v>373</v>
      </c>
      <c r="H10" s="131" t="s">
        <v>386</v>
      </c>
      <c r="I10" s="129">
        <v>46123</v>
      </c>
      <c r="J10" s="130" t="s">
        <v>387</v>
      </c>
      <c r="K10" s="129">
        <v>46123</v>
      </c>
      <c r="L10" s="130" t="s">
        <v>376</v>
      </c>
      <c r="M10" s="130" t="s">
        <v>388</v>
      </c>
      <c r="N10" s="131" t="s">
        <v>378</v>
      </c>
      <c r="O10" s="130">
        <v>7855</v>
      </c>
      <c r="P10" s="289">
        <v>41</v>
      </c>
      <c r="Q10" s="132">
        <f t="shared" si="2"/>
        <v>322055</v>
      </c>
      <c r="R10" s="133">
        <v>0</v>
      </c>
      <c r="S10" s="132">
        <f t="shared" si="3"/>
        <v>7855</v>
      </c>
      <c r="T10" s="133">
        <v>0</v>
      </c>
      <c r="U10" s="134">
        <v>0</v>
      </c>
      <c r="V10" s="135">
        <v>0</v>
      </c>
      <c r="W10" s="134">
        <v>0</v>
      </c>
      <c r="X10" s="136">
        <v>0</v>
      </c>
      <c r="Y10" s="134">
        <v>0</v>
      </c>
      <c r="Z10" s="134">
        <v>0</v>
      </c>
      <c r="AA10" s="133">
        <v>0</v>
      </c>
      <c r="AB10" s="137">
        <f t="shared" si="4"/>
        <v>0</v>
      </c>
      <c r="AC10" s="136">
        <v>0</v>
      </c>
      <c r="AD10" s="337">
        <f t="shared" si="5"/>
        <v>41</v>
      </c>
      <c r="AE10" s="151">
        <v>0</v>
      </c>
      <c r="AF10" s="134">
        <v>0</v>
      </c>
      <c r="AG10" s="134">
        <v>0</v>
      </c>
      <c r="AH10" s="134">
        <v>0</v>
      </c>
      <c r="AI10" s="135">
        <v>0</v>
      </c>
      <c r="AJ10" s="134">
        <v>0</v>
      </c>
      <c r="AK10" s="134">
        <v>0</v>
      </c>
      <c r="AL10" s="134">
        <v>0</v>
      </c>
      <c r="AM10" s="139">
        <f t="shared" si="6"/>
        <v>322055</v>
      </c>
      <c r="AN10" s="140">
        <v>46123</v>
      </c>
      <c r="AO10" s="141" t="s">
        <v>397</v>
      </c>
      <c r="AP10" s="142" t="s">
        <v>390</v>
      </c>
      <c r="AQ10" s="143" t="s">
        <v>391</v>
      </c>
      <c r="AR10" s="143" t="s">
        <v>392</v>
      </c>
      <c r="AS10" s="130" t="s">
        <v>393</v>
      </c>
      <c r="AT10" s="144" t="s">
        <v>394</v>
      </c>
      <c r="AU10" s="144" t="s">
        <v>395</v>
      </c>
      <c r="AV10" s="145">
        <v>0</v>
      </c>
      <c r="AW10" s="143">
        <v>7855</v>
      </c>
      <c r="AX10" s="316">
        <v>46</v>
      </c>
      <c r="AY10" s="143">
        <f t="shared" si="7"/>
        <v>361330</v>
      </c>
      <c r="AZ10" s="146" t="b">
        <f t="shared" si="8"/>
        <v>1</v>
      </c>
      <c r="BA10" s="132">
        <v>0</v>
      </c>
      <c r="BB10" s="147">
        <f t="shared" si="9"/>
        <v>7855</v>
      </c>
      <c r="BC10" s="148">
        <v>0</v>
      </c>
      <c r="BD10" s="147" t="s">
        <v>116</v>
      </c>
      <c r="BE10" s="148">
        <v>0</v>
      </c>
      <c r="BF10" s="147">
        <v>0</v>
      </c>
      <c r="BG10" s="148">
        <v>0</v>
      </c>
      <c r="BH10" s="134" t="s">
        <v>606</v>
      </c>
      <c r="BI10" s="376">
        <v>46181</v>
      </c>
      <c r="BJ10" s="135">
        <v>0</v>
      </c>
      <c r="BK10" s="132">
        <v>0</v>
      </c>
      <c r="BL10" s="143">
        <v>0</v>
      </c>
      <c r="BM10" s="134">
        <v>-8421.68</v>
      </c>
      <c r="BN10" s="149">
        <v>0</v>
      </c>
      <c r="BO10" s="133">
        <f t="shared" si="11"/>
        <v>352908.32</v>
      </c>
      <c r="BP10" s="139">
        <f t="shared" si="12"/>
        <v>30853.320000000007</v>
      </c>
      <c r="BQ10" s="148" t="str">
        <f t="shared" si="13"/>
        <v>Positive Margin</v>
      </c>
      <c r="BR10" s="150" t="s">
        <v>602</v>
      </c>
      <c r="BS10" s="132">
        <f t="shared" si="14"/>
        <v>39275</v>
      </c>
      <c r="BT10" s="151" t="str">
        <f t="shared" si="15"/>
        <v>Positive Margin at Inception</v>
      </c>
      <c r="BU10" s="152">
        <f t="shared" si="16"/>
        <v>8.742587876647398E-2</v>
      </c>
      <c r="BV10" s="151" t="str">
        <f t="shared" si="17"/>
        <v>More than 2%</v>
      </c>
      <c r="BW10" s="132">
        <f t="shared" si="18"/>
        <v>-8421.68</v>
      </c>
      <c r="BX10" s="133">
        <f t="shared" si="19"/>
        <v>0</v>
      </c>
      <c r="BY10" s="132">
        <f t="shared" si="20"/>
        <v>-8421.68</v>
      </c>
      <c r="BZ10" s="153">
        <f t="shared" si="21"/>
        <v>-8421.68</v>
      </c>
      <c r="CA10" s="153">
        <f t="shared" si="22"/>
        <v>0</v>
      </c>
      <c r="CB10" s="134">
        <f t="shared" si="23"/>
        <v>-8421.68</v>
      </c>
      <c r="CC10" s="153" t="s">
        <v>369</v>
      </c>
      <c r="CD10" s="134">
        <v>0</v>
      </c>
      <c r="CE10" s="134" t="str">
        <f t="shared" si="24"/>
        <v>Apr-26</v>
      </c>
      <c r="CF10" s="134">
        <f t="shared" si="25"/>
        <v>322055</v>
      </c>
      <c r="CG10" s="134">
        <f t="shared" si="26"/>
        <v>352908.32</v>
      </c>
      <c r="CH10" s="134">
        <f t="shared" si="27"/>
        <v>2</v>
      </c>
      <c r="CI10" s="154" t="s">
        <v>252</v>
      </c>
      <c r="CJ10" s="134" t="s">
        <v>252</v>
      </c>
      <c r="CK10" s="134" t="str">
        <f>_xlfn.XLOOKUP(AR10,receivables!B:B,receivables!D:D)</f>
        <v>Neelesh Dixit</v>
      </c>
      <c r="CL10" s="134">
        <f t="shared" si="28"/>
        <v>39275</v>
      </c>
      <c r="CM10" s="134">
        <f t="shared" si="29"/>
        <v>39275</v>
      </c>
      <c r="CN10" s="134">
        <f t="shared" si="30"/>
        <v>30853.320000000007</v>
      </c>
      <c r="CO10" s="134">
        <f t="shared" si="31"/>
        <v>426369.39999999997</v>
      </c>
      <c r="CP10" s="134">
        <f t="shared" si="32"/>
        <v>-380024.89999999997</v>
      </c>
      <c r="CQ10" s="134">
        <f t="shared" si="33"/>
        <v>9937.5823999999993</v>
      </c>
      <c r="CR10" s="134">
        <f t="shared" si="34"/>
        <v>0</v>
      </c>
      <c r="CS10" s="134">
        <f t="shared" si="35"/>
        <v>56282.082399999999</v>
      </c>
      <c r="CT10" s="134" t="s">
        <v>296</v>
      </c>
      <c r="CU10" s="134" t="s">
        <v>296</v>
      </c>
      <c r="CV10" s="149" t="str">
        <f t="shared" si="36"/>
        <v>AAMCB5608A</v>
      </c>
      <c r="CW10" s="149" t="str">
        <f t="shared" si="37"/>
        <v>AAACD5406E</v>
      </c>
      <c r="CX10" s="149">
        <v>0</v>
      </c>
      <c r="CY10" s="149">
        <v>0</v>
      </c>
      <c r="CZ10" s="149">
        <v>0</v>
      </c>
      <c r="DA10" s="149">
        <v>0</v>
      </c>
      <c r="DB10" s="149">
        <v>0</v>
      </c>
    </row>
    <row r="11" spans="2:106" s="156" customFormat="1" ht="11.9" customHeight="1" x14ac:dyDescent="0.3">
      <c r="B11" s="127" t="str">
        <f t="shared" si="0"/>
        <v>Q1</v>
      </c>
      <c r="C11" s="128" t="str">
        <f t="shared" si="1"/>
        <v>Apr-26</v>
      </c>
      <c r="D11" s="294">
        <v>46123</v>
      </c>
      <c r="E11" s="130" t="s">
        <v>385</v>
      </c>
      <c r="F11" s="130" t="s">
        <v>197</v>
      </c>
      <c r="G11" s="130" t="s">
        <v>373</v>
      </c>
      <c r="H11" s="131" t="s">
        <v>386</v>
      </c>
      <c r="I11" s="129">
        <v>46123</v>
      </c>
      <c r="J11" s="130" t="s">
        <v>387</v>
      </c>
      <c r="K11" s="129">
        <v>46123</v>
      </c>
      <c r="L11" s="130" t="s">
        <v>376</v>
      </c>
      <c r="M11" s="130" t="s">
        <v>388</v>
      </c>
      <c r="N11" s="131" t="s">
        <v>379</v>
      </c>
      <c r="O11" s="130">
        <v>614</v>
      </c>
      <c r="P11" s="289">
        <v>36</v>
      </c>
      <c r="Q11" s="132">
        <f t="shared" si="2"/>
        <v>22104</v>
      </c>
      <c r="R11" s="133">
        <v>0</v>
      </c>
      <c r="S11" s="132">
        <f t="shared" si="3"/>
        <v>614</v>
      </c>
      <c r="T11" s="133">
        <v>0</v>
      </c>
      <c r="U11" s="134">
        <v>0</v>
      </c>
      <c r="V11" s="135">
        <v>0</v>
      </c>
      <c r="W11" s="134">
        <v>0</v>
      </c>
      <c r="X11" s="136">
        <v>0</v>
      </c>
      <c r="Y11" s="134">
        <v>0</v>
      </c>
      <c r="Z11" s="134">
        <v>0</v>
      </c>
      <c r="AA11" s="133">
        <v>0</v>
      </c>
      <c r="AB11" s="137">
        <f t="shared" si="4"/>
        <v>0</v>
      </c>
      <c r="AC11" s="136">
        <v>0</v>
      </c>
      <c r="AD11" s="337">
        <f t="shared" si="5"/>
        <v>36</v>
      </c>
      <c r="AE11" s="151">
        <v>0</v>
      </c>
      <c r="AF11" s="134">
        <v>0</v>
      </c>
      <c r="AG11" s="134">
        <v>0</v>
      </c>
      <c r="AH11" s="134">
        <v>0</v>
      </c>
      <c r="AI11" s="135">
        <v>0</v>
      </c>
      <c r="AJ11" s="134">
        <v>0</v>
      </c>
      <c r="AK11" s="134">
        <v>0</v>
      </c>
      <c r="AL11" s="134">
        <v>0</v>
      </c>
      <c r="AM11" s="139">
        <f t="shared" si="6"/>
        <v>22104</v>
      </c>
      <c r="AN11" s="140">
        <v>46123</v>
      </c>
      <c r="AO11" s="141" t="s">
        <v>397</v>
      </c>
      <c r="AP11" s="142" t="s">
        <v>390</v>
      </c>
      <c r="AQ11" s="143" t="s">
        <v>391</v>
      </c>
      <c r="AR11" s="143" t="s">
        <v>392</v>
      </c>
      <c r="AS11" s="130" t="s">
        <v>393</v>
      </c>
      <c r="AT11" s="144" t="s">
        <v>394</v>
      </c>
      <c r="AU11" s="144" t="s">
        <v>395</v>
      </c>
      <c r="AV11" s="145">
        <v>0</v>
      </c>
      <c r="AW11" s="143">
        <v>614</v>
      </c>
      <c r="AX11" s="316">
        <v>36</v>
      </c>
      <c r="AY11" s="143">
        <f t="shared" si="7"/>
        <v>22104</v>
      </c>
      <c r="AZ11" s="146" t="b">
        <f t="shared" si="8"/>
        <v>1</v>
      </c>
      <c r="BA11" s="132">
        <v>0</v>
      </c>
      <c r="BB11" s="147">
        <f t="shared" si="9"/>
        <v>614</v>
      </c>
      <c r="BC11" s="148">
        <v>0</v>
      </c>
      <c r="BD11" s="147" t="s">
        <v>116</v>
      </c>
      <c r="BE11" s="148">
        <v>0</v>
      </c>
      <c r="BF11" s="147">
        <v>0</v>
      </c>
      <c r="BG11" s="148">
        <v>0</v>
      </c>
      <c r="BH11" s="134" t="s">
        <v>606</v>
      </c>
      <c r="BI11" s="376">
        <v>46181</v>
      </c>
      <c r="BJ11" s="135">
        <v>0</v>
      </c>
      <c r="BK11" s="132">
        <v>0</v>
      </c>
      <c r="BL11" s="143">
        <v>0</v>
      </c>
      <c r="BM11" s="134">
        <v>0</v>
      </c>
      <c r="BN11" s="149">
        <v>0</v>
      </c>
      <c r="BO11" s="133">
        <f t="shared" si="11"/>
        <v>22104</v>
      </c>
      <c r="BP11" s="139">
        <f t="shared" si="12"/>
        <v>0</v>
      </c>
      <c r="BQ11" s="148" t="str">
        <f t="shared" si="13"/>
        <v>Positive Margin</v>
      </c>
      <c r="BR11" s="150" t="s">
        <v>602</v>
      </c>
      <c r="BS11" s="132">
        <f t="shared" si="14"/>
        <v>0</v>
      </c>
      <c r="BT11" s="151" t="str">
        <f t="shared" si="15"/>
        <v>Positive Margin at Inception</v>
      </c>
      <c r="BU11" s="152">
        <f t="shared" si="16"/>
        <v>0</v>
      </c>
      <c r="BV11" s="151" t="str">
        <f t="shared" si="17"/>
        <v>Less Than 1%</v>
      </c>
      <c r="BW11" s="132">
        <f t="shared" si="18"/>
        <v>0</v>
      </c>
      <c r="BX11" s="133">
        <f t="shared" si="19"/>
        <v>0</v>
      </c>
      <c r="BY11" s="132">
        <f t="shared" si="20"/>
        <v>0</v>
      </c>
      <c r="BZ11" s="153">
        <f t="shared" si="21"/>
        <v>0</v>
      </c>
      <c r="CA11" s="153">
        <f t="shared" si="22"/>
        <v>0</v>
      </c>
      <c r="CB11" s="134">
        <f t="shared" si="23"/>
        <v>0</v>
      </c>
      <c r="CC11" s="153" t="s">
        <v>369</v>
      </c>
      <c r="CD11" s="134">
        <v>0</v>
      </c>
      <c r="CE11" s="134" t="str">
        <f t="shared" si="24"/>
        <v>Apr-26</v>
      </c>
      <c r="CF11" s="134">
        <f t="shared" si="25"/>
        <v>22104</v>
      </c>
      <c r="CG11" s="134">
        <f t="shared" si="26"/>
        <v>22104</v>
      </c>
      <c r="CH11" s="134">
        <f t="shared" si="27"/>
        <v>2</v>
      </c>
      <c r="CI11" s="154" t="s">
        <v>252</v>
      </c>
      <c r="CJ11" s="134" t="s">
        <v>252</v>
      </c>
      <c r="CK11" s="134" t="str">
        <f>_xlfn.XLOOKUP(AR11,receivables!B:B,receivables!D:D)</f>
        <v>Neelesh Dixit</v>
      </c>
      <c r="CL11" s="134">
        <f t="shared" si="28"/>
        <v>0</v>
      </c>
      <c r="CM11" s="134">
        <f t="shared" si="29"/>
        <v>0</v>
      </c>
      <c r="CN11" s="134">
        <f t="shared" si="30"/>
        <v>0</v>
      </c>
      <c r="CO11" s="134">
        <f t="shared" si="31"/>
        <v>26082.719999999998</v>
      </c>
      <c r="CP11" s="134">
        <f t="shared" si="32"/>
        <v>-26082.719999999998</v>
      </c>
      <c r="CQ11" s="134">
        <f t="shared" si="33"/>
        <v>0</v>
      </c>
      <c r="CR11" s="134">
        <f t="shared" si="34"/>
        <v>0</v>
      </c>
      <c r="CS11" s="134">
        <f t="shared" si="35"/>
        <v>0</v>
      </c>
      <c r="CT11" s="134" t="s">
        <v>296</v>
      </c>
      <c r="CU11" s="134" t="s">
        <v>296</v>
      </c>
      <c r="CV11" s="149" t="str">
        <f t="shared" si="36"/>
        <v>AAMCB5608A</v>
      </c>
      <c r="CW11" s="149" t="str">
        <f t="shared" si="37"/>
        <v>AAACD5406E</v>
      </c>
      <c r="CX11" s="149">
        <v>0</v>
      </c>
      <c r="CY11" s="149">
        <v>0</v>
      </c>
      <c r="CZ11" s="149">
        <v>0</v>
      </c>
      <c r="DA11" s="149">
        <v>0</v>
      </c>
      <c r="DB11" s="149">
        <v>0</v>
      </c>
    </row>
    <row r="12" spans="2:106" s="156" customFormat="1" ht="11.9" customHeight="1" x14ac:dyDescent="0.3">
      <c r="B12" s="127" t="str">
        <f t="shared" si="0"/>
        <v>Q1</v>
      </c>
      <c r="C12" s="128" t="str">
        <f t="shared" si="1"/>
        <v>Apr-26</v>
      </c>
      <c r="D12" s="294">
        <v>46123</v>
      </c>
      <c r="E12" s="130" t="s">
        <v>385</v>
      </c>
      <c r="F12" s="130" t="s">
        <v>197</v>
      </c>
      <c r="G12" s="130" t="s">
        <v>373</v>
      </c>
      <c r="H12" s="131" t="s">
        <v>386</v>
      </c>
      <c r="I12" s="129">
        <v>46123</v>
      </c>
      <c r="J12" s="130" t="s">
        <v>387</v>
      </c>
      <c r="K12" s="129">
        <v>46123</v>
      </c>
      <c r="L12" s="130" t="s">
        <v>376</v>
      </c>
      <c r="M12" s="130" t="s">
        <v>388</v>
      </c>
      <c r="N12" s="131" t="s">
        <v>384</v>
      </c>
      <c r="O12" s="130">
        <v>596</v>
      </c>
      <c r="P12" s="289">
        <v>41</v>
      </c>
      <c r="Q12" s="132">
        <f t="shared" si="2"/>
        <v>24436</v>
      </c>
      <c r="R12" s="133">
        <v>0</v>
      </c>
      <c r="S12" s="132">
        <f t="shared" si="3"/>
        <v>596</v>
      </c>
      <c r="T12" s="133">
        <v>0</v>
      </c>
      <c r="U12" s="134">
        <v>0</v>
      </c>
      <c r="V12" s="135">
        <v>0</v>
      </c>
      <c r="W12" s="134">
        <v>0</v>
      </c>
      <c r="X12" s="136">
        <v>0</v>
      </c>
      <c r="Y12" s="134">
        <v>0</v>
      </c>
      <c r="Z12" s="134">
        <v>0</v>
      </c>
      <c r="AA12" s="133">
        <v>0</v>
      </c>
      <c r="AB12" s="137">
        <f t="shared" si="4"/>
        <v>0</v>
      </c>
      <c r="AC12" s="136">
        <v>0</v>
      </c>
      <c r="AD12" s="337">
        <f t="shared" si="5"/>
        <v>41</v>
      </c>
      <c r="AE12" s="151">
        <v>0</v>
      </c>
      <c r="AF12" s="134">
        <v>0</v>
      </c>
      <c r="AG12" s="134">
        <v>0</v>
      </c>
      <c r="AH12" s="134">
        <v>0</v>
      </c>
      <c r="AI12" s="135">
        <v>0</v>
      </c>
      <c r="AJ12" s="134">
        <v>0</v>
      </c>
      <c r="AK12" s="134">
        <v>0</v>
      </c>
      <c r="AL12" s="134">
        <v>0</v>
      </c>
      <c r="AM12" s="139">
        <f t="shared" si="6"/>
        <v>24436</v>
      </c>
      <c r="AN12" s="140">
        <v>46123</v>
      </c>
      <c r="AO12" s="141" t="s">
        <v>397</v>
      </c>
      <c r="AP12" s="142" t="s">
        <v>390</v>
      </c>
      <c r="AQ12" s="143" t="s">
        <v>391</v>
      </c>
      <c r="AR12" s="143" t="s">
        <v>392</v>
      </c>
      <c r="AS12" s="130" t="s">
        <v>393</v>
      </c>
      <c r="AT12" s="144" t="s">
        <v>394</v>
      </c>
      <c r="AU12" s="144" t="s">
        <v>395</v>
      </c>
      <c r="AV12" s="145">
        <v>0</v>
      </c>
      <c r="AW12" s="143">
        <v>596</v>
      </c>
      <c r="AX12" s="316">
        <v>51</v>
      </c>
      <c r="AY12" s="143">
        <f t="shared" si="7"/>
        <v>30396</v>
      </c>
      <c r="AZ12" s="146" t="b">
        <f t="shared" si="8"/>
        <v>1</v>
      </c>
      <c r="BA12" s="132">
        <v>0</v>
      </c>
      <c r="BB12" s="147">
        <f t="shared" si="9"/>
        <v>596</v>
      </c>
      <c r="BC12" s="148">
        <v>0</v>
      </c>
      <c r="BD12" s="147" t="s">
        <v>116</v>
      </c>
      <c r="BE12" s="148">
        <v>0</v>
      </c>
      <c r="BF12" s="147">
        <v>0</v>
      </c>
      <c r="BG12" s="148">
        <v>0</v>
      </c>
      <c r="BH12" s="134" t="s">
        <v>606</v>
      </c>
      <c r="BI12" s="376">
        <v>46181</v>
      </c>
      <c r="BJ12" s="135">
        <v>0</v>
      </c>
      <c r="BK12" s="132">
        <v>0</v>
      </c>
      <c r="BL12" s="143">
        <v>0</v>
      </c>
      <c r="BM12" s="134">
        <v>0</v>
      </c>
      <c r="BN12" s="149">
        <v>0</v>
      </c>
      <c r="BO12" s="133">
        <f t="shared" si="11"/>
        <v>30396</v>
      </c>
      <c r="BP12" s="139">
        <f t="shared" si="12"/>
        <v>5960</v>
      </c>
      <c r="BQ12" s="148" t="str">
        <f t="shared" si="13"/>
        <v>Positive Margin</v>
      </c>
      <c r="BR12" s="150" t="s">
        <v>602</v>
      </c>
      <c r="BS12" s="132">
        <f t="shared" si="14"/>
        <v>5960</v>
      </c>
      <c r="BT12" s="151" t="str">
        <f t="shared" si="15"/>
        <v>Positive Margin at Inception</v>
      </c>
      <c r="BU12" s="152">
        <f t="shared" si="16"/>
        <v>0.19607843137254902</v>
      </c>
      <c r="BV12" s="151" t="str">
        <f t="shared" si="17"/>
        <v>More than 2%</v>
      </c>
      <c r="BW12" s="132">
        <f t="shared" si="18"/>
        <v>0</v>
      </c>
      <c r="BX12" s="133">
        <f t="shared" si="19"/>
        <v>0</v>
      </c>
      <c r="BY12" s="132">
        <f t="shared" si="20"/>
        <v>0</v>
      </c>
      <c r="BZ12" s="153">
        <f t="shared" si="21"/>
        <v>0</v>
      </c>
      <c r="CA12" s="153">
        <f t="shared" si="22"/>
        <v>0</v>
      </c>
      <c r="CB12" s="134">
        <f t="shared" si="23"/>
        <v>0</v>
      </c>
      <c r="CC12" s="153" t="s">
        <v>369</v>
      </c>
      <c r="CD12" s="134">
        <v>0</v>
      </c>
      <c r="CE12" s="134" t="str">
        <f t="shared" si="24"/>
        <v>Apr-26</v>
      </c>
      <c r="CF12" s="134">
        <f t="shared" si="25"/>
        <v>24436</v>
      </c>
      <c r="CG12" s="134">
        <f t="shared" si="26"/>
        <v>30396</v>
      </c>
      <c r="CH12" s="134">
        <f t="shared" si="27"/>
        <v>2</v>
      </c>
      <c r="CI12" s="154" t="s">
        <v>252</v>
      </c>
      <c r="CJ12" s="134" t="s">
        <v>252</v>
      </c>
      <c r="CK12" s="134" t="str">
        <f>_xlfn.XLOOKUP(AR12,receivables!B:B,receivables!D:D)</f>
        <v>Neelesh Dixit</v>
      </c>
      <c r="CL12" s="134">
        <f t="shared" si="28"/>
        <v>5960</v>
      </c>
      <c r="CM12" s="134">
        <f t="shared" si="29"/>
        <v>5960</v>
      </c>
      <c r="CN12" s="134">
        <f t="shared" si="30"/>
        <v>5960</v>
      </c>
      <c r="CO12" s="134">
        <f t="shared" si="31"/>
        <v>35867.279999999999</v>
      </c>
      <c r="CP12" s="134">
        <f t="shared" si="32"/>
        <v>-28834.48</v>
      </c>
      <c r="CQ12" s="134">
        <f t="shared" si="33"/>
        <v>0</v>
      </c>
      <c r="CR12" s="134">
        <f t="shared" si="34"/>
        <v>0</v>
      </c>
      <c r="CS12" s="134">
        <f t="shared" si="35"/>
        <v>7032.7999999999993</v>
      </c>
      <c r="CT12" s="134" t="s">
        <v>296</v>
      </c>
      <c r="CU12" s="134" t="s">
        <v>296</v>
      </c>
      <c r="CV12" s="149" t="str">
        <f t="shared" si="36"/>
        <v>AAMCB5608A</v>
      </c>
      <c r="CW12" s="149" t="str">
        <f t="shared" si="37"/>
        <v>AAACD5406E</v>
      </c>
      <c r="CX12" s="149">
        <v>0</v>
      </c>
      <c r="CY12" s="149">
        <v>0</v>
      </c>
      <c r="CZ12" s="149">
        <v>0</v>
      </c>
      <c r="DA12" s="149">
        <v>0</v>
      </c>
      <c r="DB12" s="149">
        <v>0</v>
      </c>
    </row>
    <row r="13" spans="2:106" s="156" customFormat="1" ht="11.9" customHeight="1" x14ac:dyDescent="0.3">
      <c r="B13" s="127" t="str">
        <f t="shared" ref="B13:B17" si="38">"Q" &amp; IF(ROUNDUP(MONTH(D13)/3,0)-1=0,4,ROUNDUP(MONTH(D13)/3,0)-1)</f>
        <v>Q1</v>
      </c>
      <c r="C13" s="128" t="str">
        <f t="shared" ref="C13:C17" si="39">TEXT(AN13,"mmm-yy")</f>
        <v>Apr-26</v>
      </c>
      <c r="D13" s="294">
        <v>46127</v>
      </c>
      <c r="E13" s="130" t="s">
        <v>447</v>
      </c>
      <c r="F13" s="130" t="s">
        <v>197</v>
      </c>
      <c r="G13" s="130" t="s">
        <v>373</v>
      </c>
      <c r="H13" s="131" t="s">
        <v>448</v>
      </c>
      <c r="I13" s="129">
        <v>46127</v>
      </c>
      <c r="J13" s="130" t="s">
        <v>449</v>
      </c>
      <c r="K13" s="129">
        <v>46127</v>
      </c>
      <c r="L13" s="130" t="s">
        <v>376</v>
      </c>
      <c r="M13" s="130" t="s">
        <v>377</v>
      </c>
      <c r="N13" s="131" t="s">
        <v>378</v>
      </c>
      <c r="O13" s="130">
        <v>9044</v>
      </c>
      <c r="P13" s="289">
        <v>41</v>
      </c>
      <c r="Q13" s="132">
        <f t="shared" ref="Q13:Q17" si="40">O13*P13</f>
        <v>370804</v>
      </c>
      <c r="R13" s="133">
        <v>0</v>
      </c>
      <c r="S13" s="132">
        <f t="shared" ref="S13:S17" si="41">O13-R13</f>
        <v>9044</v>
      </c>
      <c r="T13" s="133">
        <v>0</v>
      </c>
      <c r="U13" s="134">
        <v>0</v>
      </c>
      <c r="V13" s="135">
        <v>0</v>
      </c>
      <c r="W13" s="134">
        <v>0</v>
      </c>
      <c r="X13" s="136">
        <v>0</v>
      </c>
      <c r="Y13" s="134">
        <v>0</v>
      </c>
      <c r="Z13" s="134">
        <v>0</v>
      </c>
      <c r="AA13" s="133">
        <v>0</v>
      </c>
      <c r="AB13" s="137">
        <f t="shared" ref="AB13:AB17" si="42">Y13+AA13+Z13</f>
        <v>0</v>
      </c>
      <c r="AC13" s="136">
        <v>0</v>
      </c>
      <c r="AD13" s="337">
        <f t="shared" ref="AD13:AD17" si="43">IFERROR((Q13+AB13)/S13,0)</f>
        <v>41</v>
      </c>
      <c r="AE13" s="151">
        <v>0</v>
      </c>
      <c r="AF13" s="134">
        <v>0</v>
      </c>
      <c r="AG13" s="134">
        <v>0</v>
      </c>
      <c r="AH13" s="134">
        <v>0</v>
      </c>
      <c r="AI13" s="135">
        <v>0</v>
      </c>
      <c r="AJ13" s="134">
        <v>0</v>
      </c>
      <c r="AK13" s="134">
        <v>0</v>
      </c>
      <c r="AL13" s="134">
        <v>0</v>
      </c>
      <c r="AM13" s="139">
        <f t="shared" ref="AM13:AM17" si="44">Q13+AB13+AL13+AK13+AJ13+T13+AE13</f>
        <v>370804</v>
      </c>
      <c r="AN13" s="140">
        <v>46127</v>
      </c>
      <c r="AO13" s="141" t="s">
        <v>454</v>
      </c>
      <c r="AP13" s="142" t="s">
        <v>390</v>
      </c>
      <c r="AQ13" s="143" t="s">
        <v>391</v>
      </c>
      <c r="AR13" s="143" t="s">
        <v>392</v>
      </c>
      <c r="AS13" s="130" t="s">
        <v>393</v>
      </c>
      <c r="AT13" s="144" t="s">
        <v>394</v>
      </c>
      <c r="AU13" s="144" t="s">
        <v>395</v>
      </c>
      <c r="AV13" s="145">
        <v>0</v>
      </c>
      <c r="AW13" s="143">
        <v>9044</v>
      </c>
      <c r="AX13" s="316">
        <v>52</v>
      </c>
      <c r="AY13" s="143">
        <f t="shared" ref="AY13:AY17" si="45">AW13*AX13</f>
        <v>470288</v>
      </c>
      <c r="AZ13" s="146" t="b">
        <f t="shared" ref="AZ13:AZ17" si="46">AW13=O13</f>
        <v>1</v>
      </c>
      <c r="BA13" s="132">
        <v>0</v>
      </c>
      <c r="BB13" s="147">
        <f t="shared" ref="BB13:BB17" si="47">AW13-BA13</f>
        <v>9044</v>
      </c>
      <c r="BC13" s="148">
        <v>0</v>
      </c>
      <c r="BD13" s="147" t="s">
        <v>116</v>
      </c>
      <c r="BE13" s="148">
        <v>0</v>
      </c>
      <c r="BF13" s="147">
        <v>0</v>
      </c>
      <c r="BG13" s="148">
        <v>0</v>
      </c>
      <c r="BH13" s="134" t="s">
        <v>604</v>
      </c>
      <c r="BI13" s="376">
        <v>46181</v>
      </c>
      <c r="BJ13" s="135">
        <v>0</v>
      </c>
      <c r="BK13" s="132">
        <v>0</v>
      </c>
      <c r="BL13" s="143">
        <v>0</v>
      </c>
      <c r="BM13" s="134">
        <v>-12971.6</v>
      </c>
      <c r="BN13" s="149">
        <v>0</v>
      </c>
      <c r="BO13" s="133">
        <f t="shared" ref="BO13:BO17" si="48">AY13+BL13+BM13+BN13+BC13+BG13</f>
        <v>457316.4</v>
      </c>
      <c r="BP13" s="139">
        <f t="shared" ref="BP13:BP17" si="49">BO13-AM13</f>
        <v>86512.400000000023</v>
      </c>
      <c r="BQ13" s="148" t="str">
        <f t="shared" ref="BQ13:BQ17" si="50">IF(BP13&gt;=0,"Positive Margin","Negative Margin")</f>
        <v>Positive Margin</v>
      </c>
      <c r="BR13" s="150" t="s">
        <v>602</v>
      </c>
      <c r="BS13" s="132">
        <f t="shared" ref="BS13:BS17" si="51">AY13-Y13-Q13-AA13-T13+BC13</f>
        <v>99484</v>
      </c>
      <c r="BT13" s="151" t="str">
        <f t="shared" ref="BT13:BT17" si="52">IF(BS13&lt;0, "Negative Margin at Inception", "Positive Margin at Inception")</f>
        <v>Positive Margin at Inception</v>
      </c>
      <c r="BU13" s="152">
        <f t="shared" ref="BU13:BU17" si="53">IFERROR(BP13/BO13,"0")</f>
        <v>0.18917405979754939</v>
      </c>
      <c r="BV13" s="151" t="str">
        <f t="shared" ref="BV13:BV17" si="54">IF(BU13&lt;1%,"Less Than 1%",IF(BU13&gt;2%,"More than 2%",IF(BU13&gt;=1%,"1% - 2%")))</f>
        <v>More than 2%</v>
      </c>
      <c r="BW13" s="132">
        <f t="shared" ref="BW13:BW17" si="55">BM13+BN13</f>
        <v>-12971.6</v>
      </c>
      <c r="BX13" s="133">
        <f t="shared" ref="BX13:BX17" si="56">AL13+AK13</f>
        <v>0</v>
      </c>
      <c r="BY13" s="132">
        <f t="shared" ref="BY13:BY17" si="57">BW13-BX13</f>
        <v>-12971.6</v>
      </c>
      <c r="BZ13" s="153">
        <f t="shared" ref="BZ13:BZ17" si="58">BM13</f>
        <v>-12971.6</v>
      </c>
      <c r="CA13" s="153">
        <f t="shared" ref="CA13:CA17" si="59">AK13</f>
        <v>0</v>
      </c>
      <c r="CB13" s="134">
        <f t="shared" ref="CB13:CB17" si="60">BZ13-CA13</f>
        <v>-12971.6</v>
      </c>
      <c r="CC13" s="153" t="s">
        <v>369</v>
      </c>
      <c r="CD13" s="134">
        <v>0</v>
      </c>
      <c r="CE13" s="134" t="str">
        <f t="shared" ref="CE13:CE17" si="61">TEXT(AN13,"mmm-yy")</f>
        <v>Apr-26</v>
      </c>
      <c r="CF13" s="134">
        <f t="shared" ref="CF13:CF17" si="62">AM13-AL13-AA13</f>
        <v>370804</v>
      </c>
      <c r="CG13" s="134">
        <f t="shared" ref="CG13:CG17" si="63">BO13-BN13</f>
        <v>457316.4</v>
      </c>
      <c r="CH13" s="134">
        <f t="shared" ref="CH13:CH17" si="64">INT((D13- IF(MONTH(D13) &gt;= 4, DATE(YEAR(D13), 4, 1), DATE(YEAR(D13)-1, 4, 1))) / 7) + 1</f>
        <v>3</v>
      </c>
      <c r="CI13" s="154" t="s">
        <v>252</v>
      </c>
      <c r="CJ13" s="134" t="s">
        <v>252</v>
      </c>
      <c r="CK13" s="134" t="str">
        <f>_xlfn.XLOOKUP(AR13,receivables!B:B,receivables!D:D)</f>
        <v>Neelesh Dixit</v>
      </c>
      <c r="CL13" s="134">
        <f t="shared" ref="CL13:CL17" si="65">AY13-Q13</f>
        <v>99484</v>
      </c>
      <c r="CM13" s="134">
        <f t="shared" ref="CM13:CM17" si="66">CL13-Y13+Z13</f>
        <v>99484</v>
      </c>
      <c r="CN13" s="134">
        <f t="shared" ref="CN13:CN17" si="67">BO13-AM13</f>
        <v>86512.400000000023</v>
      </c>
      <c r="CO13" s="134">
        <f t="shared" ref="CO13:CO17" si="68">AY13*118%</f>
        <v>554939.84</v>
      </c>
      <c r="CP13" s="134">
        <f t="shared" ref="CP13:CP17" si="69">-Q13*118%</f>
        <v>-437548.72</v>
      </c>
      <c r="CQ13" s="134">
        <f t="shared" ref="CQ13:CQ17" si="70">-BZ13*118%</f>
        <v>15306.487999999999</v>
      </c>
      <c r="CR13" s="134">
        <f t="shared" ref="CR13:CR17" si="71">-CA13*118%</f>
        <v>0</v>
      </c>
      <c r="CS13" s="134">
        <f t="shared" ref="CS13:CS17" si="72">SUM(CO13:CR13)</f>
        <v>132697.60800000001</v>
      </c>
      <c r="CT13" s="134" t="s">
        <v>296</v>
      </c>
      <c r="CU13" s="134" t="s">
        <v>296</v>
      </c>
      <c r="CV13" s="149" t="str">
        <f t="shared" ref="CV13:CV17" si="73">MID(G13,3,10)</f>
        <v>AAMCB5608A</v>
      </c>
      <c r="CW13" s="149" t="str">
        <f t="shared" ref="CW13:CW17" si="74">MID(AR13,3,10)</f>
        <v>AAACD5406E</v>
      </c>
      <c r="CX13" s="149">
        <v>0</v>
      </c>
      <c r="CY13" s="149">
        <v>0</v>
      </c>
      <c r="CZ13" s="149">
        <v>0</v>
      </c>
      <c r="DA13" s="149">
        <v>0</v>
      </c>
      <c r="DB13" s="149">
        <v>0</v>
      </c>
    </row>
    <row r="14" spans="2:106" s="156" customFormat="1" ht="11.9" customHeight="1" x14ac:dyDescent="0.3">
      <c r="B14" s="127" t="str">
        <f t="shared" si="38"/>
        <v>Q1</v>
      </c>
      <c r="C14" s="128" t="str">
        <f t="shared" si="39"/>
        <v>Apr-26</v>
      </c>
      <c r="D14" s="294">
        <v>46127</v>
      </c>
      <c r="E14" s="130" t="s">
        <v>447</v>
      </c>
      <c r="F14" s="130" t="s">
        <v>197</v>
      </c>
      <c r="G14" s="130" t="s">
        <v>373</v>
      </c>
      <c r="H14" s="131" t="s">
        <v>448</v>
      </c>
      <c r="I14" s="129">
        <v>46127</v>
      </c>
      <c r="J14" s="130" t="s">
        <v>449</v>
      </c>
      <c r="K14" s="129">
        <v>46127</v>
      </c>
      <c r="L14" s="130" t="s">
        <v>376</v>
      </c>
      <c r="M14" s="130" t="s">
        <v>377</v>
      </c>
      <c r="N14" s="131" t="s">
        <v>379</v>
      </c>
      <c r="O14" s="130">
        <v>466</v>
      </c>
      <c r="P14" s="289">
        <v>36</v>
      </c>
      <c r="Q14" s="132">
        <f t="shared" si="40"/>
        <v>16776</v>
      </c>
      <c r="R14" s="133">
        <v>0</v>
      </c>
      <c r="S14" s="132">
        <f t="shared" si="41"/>
        <v>466</v>
      </c>
      <c r="T14" s="133">
        <v>0</v>
      </c>
      <c r="U14" s="134">
        <v>0</v>
      </c>
      <c r="V14" s="135">
        <v>0</v>
      </c>
      <c r="W14" s="134">
        <v>0</v>
      </c>
      <c r="X14" s="136">
        <v>0</v>
      </c>
      <c r="Y14" s="134">
        <v>0</v>
      </c>
      <c r="Z14" s="134">
        <v>0</v>
      </c>
      <c r="AA14" s="133">
        <v>0</v>
      </c>
      <c r="AB14" s="137">
        <f t="shared" si="42"/>
        <v>0</v>
      </c>
      <c r="AC14" s="136">
        <v>0</v>
      </c>
      <c r="AD14" s="337">
        <f t="shared" si="43"/>
        <v>36</v>
      </c>
      <c r="AE14" s="151">
        <v>0</v>
      </c>
      <c r="AF14" s="134">
        <v>0</v>
      </c>
      <c r="AG14" s="134">
        <v>0</v>
      </c>
      <c r="AH14" s="134">
        <v>0</v>
      </c>
      <c r="AI14" s="135">
        <v>0</v>
      </c>
      <c r="AJ14" s="134">
        <v>0</v>
      </c>
      <c r="AK14" s="134">
        <v>0</v>
      </c>
      <c r="AL14" s="134">
        <v>0</v>
      </c>
      <c r="AM14" s="139">
        <f t="shared" si="44"/>
        <v>16776</v>
      </c>
      <c r="AN14" s="140">
        <v>46127</v>
      </c>
      <c r="AO14" s="141" t="s">
        <v>454</v>
      </c>
      <c r="AP14" s="142" t="s">
        <v>390</v>
      </c>
      <c r="AQ14" s="143" t="s">
        <v>391</v>
      </c>
      <c r="AR14" s="143" t="s">
        <v>392</v>
      </c>
      <c r="AS14" s="130" t="s">
        <v>393</v>
      </c>
      <c r="AT14" s="144" t="s">
        <v>394</v>
      </c>
      <c r="AU14" s="144" t="s">
        <v>395</v>
      </c>
      <c r="AV14" s="145">
        <v>0</v>
      </c>
      <c r="AW14" s="143">
        <v>466</v>
      </c>
      <c r="AX14" s="316">
        <v>42</v>
      </c>
      <c r="AY14" s="143">
        <f t="shared" si="45"/>
        <v>19572</v>
      </c>
      <c r="AZ14" s="146" t="b">
        <f t="shared" si="46"/>
        <v>1</v>
      </c>
      <c r="BA14" s="132">
        <v>0</v>
      </c>
      <c r="BB14" s="147">
        <f t="shared" si="47"/>
        <v>466</v>
      </c>
      <c r="BC14" s="148">
        <v>0</v>
      </c>
      <c r="BD14" s="147" t="s">
        <v>116</v>
      </c>
      <c r="BE14" s="148">
        <v>0</v>
      </c>
      <c r="BF14" s="147">
        <v>0</v>
      </c>
      <c r="BG14" s="148">
        <v>0</v>
      </c>
      <c r="BH14" s="134" t="s">
        <v>604</v>
      </c>
      <c r="BI14" s="376">
        <v>46181</v>
      </c>
      <c r="BJ14" s="135">
        <v>0</v>
      </c>
      <c r="BK14" s="132">
        <v>0</v>
      </c>
      <c r="BL14" s="143">
        <v>0</v>
      </c>
      <c r="BM14" s="134">
        <v>0</v>
      </c>
      <c r="BN14" s="149">
        <v>0</v>
      </c>
      <c r="BO14" s="133">
        <f t="shared" si="48"/>
        <v>19572</v>
      </c>
      <c r="BP14" s="139">
        <f t="shared" si="49"/>
        <v>2796</v>
      </c>
      <c r="BQ14" s="148" t="str">
        <f t="shared" si="50"/>
        <v>Positive Margin</v>
      </c>
      <c r="BR14" s="150" t="s">
        <v>602</v>
      </c>
      <c r="BS14" s="132">
        <f t="shared" si="51"/>
        <v>2796</v>
      </c>
      <c r="BT14" s="151" t="str">
        <f t="shared" si="52"/>
        <v>Positive Margin at Inception</v>
      </c>
      <c r="BU14" s="152">
        <f t="shared" si="53"/>
        <v>0.14285714285714285</v>
      </c>
      <c r="BV14" s="151" t="str">
        <f t="shared" si="54"/>
        <v>More than 2%</v>
      </c>
      <c r="BW14" s="132">
        <f t="shared" si="55"/>
        <v>0</v>
      </c>
      <c r="BX14" s="133">
        <f t="shared" si="56"/>
        <v>0</v>
      </c>
      <c r="BY14" s="132">
        <f t="shared" si="57"/>
        <v>0</v>
      </c>
      <c r="BZ14" s="153">
        <f t="shared" si="58"/>
        <v>0</v>
      </c>
      <c r="CA14" s="153">
        <f t="shared" si="59"/>
        <v>0</v>
      </c>
      <c r="CB14" s="134">
        <f t="shared" si="60"/>
        <v>0</v>
      </c>
      <c r="CC14" s="153" t="s">
        <v>369</v>
      </c>
      <c r="CD14" s="134">
        <v>0</v>
      </c>
      <c r="CE14" s="134" t="str">
        <f t="shared" si="61"/>
        <v>Apr-26</v>
      </c>
      <c r="CF14" s="134">
        <f t="shared" si="62"/>
        <v>16776</v>
      </c>
      <c r="CG14" s="134">
        <f t="shared" si="63"/>
        <v>19572</v>
      </c>
      <c r="CH14" s="134">
        <f t="shared" si="64"/>
        <v>3</v>
      </c>
      <c r="CI14" s="154" t="s">
        <v>252</v>
      </c>
      <c r="CJ14" s="134" t="s">
        <v>252</v>
      </c>
      <c r="CK14" s="134" t="str">
        <f>_xlfn.XLOOKUP(AR14,receivables!B:B,receivables!D:D)</f>
        <v>Neelesh Dixit</v>
      </c>
      <c r="CL14" s="134">
        <f t="shared" si="65"/>
        <v>2796</v>
      </c>
      <c r="CM14" s="134">
        <f t="shared" si="66"/>
        <v>2796</v>
      </c>
      <c r="CN14" s="134">
        <f t="shared" si="67"/>
        <v>2796</v>
      </c>
      <c r="CO14" s="134">
        <f t="shared" si="68"/>
        <v>23094.959999999999</v>
      </c>
      <c r="CP14" s="134">
        <f t="shared" si="69"/>
        <v>-19795.68</v>
      </c>
      <c r="CQ14" s="134">
        <f t="shared" si="70"/>
        <v>0</v>
      </c>
      <c r="CR14" s="134">
        <f t="shared" si="71"/>
        <v>0</v>
      </c>
      <c r="CS14" s="134">
        <f t="shared" si="72"/>
        <v>3299.2799999999988</v>
      </c>
      <c r="CT14" s="134" t="s">
        <v>296</v>
      </c>
      <c r="CU14" s="134" t="s">
        <v>296</v>
      </c>
      <c r="CV14" s="149" t="str">
        <f t="shared" si="73"/>
        <v>AAMCB5608A</v>
      </c>
      <c r="CW14" s="149" t="str">
        <f t="shared" si="74"/>
        <v>AAACD5406E</v>
      </c>
      <c r="CX14" s="149">
        <v>0</v>
      </c>
      <c r="CY14" s="149">
        <v>0</v>
      </c>
      <c r="CZ14" s="149">
        <v>0</v>
      </c>
      <c r="DA14" s="149">
        <v>0</v>
      </c>
      <c r="DB14" s="149">
        <v>0</v>
      </c>
    </row>
    <row r="15" spans="2:106" s="156" customFormat="1" ht="11.9" customHeight="1" x14ac:dyDescent="0.3">
      <c r="B15" s="127" t="str">
        <f t="shared" si="38"/>
        <v>Q1</v>
      </c>
      <c r="C15" s="128" t="str">
        <f t="shared" si="39"/>
        <v>Apr-26</v>
      </c>
      <c r="D15" s="294">
        <v>46130</v>
      </c>
      <c r="E15" s="130" t="s">
        <v>450</v>
      </c>
      <c r="F15" s="130" t="s">
        <v>197</v>
      </c>
      <c r="G15" s="130" t="s">
        <v>373</v>
      </c>
      <c r="H15" s="131" t="s">
        <v>451</v>
      </c>
      <c r="I15" s="129">
        <v>46130</v>
      </c>
      <c r="J15" s="130" t="s">
        <v>452</v>
      </c>
      <c r="K15" s="129">
        <v>46130</v>
      </c>
      <c r="L15" s="130" t="s">
        <v>376</v>
      </c>
      <c r="M15" s="130" t="s">
        <v>453</v>
      </c>
      <c r="N15" s="131" t="s">
        <v>378</v>
      </c>
      <c r="O15" s="130">
        <v>8199</v>
      </c>
      <c r="P15" s="289">
        <v>41.5</v>
      </c>
      <c r="Q15" s="132">
        <f t="shared" si="40"/>
        <v>340258.5</v>
      </c>
      <c r="R15" s="133">
        <v>0</v>
      </c>
      <c r="S15" s="132">
        <f t="shared" si="41"/>
        <v>8199</v>
      </c>
      <c r="T15" s="133">
        <v>0</v>
      </c>
      <c r="U15" s="134">
        <v>0</v>
      </c>
      <c r="V15" s="135">
        <v>0</v>
      </c>
      <c r="W15" s="134">
        <v>0</v>
      </c>
      <c r="X15" s="136">
        <v>0</v>
      </c>
      <c r="Y15" s="134">
        <v>0</v>
      </c>
      <c r="Z15" s="134">
        <v>0</v>
      </c>
      <c r="AA15" s="133">
        <v>0</v>
      </c>
      <c r="AB15" s="137">
        <f t="shared" si="42"/>
        <v>0</v>
      </c>
      <c r="AC15" s="136">
        <v>0</v>
      </c>
      <c r="AD15" s="337">
        <f t="shared" si="43"/>
        <v>41.5</v>
      </c>
      <c r="AE15" s="151">
        <v>0</v>
      </c>
      <c r="AF15" s="134">
        <v>0</v>
      </c>
      <c r="AG15" s="134">
        <v>0</v>
      </c>
      <c r="AH15" s="134">
        <v>0</v>
      </c>
      <c r="AI15" s="135">
        <v>0</v>
      </c>
      <c r="AJ15" s="134">
        <v>0</v>
      </c>
      <c r="AK15" s="134">
        <v>0</v>
      </c>
      <c r="AL15" s="134">
        <v>0</v>
      </c>
      <c r="AM15" s="139">
        <f t="shared" si="44"/>
        <v>340258.5</v>
      </c>
      <c r="AN15" s="140">
        <v>46130</v>
      </c>
      <c r="AO15" s="141" t="s">
        <v>455</v>
      </c>
      <c r="AP15" s="142" t="s">
        <v>390</v>
      </c>
      <c r="AQ15" s="143" t="s">
        <v>391</v>
      </c>
      <c r="AR15" s="143" t="s">
        <v>392</v>
      </c>
      <c r="AS15" s="130" t="s">
        <v>393</v>
      </c>
      <c r="AT15" s="144" t="s">
        <v>394</v>
      </c>
      <c r="AU15" s="144" t="s">
        <v>395</v>
      </c>
      <c r="AV15" s="145">
        <v>0</v>
      </c>
      <c r="AW15" s="143">
        <v>8199</v>
      </c>
      <c r="AX15" s="316">
        <v>52</v>
      </c>
      <c r="AY15" s="143">
        <f t="shared" si="45"/>
        <v>426348</v>
      </c>
      <c r="AZ15" s="146" t="b">
        <f t="shared" si="46"/>
        <v>1</v>
      </c>
      <c r="BA15" s="132">
        <v>0</v>
      </c>
      <c r="BB15" s="147">
        <f t="shared" si="47"/>
        <v>8199</v>
      </c>
      <c r="BC15" s="148">
        <v>0</v>
      </c>
      <c r="BD15" s="147" t="s">
        <v>116</v>
      </c>
      <c r="BE15" s="148">
        <v>0</v>
      </c>
      <c r="BF15" s="147">
        <v>0</v>
      </c>
      <c r="BG15" s="148">
        <v>0</v>
      </c>
      <c r="BH15" s="134" t="s">
        <v>609</v>
      </c>
      <c r="BI15" s="376">
        <v>46181</v>
      </c>
      <c r="BJ15" s="135">
        <v>0</v>
      </c>
      <c r="BK15" s="132">
        <v>0</v>
      </c>
      <c r="BL15" s="143">
        <v>0</v>
      </c>
      <c r="BM15" s="134">
        <v>-3076.84</v>
      </c>
      <c r="BN15" s="149">
        <v>0</v>
      </c>
      <c r="BO15" s="133">
        <f t="shared" si="48"/>
        <v>423271.16</v>
      </c>
      <c r="BP15" s="139">
        <f t="shared" si="49"/>
        <v>83012.659999999974</v>
      </c>
      <c r="BQ15" s="148" t="str">
        <f t="shared" si="50"/>
        <v>Positive Margin</v>
      </c>
      <c r="BR15" s="150" t="s">
        <v>602</v>
      </c>
      <c r="BS15" s="132">
        <f t="shared" si="51"/>
        <v>86089.5</v>
      </c>
      <c r="BT15" s="151" t="str">
        <f t="shared" si="52"/>
        <v>Positive Margin at Inception</v>
      </c>
      <c r="BU15" s="152">
        <f t="shared" si="53"/>
        <v>0.19612170127537151</v>
      </c>
      <c r="BV15" s="151" t="str">
        <f t="shared" si="54"/>
        <v>More than 2%</v>
      </c>
      <c r="BW15" s="132">
        <f t="shared" si="55"/>
        <v>-3076.84</v>
      </c>
      <c r="BX15" s="133">
        <f t="shared" si="56"/>
        <v>0</v>
      </c>
      <c r="BY15" s="132">
        <f t="shared" si="57"/>
        <v>-3076.84</v>
      </c>
      <c r="BZ15" s="153">
        <f t="shared" si="58"/>
        <v>-3076.84</v>
      </c>
      <c r="CA15" s="153">
        <f t="shared" si="59"/>
        <v>0</v>
      </c>
      <c r="CB15" s="134">
        <f t="shared" si="60"/>
        <v>-3076.84</v>
      </c>
      <c r="CC15" s="153" t="s">
        <v>369</v>
      </c>
      <c r="CD15" s="134">
        <v>0</v>
      </c>
      <c r="CE15" s="134" t="str">
        <f t="shared" si="61"/>
        <v>Apr-26</v>
      </c>
      <c r="CF15" s="134">
        <f t="shared" si="62"/>
        <v>340258.5</v>
      </c>
      <c r="CG15" s="134">
        <f t="shared" si="63"/>
        <v>423271.16</v>
      </c>
      <c r="CH15" s="134">
        <f t="shared" si="64"/>
        <v>3</v>
      </c>
      <c r="CI15" s="154" t="s">
        <v>252</v>
      </c>
      <c r="CJ15" s="134" t="s">
        <v>252</v>
      </c>
      <c r="CK15" s="134" t="str">
        <f>_xlfn.XLOOKUP(AR15,receivables!B:B,receivables!D:D)</f>
        <v>Neelesh Dixit</v>
      </c>
      <c r="CL15" s="134">
        <f t="shared" si="65"/>
        <v>86089.5</v>
      </c>
      <c r="CM15" s="134">
        <f t="shared" si="66"/>
        <v>86089.5</v>
      </c>
      <c r="CN15" s="134">
        <f t="shared" si="67"/>
        <v>83012.659999999974</v>
      </c>
      <c r="CO15" s="134">
        <f t="shared" si="68"/>
        <v>503090.63999999996</v>
      </c>
      <c r="CP15" s="134">
        <f t="shared" si="69"/>
        <v>-401505.02999999997</v>
      </c>
      <c r="CQ15" s="134">
        <f t="shared" si="70"/>
        <v>3630.6711999999998</v>
      </c>
      <c r="CR15" s="134">
        <f t="shared" si="71"/>
        <v>0</v>
      </c>
      <c r="CS15" s="134">
        <f t="shared" si="72"/>
        <v>105216.28119999998</v>
      </c>
      <c r="CT15" s="134" t="s">
        <v>296</v>
      </c>
      <c r="CU15" s="134" t="s">
        <v>296</v>
      </c>
      <c r="CV15" s="149" t="str">
        <f t="shared" si="73"/>
        <v>AAMCB5608A</v>
      </c>
      <c r="CW15" s="149" t="str">
        <f t="shared" si="74"/>
        <v>AAACD5406E</v>
      </c>
      <c r="CX15" s="149">
        <v>0</v>
      </c>
      <c r="CY15" s="149">
        <v>0</v>
      </c>
      <c r="CZ15" s="149">
        <v>0</v>
      </c>
      <c r="DA15" s="149">
        <v>0</v>
      </c>
      <c r="DB15" s="149">
        <v>0</v>
      </c>
    </row>
    <row r="16" spans="2:106" s="156" customFormat="1" ht="11.9" customHeight="1" x14ac:dyDescent="0.3">
      <c r="B16" s="127" t="str">
        <f t="shared" si="38"/>
        <v>Q1</v>
      </c>
      <c r="C16" s="128" t="str">
        <f t="shared" si="39"/>
        <v>Apr-26</v>
      </c>
      <c r="D16" s="294">
        <v>46130</v>
      </c>
      <c r="E16" s="130" t="s">
        <v>450</v>
      </c>
      <c r="F16" s="130" t="s">
        <v>197</v>
      </c>
      <c r="G16" s="130" t="s">
        <v>373</v>
      </c>
      <c r="H16" s="131" t="s">
        <v>451</v>
      </c>
      <c r="I16" s="129">
        <v>46130</v>
      </c>
      <c r="J16" s="130" t="s">
        <v>452</v>
      </c>
      <c r="K16" s="129">
        <v>46130</v>
      </c>
      <c r="L16" s="130" t="s">
        <v>376</v>
      </c>
      <c r="M16" s="130" t="s">
        <v>453</v>
      </c>
      <c r="N16" s="131" t="s">
        <v>379</v>
      </c>
      <c r="O16" s="130">
        <v>690</v>
      </c>
      <c r="P16" s="289">
        <v>36.5</v>
      </c>
      <c r="Q16" s="132">
        <f t="shared" si="40"/>
        <v>25185</v>
      </c>
      <c r="R16" s="133">
        <v>0</v>
      </c>
      <c r="S16" s="132">
        <f t="shared" si="41"/>
        <v>690</v>
      </c>
      <c r="T16" s="133">
        <v>0</v>
      </c>
      <c r="U16" s="134">
        <v>0</v>
      </c>
      <c r="V16" s="135">
        <v>0</v>
      </c>
      <c r="W16" s="134">
        <v>0</v>
      </c>
      <c r="X16" s="136">
        <v>0</v>
      </c>
      <c r="Y16" s="134">
        <v>0</v>
      </c>
      <c r="Z16" s="134">
        <v>0</v>
      </c>
      <c r="AA16" s="133">
        <v>0</v>
      </c>
      <c r="AB16" s="137">
        <f t="shared" si="42"/>
        <v>0</v>
      </c>
      <c r="AC16" s="136">
        <v>0</v>
      </c>
      <c r="AD16" s="337">
        <f t="shared" si="43"/>
        <v>36.5</v>
      </c>
      <c r="AE16" s="151">
        <v>0</v>
      </c>
      <c r="AF16" s="134">
        <v>0</v>
      </c>
      <c r="AG16" s="134">
        <v>0</v>
      </c>
      <c r="AH16" s="134">
        <v>0</v>
      </c>
      <c r="AI16" s="135">
        <v>0</v>
      </c>
      <c r="AJ16" s="134">
        <v>0</v>
      </c>
      <c r="AK16" s="134">
        <v>0</v>
      </c>
      <c r="AL16" s="134">
        <v>0</v>
      </c>
      <c r="AM16" s="139">
        <f t="shared" si="44"/>
        <v>25185</v>
      </c>
      <c r="AN16" s="140">
        <v>46130</v>
      </c>
      <c r="AO16" s="141" t="s">
        <v>455</v>
      </c>
      <c r="AP16" s="142" t="s">
        <v>390</v>
      </c>
      <c r="AQ16" s="143" t="s">
        <v>391</v>
      </c>
      <c r="AR16" s="143" t="s">
        <v>392</v>
      </c>
      <c r="AS16" s="130" t="s">
        <v>393</v>
      </c>
      <c r="AT16" s="144" t="s">
        <v>394</v>
      </c>
      <c r="AU16" s="144" t="s">
        <v>395</v>
      </c>
      <c r="AV16" s="145">
        <v>0</v>
      </c>
      <c r="AW16" s="143">
        <v>690</v>
      </c>
      <c r="AX16" s="316">
        <v>42</v>
      </c>
      <c r="AY16" s="143">
        <f t="shared" si="45"/>
        <v>28980</v>
      </c>
      <c r="AZ16" s="146" t="b">
        <f t="shared" si="46"/>
        <v>1</v>
      </c>
      <c r="BA16" s="132">
        <v>0</v>
      </c>
      <c r="BB16" s="147">
        <f t="shared" si="47"/>
        <v>690</v>
      </c>
      <c r="BC16" s="148">
        <v>0</v>
      </c>
      <c r="BD16" s="147" t="s">
        <v>116</v>
      </c>
      <c r="BE16" s="148">
        <v>0</v>
      </c>
      <c r="BF16" s="147">
        <v>0</v>
      </c>
      <c r="BG16" s="148">
        <v>0</v>
      </c>
      <c r="BH16" s="134" t="s">
        <v>609</v>
      </c>
      <c r="BI16" s="376">
        <v>46181</v>
      </c>
      <c r="BJ16" s="135">
        <v>0</v>
      </c>
      <c r="BK16" s="132">
        <v>0</v>
      </c>
      <c r="BL16" s="143">
        <v>0</v>
      </c>
      <c r="BM16" s="134">
        <v>0</v>
      </c>
      <c r="BN16" s="149">
        <v>0</v>
      </c>
      <c r="BO16" s="133">
        <f t="shared" si="48"/>
        <v>28980</v>
      </c>
      <c r="BP16" s="139">
        <f t="shared" si="49"/>
        <v>3795</v>
      </c>
      <c r="BQ16" s="148" t="str">
        <f t="shared" si="50"/>
        <v>Positive Margin</v>
      </c>
      <c r="BR16" s="150" t="s">
        <v>602</v>
      </c>
      <c r="BS16" s="132">
        <f t="shared" si="51"/>
        <v>3795</v>
      </c>
      <c r="BT16" s="151" t="str">
        <f t="shared" si="52"/>
        <v>Positive Margin at Inception</v>
      </c>
      <c r="BU16" s="152">
        <f t="shared" si="53"/>
        <v>0.13095238095238096</v>
      </c>
      <c r="BV16" s="151" t="str">
        <f t="shared" si="54"/>
        <v>More than 2%</v>
      </c>
      <c r="BW16" s="132">
        <f t="shared" si="55"/>
        <v>0</v>
      </c>
      <c r="BX16" s="133">
        <f t="shared" si="56"/>
        <v>0</v>
      </c>
      <c r="BY16" s="132">
        <f t="shared" si="57"/>
        <v>0</v>
      </c>
      <c r="BZ16" s="153">
        <f t="shared" si="58"/>
        <v>0</v>
      </c>
      <c r="CA16" s="153">
        <f t="shared" si="59"/>
        <v>0</v>
      </c>
      <c r="CB16" s="134">
        <f t="shared" si="60"/>
        <v>0</v>
      </c>
      <c r="CC16" s="153" t="s">
        <v>369</v>
      </c>
      <c r="CD16" s="134">
        <v>0</v>
      </c>
      <c r="CE16" s="134" t="str">
        <f t="shared" si="61"/>
        <v>Apr-26</v>
      </c>
      <c r="CF16" s="134">
        <f t="shared" si="62"/>
        <v>25185</v>
      </c>
      <c r="CG16" s="134">
        <f t="shared" si="63"/>
        <v>28980</v>
      </c>
      <c r="CH16" s="134">
        <f t="shared" si="64"/>
        <v>3</v>
      </c>
      <c r="CI16" s="154" t="s">
        <v>252</v>
      </c>
      <c r="CJ16" s="134" t="s">
        <v>252</v>
      </c>
      <c r="CK16" s="134" t="str">
        <f>_xlfn.XLOOKUP(AR16,receivables!B:B,receivables!D:D)</f>
        <v>Neelesh Dixit</v>
      </c>
      <c r="CL16" s="134">
        <f t="shared" si="65"/>
        <v>3795</v>
      </c>
      <c r="CM16" s="134">
        <f t="shared" si="66"/>
        <v>3795</v>
      </c>
      <c r="CN16" s="134">
        <f t="shared" si="67"/>
        <v>3795</v>
      </c>
      <c r="CO16" s="134">
        <f t="shared" si="68"/>
        <v>34196.400000000001</v>
      </c>
      <c r="CP16" s="134">
        <f t="shared" si="69"/>
        <v>-29718.3</v>
      </c>
      <c r="CQ16" s="134">
        <f t="shared" si="70"/>
        <v>0</v>
      </c>
      <c r="CR16" s="134">
        <f t="shared" si="71"/>
        <v>0</v>
      </c>
      <c r="CS16" s="134">
        <f t="shared" si="72"/>
        <v>4478.1000000000022</v>
      </c>
      <c r="CT16" s="134" t="s">
        <v>296</v>
      </c>
      <c r="CU16" s="134" t="s">
        <v>296</v>
      </c>
      <c r="CV16" s="149" t="str">
        <f t="shared" si="73"/>
        <v>AAMCB5608A</v>
      </c>
      <c r="CW16" s="149" t="str">
        <f t="shared" si="74"/>
        <v>AAACD5406E</v>
      </c>
      <c r="CX16" s="149">
        <v>0</v>
      </c>
      <c r="CY16" s="149">
        <v>0</v>
      </c>
      <c r="CZ16" s="149">
        <v>0</v>
      </c>
      <c r="DA16" s="149">
        <v>0</v>
      </c>
      <c r="DB16" s="149">
        <v>0</v>
      </c>
    </row>
    <row r="17" spans="2:106" s="156" customFormat="1" ht="11.9" customHeight="1" x14ac:dyDescent="0.3">
      <c r="B17" s="127" t="str">
        <f t="shared" si="38"/>
        <v>Q1</v>
      </c>
      <c r="C17" s="128" t="str">
        <f t="shared" si="39"/>
        <v>Apr-26</v>
      </c>
      <c r="D17" s="294">
        <v>46130</v>
      </c>
      <c r="E17" s="130" t="s">
        <v>450</v>
      </c>
      <c r="F17" s="130" t="s">
        <v>197</v>
      </c>
      <c r="G17" s="130" t="s">
        <v>373</v>
      </c>
      <c r="H17" s="131" t="s">
        <v>451</v>
      </c>
      <c r="I17" s="129">
        <v>46130</v>
      </c>
      <c r="J17" s="130" t="s">
        <v>452</v>
      </c>
      <c r="K17" s="129">
        <v>46130</v>
      </c>
      <c r="L17" s="130" t="s">
        <v>376</v>
      </c>
      <c r="M17" s="130" t="s">
        <v>453</v>
      </c>
      <c r="N17" s="131" t="s">
        <v>384</v>
      </c>
      <c r="O17" s="130">
        <v>751</v>
      </c>
      <c r="P17" s="289">
        <v>41.5</v>
      </c>
      <c r="Q17" s="132">
        <f t="shared" si="40"/>
        <v>31166.5</v>
      </c>
      <c r="R17" s="133">
        <v>0</v>
      </c>
      <c r="S17" s="132">
        <f t="shared" si="41"/>
        <v>751</v>
      </c>
      <c r="T17" s="133">
        <v>0</v>
      </c>
      <c r="U17" s="134">
        <v>0</v>
      </c>
      <c r="V17" s="135">
        <v>0</v>
      </c>
      <c r="W17" s="134">
        <v>0</v>
      </c>
      <c r="X17" s="136">
        <v>0</v>
      </c>
      <c r="Y17" s="134">
        <v>0</v>
      </c>
      <c r="Z17" s="134">
        <v>0</v>
      </c>
      <c r="AA17" s="133">
        <v>0</v>
      </c>
      <c r="AB17" s="137">
        <f t="shared" si="42"/>
        <v>0</v>
      </c>
      <c r="AC17" s="136">
        <v>0</v>
      </c>
      <c r="AD17" s="337">
        <f t="shared" si="43"/>
        <v>41.5</v>
      </c>
      <c r="AE17" s="151">
        <v>0</v>
      </c>
      <c r="AF17" s="134">
        <v>0</v>
      </c>
      <c r="AG17" s="134">
        <v>0</v>
      </c>
      <c r="AH17" s="134">
        <v>0</v>
      </c>
      <c r="AI17" s="135">
        <v>0</v>
      </c>
      <c r="AJ17" s="134">
        <v>0</v>
      </c>
      <c r="AK17" s="134">
        <v>0</v>
      </c>
      <c r="AL17" s="134">
        <v>0</v>
      </c>
      <c r="AM17" s="139">
        <f t="shared" si="44"/>
        <v>31166.5</v>
      </c>
      <c r="AN17" s="140">
        <v>46130</v>
      </c>
      <c r="AO17" s="141" t="s">
        <v>455</v>
      </c>
      <c r="AP17" s="142" t="s">
        <v>390</v>
      </c>
      <c r="AQ17" s="143" t="s">
        <v>391</v>
      </c>
      <c r="AR17" s="143" t="s">
        <v>392</v>
      </c>
      <c r="AS17" s="130" t="s">
        <v>393</v>
      </c>
      <c r="AT17" s="144" t="s">
        <v>394</v>
      </c>
      <c r="AU17" s="144" t="s">
        <v>395</v>
      </c>
      <c r="AV17" s="145">
        <v>0</v>
      </c>
      <c r="AW17" s="143">
        <v>751</v>
      </c>
      <c r="AX17" s="316">
        <v>57</v>
      </c>
      <c r="AY17" s="143">
        <f t="shared" si="45"/>
        <v>42807</v>
      </c>
      <c r="AZ17" s="146" t="b">
        <f t="shared" si="46"/>
        <v>1</v>
      </c>
      <c r="BA17" s="132">
        <v>0</v>
      </c>
      <c r="BB17" s="147">
        <f t="shared" si="47"/>
        <v>751</v>
      </c>
      <c r="BC17" s="148">
        <v>0</v>
      </c>
      <c r="BD17" s="147" t="s">
        <v>116</v>
      </c>
      <c r="BE17" s="148">
        <v>0</v>
      </c>
      <c r="BF17" s="147">
        <v>0</v>
      </c>
      <c r="BG17" s="148">
        <v>0</v>
      </c>
      <c r="BH17" s="134" t="s">
        <v>609</v>
      </c>
      <c r="BI17" s="376">
        <v>46181</v>
      </c>
      <c r="BJ17" s="135">
        <v>0</v>
      </c>
      <c r="BK17" s="132">
        <v>0</v>
      </c>
      <c r="BL17" s="143">
        <v>0</v>
      </c>
      <c r="BM17" s="134">
        <v>0</v>
      </c>
      <c r="BN17" s="149">
        <v>0</v>
      </c>
      <c r="BO17" s="133">
        <f t="shared" si="48"/>
        <v>42807</v>
      </c>
      <c r="BP17" s="139">
        <f t="shared" si="49"/>
        <v>11640.5</v>
      </c>
      <c r="BQ17" s="148" t="str">
        <f t="shared" si="50"/>
        <v>Positive Margin</v>
      </c>
      <c r="BR17" s="150" t="s">
        <v>602</v>
      </c>
      <c r="BS17" s="132">
        <f t="shared" si="51"/>
        <v>11640.5</v>
      </c>
      <c r="BT17" s="151" t="str">
        <f t="shared" si="52"/>
        <v>Positive Margin at Inception</v>
      </c>
      <c r="BU17" s="152">
        <f t="shared" si="53"/>
        <v>0.27192982456140352</v>
      </c>
      <c r="BV17" s="151" t="str">
        <f t="shared" si="54"/>
        <v>More than 2%</v>
      </c>
      <c r="BW17" s="132">
        <f t="shared" si="55"/>
        <v>0</v>
      </c>
      <c r="BX17" s="133">
        <f t="shared" si="56"/>
        <v>0</v>
      </c>
      <c r="BY17" s="132">
        <f t="shared" si="57"/>
        <v>0</v>
      </c>
      <c r="BZ17" s="153">
        <f t="shared" si="58"/>
        <v>0</v>
      </c>
      <c r="CA17" s="153">
        <f t="shared" si="59"/>
        <v>0</v>
      </c>
      <c r="CB17" s="134">
        <f t="shared" si="60"/>
        <v>0</v>
      </c>
      <c r="CC17" s="153" t="s">
        <v>369</v>
      </c>
      <c r="CD17" s="134">
        <v>0</v>
      </c>
      <c r="CE17" s="134" t="str">
        <f t="shared" si="61"/>
        <v>Apr-26</v>
      </c>
      <c r="CF17" s="134">
        <f t="shared" si="62"/>
        <v>31166.5</v>
      </c>
      <c r="CG17" s="134">
        <f t="shared" si="63"/>
        <v>42807</v>
      </c>
      <c r="CH17" s="134">
        <f t="shared" si="64"/>
        <v>3</v>
      </c>
      <c r="CI17" s="154" t="s">
        <v>252</v>
      </c>
      <c r="CJ17" s="134" t="s">
        <v>252</v>
      </c>
      <c r="CK17" s="134" t="str">
        <f>_xlfn.XLOOKUP(AR17,receivables!B:B,receivables!D:D)</f>
        <v>Neelesh Dixit</v>
      </c>
      <c r="CL17" s="134">
        <f t="shared" si="65"/>
        <v>11640.5</v>
      </c>
      <c r="CM17" s="134">
        <f t="shared" si="66"/>
        <v>11640.5</v>
      </c>
      <c r="CN17" s="134">
        <f t="shared" si="67"/>
        <v>11640.5</v>
      </c>
      <c r="CO17" s="134">
        <f t="shared" si="68"/>
        <v>50512.259999999995</v>
      </c>
      <c r="CP17" s="134">
        <f t="shared" si="69"/>
        <v>-36776.47</v>
      </c>
      <c r="CQ17" s="134">
        <f t="shared" si="70"/>
        <v>0</v>
      </c>
      <c r="CR17" s="134">
        <f t="shared" si="71"/>
        <v>0</v>
      </c>
      <c r="CS17" s="134">
        <f t="shared" si="72"/>
        <v>13735.789999999994</v>
      </c>
      <c r="CT17" s="134" t="s">
        <v>296</v>
      </c>
      <c r="CU17" s="134" t="s">
        <v>296</v>
      </c>
      <c r="CV17" s="149" t="str">
        <f t="shared" si="73"/>
        <v>AAMCB5608A</v>
      </c>
      <c r="CW17" s="149" t="str">
        <f t="shared" si="74"/>
        <v>AAACD5406E</v>
      </c>
      <c r="CX17" s="149">
        <v>0</v>
      </c>
      <c r="CY17" s="149">
        <v>0</v>
      </c>
      <c r="CZ17" s="149">
        <v>0</v>
      </c>
      <c r="DA17" s="149">
        <v>0</v>
      </c>
      <c r="DB17" s="149">
        <v>0</v>
      </c>
    </row>
    <row r="18" spans="2:106" s="156" customFormat="1" ht="11.9" customHeight="1" x14ac:dyDescent="0.3">
      <c r="B18" s="127" t="str">
        <f t="shared" ref="B18:B23" si="75">"Q" &amp; IF(ROUNDUP(MONTH(D18)/3,0)-1=0,4,ROUNDUP(MONTH(D18)/3,0)-1)</f>
        <v>Q1</v>
      </c>
      <c r="C18" s="128" t="str">
        <f t="shared" ref="C18:C23" si="76">TEXT(AN18,"mmm-yy")</f>
        <v>Apr-26</v>
      </c>
      <c r="D18" s="294">
        <v>46134</v>
      </c>
      <c r="E18" s="130" t="s">
        <v>486</v>
      </c>
      <c r="F18" s="130" t="s">
        <v>197</v>
      </c>
      <c r="G18" s="130" t="s">
        <v>373</v>
      </c>
      <c r="H18" s="131" t="s">
        <v>487</v>
      </c>
      <c r="I18" s="129">
        <v>46134</v>
      </c>
      <c r="J18" s="130" t="s">
        <v>488</v>
      </c>
      <c r="K18" s="129">
        <v>46134</v>
      </c>
      <c r="L18" s="130" t="s">
        <v>376</v>
      </c>
      <c r="M18" s="130" t="s">
        <v>489</v>
      </c>
      <c r="N18" s="131" t="s">
        <v>378</v>
      </c>
      <c r="O18" s="130">
        <v>8711</v>
      </c>
      <c r="P18" s="289">
        <v>42</v>
      </c>
      <c r="Q18" s="132">
        <f t="shared" ref="Q18:Q23" si="77">O18*P18</f>
        <v>365862</v>
      </c>
      <c r="R18" s="133">
        <v>0</v>
      </c>
      <c r="S18" s="132">
        <f t="shared" ref="S18:S23" si="78">O18-R18</f>
        <v>8711</v>
      </c>
      <c r="T18" s="133">
        <v>0</v>
      </c>
      <c r="U18" s="134">
        <v>0</v>
      </c>
      <c r="V18" s="135">
        <v>0</v>
      </c>
      <c r="W18" s="134">
        <v>0</v>
      </c>
      <c r="X18" s="136">
        <v>0</v>
      </c>
      <c r="Y18" s="134">
        <v>0</v>
      </c>
      <c r="Z18" s="134">
        <v>0</v>
      </c>
      <c r="AA18" s="133">
        <v>0</v>
      </c>
      <c r="AB18" s="137">
        <f t="shared" ref="AB18:AB23" si="79">Y18+AA18+Z18</f>
        <v>0</v>
      </c>
      <c r="AC18" s="136">
        <v>0</v>
      </c>
      <c r="AD18" s="337">
        <f t="shared" ref="AD18:AD23" si="80">IFERROR((Q18+AB18)/S18,0)</f>
        <v>42</v>
      </c>
      <c r="AE18" s="151">
        <v>0</v>
      </c>
      <c r="AF18" s="134">
        <v>0</v>
      </c>
      <c r="AG18" s="134">
        <v>0</v>
      </c>
      <c r="AH18" s="134">
        <v>0</v>
      </c>
      <c r="AI18" s="135">
        <v>0</v>
      </c>
      <c r="AJ18" s="134">
        <v>0</v>
      </c>
      <c r="AK18" s="134">
        <v>0</v>
      </c>
      <c r="AL18" s="134">
        <v>0</v>
      </c>
      <c r="AM18" s="139">
        <f t="shared" ref="AM18:AM23" si="81">Q18+AB18+AL18+AK18+AJ18+T18+AE18</f>
        <v>365862</v>
      </c>
      <c r="AN18" s="140">
        <v>46134</v>
      </c>
      <c r="AO18" s="141" t="s">
        <v>493</v>
      </c>
      <c r="AP18" s="142" t="s">
        <v>390</v>
      </c>
      <c r="AQ18" s="143" t="s">
        <v>391</v>
      </c>
      <c r="AR18" s="143" t="s">
        <v>392</v>
      </c>
      <c r="AS18" s="130" t="s">
        <v>494</v>
      </c>
      <c r="AT18" s="144" t="s">
        <v>394</v>
      </c>
      <c r="AU18" s="144" t="s">
        <v>395</v>
      </c>
      <c r="AV18" s="145">
        <v>0</v>
      </c>
      <c r="AW18" s="143">
        <v>8711</v>
      </c>
      <c r="AX18" s="316">
        <v>52</v>
      </c>
      <c r="AY18" s="143">
        <f t="shared" ref="AY18:AY23" si="82">AW18*AX18</f>
        <v>452972</v>
      </c>
      <c r="AZ18" s="146" t="b">
        <f t="shared" ref="AZ18:AZ23" si="83">AW18=O18</f>
        <v>1</v>
      </c>
      <c r="BA18" s="132">
        <v>0</v>
      </c>
      <c r="BB18" s="147">
        <f t="shared" ref="BB18:BB23" si="84">AW18-BA18</f>
        <v>8711</v>
      </c>
      <c r="BC18" s="148">
        <v>0</v>
      </c>
      <c r="BD18" s="147" t="s">
        <v>116</v>
      </c>
      <c r="BE18" s="148">
        <v>0</v>
      </c>
      <c r="BF18" s="147">
        <v>0</v>
      </c>
      <c r="BG18" s="148">
        <v>0</v>
      </c>
      <c r="BH18" s="134" t="s">
        <v>605</v>
      </c>
      <c r="BI18" s="376">
        <v>46181</v>
      </c>
      <c r="BJ18" s="135">
        <v>0</v>
      </c>
      <c r="BK18" s="132">
        <v>0</v>
      </c>
      <c r="BL18" s="143">
        <v>0</v>
      </c>
      <c r="BM18" s="134">
        <v>-4975.88</v>
      </c>
      <c r="BN18" s="149">
        <v>0</v>
      </c>
      <c r="BO18" s="133">
        <f t="shared" ref="BO18:BO23" si="85">AY18+BL18+BM18+BN18+BC18+BG18</f>
        <v>447996.12</v>
      </c>
      <c r="BP18" s="139">
        <f t="shared" ref="BP18:BP23" si="86">BO18-AM18</f>
        <v>82134.12</v>
      </c>
      <c r="BQ18" s="148" t="str">
        <f t="shared" ref="BQ18:BQ23" si="87">IF(BP18&gt;=0,"Positive Margin","Negative Margin")</f>
        <v>Positive Margin</v>
      </c>
      <c r="BR18" s="150" t="s">
        <v>602</v>
      </c>
      <c r="BS18" s="132">
        <f t="shared" ref="BS18:BS23" si="88">AY18-Y18-Q18-AA18-T18+BC18</f>
        <v>87110</v>
      </c>
      <c r="BT18" s="151" t="str">
        <f t="shared" ref="BT18:BT23" si="89">IF(BS18&lt;0, "Negative Margin at Inception", "Positive Margin at Inception")</f>
        <v>Positive Margin at Inception</v>
      </c>
      <c r="BU18" s="152">
        <f t="shared" ref="BU18:BU23" si="90">IFERROR(BP18/BO18,"0")</f>
        <v>0.18333667711229285</v>
      </c>
      <c r="BV18" s="151" t="str">
        <f t="shared" ref="BV18:BV23" si="91">IF(BU18&lt;1%,"Less Than 1%",IF(BU18&gt;2%,"More than 2%",IF(BU18&gt;=1%,"1% - 2%")))</f>
        <v>More than 2%</v>
      </c>
      <c r="BW18" s="132">
        <f t="shared" ref="BW18:BW23" si="92">BM18+BN18</f>
        <v>-4975.88</v>
      </c>
      <c r="BX18" s="133">
        <f t="shared" ref="BX18:BX23" si="93">AL18+AK18</f>
        <v>0</v>
      </c>
      <c r="BY18" s="132">
        <f t="shared" ref="BY18:BY23" si="94">BW18-BX18</f>
        <v>-4975.88</v>
      </c>
      <c r="BZ18" s="153">
        <f t="shared" ref="BZ18:BZ23" si="95">BM18</f>
        <v>-4975.88</v>
      </c>
      <c r="CA18" s="153">
        <f t="shared" ref="CA18:CA23" si="96">AK18</f>
        <v>0</v>
      </c>
      <c r="CB18" s="134">
        <f t="shared" ref="CB18:CB23" si="97">BZ18-CA18</f>
        <v>-4975.88</v>
      </c>
      <c r="CC18" s="153" t="s">
        <v>369</v>
      </c>
      <c r="CD18" s="134">
        <v>0</v>
      </c>
      <c r="CE18" s="134" t="str">
        <f t="shared" ref="CE18:CE23" si="98">TEXT(AN18,"mmm-yy")</f>
        <v>Apr-26</v>
      </c>
      <c r="CF18" s="134">
        <f t="shared" ref="CF18:CF23" si="99">AM18-AL18-AA18</f>
        <v>365862</v>
      </c>
      <c r="CG18" s="134">
        <f t="shared" ref="CG18:CG23" si="100">BO18-BN18</f>
        <v>447996.12</v>
      </c>
      <c r="CH18" s="134">
        <f t="shared" ref="CH18:CH23" si="101">INT((D18- IF(MONTH(D18) &gt;= 4, DATE(YEAR(D18), 4, 1), DATE(YEAR(D18)-1, 4, 1))) / 7) + 1</f>
        <v>4</v>
      </c>
      <c r="CI18" s="154" t="s">
        <v>252</v>
      </c>
      <c r="CJ18" s="134" t="s">
        <v>252</v>
      </c>
      <c r="CK18" s="134" t="str">
        <f>_xlfn.XLOOKUP(AR18,receivables!B:B,receivables!D:D)</f>
        <v>Neelesh Dixit</v>
      </c>
      <c r="CL18" s="134">
        <f t="shared" ref="CL18:CL23" si="102">AY18-Q18</f>
        <v>87110</v>
      </c>
      <c r="CM18" s="134">
        <f t="shared" ref="CM18:CM23" si="103">CL18-Y18+Z18</f>
        <v>87110</v>
      </c>
      <c r="CN18" s="134">
        <f t="shared" ref="CN18:CN23" si="104">BO18-AM18</f>
        <v>82134.12</v>
      </c>
      <c r="CO18" s="134">
        <f t="shared" ref="CO18:CO23" si="105">AY18*118%</f>
        <v>534506.96</v>
      </c>
      <c r="CP18" s="134">
        <f t="shared" ref="CP18:CP23" si="106">-Q18*118%</f>
        <v>-431717.16</v>
      </c>
      <c r="CQ18" s="134">
        <f t="shared" ref="CQ18:CQ23" si="107">-BZ18*118%</f>
        <v>5871.5383999999995</v>
      </c>
      <c r="CR18" s="134">
        <f t="shared" ref="CR18:CR23" si="108">-CA18*118%</f>
        <v>0</v>
      </c>
      <c r="CS18" s="134">
        <f t="shared" ref="CS18:CS23" si="109">SUM(CO18:CR18)</f>
        <v>108661.33839999999</v>
      </c>
      <c r="CT18" s="134" t="s">
        <v>296</v>
      </c>
      <c r="CU18" s="134" t="s">
        <v>296</v>
      </c>
      <c r="CV18" s="149" t="str">
        <f t="shared" ref="CV18:CV23" si="110">MID(G18,3,10)</f>
        <v>AAMCB5608A</v>
      </c>
      <c r="CW18" s="149" t="str">
        <f t="shared" ref="CW18:CW23" si="111">MID(AR18,3,10)</f>
        <v>AAACD5406E</v>
      </c>
      <c r="CX18" s="149">
        <v>0</v>
      </c>
      <c r="CY18" s="149">
        <v>0</v>
      </c>
      <c r="CZ18" s="149">
        <v>0</v>
      </c>
      <c r="DA18" s="149">
        <v>0</v>
      </c>
      <c r="DB18" s="149">
        <v>0</v>
      </c>
    </row>
    <row r="19" spans="2:106" s="156" customFormat="1" ht="11.9" customHeight="1" x14ac:dyDescent="0.3">
      <c r="B19" s="127" t="str">
        <f t="shared" si="75"/>
        <v>Q1</v>
      </c>
      <c r="C19" s="128" t="str">
        <f t="shared" si="76"/>
        <v>Apr-26</v>
      </c>
      <c r="D19" s="294">
        <v>46134</v>
      </c>
      <c r="E19" s="130" t="s">
        <v>486</v>
      </c>
      <c r="F19" s="130" t="s">
        <v>197</v>
      </c>
      <c r="G19" s="130" t="s">
        <v>373</v>
      </c>
      <c r="H19" s="131" t="s">
        <v>487</v>
      </c>
      <c r="I19" s="129">
        <v>46134</v>
      </c>
      <c r="J19" s="130" t="s">
        <v>488</v>
      </c>
      <c r="K19" s="129">
        <v>46134</v>
      </c>
      <c r="L19" s="130" t="s">
        <v>376</v>
      </c>
      <c r="M19" s="130" t="s">
        <v>489</v>
      </c>
      <c r="N19" s="131" t="s">
        <v>379</v>
      </c>
      <c r="O19" s="130">
        <v>660</v>
      </c>
      <c r="P19" s="289">
        <v>37</v>
      </c>
      <c r="Q19" s="132">
        <f t="shared" si="77"/>
        <v>24420</v>
      </c>
      <c r="R19" s="133">
        <v>0</v>
      </c>
      <c r="S19" s="132">
        <f t="shared" si="78"/>
        <v>660</v>
      </c>
      <c r="T19" s="133">
        <v>0</v>
      </c>
      <c r="U19" s="134">
        <v>0</v>
      </c>
      <c r="V19" s="135">
        <v>0</v>
      </c>
      <c r="W19" s="134">
        <v>0</v>
      </c>
      <c r="X19" s="136">
        <v>0</v>
      </c>
      <c r="Y19" s="134">
        <v>0</v>
      </c>
      <c r="Z19" s="134">
        <v>0</v>
      </c>
      <c r="AA19" s="133">
        <v>0</v>
      </c>
      <c r="AB19" s="137">
        <f t="shared" si="79"/>
        <v>0</v>
      </c>
      <c r="AC19" s="136">
        <v>0</v>
      </c>
      <c r="AD19" s="337">
        <f t="shared" si="80"/>
        <v>37</v>
      </c>
      <c r="AE19" s="151">
        <v>0</v>
      </c>
      <c r="AF19" s="134">
        <v>0</v>
      </c>
      <c r="AG19" s="134">
        <v>0</v>
      </c>
      <c r="AH19" s="134">
        <v>0</v>
      </c>
      <c r="AI19" s="135">
        <v>0</v>
      </c>
      <c r="AJ19" s="134">
        <v>0</v>
      </c>
      <c r="AK19" s="134">
        <v>0</v>
      </c>
      <c r="AL19" s="134">
        <v>0</v>
      </c>
      <c r="AM19" s="139">
        <f t="shared" si="81"/>
        <v>24420</v>
      </c>
      <c r="AN19" s="140">
        <v>46134</v>
      </c>
      <c r="AO19" s="141" t="s">
        <v>493</v>
      </c>
      <c r="AP19" s="142" t="s">
        <v>390</v>
      </c>
      <c r="AQ19" s="143" t="s">
        <v>391</v>
      </c>
      <c r="AR19" s="143" t="s">
        <v>392</v>
      </c>
      <c r="AS19" s="130" t="s">
        <v>494</v>
      </c>
      <c r="AT19" s="144" t="s">
        <v>394</v>
      </c>
      <c r="AU19" s="144" t="s">
        <v>395</v>
      </c>
      <c r="AV19" s="145">
        <v>0</v>
      </c>
      <c r="AW19" s="143">
        <v>660</v>
      </c>
      <c r="AX19" s="316">
        <v>42</v>
      </c>
      <c r="AY19" s="143">
        <f t="shared" si="82"/>
        <v>27720</v>
      </c>
      <c r="AZ19" s="146" t="b">
        <f t="shared" si="83"/>
        <v>1</v>
      </c>
      <c r="BA19" s="132">
        <v>0</v>
      </c>
      <c r="BB19" s="147">
        <f t="shared" si="84"/>
        <v>660</v>
      </c>
      <c r="BC19" s="148">
        <v>0</v>
      </c>
      <c r="BD19" s="147" t="s">
        <v>116</v>
      </c>
      <c r="BE19" s="148">
        <v>0</v>
      </c>
      <c r="BF19" s="147">
        <v>0</v>
      </c>
      <c r="BG19" s="148">
        <v>0</v>
      </c>
      <c r="BH19" s="134" t="s">
        <v>605</v>
      </c>
      <c r="BI19" s="376">
        <v>46181</v>
      </c>
      <c r="BJ19" s="135">
        <v>0</v>
      </c>
      <c r="BK19" s="132">
        <v>0</v>
      </c>
      <c r="BL19" s="143">
        <v>0</v>
      </c>
      <c r="BM19" s="134">
        <v>0</v>
      </c>
      <c r="BN19" s="149">
        <v>0</v>
      </c>
      <c r="BO19" s="133">
        <f t="shared" si="85"/>
        <v>27720</v>
      </c>
      <c r="BP19" s="139">
        <f t="shared" si="86"/>
        <v>3300</v>
      </c>
      <c r="BQ19" s="148" t="str">
        <f t="shared" si="87"/>
        <v>Positive Margin</v>
      </c>
      <c r="BR19" s="150" t="s">
        <v>602</v>
      </c>
      <c r="BS19" s="132">
        <f t="shared" si="88"/>
        <v>3300</v>
      </c>
      <c r="BT19" s="151" t="str">
        <f t="shared" si="89"/>
        <v>Positive Margin at Inception</v>
      </c>
      <c r="BU19" s="152">
        <f t="shared" si="90"/>
        <v>0.11904761904761904</v>
      </c>
      <c r="BV19" s="151" t="str">
        <f t="shared" si="91"/>
        <v>More than 2%</v>
      </c>
      <c r="BW19" s="132">
        <f t="shared" si="92"/>
        <v>0</v>
      </c>
      <c r="BX19" s="133">
        <f t="shared" si="93"/>
        <v>0</v>
      </c>
      <c r="BY19" s="132">
        <f t="shared" si="94"/>
        <v>0</v>
      </c>
      <c r="BZ19" s="153">
        <f t="shared" si="95"/>
        <v>0</v>
      </c>
      <c r="CA19" s="153">
        <f t="shared" si="96"/>
        <v>0</v>
      </c>
      <c r="CB19" s="134">
        <f t="shared" si="97"/>
        <v>0</v>
      </c>
      <c r="CC19" s="153" t="s">
        <v>369</v>
      </c>
      <c r="CD19" s="134">
        <v>0</v>
      </c>
      <c r="CE19" s="134" t="str">
        <f t="shared" si="98"/>
        <v>Apr-26</v>
      </c>
      <c r="CF19" s="134">
        <f t="shared" si="99"/>
        <v>24420</v>
      </c>
      <c r="CG19" s="134">
        <f t="shared" si="100"/>
        <v>27720</v>
      </c>
      <c r="CH19" s="134">
        <f t="shared" si="101"/>
        <v>4</v>
      </c>
      <c r="CI19" s="154" t="s">
        <v>252</v>
      </c>
      <c r="CJ19" s="134" t="s">
        <v>252</v>
      </c>
      <c r="CK19" s="134" t="str">
        <f>_xlfn.XLOOKUP(AR19,receivables!B:B,receivables!D:D)</f>
        <v>Neelesh Dixit</v>
      </c>
      <c r="CL19" s="134">
        <f t="shared" si="102"/>
        <v>3300</v>
      </c>
      <c r="CM19" s="134">
        <f t="shared" si="103"/>
        <v>3300</v>
      </c>
      <c r="CN19" s="134">
        <f t="shared" si="104"/>
        <v>3300</v>
      </c>
      <c r="CO19" s="134">
        <f t="shared" si="105"/>
        <v>32709.599999999999</v>
      </c>
      <c r="CP19" s="134">
        <f t="shared" si="106"/>
        <v>-28815.599999999999</v>
      </c>
      <c r="CQ19" s="134">
        <f t="shared" si="107"/>
        <v>0</v>
      </c>
      <c r="CR19" s="134">
        <f t="shared" si="108"/>
        <v>0</v>
      </c>
      <c r="CS19" s="134">
        <f t="shared" si="109"/>
        <v>3894</v>
      </c>
      <c r="CT19" s="134" t="s">
        <v>296</v>
      </c>
      <c r="CU19" s="134" t="s">
        <v>296</v>
      </c>
      <c r="CV19" s="149" t="str">
        <f t="shared" si="110"/>
        <v>AAMCB5608A</v>
      </c>
      <c r="CW19" s="149" t="str">
        <f t="shared" si="111"/>
        <v>AAACD5406E</v>
      </c>
      <c r="CX19" s="149">
        <v>0</v>
      </c>
      <c r="CY19" s="149">
        <v>0</v>
      </c>
      <c r="CZ19" s="149">
        <v>0</v>
      </c>
      <c r="DA19" s="149">
        <v>0</v>
      </c>
      <c r="DB19" s="149">
        <v>0</v>
      </c>
    </row>
    <row r="20" spans="2:106" s="156" customFormat="1" ht="11.9" customHeight="1" x14ac:dyDescent="0.3">
      <c r="B20" s="127" t="str">
        <f t="shared" si="75"/>
        <v>Q1</v>
      </c>
      <c r="C20" s="128" t="str">
        <f t="shared" si="76"/>
        <v>Apr-26</v>
      </c>
      <c r="D20" s="294">
        <v>46134</v>
      </c>
      <c r="E20" s="130" t="s">
        <v>486</v>
      </c>
      <c r="F20" s="130" t="s">
        <v>197</v>
      </c>
      <c r="G20" s="130" t="s">
        <v>373</v>
      </c>
      <c r="H20" s="131" t="s">
        <v>487</v>
      </c>
      <c r="I20" s="129">
        <v>46134</v>
      </c>
      <c r="J20" s="130" t="s">
        <v>488</v>
      </c>
      <c r="K20" s="129">
        <v>46134</v>
      </c>
      <c r="L20" s="130" t="s">
        <v>376</v>
      </c>
      <c r="M20" s="130" t="s">
        <v>489</v>
      </c>
      <c r="N20" s="131" t="s">
        <v>384</v>
      </c>
      <c r="O20" s="130">
        <v>459</v>
      </c>
      <c r="P20" s="289">
        <v>42</v>
      </c>
      <c r="Q20" s="132">
        <f t="shared" si="77"/>
        <v>19278</v>
      </c>
      <c r="R20" s="133">
        <v>0</v>
      </c>
      <c r="S20" s="132">
        <f t="shared" si="78"/>
        <v>459</v>
      </c>
      <c r="T20" s="133">
        <v>0</v>
      </c>
      <c r="U20" s="134">
        <v>0</v>
      </c>
      <c r="V20" s="135">
        <v>0</v>
      </c>
      <c r="W20" s="134">
        <v>0</v>
      </c>
      <c r="X20" s="136">
        <v>0</v>
      </c>
      <c r="Y20" s="134">
        <v>0</v>
      </c>
      <c r="Z20" s="134">
        <v>0</v>
      </c>
      <c r="AA20" s="133">
        <v>0</v>
      </c>
      <c r="AB20" s="137">
        <f t="shared" si="79"/>
        <v>0</v>
      </c>
      <c r="AC20" s="136">
        <v>0</v>
      </c>
      <c r="AD20" s="337">
        <f t="shared" si="80"/>
        <v>42</v>
      </c>
      <c r="AE20" s="151">
        <v>0</v>
      </c>
      <c r="AF20" s="134">
        <v>0</v>
      </c>
      <c r="AG20" s="134">
        <v>0</v>
      </c>
      <c r="AH20" s="134">
        <v>0</v>
      </c>
      <c r="AI20" s="135">
        <v>0</v>
      </c>
      <c r="AJ20" s="134">
        <v>0</v>
      </c>
      <c r="AK20" s="134">
        <v>0</v>
      </c>
      <c r="AL20" s="134">
        <v>0</v>
      </c>
      <c r="AM20" s="139">
        <f t="shared" si="81"/>
        <v>19278</v>
      </c>
      <c r="AN20" s="140">
        <v>46134</v>
      </c>
      <c r="AO20" s="141" t="s">
        <v>493</v>
      </c>
      <c r="AP20" s="142" t="s">
        <v>390</v>
      </c>
      <c r="AQ20" s="143" t="s">
        <v>391</v>
      </c>
      <c r="AR20" s="143" t="s">
        <v>392</v>
      </c>
      <c r="AS20" s="130" t="s">
        <v>494</v>
      </c>
      <c r="AT20" s="144" t="s">
        <v>394</v>
      </c>
      <c r="AU20" s="144" t="s">
        <v>395</v>
      </c>
      <c r="AV20" s="145">
        <v>0</v>
      </c>
      <c r="AW20" s="143">
        <v>459</v>
      </c>
      <c r="AX20" s="316">
        <v>57</v>
      </c>
      <c r="AY20" s="143">
        <f t="shared" si="82"/>
        <v>26163</v>
      </c>
      <c r="AZ20" s="146" t="b">
        <f t="shared" si="83"/>
        <v>1</v>
      </c>
      <c r="BA20" s="132">
        <v>0</v>
      </c>
      <c r="BB20" s="147">
        <f t="shared" si="84"/>
        <v>459</v>
      </c>
      <c r="BC20" s="148">
        <v>0</v>
      </c>
      <c r="BD20" s="147" t="s">
        <v>116</v>
      </c>
      <c r="BE20" s="148">
        <v>0</v>
      </c>
      <c r="BF20" s="147">
        <v>0</v>
      </c>
      <c r="BG20" s="148">
        <v>0</v>
      </c>
      <c r="BH20" s="134" t="s">
        <v>605</v>
      </c>
      <c r="BI20" s="376">
        <v>46181</v>
      </c>
      <c r="BJ20" s="135">
        <v>0</v>
      </c>
      <c r="BK20" s="132">
        <v>0</v>
      </c>
      <c r="BL20" s="143">
        <v>0</v>
      </c>
      <c r="BM20" s="134">
        <v>0</v>
      </c>
      <c r="BN20" s="149">
        <v>0</v>
      </c>
      <c r="BO20" s="133">
        <f t="shared" si="85"/>
        <v>26163</v>
      </c>
      <c r="BP20" s="139">
        <f t="shared" si="86"/>
        <v>6885</v>
      </c>
      <c r="BQ20" s="148" t="str">
        <f t="shared" si="87"/>
        <v>Positive Margin</v>
      </c>
      <c r="BR20" s="150" t="s">
        <v>602</v>
      </c>
      <c r="BS20" s="132">
        <f t="shared" si="88"/>
        <v>6885</v>
      </c>
      <c r="BT20" s="151" t="str">
        <f t="shared" si="89"/>
        <v>Positive Margin at Inception</v>
      </c>
      <c r="BU20" s="152">
        <f t="shared" si="90"/>
        <v>0.26315789473684209</v>
      </c>
      <c r="BV20" s="151" t="str">
        <f t="shared" si="91"/>
        <v>More than 2%</v>
      </c>
      <c r="BW20" s="132">
        <f t="shared" si="92"/>
        <v>0</v>
      </c>
      <c r="BX20" s="133">
        <f t="shared" si="93"/>
        <v>0</v>
      </c>
      <c r="BY20" s="132">
        <f t="shared" si="94"/>
        <v>0</v>
      </c>
      <c r="BZ20" s="153">
        <f t="shared" si="95"/>
        <v>0</v>
      </c>
      <c r="CA20" s="153">
        <f t="shared" si="96"/>
        <v>0</v>
      </c>
      <c r="CB20" s="134">
        <f t="shared" si="97"/>
        <v>0</v>
      </c>
      <c r="CC20" s="153" t="s">
        <v>369</v>
      </c>
      <c r="CD20" s="134">
        <v>0</v>
      </c>
      <c r="CE20" s="134" t="str">
        <f t="shared" si="98"/>
        <v>Apr-26</v>
      </c>
      <c r="CF20" s="134">
        <f t="shared" si="99"/>
        <v>19278</v>
      </c>
      <c r="CG20" s="134">
        <f t="shared" si="100"/>
        <v>26163</v>
      </c>
      <c r="CH20" s="134">
        <f t="shared" si="101"/>
        <v>4</v>
      </c>
      <c r="CI20" s="154" t="s">
        <v>252</v>
      </c>
      <c r="CJ20" s="134" t="s">
        <v>252</v>
      </c>
      <c r="CK20" s="134" t="str">
        <f>_xlfn.XLOOKUP(AR20,receivables!B:B,receivables!D:D)</f>
        <v>Neelesh Dixit</v>
      </c>
      <c r="CL20" s="134">
        <f t="shared" si="102"/>
        <v>6885</v>
      </c>
      <c r="CM20" s="134">
        <f t="shared" si="103"/>
        <v>6885</v>
      </c>
      <c r="CN20" s="134">
        <f t="shared" si="104"/>
        <v>6885</v>
      </c>
      <c r="CO20" s="134">
        <f t="shared" si="105"/>
        <v>30872.34</v>
      </c>
      <c r="CP20" s="134">
        <f t="shared" si="106"/>
        <v>-22748.039999999997</v>
      </c>
      <c r="CQ20" s="134">
        <f t="shared" si="107"/>
        <v>0</v>
      </c>
      <c r="CR20" s="134">
        <f t="shared" si="108"/>
        <v>0</v>
      </c>
      <c r="CS20" s="134">
        <f t="shared" si="109"/>
        <v>8124.3000000000029</v>
      </c>
      <c r="CT20" s="134" t="s">
        <v>296</v>
      </c>
      <c r="CU20" s="134" t="s">
        <v>296</v>
      </c>
      <c r="CV20" s="149" t="str">
        <f t="shared" si="110"/>
        <v>AAMCB5608A</v>
      </c>
      <c r="CW20" s="149" t="str">
        <f t="shared" si="111"/>
        <v>AAACD5406E</v>
      </c>
      <c r="CX20" s="149">
        <v>0</v>
      </c>
      <c r="CY20" s="149">
        <v>0</v>
      </c>
      <c r="CZ20" s="149">
        <v>0</v>
      </c>
      <c r="DA20" s="149">
        <v>0</v>
      </c>
      <c r="DB20" s="149">
        <v>0</v>
      </c>
    </row>
    <row r="21" spans="2:106" s="156" customFormat="1" ht="11.9" customHeight="1" x14ac:dyDescent="0.3">
      <c r="B21" s="127" t="str">
        <f t="shared" si="75"/>
        <v>Q1</v>
      </c>
      <c r="C21" s="128" t="str">
        <f t="shared" si="76"/>
        <v>Apr-26</v>
      </c>
      <c r="D21" s="294">
        <v>46137</v>
      </c>
      <c r="E21" s="130" t="s">
        <v>490</v>
      </c>
      <c r="F21" s="130" t="s">
        <v>197</v>
      </c>
      <c r="G21" s="130" t="s">
        <v>373</v>
      </c>
      <c r="H21" s="131" t="s">
        <v>491</v>
      </c>
      <c r="I21" s="129">
        <v>46137</v>
      </c>
      <c r="J21" s="130" t="s">
        <v>492</v>
      </c>
      <c r="K21" s="129">
        <v>46137</v>
      </c>
      <c r="L21" s="130" t="s">
        <v>376</v>
      </c>
      <c r="M21" s="130" t="s">
        <v>453</v>
      </c>
      <c r="N21" s="131" t="s">
        <v>378</v>
      </c>
      <c r="O21" s="130">
        <v>8564</v>
      </c>
      <c r="P21" s="289">
        <v>43</v>
      </c>
      <c r="Q21" s="132">
        <f t="shared" si="77"/>
        <v>368252</v>
      </c>
      <c r="R21" s="133">
        <v>0</v>
      </c>
      <c r="S21" s="132">
        <f t="shared" si="78"/>
        <v>8564</v>
      </c>
      <c r="T21" s="133">
        <v>0</v>
      </c>
      <c r="U21" s="134">
        <v>0</v>
      </c>
      <c r="V21" s="135">
        <v>0</v>
      </c>
      <c r="W21" s="134">
        <v>0</v>
      </c>
      <c r="X21" s="136">
        <v>0</v>
      </c>
      <c r="Y21" s="134">
        <v>0</v>
      </c>
      <c r="Z21" s="134">
        <v>0</v>
      </c>
      <c r="AA21" s="133">
        <v>0</v>
      </c>
      <c r="AB21" s="137">
        <f t="shared" si="79"/>
        <v>0</v>
      </c>
      <c r="AC21" s="136">
        <v>0</v>
      </c>
      <c r="AD21" s="337">
        <f t="shared" si="80"/>
        <v>43</v>
      </c>
      <c r="AE21" s="151">
        <v>0</v>
      </c>
      <c r="AF21" s="134">
        <v>0</v>
      </c>
      <c r="AG21" s="134">
        <v>0</v>
      </c>
      <c r="AH21" s="134">
        <v>0</v>
      </c>
      <c r="AI21" s="135">
        <v>0</v>
      </c>
      <c r="AJ21" s="134">
        <v>0</v>
      </c>
      <c r="AK21" s="134">
        <v>0</v>
      </c>
      <c r="AL21" s="134">
        <v>0</v>
      </c>
      <c r="AM21" s="139">
        <f t="shared" si="81"/>
        <v>368252</v>
      </c>
      <c r="AN21" s="140">
        <v>46137</v>
      </c>
      <c r="AO21" s="141" t="s">
        <v>495</v>
      </c>
      <c r="AP21" s="142" t="s">
        <v>390</v>
      </c>
      <c r="AQ21" s="143" t="s">
        <v>391</v>
      </c>
      <c r="AR21" s="143" t="s">
        <v>392</v>
      </c>
      <c r="AS21" s="130" t="s">
        <v>496</v>
      </c>
      <c r="AT21" s="144" t="s">
        <v>394</v>
      </c>
      <c r="AU21" s="144" t="s">
        <v>395</v>
      </c>
      <c r="AV21" s="145">
        <v>0</v>
      </c>
      <c r="AW21" s="143">
        <v>8564</v>
      </c>
      <c r="AX21" s="316">
        <v>52</v>
      </c>
      <c r="AY21" s="143">
        <f t="shared" si="82"/>
        <v>445328</v>
      </c>
      <c r="AZ21" s="146" t="b">
        <f t="shared" si="83"/>
        <v>1</v>
      </c>
      <c r="BA21" s="132">
        <v>0</v>
      </c>
      <c r="BB21" s="147">
        <f t="shared" si="84"/>
        <v>8564</v>
      </c>
      <c r="BC21" s="148">
        <v>0</v>
      </c>
      <c r="BD21" s="147" t="s">
        <v>116</v>
      </c>
      <c r="BE21" s="148">
        <v>0</v>
      </c>
      <c r="BF21" s="147">
        <v>0</v>
      </c>
      <c r="BG21" s="148">
        <v>0</v>
      </c>
      <c r="BH21" s="134" t="s">
        <v>603</v>
      </c>
      <c r="BI21" s="376">
        <v>46181</v>
      </c>
      <c r="BJ21" s="135">
        <v>0</v>
      </c>
      <c r="BK21" s="132">
        <v>0</v>
      </c>
      <c r="BL21" s="143">
        <v>0</v>
      </c>
      <c r="BM21" s="134">
        <v>-7624.76</v>
      </c>
      <c r="BN21" s="149">
        <v>0</v>
      </c>
      <c r="BO21" s="133">
        <f t="shared" si="85"/>
        <v>437703.24</v>
      </c>
      <c r="BP21" s="139">
        <f t="shared" si="86"/>
        <v>69451.239999999991</v>
      </c>
      <c r="BQ21" s="148" t="str">
        <f t="shared" si="87"/>
        <v>Positive Margin</v>
      </c>
      <c r="BR21" s="150" t="s">
        <v>602</v>
      </c>
      <c r="BS21" s="132">
        <f t="shared" si="88"/>
        <v>77076</v>
      </c>
      <c r="BT21" s="151" t="str">
        <f t="shared" si="89"/>
        <v>Positive Margin at Inception</v>
      </c>
      <c r="BU21" s="152">
        <f t="shared" si="90"/>
        <v>0.15867198058666412</v>
      </c>
      <c r="BV21" s="151" t="str">
        <f t="shared" si="91"/>
        <v>More than 2%</v>
      </c>
      <c r="BW21" s="132">
        <f t="shared" si="92"/>
        <v>-7624.76</v>
      </c>
      <c r="BX21" s="133">
        <f t="shared" si="93"/>
        <v>0</v>
      </c>
      <c r="BY21" s="132">
        <f t="shared" si="94"/>
        <v>-7624.76</v>
      </c>
      <c r="BZ21" s="153">
        <f t="shared" si="95"/>
        <v>-7624.76</v>
      </c>
      <c r="CA21" s="153">
        <f t="shared" si="96"/>
        <v>0</v>
      </c>
      <c r="CB21" s="134">
        <f t="shared" si="97"/>
        <v>-7624.76</v>
      </c>
      <c r="CC21" s="153" t="s">
        <v>369</v>
      </c>
      <c r="CD21" s="134">
        <v>0</v>
      </c>
      <c r="CE21" s="134" t="str">
        <f t="shared" si="98"/>
        <v>Apr-26</v>
      </c>
      <c r="CF21" s="134">
        <f t="shared" si="99"/>
        <v>368252</v>
      </c>
      <c r="CG21" s="134">
        <f t="shared" si="100"/>
        <v>437703.24</v>
      </c>
      <c r="CH21" s="134">
        <f t="shared" si="101"/>
        <v>4</v>
      </c>
      <c r="CI21" s="154" t="s">
        <v>252</v>
      </c>
      <c r="CJ21" s="134" t="s">
        <v>252</v>
      </c>
      <c r="CK21" s="134" t="str">
        <f>_xlfn.XLOOKUP(AR21,receivables!B:B,receivables!D:D)</f>
        <v>Neelesh Dixit</v>
      </c>
      <c r="CL21" s="134">
        <f t="shared" si="102"/>
        <v>77076</v>
      </c>
      <c r="CM21" s="134">
        <f t="shared" si="103"/>
        <v>77076</v>
      </c>
      <c r="CN21" s="134">
        <f t="shared" si="104"/>
        <v>69451.239999999991</v>
      </c>
      <c r="CO21" s="134">
        <f t="shared" si="105"/>
        <v>525487.03999999992</v>
      </c>
      <c r="CP21" s="134">
        <f t="shared" si="106"/>
        <v>-434537.36</v>
      </c>
      <c r="CQ21" s="134">
        <f t="shared" si="107"/>
        <v>8997.2168000000001</v>
      </c>
      <c r="CR21" s="134">
        <f t="shared" si="108"/>
        <v>0</v>
      </c>
      <c r="CS21" s="134">
        <f t="shared" si="109"/>
        <v>99946.896799999929</v>
      </c>
      <c r="CT21" s="134" t="s">
        <v>296</v>
      </c>
      <c r="CU21" s="134" t="s">
        <v>296</v>
      </c>
      <c r="CV21" s="149" t="str">
        <f t="shared" si="110"/>
        <v>AAMCB5608A</v>
      </c>
      <c r="CW21" s="149" t="str">
        <f t="shared" si="111"/>
        <v>AAACD5406E</v>
      </c>
      <c r="CX21" s="149">
        <v>0</v>
      </c>
      <c r="CY21" s="149">
        <v>0</v>
      </c>
      <c r="CZ21" s="149">
        <v>0</v>
      </c>
      <c r="DA21" s="149">
        <v>0</v>
      </c>
      <c r="DB21" s="149">
        <v>0</v>
      </c>
    </row>
    <row r="22" spans="2:106" s="156" customFormat="1" ht="11.9" customHeight="1" x14ac:dyDescent="0.3">
      <c r="B22" s="127" t="str">
        <f t="shared" si="75"/>
        <v>Q1</v>
      </c>
      <c r="C22" s="128" t="str">
        <f t="shared" si="76"/>
        <v>Apr-26</v>
      </c>
      <c r="D22" s="294">
        <v>46137</v>
      </c>
      <c r="E22" s="130" t="s">
        <v>490</v>
      </c>
      <c r="F22" s="130" t="s">
        <v>197</v>
      </c>
      <c r="G22" s="130" t="s">
        <v>373</v>
      </c>
      <c r="H22" s="131" t="s">
        <v>491</v>
      </c>
      <c r="I22" s="129">
        <v>46137</v>
      </c>
      <c r="J22" s="130" t="s">
        <v>492</v>
      </c>
      <c r="K22" s="129">
        <v>46137</v>
      </c>
      <c r="L22" s="130" t="s">
        <v>376</v>
      </c>
      <c r="M22" s="130" t="s">
        <v>453</v>
      </c>
      <c r="N22" s="131" t="s">
        <v>379</v>
      </c>
      <c r="O22" s="130">
        <v>472</v>
      </c>
      <c r="P22" s="289">
        <v>38</v>
      </c>
      <c r="Q22" s="132">
        <f t="shared" si="77"/>
        <v>17936</v>
      </c>
      <c r="R22" s="133">
        <v>0</v>
      </c>
      <c r="S22" s="132">
        <f t="shared" si="78"/>
        <v>472</v>
      </c>
      <c r="T22" s="133">
        <v>0</v>
      </c>
      <c r="U22" s="134">
        <v>0</v>
      </c>
      <c r="V22" s="135">
        <v>0</v>
      </c>
      <c r="W22" s="134">
        <v>0</v>
      </c>
      <c r="X22" s="136">
        <v>0</v>
      </c>
      <c r="Y22" s="134">
        <v>0</v>
      </c>
      <c r="Z22" s="134">
        <v>0</v>
      </c>
      <c r="AA22" s="133">
        <v>0</v>
      </c>
      <c r="AB22" s="137">
        <f t="shared" si="79"/>
        <v>0</v>
      </c>
      <c r="AC22" s="136">
        <v>0</v>
      </c>
      <c r="AD22" s="337">
        <f t="shared" si="80"/>
        <v>38</v>
      </c>
      <c r="AE22" s="151">
        <v>0</v>
      </c>
      <c r="AF22" s="134">
        <v>0</v>
      </c>
      <c r="AG22" s="134">
        <v>0</v>
      </c>
      <c r="AH22" s="134">
        <v>0</v>
      </c>
      <c r="AI22" s="135">
        <v>0</v>
      </c>
      <c r="AJ22" s="134">
        <v>0</v>
      </c>
      <c r="AK22" s="134">
        <v>0</v>
      </c>
      <c r="AL22" s="134">
        <v>0</v>
      </c>
      <c r="AM22" s="139">
        <f t="shared" si="81"/>
        <v>17936</v>
      </c>
      <c r="AN22" s="140">
        <v>46137</v>
      </c>
      <c r="AO22" s="141" t="s">
        <v>495</v>
      </c>
      <c r="AP22" s="142" t="s">
        <v>390</v>
      </c>
      <c r="AQ22" s="143" t="s">
        <v>391</v>
      </c>
      <c r="AR22" s="143" t="s">
        <v>392</v>
      </c>
      <c r="AS22" s="130" t="s">
        <v>496</v>
      </c>
      <c r="AT22" s="144" t="s">
        <v>394</v>
      </c>
      <c r="AU22" s="144" t="s">
        <v>395</v>
      </c>
      <c r="AV22" s="145">
        <v>0</v>
      </c>
      <c r="AW22" s="143">
        <v>472</v>
      </c>
      <c r="AX22" s="316">
        <v>42</v>
      </c>
      <c r="AY22" s="143">
        <f t="shared" si="82"/>
        <v>19824</v>
      </c>
      <c r="AZ22" s="146" t="b">
        <f t="shared" si="83"/>
        <v>1</v>
      </c>
      <c r="BA22" s="132">
        <v>0</v>
      </c>
      <c r="BB22" s="147">
        <f t="shared" si="84"/>
        <v>472</v>
      </c>
      <c r="BC22" s="148">
        <v>0</v>
      </c>
      <c r="BD22" s="147" t="s">
        <v>116</v>
      </c>
      <c r="BE22" s="148">
        <v>0</v>
      </c>
      <c r="BF22" s="147">
        <v>0</v>
      </c>
      <c r="BG22" s="148">
        <v>0</v>
      </c>
      <c r="BH22" s="134" t="s">
        <v>603</v>
      </c>
      <c r="BI22" s="376">
        <v>46181</v>
      </c>
      <c r="BJ22" s="135">
        <v>0</v>
      </c>
      <c r="BK22" s="132">
        <v>0</v>
      </c>
      <c r="BL22" s="143">
        <v>0</v>
      </c>
      <c r="BM22" s="134">
        <v>0</v>
      </c>
      <c r="BN22" s="149">
        <v>0</v>
      </c>
      <c r="BO22" s="133">
        <f t="shared" si="85"/>
        <v>19824</v>
      </c>
      <c r="BP22" s="139">
        <f t="shared" si="86"/>
        <v>1888</v>
      </c>
      <c r="BQ22" s="148" t="str">
        <f t="shared" si="87"/>
        <v>Positive Margin</v>
      </c>
      <c r="BR22" s="150" t="s">
        <v>602</v>
      </c>
      <c r="BS22" s="132">
        <f t="shared" si="88"/>
        <v>1888</v>
      </c>
      <c r="BT22" s="151" t="str">
        <f t="shared" si="89"/>
        <v>Positive Margin at Inception</v>
      </c>
      <c r="BU22" s="152">
        <f t="shared" si="90"/>
        <v>9.5238095238095233E-2</v>
      </c>
      <c r="BV22" s="151" t="str">
        <f t="shared" si="91"/>
        <v>More than 2%</v>
      </c>
      <c r="BW22" s="132">
        <f t="shared" si="92"/>
        <v>0</v>
      </c>
      <c r="BX22" s="133">
        <f t="shared" si="93"/>
        <v>0</v>
      </c>
      <c r="BY22" s="132">
        <f t="shared" si="94"/>
        <v>0</v>
      </c>
      <c r="BZ22" s="153">
        <f t="shared" si="95"/>
        <v>0</v>
      </c>
      <c r="CA22" s="153">
        <f t="shared" si="96"/>
        <v>0</v>
      </c>
      <c r="CB22" s="134">
        <f t="shared" si="97"/>
        <v>0</v>
      </c>
      <c r="CC22" s="153" t="s">
        <v>369</v>
      </c>
      <c r="CD22" s="134">
        <v>0</v>
      </c>
      <c r="CE22" s="134" t="str">
        <f t="shared" si="98"/>
        <v>Apr-26</v>
      </c>
      <c r="CF22" s="134">
        <f t="shared" si="99"/>
        <v>17936</v>
      </c>
      <c r="CG22" s="134">
        <f t="shared" si="100"/>
        <v>19824</v>
      </c>
      <c r="CH22" s="134">
        <f t="shared" si="101"/>
        <v>4</v>
      </c>
      <c r="CI22" s="154" t="s">
        <v>252</v>
      </c>
      <c r="CJ22" s="134" t="s">
        <v>252</v>
      </c>
      <c r="CK22" s="134" t="str">
        <f>_xlfn.XLOOKUP(AR22,receivables!B:B,receivables!D:D)</f>
        <v>Neelesh Dixit</v>
      </c>
      <c r="CL22" s="134">
        <f t="shared" si="102"/>
        <v>1888</v>
      </c>
      <c r="CM22" s="134">
        <f t="shared" si="103"/>
        <v>1888</v>
      </c>
      <c r="CN22" s="134">
        <f t="shared" si="104"/>
        <v>1888</v>
      </c>
      <c r="CO22" s="134">
        <f t="shared" si="105"/>
        <v>23392.32</v>
      </c>
      <c r="CP22" s="134">
        <f t="shared" si="106"/>
        <v>-21164.48</v>
      </c>
      <c r="CQ22" s="134">
        <f t="shared" si="107"/>
        <v>0</v>
      </c>
      <c r="CR22" s="134">
        <f t="shared" si="108"/>
        <v>0</v>
      </c>
      <c r="CS22" s="134">
        <f t="shared" si="109"/>
        <v>2227.84</v>
      </c>
      <c r="CT22" s="134" t="s">
        <v>296</v>
      </c>
      <c r="CU22" s="134" t="s">
        <v>296</v>
      </c>
      <c r="CV22" s="149" t="str">
        <f t="shared" si="110"/>
        <v>AAMCB5608A</v>
      </c>
      <c r="CW22" s="149" t="str">
        <f t="shared" si="111"/>
        <v>AAACD5406E</v>
      </c>
      <c r="CX22" s="149">
        <v>0</v>
      </c>
      <c r="CY22" s="149">
        <v>0</v>
      </c>
      <c r="CZ22" s="149">
        <v>0</v>
      </c>
      <c r="DA22" s="149">
        <v>0</v>
      </c>
      <c r="DB22" s="149">
        <v>0</v>
      </c>
    </row>
    <row r="23" spans="2:106" s="156" customFormat="1" ht="11.9" customHeight="1" x14ac:dyDescent="0.3">
      <c r="B23" s="127" t="str">
        <f t="shared" si="75"/>
        <v>Q1</v>
      </c>
      <c r="C23" s="128" t="str">
        <f t="shared" si="76"/>
        <v>Apr-26</v>
      </c>
      <c r="D23" s="294">
        <v>46137</v>
      </c>
      <c r="E23" s="130" t="s">
        <v>490</v>
      </c>
      <c r="F23" s="130" t="s">
        <v>197</v>
      </c>
      <c r="G23" s="130" t="s">
        <v>373</v>
      </c>
      <c r="H23" s="131" t="s">
        <v>491</v>
      </c>
      <c r="I23" s="129">
        <v>46137</v>
      </c>
      <c r="J23" s="130" t="s">
        <v>492</v>
      </c>
      <c r="K23" s="129">
        <v>46137</v>
      </c>
      <c r="L23" s="130" t="s">
        <v>376</v>
      </c>
      <c r="M23" s="130" t="s">
        <v>453</v>
      </c>
      <c r="N23" s="131" t="s">
        <v>384</v>
      </c>
      <c r="O23" s="130">
        <v>649</v>
      </c>
      <c r="P23" s="289">
        <v>43</v>
      </c>
      <c r="Q23" s="132">
        <f t="shared" si="77"/>
        <v>27907</v>
      </c>
      <c r="R23" s="133">
        <v>0</v>
      </c>
      <c r="S23" s="132">
        <f t="shared" si="78"/>
        <v>649</v>
      </c>
      <c r="T23" s="133">
        <v>0</v>
      </c>
      <c r="U23" s="134">
        <v>0</v>
      </c>
      <c r="V23" s="135">
        <v>0</v>
      </c>
      <c r="W23" s="134">
        <v>0</v>
      </c>
      <c r="X23" s="136">
        <v>0</v>
      </c>
      <c r="Y23" s="134">
        <v>0</v>
      </c>
      <c r="Z23" s="134">
        <v>0</v>
      </c>
      <c r="AA23" s="133">
        <v>0</v>
      </c>
      <c r="AB23" s="137">
        <f t="shared" si="79"/>
        <v>0</v>
      </c>
      <c r="AC23" s="136">
        <v>0</v>
      </c>
      <c r="AD23" s="337">
        <f t="shared" si="80"/>
        <v>43</v>
      </c>
      <c r="AE23" s="151">
        <v>0</v>
      </c>
      <c r="AF23" s="134">
        <v>0</v>
      </c>
      <c r="AG23" s="134">
        <v>0</v>
      </c>
      <c r="AH23" s="134">
        <v>0</v>
      </c>
      <c r="AI23" s="135">
        <v>0</v>
      </c>
      <c r="AJ23" s="134">
        <v>0</v>
      </c>
      <c r="AK23" s="134">
        <v>0</v>
      </c>
      <c r="AL23" s="134">
        <v>0</v>
      </c>
      <c r="AM23" s="139">
        <f t="shared" si="81"/>
        <v>27907</v>
      </c>
      <c r="AN23" s="140">
        <v>46137</v>
      </c>
      <c r="AO23" s="141" t="s">
        <v>495</v>
      </c>
      <c r="AP23" s="142" t="s">
        <v>390</v>
      </c>
      <c r="AQ23" s="143" t="s">
        <v>391</v>
      </c>
      <c r="AR23" s="143" t="s">
        <v>392</v>
      </c>
      <c r="AS23" s="130" t="s">
        <v>496</v>
      </c>
      <c r="AT23" s="144" t="s">
        <v>394</v>
      </c>
      <c r="AU23" s="144" t="s">
        <v>395</v>
      </c>
      <c r="AV23" s="145">
        <v>0</v>
      </c>
      <c r="AW23" s="143">
        <v>649</v>
      </c>
      <c r="AX23" s="316">
        <v>57</v>
      </c>
      <c r="AY23" s="143">
        <f t="shared" si="82"/>
        <v>36993</v>
      </c>
      <c r="AZ23" s="146" t="b">
        <f t="shared" si="83"/>
        <v>1</v>
      </c>
      <c r="BA23" s="132">
        <v>0</v>
      </c>
      <c r="BB23" s="147">
        <f t="shared" si="84"/>
        <v>649</v>
      </c>
      <c r="BC23" s="148">
        <v>0</v>
      </c>
      <c r="BD23" s="147" t="s">
        <v>116</v>
      </c>
      <c r="BE23" s="148">
        <v>0</v>
      </c>
      <c r="BF23" s="147">
        <v>0</v>
      </c>
      <c r="BG23" s="148">
        <v>0</v>
      </c>
      <c r="BH23" s="134" t="s">
        <v>603</v>
      </c>
      <c r="BI23" s="376">
        <v>46181</v>
      </c>
      <c r="BJ23" s="135">
        <v>0</v>
      </c>
      <c r="BK23" s="132">
        <v>0</v>
      </c>
      <c r="BL23" s="143">
        <v>0</v>
      </c>
      <c r="BM23" s="134">
        <v>0</v>
      </c>
      <c r="BN23" s="149">
        <v>0</v>
      </c>
      <c r="BO23" s="133">
        <f t="shared" si="85"/>
        <v>36993</v>
      </c>
      <c r="BP23" s="139">
        <f t="shared" si="86"/>
        <v>9086</v>
      </c>
      <c r="BQ23" s="148" t="str">
        <f t="shared" si="87"/>
        <v>Positive Margin</v>
      </c>
      <c r="BR23" s="150" t="s">
        <v>602</v>
      </c>
      <c r="BS23" s="132">
        <f t="shared" si="88"/>
        <v>9086</v>
      </c>
      <c r="BT23" s="151" t="str">
        <f t="shared" si="89"/>
        <v>Positive Margin at Inception</v>
      </c>
      <c r="BU23" s="152">
        <f t="shared" si="90"/>
        <v>0.24561403508771928</v>
      </c>
      <c r="BV23" s="151" t="str">
        <f t="shared" si="91"/>
        <v>More than 2%</v>
      </c>
      <c r="BW23" s="132">
        <f t="shared" si="92"/>
        <v>0</v>
      </c>
      <c r="BX23" s="133">
        <f t="shared" si="93"/>
        <v>0</v>
      </c>
      <c r="BY23" s="132">
        <f t="shared" si="94"/>
        <v>0</v>
      </c>
      <c r="BZ23" s="153">
        <f t="shared" si="95"/>
        <v>0</v>
      </c>
      <c r="CA23" s="153">
        <f t="shared" si="96"/>
        <v>0</v>
      </c>
      <c r="CB23" s="134">
        <f t="shared" si="97"/>
        <v>0</v>
      </c>
      <c r="CC23" s="153" t="s">
        <v>369</v>
      </c>
      <c r="CD23" s="134">
        <v>0</v>
      </c>
      <c r="CE23" s="134" t="str">
        <f t="shared" si="98"/>
        <v>Apr-26</v>
      </c>
      <c r="CF23" s="134">
        <f t="shared" si="99"/>
        <v>27907</v>
      </c>
      <c r="CG23" s="134">
        <f t="shared" si="100"/>
        <v>36993</v>
      </c>
      <c r="CH23" s="134">
        <f t="shared" si="101"/>
        <v>4</v>
      </c>
      <c r="CI23" s="154" t="s">
        <v>252</v>
      </c>
      <c r="CJ23" s="134" t="s">
        <v>252</v>
      </c>
      <c r="CK23" s="134" t="str">
        <f>_xlfn.XLOOKUP(AR23,receivables!B:B,receivables!D:D)</f>
        <v>Neelesh Dixit</v>
      </c>
      <c r="CL23" s="134">
        <f t="shared" si="102"/>
        <v>9086</v>
      </c>
      <c r="CM23" s="134">
        <f t="shared" si="103"/>
        <v>9086</v>
      </c>
      <c r="CN23" s="134">
        <f t="shared" si="104"/>
        <v>9086</v>
      </c>
      <c r="CO23" s="134">
        <f t="shared" si="105"/>
        <v>43651.74</v>
      </c>
      <c r="CP23" s="134">
        <f t="shared" si="106"/>
        <v>-32930.259999999995</v>
      </c>
      <c r="CQ23" s="134">
        <f t="shared" si="107"/>
        <v>0</v>
      </c>
      <c r="CR23" s="134">
        <f t="shared" si="108"/>
        <v>0</v>
      </c>
      <c r="CS23" s="134">
        <f t="shared" si="109"/>
        <v>10721.480000000003</v>
      </c>
      <c r="CT23" s="134" t="s">
        <v>296</v>
      </c>
      <c r="CU23" s="134" t="s">
        <v>296</v>
      </c>
      <c r="CV23" s="149" t="str">
        <f t="shared" si="110"/>
        <v>AAMCB5608A</v>
      </c>
      <c r="CW23" s="149" t="str">
        <f t="shared" si="111"/>
        <v>AAACD5406E</v>
      </c>
      <c r="CX23" s="149">
        <v>0</v>
      </c>
      <c r="CY23" s="149">
        <v>0</v>
      </c>
      <c r="CZ23" s="149">
        <v>0</v>
      </c>
      <c r="DA23" s="149">
        <v>0</v>
      </c>
      <c r="DB23" s="149">
        <v>0</v>
      </c>
    </row>
    <row r="24" spans="2:106" s="156" customFormat="1" ht="11.9" customHeight="1" x14ac:dyDescent="0.3">
      <c r="B24" s="127" t="str">
        <f t="shared" ref="B24:B25" si="112">"Q" &amp; IF(ROUNDUP(MONTH(D24)/3,0)-1=0,4,ROUNDUP(MONTH(D24)/3,0)-1)</f>
        <v>Q1</v>
      </c>
      <c r="C24" s="128" t="str">
        <f t="shared" ref="C24:C25" si="113">TEXT(AN24,"mmm-yy")</f>
        <v>May-26</v>
      </c>
      <c r="D24" s="294">
        <v>46145</v>
      </c>
      <c r="E24" s="130" t="s">
        <v>503</v>
      </c>
      <c r="F24" s="130" t="s">
        <v>197</v>
      </c>
      <c r="G24" s="130" t="s">
        <v>373</v>
      </c>
      <c r="H24" s="131" t="s">
        <v>504</v>
      </c>
      <c r="I24" s="129">
        <v>46145</v>
      </c>
      <c r="J24" s="130" t="s">
        <v>505</v>
      </c>
      <c r="K24" s="129">
        <v>46145</v>
      </c>
      <c r="L24" s="130" t="s">
        <v>376</v>
      </c>
      <c r="M24" s="130" t="s">
        <v>453</v>
      </c>
      <c r="N24" s="131" t="s">
        <v>378</v>
      </c>
      <c r="O24" s="130">
        <v>9249</v>
      </c>
      <c r="P24" s="289">
        <v>43.5</v>
      </c>
      <c r="Q24" s="132">
        <f t="shared" ref="Q24:Q25" si="114">O24*P24</f>
        <v>402331.5</v>
      </c>
      <c r="R24" s="133">
        <v>0</v>
      </c>
      <c r="S24" s="132">
        <f t="shared" ref="S24:S25" si="115">O24-R24</f>
        <v>9249</v>
      </c>
      <c r="T24" s="133">
        <v>0</v>
      </c>
      <c r="U24" s="134">
        <v>0</v>
      </c>
      <c r="V24" s="135">
        <v>0</v>
      </c>
      <c r="W24" s="134">
        <v>0</v>
      </c>
      <c r="X24" s="136">
        <v>0</v>
      </c>
      <c r="Y24" s="134">
        <v>0</v>
      </c>
      <c r="Z24" s="134">
        <v>0</v>
      </c>
      <c r="AA24" s="133">
        <v>0</v>
      </c>
      <c r="AB24" s="137">
        <f t="shared" ref="AB24:AB25" si="116">Y24+AA24+Z24</f>
        <v>0</v>
      </c>
      <c r="AC24" s="136">
        <v>0</v>
      </c>
      <c r="AD24" s="337">
        <f t="shared" ref="AD24:AD25" si="117">IFERROR((Q24+AB24)/S24,0)</f>
        <v>43.5</v>
      </c>
      <c r="AE24" s="151">
        <v>0</v>
      </c>
      <c r="AF24" s="134">
        <v>0</v>
      </c>
      <c r="AG24" s="134">
        <v>0</v>
      </c>
      <c r="AH24" s="134">
        <v>0</v>
      </c>
      <c r="AI24" s="135">
        <v>0</v>
      </c>
      <c r="AJ24" s="134">
        <v>0</v>
      </c>
      <c r="AK24" s="134">
        <v>0</v>
      </c>
      <c r="AL24" s="134">
        <v>0</v>
      </c>
      <c r="AM24" s="139">
        <f t="shared" ref="AM24:AM25" si="118">Q24+AB24+AL24+AK24+AJ24+T24+AE24</f>
        <v>402331.5</v>
      </c>
      <c r="AN24" s="140">
        <v>46145</v>
      </c>
      <c r="AO24" s="141" t="s">
        <v>506</v>
      </c>
      <c r="AP24" s="142" t="s">
        <v>390</v>
      </c>
      <c r="AQ24" s="143" t="s">
        <v>391</v>
      </c>
      <c r="AR24" s="143" t="s">
        <v>392</v>
      </c>
      <c r="AS24" s="130" t="s">
        <v>393</v>
      </c>
      <c r="AT24" s="144" t="s">
        <v>394</v>
      </c>
      <c r="AU24" s="144" t="s">
        <v>395</v>
      </c>
      <c r="AV24" s="145">
        <v>0</v>
      </c>
      <c r="AW24" s="143">
        <v>9249</v>
      </c>
      <c r="AX24" s="316">
        <v>52</v>
      </c>
      <c r="AY24" s="143">
        <f t="shared" ref="AY24:AY25" si="119">AW24*AX24</f>
        <v>480948</v>
      </c>
      <c r="AZ24" s="146" t="b">
        <f t="shared" ref="AZ24:AZ25" si="120">AW24=O24</f>
        <v>1</v>
      </c>
      <c r="BA24" s="132">
        <v>0</v>
      </c>
      <c r="BB24" s="147">
        <f t="shared" ref="BB24:BB25" si="121">AW24-BA24</f>
        <v>9249</v>
      </c>
      <c r="BC24" s="148">
        <v>0</v>
      </c>
      <c r="BD24" s="147" t="s">
        <v>116</v>
      </c>
      <c r="BE24" s="148">
        <v>0</v>
      </c>
      <c r="BF24" s="147">
        <v>0</v>
      </c>
      <c r="BG24" s="148">
        <v>0</v>
      </c>
      <c r="BH24" s="134" t="s">
        <v>601</v>
      </c>
      <c r="BI24" s="376">
        <v>46181</v>
      </c>
      <c r="BJ24" s="135">
        <v>0</v>
      </c>
      <c r="BK24" s="132">
        <v>0</v>
      </c>
      <c r="BL24" s="143">
        <v>0</v>
      </c>
      <c r="BM24" s="134">
        <v>-4811.5600000000004</v>
      </c>
      <c r="BN24" s="149">
        <v>0</v>
      </c>
      <c r="BO24" s="133">
        <f t="shared" ref="BO24:BO25" si="122">AY24+BL24+BM24+BN24+BC24+BG24</f>
        <v>476136.44</v>
      </c>
      <c r="BP24" s="139">
        <f t="shared" ref="BP24:BP25" si="123">BO24-AM24</f>
        <v>73804.94</v>
      </c>
      <c r="BQ24" s="148" t="str">
        <f t="shared" ref="BQ24:BQ25" si="124">IF(BP24&gt;=0,"Positive Margin","Negative Margin")</f>
        <v>Positive Margin</v>
      </c>
      <c r="BR24" s="150" t="s">
        <v>602</v>
      </c>
      <c r="BS24" s="132">
        <f t="shared" ref="BS24:BS25" si="125">AY24-Y24-Q24-AA24-T24+BC24</f>
        <v>78616.5</v>
      </c>
      <c r="BT24" s="151" t="str">
        <f t="shared" ref="BT24:BT25" si="126">IF(BS24&lt;0, "Negative Margin at Inception", "Positive Margin at Inception")</f>
        <v>Positive Margin at Inception</v>
      </c>
      <c r="BU24" s="152">
        <f t="shared" ref="BU24:BU25" si="127">IFERROR(BP24/BO24,"0")</f>
        <v>0.15500796368368697</v>
      </c>
      <c r="BV24" s="151" t="str">
        <f t="shared" ref="BV24:BV25" si="128">IF(BU24&lt;1%,"Less Than 1%",IF(BU24&gt;2%,"More than 2%",IF(BU24&gt;=1%,"1% - 2%")))</f>
        <v>More than 2%</v>
      </c>
      <c r="BW24" s="132">
        <f t="shared" ref="BW24:BW25" si="129">BM24+BN24</f>
        <v>-4811.5600000000004</v>
      </c>
      <c r="BX24" s="133">
        <f t="shared" ref="BX24:BX25" si="130">AL24+AK24</f>
        <v>0</v>
      </c>
      <c r="BY24" s="132">
        <f t="shared" ref="BY24:BY25" si="131">BW24-BX24</f>
        <v>-4811.5600000000004</v>
      </c>
      <c r="BZ24" s="153">
        <f t="shared" ref="BZ24:BZ25" si="132">BM24</f>
        <v>-4811.5600000000004</v>
      </c>
      <c r="CA24" s="153">
        <f t="shared" ref="CA24:CA25" si="133">AK24</f>
        <v>0</v>
      </c>
      <c r="CB24" s="134">
        <f t="shared" ref="CB24:CB25" si="134">BZ24-CA24</f>
        <v>-4811.5600000000004</v>
      </c>
      <c r="CC24" s="153" t="s">
        <v>369</v>
      </c>
      <c r="CD24" s="134">
        <v>0</v>
      </c>
      <c r="CE24" s="134" t="str">
        <f t="shared" ref="CE24:CE25" si="135">TEXT(AN24,"mmm-yy")</f>
        <v>May-26</v>
      </c>
      <c r="CF24" s="134">
        <f t="shared" ref="CF24:CF25" si="136">AM24-AL24-AA24</f>
        <v>402331.5</v>
      </c>
      <c r="CG24" s="134">
        <f t="shared" ref="CG24:CG25" si="137">BO24-BN24</f>
        <v>476136.44</v>
      </c>
      <c r="CH24" s="134">
        <f t="shared" ref="CH24:CH25" si="138">INT((D24- IF(MONTH(D24) &gt;= 4, DATE(YEAR(D24), 4, 1), DATE(YEAR(D24)-1, 4, 1))) / 7) + 1</f>
        <v>5</v>
      </c>
      <c r="CI24" s="154" t="s">
        <v>252</v>
      </c>
      <c r="CJ24" s="134" t="s">
        <v>252</v>
      </c>
      <c r="CK24" s="134" t="str">
        <f>_xlfn.XLOOKUP(AR24,receivables!B:B,receivables!D:D)</f>
        <v>Neelesh Dixit</v>
      </c>
      <c r="CL24" s="134">
        <f t="shared" ref="CL24:CL25" si="139">AY24-Q24</f>
        <v>78616.5</v>
      </c>
      <c r="CM24" s="134">
        <f t="shared" ref="CM24:CM25" si="140">CL24-Y24+Z24</f>
        <v>78616.5</v>
      </c>
      <c r="CN24" s="134">
        <f t="shared" ref="CN24:CN25" si="141">BO24-AM24</f>
        <v>73804.94</v>
      </c>
      <c r="CO24" s="134">
        <f t="shared" ref="CO24:CO25" si="142">AY24*118%</f>
        <v>567518.64</v>
      </c>
      <c r="CP24" s="134">
        <f t="shared" ref="CP24:CP25" si="143">-Q24*118%</f>
        <v>-474751.17</v>
      </c>
      <c r="CQ24" s="134">
        <f t="shared" ref="CQ24:CQ25" si="144">-BZ24*118%</f>
        <v>5677.6408000000001</v>
      </c>
      <c r="CR24" s="134">
        <f t="shared" ref="CR24:CR25" si="145">-CA24*118%</f>
        <v>0</v>
      </c>
      <c r="CS24" s="134">
        <f t="shared" ref="CS24:CS25" si="146">SUM(CO24:CR24)</f>
        <v>98445.110800000024</v>
      </c>
      <c r="CT24" s="134" t="s">
        <v>296</v>
      </c>
      <c r="CU24" s="134" t="s">
        <v>296</v>
      </c>
      <c r="CV24" s="149" t="str">
        <f t="shared" ref="CV24:CV25" si="147">MID(G24,3,10)</f>
        <v>AAMCB5608A</v>
      </c>
      <c r="CW24" s="149" t="str">
        <f t="shared" ref="CW24:CW25" si="148">MID(AR24,3,10)</f>
        <v>AAACD5406E</v>
      </c>
      <c r="CX24" s="149">
        <v>0</v>
      </c>
      <c r="CY24" s="149">
        <v>0</v>
      </c>
      <c r="CZ24" s="149">
        <v>0</v>
      </c>
      <c r="DA24" s="149">
        <v>0</v>
      </c>
      <c r="DB24" s="149">
        <v>0</v>
      </c>
    </row>
    <row r="25" spans="2:106" s="156" customFormat="1" ht="11.9" customHeight="1" x14ac:dyDescent="0.3">
      <c r="B25" s="127" t="str">
        <f t="shared" si="112"/>
        <v>Q1</v>
      </c>
      <c r="C25" s="128" t="str">
        <f t="shared" si="113"/>
        <v>May-26</v>
      </c>
      <c r="D25" s="294">
        <v>46145</v>
      </c>
      <c r="E25" s="130" t="s">
        <v>503</v>
      </c>
      <c r="F25" s="130" t="s">
        <v>197</v>
      </c>
      <c r="G25" s="130" t="s">
        <v>373</v>
      </c>
      <c r="H25" s="131" t="s">
        <v>504</v>
      </c>
      <c r="I25" s="129">
        <v>46145</v>
      </c>
      <c r="J25" s="130" t="s">
        <v>505</v>
      </c>
      <c r="K25" s="129">
        <v>46145</v>
      </c>
      <c r="L25" s="130" t="s">
        <v>376</v>
      </c>
      <c r="M25" s="130" t="s">
        <v>453</v>
      </c>
      <c r="N25" s="131" t="s">
        <v>379</v>
      </c>
      <c r="O25" s="130">
        <v>521</v>
      </c>
      <c r="P25" s="289">
        <v>38.5</v>
      </c>
      <c r="Q25" s="132">
        <f t="shared" si="114"/>
        <v>20058.5</v>
      </c>
      <c r="R25" s="133">
        <v>0</v>
      </c>
      <c r="S25" s="132">
        <f t="shared" si="115"/>
        <v>521</v>
      </c>
      <c r="T25" s="133">
        <v>0</v>
      </c>
      <c r="U25" s="134">
        <v>0</v>
      </c>
      <c r="V25" s="135">
        <v>0</v>
      </c>
      <c r="W25" s="134">
        <v>0</v>
      </c>
      <c r="X25" s="136">
        <v>0</v>
      </c>
      <c r="Y25" s="134">
        <v>0</v>
      </c>
      <c r="Z25" s="134">
        <v>0</v>
      </c>
      <c r="AA25" s="133">
        <v>0</v>
      </c>
      <c r="AB25" s="137">
        <f t="shared" si="116"/>
        <v>0</v>
      </c>
      <c r="AC25" s="136">
        <v>0</v>
      </c>
      <c r="AD25" s="337">
        <f t="shared" si="117"/>
        <v>38.5</v>
      </c>
      <c r="AE25" s="151">
        <v>0</v>
      </c>
      <c r="AF25" s="134">
        <v>0</v>
      </c>
      <c r="AG25" s="134">
        <v>0</v>
      </c>
      <c r="AH25" s="134">
        <v>0</v>
      </c>
      <c r="AI25" s="135">
        <v>0</v>
      </c>
      <c r="AJ25" s="134">
        <v>0</v>
      </c>
      <c r="AK25" s="134">
        <v>0</v>
      </c>
      <c r="AL25" s="134">
        <v>0</v>
      </c>
      <c r="AM25" s="139">
        <f t="shared" si="118"/>
        <v>20058.5</v>
      </c>
      <c r="AN25" s="140">
        <v>46145</v>
      </c>
      <c r="AO25" s="141" t="s">
        <v>506</v>
      </c>
      <c r="AP25" s="142" t="s">
        <v>390</v>
      </c>
      <c r="AQ25" s="143" t="s">
        <v>391</v>
      </c>
      <c r="AR25" s="143" t="s">
        <v>392</v>
      </c>
      <c r="AS25" s="130" t="s">
        <v>393</v>
      </c>
      <c r="AT25" s="144" t="s">
        <v>394</v>
      </c>
      <c r="AU25" s="144" t="s">
        <v>395</v>
      </c>
      <c r="AV25" s="145">
        <v>0</v>
      </c>
      <c r="AW25" s="143">
        <v>521</v>
      </c>
      <c r="AX25" s="316">
        <v>42</v>
      </c>
      <c r="AY25" s="143">
        <f t="shared" si="119"/>
        <v>21882</v>
      </c>
      <c r="AZ25" s="146" t="b">
        <f t="shared" si="120"/>
        <v>1</v>
      </c>
      <c r="BA25" s="132">
        <v>0</v>
      </c>
      <c r="BB25" s="147">
        <f t="shared" si="121"/>
        <v>521</v>
      </c>
      <c r="BC25" s="148">
        <v>0</v>
      </c>
      <c r="BD25" s="147" t="s">
        <v>116</v>
      </c>
      <c r="BE25" s="148">
        <v>0</v>
      </c>
      <c r="BF25" s="147">
        <v>0</v>
      </c>
      <c r="BG25" s="148">
        <v>0</v>
      </c>
      <c r="BH25" s="134" t="s">
        <v>601</v>
      </c>
      <c r="BI25" s="376">
        <v>46181</v>
      </c>
      <c r="BJ25" s="135">
        <v>0</v>
      </c>
      <c r="BK25" s="132">
        <v>0</v>
      </c>
      <c r="BL25" s="143">
        <v>0</v>
      </c>
      <c r="BM25" s="134">
        <v>0</v>
      </c>
      <c r="BN25" s="149">
        <v>0</v>
      </c>
      <c r="BO25" s="133">
        <f t="shared" si="122"/>
        <v>21882</v>
      </c>
      <c r="BP25" s="139">
        <f t="shared" si="123"/>
        <v>1823.5</v>
      </c>
      <c r="BQ25" s="148" t="str">
        <f t="shared" si="124"/>
        <v>Positive Margin</v>
      </c>
      <c r="BR25" s="150" t="s">
        <v>602</v>
      </c>
      <c r="BS25" s="132">
        <f t="shared" si="125"/>
        <v>1823.5</v>
      </c>
      <c r="BT25" s="151" t="str">
        <f t="shared" si="126"/>
        <v>Positive Margin at Inception</v>
      </c>
      <c r="BU25" s="152">
        <f t="shared" si="127"/>
        <v>8.3333333333333329E-2</v>
      </c>
      <c r="BV25" s="151" t="str">
        <f t="shared" si="128"/>
        <v>More than 2%</v>
      </c>
      <c r="BW25" s="132">
        <f t="shared" si="129"/>
        <v>0</v>
      </c>
      <c r="BX25" s="133">
        <f t="shared" si="130"/>
        <v>0</v>
      </c>
      <c r="BY25" s="132">
        <f t="shared" si="131"/>
        <v>0</v>
      </c>
      <c r="BZ25" s="153">
        <f t="shared" si="132"/>
        <v>0</v>
      </c>
      <c r="CA25" s="153">
        <f t="shared" si="133"/>
        <v>0</v>
      </c>
      <c r="CB25" s="134">
        <f t="shared" si="134"/>
        <v>0</v>
      </c>
      <c r="CC25" s="153" t="s">
        <v>369</v>
      </c>
      <c r="CD25" s="134">
        <v>0</v>
      </c>
      <c r="CE25" s="134" t="str">
        <f t="shared" si="135"/>
        <v>May-26</v>
      </c>
      <c r="CF25" s="134">
        <f t="shared" si="136"/>
        <v>20058.5</v>
      </c>
      <c r="CG25" s="134">
        <f t="shared" si="137"/>
        <v>21882</v>
      </c>
      <c r="CH25" s="134">
        <f t="shared" si="138"/>
        <v>5</v>
      </c>
      <c r="CI25" s="154" t="s">
        <v>252</v>
      </c>
      <c r="CJ25" s="134" t="s">
        <v>252</v>
      </c>
      <c r="CK25" s="134" t="str">
        <f>_xlfn.XLOOKUP(AR25,receivables!B:B,receivables!D:D)</f>
        <v>Neelesh Dixit</v>
      </c>
      <c r="CL25" s="134">
        <f t="shared" si="139"/>
        <v>1823.5</v>
      </c>
      <c r="CM25" s="134">
        <f t="shared" si="140"/>
        <v>1823.5</v>
      </c>
      <c r="CN25" s="134">
        <f t="shared" si="141"/>
        <v>1823.5</v>
      </c>
      <c r="CO25" s="134">
        <f t="shared" si="142"/>
        <v>25820.76</v>
      </c>
      <c r="CP25" s="134">
        <f t="shared" si="143"/>
        <v>-23669.03</v>
      </c>
      <c r="CQ25" s="134">
        <f t="shared" si="144"/>
        <v>0</v>
      </c>
      <c r="CR25" s="134">
        <f t="shared" si="145"/>
        <v>0</v>
      </c>
      <c r="CS25" s="134">
        <f t="shared" si="146"/>
        <v>2151.7299999999996</v>
      </c>
      <c r="CT25" s="134" t="s">
        <v>296</v>
      </c>
      <c r="CU25" s="134" t="s">
        <v>296</v>
      </c>
      <c r="CV25" s="149" t="str">
        <f t="shared" si="147"/>
        <v>AAMCB5608A</v>
      </c>
      <c r="CW25" s="149" t="str">
        <f t="shared" si="148"/>
        <v>AAACD5406E</v>
      </c>
      <c r="CX25" s="149">
        <v>0</v>
      </c>
      <c r="CY25" s="149">
        <v>0</v>
      </c>
      <c r="CZ25" s="149">
        <v>0</v>
      </c>
      <c r="DA25" s="149">
        <v>0</v>
      </c>
      <c r="DB25" s="149">
        <v>0</v>
      </c>
    </row>
    <row r="26" spans="2:106" s="156" customFormat="1" ht="11.9" customHeight="1" x14ac:dyDescent="0.3">
      <c r="B26" s="127" t="str">
        <f t="shared" ref="B26:B28" si="149">"Q" &amp; IF(ROUNDUP(MONTH(D26)/3,0)-1=0,4,ROUNDUP(MONTH(D26)/3,0)-1)</f>
        <v>Q1</v>
      </c>
      <c r="C26" s="128" t="str">
        <f t="shared" ref="C26:C28" si="150">TEXT(AN26,"mmm-yy")</f>
        <v>May-26</v>
      </c>
      <c r="D26" s="294">
        <v>46147</v>
      </c>
      <c r="E26" s="130" t="s">
        <v>509</v>
      </c>
      <c r="F26" s="130" t="s">
        <v>197</v>
      </c>
      <c r="G26" s="130" t="s">
        <v>373</v>
      </c>
      <c r="H26" s="131" t="s">
        <v>510</v>
      </c>
      <c r="I26" s="129">
        <v>46147</v>
      </c>
      <c r="J26" s="130" t="s">
        <v>511</v>
      </c>
      <c r="K26" s="129">
        <v>46147</v>
      </c>
      <c r="L26" s="130" t="s">
        <v>376</v>
      </c>
      <c r="M26" s="130" t="s">
        <v>512</v>
      </c>
      <c r="N26" s="131" t="s">
        <v>378</v>
      </c>
      <c r="O26" s="130">
        <v>7918</v>
      </c>
      <c r="P26" s="289">
        <v>44</v>
      </c>
      <c r="Q26" s="132">
        <f t="shared" ref="Q26:Q28" si="151">O26*P26</f>
        <v>348392</v>
      </c>
      <c r="R26" s="133">
        <v>0</v>
      </c>
      <c r="S26" s="132">
        <f t="shared" ref="S26:S28" si="152">O26-R26</f>
        <v>7918</v>
      </c>
      <c r="T26" s="133">
        <v>0</v>
      </c>
      <c r="U26" s="134">
        <v>0</v>
      </c>
      <c r="V26" s="135">
        <v>0</v>
      </c>
      <c r="W26" s="134">
        <v>0</v>
      </c>
      <c r="X26" s="136">
        <v>0</v>
      </c>
      <c r="Y26" s="134">
        <v>0</v>
      </c>
      <c r="Z26" s="134">
        <v>0</v>
      </c>
      <c r="AA26" s="133">
        <v>0</v>
      </c>
      <c r="AB26" s="137">
        <f t="shared" ref="AB26:AB28" si="153">Y26+AA26+Z26</f>
        <v>0</v>
      </c>
      <c r="AC26" s="136">
        <v>0</v>
      </c>
      <c r="AD26" s="337">
        <f t="shared" ref="AD26:AD28" si="154">IFERROR((Q26+AB26)/S26,0)</f>
        <v>44</v>
      </c>
      <c r="AE26" s="151">
        <v>0</v>
      </c>
      <c r="AF26" s="134">
        <v>0</v>
      </c>
      <c r="AG26" s="134">
        <v>0</v>
      </c>
      <c r="AH26" s="134">
        <v>0</v>
      </c>
      <c r="AI26" s="135">
        <v>0</v>
      </c>
      <c r="AJ26" s="134">
        <v>0</v>
      </c>
      <c r="AK26" s="134">
        <v>0</v>
      </c>
      <c r="AL26" s="134">
        <v>0</v>
      </c>
      <c r="AM26" s="139">
        <f t="shared" ref="AM26:AM28" si="155">Q26+AB26+AL26+AK26+AJ26+T26+AE26</f>
        <v>348392</v>
      </c>
      <c r="AN26" s="140">
        <v>46147</v>
      </c>
      <c r="AO26" s="141" t="s">
        <v>513</v>
      </c>
      <c r="AP26" s="142" t="s">
        <v>390</v>
      </c>
      <c r="AQ26" s="143" t="s">
        <v>391</v>
      </c>
      <c r="AR26" s="143" t="s">
        <v>392</v>
      </c>
      <c r="AS26" s="130" t="s">
        <v>494</v>
      </c>
      <c r="AT26" s="144" t="s">
        <v>394</v>
      </c>
      <c r="AU26" s="144" t="s">
        <v>395</v>
      </c>
      <c r="AV26" s="145">
        <v>0</v>
      </c>
      <c r="AW26" s="143">
        <v>7918</v>
      </c>
      <c r="AX26" s="316">
        <v>60</v>
      </c>
      <c r="AY26" s="143">
        <f t="shared" ref="AY26:AY31" si="156">AW26*AX26</f>
        <v>475080</v>
      </c>
      <c r="AZ26" s="146" t="b">
        <f t="shared" ref="AZ26:AZ28" si="157">AW26=O26</f>
        <v>1</v>
      </c>
      <c r="BA26" s="132">
        <v>0</v>
      </c>
      <c r="BB26" s="147">
        <f t="shared" ref="BB26:BB28" si="158">AW26-BA26</f>
        <v>7918</v>
      </c>
      <c r="BC26" s="148">
        <v>0</v>
      </c>
      <c r="BD26" s="147" t="s">
        <v>116</v>
      </c>
      <c r="BE26" s="148">
        <v>0</v>
      </c>
      <c r="BF26" s="147">
        <v>0</v>
      </c>
      <c r="BG26" s="148">
        <v>0</v>
      </c>
      <c r="BH26" s="134">
        <v>0</v>
      </c>
      <c r="BI26" s="134">
        <v>0</v>
      </c>
      <c r="BJ26" s="135">
        <v>0</v>
      </c>
      <c r="BK26" s="132">
        <v>0</v>
      </c>
      <c r="BL26" s="143">
        <v>0</v>
      </c>
      <c r="BM26" s="134">
        <v>0</v>
      </c>
      <c r="BN26" s="149">
        <f t="shared" ref="BN26:BN28" si="159">AY26*$BM$3</f>
        <v>-11877</v>
      </c>
      <c r="BO26" s="133">
        <f t="shared" ref="BO26:BO28" si="160">AY26+BL26+BM26+BN26+BC26+BG26</f>
        <v>463203</v>
      </c>
      <c r="BP26" s="139">
        <f t="shared" ref="BP26:BP28" si="161">BO26-AM26</f>
        <v>114811</v>
      </c>
      <c r="BQ26" s="148" t="str">
        <f t="shared" ref="BQ26:BQ28" si="162">IF(BP26&gt;=0,"Positive Margin","Negative Margin")</f>
        <v>Positive Margin</v>
      </c>
      <c r="BR26" s="150" t="s">
        <v>108</v>
      </c>
      <c r="BS26" s="132">
        <f t="shared" ref="BS26:BS28" si="163">AY26-Y26-Q26-AA26-T26+BC26</f>
        <v>126688</v>
      </c>
      <c r="BT26" s="151" t="str">
        <f t="shared" ref="BT26:BT28" si="164">IF(BS26&lt;0, "Negative Margin at Inception", "Positive Margin at Inception")</f>
        <v>Positive Margin at Inception</v>
      </c>
      <c r="BU26" s="152">
        <f t="shared" ref="BU26:BU28" si="165">IFERROR(BP26/BO26,"0")</f>
        <v>0.24786324786324787</v>
      </c>
      <c r="BV26" s="151" t="str">
        <f t="shared" ref="BV26:BV28" si="166">IF(BU26&lt;1%,"Less Than 1%",IF(BU26&gt;2%,"More than 2%",IF(BU26&gt;=1%,"1% - 2%")))</f>
        <v>More than 2%</v>
      </c>
      <c r="BW26" s="132">
        <f t="shared" ref="BW26:BW28" si="167">BM26+BN26</f>
        <v>-11877</v>
      </c>
      <c r="BX26" s="133">
        <f t="shared" ref="BX26:BX28" si="168">AL26+AK26</f>
        <v>0</v>
      </c>
      <c r="BY26" s="132">
        <f t="shared" ref="BY26:BY28" si="169">BW26-BX26</f>
        <v>-11877</v>
      </c>
      <c r="BZ26" s="153">
        <f t="shared" ref="BZ26:BZ28" si="170">BM26</f>
        <v>0</v>
      </c>
      <c r="CA26" s="153">
        <f t="shared" ref="CA26:CA28" si="171">AK26</f>
        <v>0</v>
      </c>
      <c r="CB26" s="134">
        <f t="shared" ref="CB26:CB28" si="172">BZ26-CA26</f>
        <v>0</v>
      </c>
      <c r="CC26" s="153" t="s">
        <v>369</v>
      </c>
      <c r="CD26" s="134">
        <v>0</v>
      </c>
      <c r="CE26" s="134" t="str">
        <f t="shared" ref="CE26:CE28" si="173">TEXT(AN26,"mmm-yy")</f>
        <v>May-26</v>
      </c>
      <c r="CF26" s="134">
        <f t="shared" ref="CF26:CF28" si="174">AM26-AL26-AA26</f>
        <v>348392</v>
      </c>
      <c r="CG26" s="134">
        <f t="shared" ref="CG26:CG28" si="175">BO26-BN26</f>
        <v>475080</v>
      </c>
      <c r="CH26" s="134">
        <f t="shared" ref="CH26:CH28" si="176">INT((D26- IF(MONTH(D26) &gt;= 4, DATE(YEAR(D26), 4, 1), DATE(YEAR(D26)-1, 4, 1))) / 7) + 1</f>
        <v>5</v>
      </c>
      <c r="CI26" s="154" t="s">
        <v>252</v>
      </c>
      <c r="CJ26" s="134" t="s">
        <v>252</v>
      </c>
      <c r="CK26" s="134" t="str">
        <f>_xlfn.XLOOKUP(AR26,receivables!B:B,receivables!D:D)</f>
        <v>Neelesh Dixit</v>
      </c>
      <c r="CL26" s="134">
        <f t="shared" ref="CL26:CL28" si="177">AY26-Q26</f>
        <v>126688</v>
      </c>
      <c r="CM26" s="134">
        <f t="shared" ref="CM26:CM28" si="178">CL26-Y26+Z26</f>
        <v>126688</v>
      </c>
      <c r="CN26" s="134">
        <f t="shared" ref="CN26:CN28" si="179">BO26-AM26</f>
        <v>114811</v>
      </c>
      <c r="CO26" s="134">
        <f t="shared" ref="CO26:CO28" si="180">AY26*118%</f>
        <v>560594.4</v>
      </c>
      <c r="CP26" s="134">
        <f t="shared" ref="CP26:CP28" si="181">-Q26*118%</f>
        <v>-411102.56</v>
      </c>
      <c r="CQ26" s="134">
        <f t="shared" ref="CQ26:CQ28" si="182">-BZ26*118%</f>
        <v>0</v>
      </c>
      <c r="CR26" s="134">
        <f t="shared" ref="CR26:CR28" si="183">-CA26*118%</f>
        <v>0</v>
      </c>
      <c r="CS26" s="134">
        <f t="shared" ref="CS26:CS28" si="184">SUM(CO26:CR26)</f>
        <v>149491.84000000003</v>
      </c>
      <c r="CT26" s="134" t="s">
        <v>296</v>
      </c>
      <c r="CU26" s="134" t="s">
        <v>296</v>
      </c>
      <c r="CV26" s="149" t="str">
        <f t="shared" ref="CV26:CV28" si="185">MID(G26,3,10)</f>
        <v>AAMCB5608A</v>
      </c>
      <c r="CW26" s="149" t="str">
        <f t="shared" ref="CW26:CW28" si="186">MID(AR26,3,10)</f>
        <v>AAACD5406E</v>
      </c>
      <c r="CX26" s="149">
        <v>0</v>
      </c>
      <c r="CY26" s="149">
        <v>0</v>
      </c>
      <c r="CZ26" s="149">
        <v>0</v>
      </c>
      <c r="DA26" s="149">
        <v>0</v>
      </c>
      <c r="DB26" s="149">
        <v>0</v>
      </c>
    </row>
    <row r="27" spans="2:106" s="156" customFormat="1" ht="11.9" customHeight="1" x14ac:dyDescent="0.3">
      <c r="B27" s="127" t="str">
        <f t="shared" si="149"/>
        <v>Q1</v>
      </c>
      <c r="C27" s="128" t="str">
        <f t="shared" si="150"/>
        <v>May-26</v>
      </c>
      <c r="D27" s="294">
        <v>46147</v>
      </c>
      <c r="E27" s="130" t="s">
        <v>509</v>
      </c>
      <c r="F27" s="130" t="s">
        <v>197</v>
      </c>
      <c r="G27" s="130" t="s">
        <v>373</v>
      </c>
      <c r="H27" s="131" t="s">
        <v>510</v>
      </c>
      <c r="I27" s="129">
        <v>46147</v>
      </c>
      <c r="J27" s="130" t="s">
        <v>511</v>
      </c>
      <c r="K27" s="129">
        <v>46147</v>
      </c>
      <c r="L27" s="130" t="s">
        <v>376</v>
      </c>
      <c r="M27" s="130" t="s">
        <v>512</v>
      </c>
      <c r="N27" s="131" t="s">
        <v>379</v>
      </c>
      <c r="O27" s="130">
        <v>676</v>
      </c>
      <c r="P27" s="289">
        <v>39</v>
      </c>
      <c r="Q27" s="132">
        <f t="shared" si="151"/>
        <v>26364</v>
      </c>
      <c r="R27" s="133">
        <v>0</v>
      </c>
      <c r="S27" s="132">
        <f t="shared" si="152"/>
        <v>676</v>
      </c>
      <c r="T27" s="133">
        <v>0</v>
      </c>
      <c r="U27" s="134">
        <v>0</v>
      </c>
      <c r="V27" s="135">
        <v>0</v>
      </c>
      <c r="W27" s="134">
        <v>0</v>
      </c>
      <c r="X27" s="136">
        <v>0</v>
      </c>
      <c r="Y27" s="134">
        <v>0</v>
      </c>
      <c r="Z27" s="134">
        <v>0</v>
      </c>
      <c r="AA27" s="133">
        <v>0</v>
      </c>
      <c r="AB27" s="137">
        <f t="shared" si="153"/>
        <v>0</v>
      </c>
      <c r="AC27" s="136">
        <v>0</v>
      </c>
      <c r="AD27" s="337">
        <f t="shared" si="154"/>
        <v>39</v>
      </c>
      <c r="AE27" s="151">
        <v>0</v>
      </c>
      <c r="AF27" s="134">
        <v>0</v>
      </c>
      <c r="AG27" s="134">
        <v>0</v>
      </c>
      <c r="AH27" s="134">
        <v>0</v>
      </c>
      <c r="AI27" s="135">
        <v>0</v>
      </c>
      <c r="AJ27" s="134">
        <v>0</v>
      </c>
      <c r="AK27" s="134">
        <v>0</v>
      </c>
      <c r="AL27" s="134">
        <v>0</v>
      </c>
      <c r="AM27" s="139">
        <f t="shared" si="155"/>
        <v>26364</v>
      </c>
      <c r="AN27" s="140">
        <v>46147</v>
      </c>
      <c r="AO27" s="141" t="s">
        <v>513</v>
      </c>
      <c r="AP27" s="142" t="s">
        <v>390</v>
      </c>
      <c r="AQ27" s="143" t="s">
        <v>391</v>
      </c>
      <c r="AR27" s="143" t="s">
        <v>392</v>
      </c>
      <c r="AS27" s="130" t="s">
        <v>494</v>
      </c>
      <c r="AT27" s="144" t="s">
        <v>394</v>
      </c>
      <c r="AU27" s="144" t="s">
        <v>395</v>
      </c>
      <c r="AV27" s="145">
        <v>0</v>
      </c>
      <c r="AW27" s="143">
        <v>676</v>
      </c>
      <c r="AX27" s="316">
        <v>50</v>
      </c>
      <c r="AY27" s="143">
        <f t="shared" si="156"/>
        <v>33800</v>
      </c>
      <c r="AZ27" s="146" t="b">
        <f t="shared" si="157"/>
        <v>1</v>
      </c>
      <c r="BA27" s="132">
        <v>0</v>
      </c>
      <c r="BB27" s="147">
        <f t="shared" si="158"/>
        <v>676</v>
      </c>
      <c r="BC27" s="148">
        <v>0</v>
      </c>
      <c r="BD27" s="147" t="s">
        <v>116</v>
      </c>
      <c r="BE27" s="148">
        <v>0</v>
      </c>
      <c r="BF27" s="147">
        <v>0</v>
      </c>
      <c r="BG27" s="148">
        <v>0</v>
      </c>
      <c r="BH27" s="134">
        <v>0</v>
      </c>
      <c r="BI27" s="134">
        <v>0</v>
      </c>
      <c r="BJ27" s="135">
        <v>0</v>
      </c>
      <c r="BK27" s="132">
        <v>0</v>
      </c>
      <c r="BL27" s="143">
        <v>0</v>
      </c>
      <c r="BM27" s="134">
        <v>0</v>
      </c>
      <c r="BN27" s="149">
        <f t="shared" si="159"/>
        <v>-845</v>
      </c>
      <c r="BO27" s="133">
        <f t="shared" si="160"/>
        <v>32955</v>
      </c>
      <c r="BP27" s="139">
        <f t="shared" si="161"/>
        <v>6591</v>
      </c>
      <c r="BQ27" s="148" t="str">
        <f t="shared" si="162"/>
        <v>Positive Margin</v>
      </c>
      <c r="BR27" s="150" t="s">
        <v>108</v>
      </c>
      <c r="BS27" s="132">
        <f t="shared" si="163"/>
        <v>7436</v>
      </c>
      <c r="BT27" s="151" t="str">
        <f t="shared" si="164"/>
        <v>Positive Margin at Inception</v>
      </c>
      <c r="BU27" s="152">
        <f t="shared" si="165"/>
        <v>0.2</v>
      </c>
      <c r="BV27" s="151" t="str">
        <f t="shared" si="166"/>
        <v>More than 2%</v>
      </c>
      <c r="BW27" s="132">
        <f t="shared" si="167"/>
        <v>-845</v>
      </c>
      <c r="BX27" s="133">
        <f t="shared" si="168"/>
        <v>0</v>
      </c>
      <c r="BY27" s="132">
        <f t="shared" si="169"/>
        <v>-845</v>
      </c>
      <c r="BZ27" s="153">
        <f t="shared" si="170"/>
        <v>0</v>
      </c>
      <c r="CA27" s="153">
        <f t="shared" si="171"/>
        <v>0</v>
      </c>
      <c r="CB27" s="134">
        <f t="shared" si="172"/>
        <v>0</v>
      </c>
      <c r="CC27" s="153" t="s">
        <v>369</v>
      </c>
      <c r="CD27" s="134">
        <v>0</v>
      </c>
      <c r="CE27" s="134" t="str">
        <f t="shared" si="173"/>
        <v>May-26</v>
      </c>
      <c r="CF27" s="134">
        <f t="shared" si="174"/>
        <v>26364</v>
      </c>
      <c r="CG27" s="134">
        <f t="shared" si="175"/>
        <v>33800</v>
      </c>
      <c r="CH27" s="134">
        <f t="shared" si="176"/>
        <v>5</v>
      </c>
      <c r="CI27" s="154" t="s">
        <v>252</v>
      </c>
      <c r="CJ27" s="134" t="s">
        <v>252</v>
      </c>
      <c r="CK27" s="134" t="str">
        <f>_xlfn.XLOOKUP(AR27,receivables!B:B,receivables!D:D)</f>
        <v>Neelesh Dixit</v>
      </c>
      <c r="CL27" s="134">
        <f t="shared" si="177"/>
        <v>7436</v>
      </c>
      <c r="CM27" s="134">
        <f t="shared" si="178"/>
        <v>7436</v>
      </c>
      <c r="CN27" s="134">
        <f t="shared" si="179"/>
        <v>6591</v>
      </c>
      <c r="CO27" s="134">
        <f t="shared" si="180"/>
        <v>39884</v>
      </c>
      <c r="CP27" s="134">
        <f t="shared" si="181"/>
        <v>-31109.519999999997</v>
      </c>
      <c r="CQ27" s="134">
        <f t="shared" si="182"/>
        <v>0</v>
      </c>
      <c r="CR27" s="134">
        <f t="shared" si="183"/>
        <v>0</v>
      </c>
      <c r="CS27" s="134">
        <f t="shared" si="184"/>
        <v>8774.4800000000032</v>
      </c>
      <c r="CT27" s="134" t="s">
        <v>296</v>
      </c>
      <c r="CU27" s="134" t="s">
        <v>296</v>
      </c>
      <c r="CV27" s="149" t="str">
        <f t="shared" si="185"/>
        <v>AAMCB5608A</v>
      </c>
      <c r="CW27" s="149" t="str">
        <f t="shared" si="186"/>
        <v>AAACD5406E</v>
      </c>
      <c r="CX27" s="149">
        <v>0</v>
      </c>
      <c r="CY27" s="149">
        <v>0</v>
      </c>
      <c r="CZ27" s="149">
        <v>0</v>
      </c>
      <c r="DA27" s="149">
        <v>0</v>
      </c>
      <c r="DB27" s="149">
        <v>0</v>
      </c>
    </row>
    <row r="28" spans="2:106" s="156" customFormat="1" ht="11.9" customHeight="1" x14ac:dyDescent="0.3">
      <c r="B28" s="127" t="str">
        <f t="shared" si="149"/>
        <v>Q1</v>
      </c>
      <c r="C28" s="128" t="str">
        <f t="shared" si="150"/>
        <v>May-26</v>
      </c>
      <c r="D28" s="294">
        <v>46147</v>
      </c>
      <c r="E28" s="130" t="s">
        <v>509</v>
      </c>
      <c r="F28" s="130" t="s">
        <v>197</v>
      </c>
      <c r="G28" s="130" t="s">
        <v>373</v>
      </c>
      <c r="H28" s="131" t="s">
        <v>510</v>
      </c>
      <c r="I28" s="129">
        <v>46147</v>
      </c>
      <c r="J28" s="130" t="s">
        <v>511</v>
      </c>
      <c r="K28" s="129">
        <v>46147</v>
      </c>
      <c r="L28" s="130" t="s">
        <v>376</v>
      </c>
      <c r="M28" s="130" t="s">
        <v>512</v>
      </c>
      <c r="N28" s="131" t="s">
        <v>384</v>
      </c>
      <c r="O28" s="130">
        <v>1321</v>
      </c>
      <c r="P28" s="289">
        <v>44</v>
      </c>
      <c r="Q28" s="132">
        <f t="shared" si="151"/>
        <v>58124</v>
      </c>
      <c r="R28" s="133">
        <v>0</v>
      </c>
      <c r="S28" s="132">
        <f t="shared" si="152"/>
        <v>1321</v>
      </c>
      <c r="T28" s="133">
        <v>0</v>
      </c>
      <c r="U28" s="134">
        <v>0</v>
      </c>
      <c r="V28" s="135">
        <v>0</v>
      </c>
      <c r="W28" s="134">
        <v>0</v>
      </c>
      <c r="X28" s="136">
        <v>0</v>
      </c>
      <c r="Y28" s="134">
        <v>0</v>
      </c>
      <c r="Z28" s="134">
        <v>0</v>
      </c>
      <c r="AA28" s="133">
        <v>0</v>
      </c>
      <c r="AB28" s="137">
        <f t="shared" si="153"/>
        <v>0</v>
      </c>
      <c r="AC28" s="136">
        <v>0</v>
      </c>
      <c r="AD28" s="337">
        <f t="shared" si="154"/>
        <v>44</v>
      </c>
      <c r="AE28" s="151">
        <v>0</v>
      </c>
      <c r="AF28" s="134">
        <v>0</v>
      </c>
      <c r="AG28" s="134">
        <v>0</v>
      </c>
      <c r="AH28" s="134">
        <v>0</v>
      </c>
      <c r="AI28" s="135">
        <v>0</v>
      </c>
      <c r="AJ28" s="134">
        <v>0</v>
      </c>
      <c r="AK28" s="134">
        <v>0</v>
      </c>
      <c r="AL28" s="134">
        <v>0</v>
      </c>
      <c r="AM28" s="139">
        <f t="shared" si="155"/>
        <v>58124</v>
      </c>
      <c r="AN28" s="140">
        <v>46147</v>
      </c>
      <c r="AO28" s="141" t="s">
        <v>513</v>
      </c>
      <c r="AP28" s="142" t="s">
        <v>390</v>
      </c>
      <c r="AQ28" s="143" t="s">
        <v>391</v>
      </c>
      <c r="AR28" s="143" t="s">
        <v>392</v>
      </c>
      <c r="AS28" s="130" t="s">
        <v>494</v>
      </c>
      <c r="AT28" s="144" t="s">
        <v>394</v>
      </c>
      <c r="AU28" s="144" t="s">
        <v>395</v>
      </c>
      <c r="AV28" s="145">
        <v>0</v>
      </c>
      <c r="AW28" s="143">
        <v>1321</v>
      </c>
      <c r="AX28" s="316">
        <v>65</v>
      </c>
      <c r="AY28" s="143">
        <f t="shared" si="156"/>
        <v>85865</v>
      </c>
      <c r="AZ28" s="146" t="b">
        <f t="shared" si="157"/>
        <v>1</v>
      </c>
      <c r="BA28" s="132">
        <v>0</v>
      </c>
      <c r="BB28" s="147">
        <f t="shared" si="158"/>
        <v>1321</v>
      </c>
      <c r="BC28" s="148">
        <v>0</v>
      </c>
      <c r="BD28" s="147" t="s">
        <v>116</v>
      </c>
      <c r="BE28" s="148">
        <v>0</v>
      </c>
      <c r="BF28" s="147">
        <v>0</v>
      </c>
      <c r="BG28" s="148">
        <v>0</v>
      </c>
      <c r="BH28" s="134">
        <v>0</v>
      </c>
      <c r="BI28" s="134">
        <v>0</v>
      </c>
      <c r="BJ28" s="135">
        <v>0</v>
      </c>
      <c r="BK28" s="132">
        <v>0</v>
      </c>
      <c r="BL28" s="143">
        <v>0</v>
      </c>
      <c r="BM28" s="134">
        <v>0</v>
      </c>
      <c r="BN28" s="149">
        <f t="shared" si="159"/>
        <v>-2146.625</v>
      </c>
      <c r="BO28" s="133">
        <f t="shared" si="160"/>
        <v>83718.375</v>
      </c>
      <c r="BP28" s="139">
        <f t="shared" si="161"/>
        <v>25594.375</v>
      </c>
      <c r="BQ28" s="148" t="str">
        <f t="shared" si="162"/>
        <v>Positive Margin</v>
      </c>
      <c r="BR28" s="150" t="s">
        <v>108</v>
      </c>
      <c r="BS28" s="132">
        <f t="shared" si="163"/>
        <v>27741</v>
      </c>
      <c r="BT28" s="151" t="str">
        <f t="shared" si="164"/>
        <v>Positive Margin at Inception</v>
      </c>
      <c r="BU28" s="152">
        <f t="shared" si="165"/>
        <v>0.3057199211045365</v>
      </c>
      <c r="BV28" s="151" t="str">
        <f t="shared" si="166"/>
        <v>More than 2%</v>
      </c>
      <c r="BW28" s="132">
        <f t="shared" si="167"/>
        <v>-2146.625</v>
      </c>
      <c r="BX28" s="133">
        <f t="shared" si="168"/>
        <v>0</v>
      </c>
      <c r="BY28" s="132">
        <f t="shared" si="169"/>
        <v>-2146.625</v>
      </c>
      <c r="BZ28" s="153">
        <f t="shared" si="170"/>
        <v>0</v>
      </c>
      <c r="CA28" s="153">
        <f t="shared" si="171"/>
        <v>0</v>
      </c>
      <c r="CB28" s="134">
        <f t="shared" si="172"/>
        <v>0</v>
      </c>
      <c r="CC28" s="153" t="s">
        <v>369</v>
      </c>
      <c r="CD28" s="134">
        <v>0</v>
      </c>
      <c r="CE28" s="134" t="str">
        <f t="shared" si="173"/>
        <v>May-26</v>
      </c>
      <c r="CF28" s="134">
        <f t="shared" si="174"/>
        <v>58124</v>
      </c>
      <c r="CG28" s="134">
        <f t="shared" si="175"/>
        <v>85865</v>
      </c>
      <c r="CH28" s="134">
        <f t="shared" si="176"/>
        <v>5</v>
      </c>
      <c r="CI28" s="154" t="s">
        <v>252</v>
      </c>
      <c r="CJ28" s="134" t="s">
        <v>252</v>
      </c>
      <c r="CK28" s="134" t="str">
        <f>_xlfn.XLOOKUP(AR28,receivables!B:B,receivables!D:D)</f>
        <v>Neelesh Dixit</v>
      </c>
      <c r="CL28" s="134">
        <f t="shared" si="177"/>
        <v>27741</v>
      </c>
      <c r="CM28" s="134">
        <f t="shared" si="178"/>
        <v>27741</v>
      </c>
      <c r="CN28" s="134">
        <f t="shared" si="179"/>
        <v>25594.375</v>
      </c>
      <c r="CO28" s="134">
        <f t="shared" si="180"/>
        <v>101320.7</v>
      </c>
      <c r="CP28" s="134">
        <f t="shared" si="181"/>
        <v>-68586.319999999992</v>
      </c>
      <c r="CQ28" s="134">
        <f t="shared" si="182"/>
        <v>0</v>
      </c>
      <c r="CR28" s="134">
        <f t="shared" si="183"/>
        <v>0</v>
      </c>
      <c r="CS28" s="134">
        <f t="shared" si="184"/>
        <v>32734.380000000005</v>
      </c>
      <c r="CT28" s="134" t="s">
        <v>296</v>
      </c>
      <c r="CU28" s="134" t="s">
        <v>296</v>
      </c>
      <c r="CV28" s="149" t="str">
        <f t="shared" si="185"/>
        <v>AAMCB5608A</v>
      </c>
      <c r="CW28" s="149" t="str">
        <f t="shared" si="186"/>
        <v>AAACD5406E</v>
      </c>
      <c r="CX28" s="149">
        <v>0</v>
      </c>
      <c r="CY28" s="149">
        <v>0</v>
      </c>
      <c r="CZ28" s="149">
        <v>0</v>
      </c>
      <c r="DA28" s="149">
        <v>0</v>
      </c>
      <c r="DB28" s="149">
        <v>0</v>
      </c>
    </row>
    <row r="29" spans="2:106" s="156" customFormat="1" ht="11.9" customHeight="1" x14ac:dyDescent="0.3">
      <c r="B29" s="127" t="str">
        <f t="shared" ref="B29:B31" si="187">"Q" &amp; IF(ROUNDUP(MONTH(D29)/3,0)-1=0,4,ROUNDUP(MONTH(D29)/3,0)-1)</f>
        <v>Q1</v>
      </c>
      <c r="C29" s="128" t="str">
        <f t="shared" ref="C29:C31" si="188">TEXT(AN29,"mmm-yy")</f>
        <v>May-26</v>
      </c>
      <c r="D29" s="294">
        <v>46151</v>
      </c>
      <c r="E29" s="130" t="s">
        <v>516</v>
      </c>
      <c r="F29" s="130" t="s">
        <v>197</v>
      </c>
      <c r="G29" s="130" t="s">
        <v>373</v>
      </c>
      <c r="H29" s="131" t="s">
        <v>517</v>
      </c>
      <c r="I29" s="129">
        <v>46151</v>
      </c>
      <c r="J29" s="130" t="s">
        <v>518</v>
      </c>
      <c r="K29" s="129">
        <v>46151</v>
      </c>
      <c r="L29" s="130" t="s">
        <v>376</v>
      </c>
      <c r="M29" s="130" t="s">
        <v>519</v>
      </c>
      <c r="N29" s="131" t="s">
        <v>378</v>
      </c>
      <c r="O29" s="130">
        <v>8599</v>
      </c>
      <c r="P29" s="289">
        <v>45.5</v>
      </c>
      <c r="Q29" s="132">
        <f t="shared" ref="Q29:Q31" si="189">O29*P29</f>
        <v>391254.5</v>
      </c>
      <c r="R29" s="133">
        <v>0</v>
      </c>
      <c r="S29" s="132">
        <f t="shared" ref="S29:S31" si="190">O29-R29</f>
        <v>8599</v>
      </c>
      <c r="T29" s="133">
        <v>0</v>
      </c>
      <c r="U29" s="134">
        <v>0</v>
      </c>
      <c r="V29" s="135">
        <v>0</v>
      </c>
      <c r="W29" s="134">
        <v>0</v>
      </c>
      <c r="X29" s="136">
        <v>0</v>
      </c>
      <c r="Y29" s="134">
        <v>0</v>
      </c>
      <c r="Z29" s="134">
        <v>0</v>
      </c>
      <c r="AA29" s="133">
        <v>0</v>
      </c>
      <c r="AB29" s="137">
        <f t="shared" ref="AB29:AB31" si="191">Y29+AA29+Z29</f>
        <v>0</v>
      </c>
      <c r="AC29" s="136">
        <v>0</v>
      </c>
      <c r="AD29" s="337">
        <f t="shared" ref="AD29:AD31" si="192">IFERROR((Q29+AB29)/S29,0)</f>
        <v>45.5</v>
      </c>
      <c r="AE29" s="151">
        <v>0</v>
      </c>
      <c r="AF29" s="134">
        <v>0</v>
      </c>
      <c r="AG29" s="134">
        <v>0</v>
      </c>
      <c r="AH29" s="134">
        <v>0</v>
      </c>
      <c r="AI29" s="135">
        <v>0</v>
      </c>
      <c r="AJ29" s="134">
        <v>0</v>
      </c>
      <c r="AK29" s="134">
        <v>0</v>
      </c>
      <c r="AL29" s="134">
        <v>0</v>
      </c>
      <c r="AM29" s="139">
        <f t="shared" ref="AM29:AM31" si="193">Q29+AB29+AL29+AK29+AJ29+T29+AE29</f>
        <v>391254.5</v>
      </c>
      <c r="AN29" s="140">
        <v>46151</v>
      </c>
      <c r="AO29" s="141" t="s">
        <v>520</v>
      </c>
      <c r="AP29" s="142" t="s">
        <v>390</v>
      </c>
      <c r="AQ29" s="143" t="s">
        <v>391</v>
      </c>
      <c r="AR29" s="143" t="s">
        <v>392</v>
      </c>
      <c r="AS29" s="130" t="s">
        <v>496</v>
      </c>
      <c r="AT29" s="144" t="s">
        <v>394</v>
      </c>
      <c r="AU29" s="144" t="s">
        <v>395</v>
      </c>
      <c r="AV29" s="145">
        <v>0</v>
      </c>
      <c r="AW29" s="143">
        <v>8599</v>
      </c>
      <c r="AX29" s="316">
        <v>60</v>
      </c>
      <c r="AY29" s="143">
        <f t="shared" si="156"/>
        <v>515940</v>
      </c>
      <c r="AZ29" s="146" t="b">
        <f t="shared" ref="AZ29:AZ31" si="194">AW29=O29</f>
        <v>1</v>
      </c>
      <c r="BA29" s="132">
        <v>0</v>
      </c>
      <c r="BB29" s="147">
        <f t="shared" ref="BB29:BB31" si="195">AW29-BA29</f>
        <v>8599</v>
      </c>
      <c r="BC29" s="148">
        <v>0</v>
      </c>
      <c r="BD29" s="147" t="s">
        <v>116</v>
      </c>
      <c r="BE29" s="148">
        <v>0</v>
      </c>
      <c r="BF29" s="147">
        <v>0</v>
      </c>
      <c r="BG29" s="148">
        <v>0</v>
      </c>
      <c r="BH29" s="134">
        <v>0</v>
      </c>
      <c r="BI29" s="134">
        <v>0</v>
      </c>
      <c r="BJ29" s="135">
        <v>0</v>
      </c>
      <c r="BK29" s="132">
        <v>0</v>
      </c>
      <c r="BL29" s="143">
        <v>0</v>
      </c>
      <c r="BM29" s="134">
        <v>0</v>
      </c>
      <c r="BN29" s="149">
        <f t="shared" ref="BN29:BN31" si="196">AY29*$BM$3</f>
        <v>-12898.5</v>
      </c>
      <c r="BO29" s="133">
        <f t="shared" ref="BO29:BO31" si="197">AY29+BL29+BM29+BN29+BC29+BG29</f>
        <v>503041.5</v>
      </c>
      <c r="BP29" s="139">
        <f t="shared" ref="BP29:BP31" si="198">BO29-AM29</f>
        <v>111787</v>
      </c>
      <c r="BQ29" s="148" t="str">
        <f t="shared" ref="BQ29:BQ31" si="199">IF(BP29&gt;=0,"Positive Margin","Negative Margin")</f>
        <v>Positive Margin</v>
      </c>
      <c r="BR29" s="150" t="s">
        <v>108</v>
      </c>
      <c r="BS29" s="132">
        <f t="shared" ref="BS29:BS31" si="200">AY29-Y29-Q29-AA29-T29+BC29</f>
        <v>124685.5</v>
      </c>
      <c r="BT29" s="151" t="str">
        <f t="shared" ref="BT29:BT31" si="201">IF(BS29&lt;0, "Negative Margin at Inception", "Positive Margin at Inception")</f>
        <v>Positive Margin at Inception</v>
      </c>
      <c r="BU29" s="152">
        <f t="shared" ref="BU29:BU31" si="202">IFERROR(BP29/BO29,"0")</f>
        <v>0.22222222222222221</v>
      </c>
      <c r="BV29" s="151" t="str">
        <f t="shared" ref="BV29:BV31" si="203">IF(BU29&lt;1%,"Less Than 1%",IF(BU29&gt;2%,"More than 2%",IF(BU29&gt;=1%,"1% - 2%")))</f>
        <v>More than 2%</v>
      </c>
      <c r="BW29" s="132">
        <f t="shared" ref="BW29:BW31" si="204">BM29+BN29</f>
        <v>-12898.5</v>
      </c>
      <c r="BX29" s="133">
        <f t="shared" ref="BX29:BX31" si="205">AL29+AK29</f>
        <v>0</v>
      </c>
      <c r="BY29" s="132">
        <f t="shared" ref="BY29:BY31" si="206">BW29-BX29</f>
        <v>-12898.5</v>
      </c>
      <c r="BZ29" s="153">
        <f t="shared" ref="BZ29:BZ31" si="207">BM29</f>
        <v>0</v>
      </c>
      <c r="CA29" s="153">
        <f t="shared" ref="CA29:CA31" si="208">AK29</f>
        <v>0</v>
      </c>
      <c r="CB29" s="134">
        <f t="shared" ref="CB29:CB31" si="209">BZ29-CA29</f>
        <v>0</v>
      </c>
      <c r="CC29" s="153" t="s">
        <v>369</v>
      </c>
      <c r="CD29" s="134">
        <v>0</v>
      </c>
      <c r="CE29" s="134" t="str">
        <f t="shared" ref="CE29:CE31" si="210">TEXT(AN29,"mmm-yy")</f>
        <v>May-26</v>
      </c>
      <c r="CF29" s="134">
        <f t="shared" ref="CF29:CF31" si="211">AM29-AL29-AA29</f>
        <v>391254.5</v>
      </c>
      <c r="CG29" s="134">
        <f t="shared" ref="CG29:CG31" si="212">BO29-BN29</f>
        <v>515940</v>
      </c>
      <c r="CH29" s="134">
        <f t="shared" ref="CH29:CH31" si="213">INT((D29- IF(MONTH(D29) &gt;= 4, DATE(YEAR(D29), 4, 1), DATE(YEAR(D29)-1, 4, 1))) / 7) + 1</f>
        <v>6</v>
      </c>
      <c r="CI29" s="154" t="s">
        <v>252</v>
      </c>
      <c r="CJ29" s="134" t="s">
        <v>252</v>
      </c>
      <c r="CK29" s="134" t="str">
        <f>_xlfn.XLOOKUP(AR29,receivables!B:B,receivables!D:D)</f>
        <v>Neelesh Dixit</v>
      </c>
      <c r="CL29" s="134">
        <f t="shared" ref="CL29:CL31" si="214">AY29-Q29</f>
        <v>124685.5</v>
      </c>
      <c r="CM29" s="134">
        <f t="shared" ref="CM29:CM31" si="215">CL29-Y29+Z29</f>
        <v>124685.5</v>
      </c>
      <c r="CN29" s="134">
        <f t="shared" ref="CN29:CN31" si="216">BO29-AM29</f>
        <v>111787</v>
      </c>
      <c r="CO29" s="134">
        <f t="shared" ref="CO29:CO31" si="217">AY29*118%</f>
        <v>608809.19999999995</v>
      </c>
      <c r="CP29" s="134">
        <f t="shared" ref="CP29:CP31" si="218">-Q29*118%</f>
        <v>-461680.31</v>
      </c>
      <c r="CQ29" s="134">
        <f t="shared" ref="CQ29:CQ31" si="219">-BZ29*118%</f>
        <v>0</v>
      </c>
      <c r="CR29" s="134">
        <f t="shared" ref="CR29:CR31" si="220">-CA29*118%</f>
        <v>0</v>
      </c>
      <c r="CS29" s="134">
        <f t="shared" ref="CS29:CS31" si="221">SUM(CO29:CR29)</f>
        <v>147128.88999999996</v>
      </c>
      <c r="CT29" s="134" t="s">
        <v>296</v>
      </c>
      <c r="CU29" s="134" t="s">
        <v>296</v>
      </c>
      <c r="CV29" s="149" t="str">
        <f t="shared" ref="CV29:CV31" si="222">MID(G29,3,10)</f>
        <v>AAMCB5608A</v>
      </c>
      <c r="CW29" s="149" t="str">
        <f t="shared" ref="CW29:CW31" si="223">MID(AR29,3,10)</f>
        <v>AAACD5406E</v>
      </c>
      <c r="CX29" s="149">
        <v>0</v>
      </c>
      <c r="CY29" s="149">
        <v>0</v>
      </c>
      <c r="CZ29" s="149">
        <v>0</v>
      </c>
      <c r="DA29" s="149">
        <v>0</v>
      </c>
      <c r="DB29" s="149">
        <v>0</v>
      </c>
    </row>
    <row r="30" spans="2:106" s="156" customFormat="1" ht="11.9" customHeight="1" x14ac:dyDescent="0.3">
      <c r="B30" s="127" t="str">
        <f t="shared" si="187"/>
        <v>Q1</v>
      </c>
      <c r="C30" s="128" t="str">
        <f t="shared" si="188"/>
        <v>May-26</v>
      </c>
      <c r="D30" s="294">
        <v>46151</v>
      </c>
      <c r="E30" s="130" t="s">
        <v>516</v>
      </c>
      <c r="F30" s="130" t="s">
        <v>197</v>
      </c>
      <c r="G30" s="130" t="s">
        <v>373</v>
      </c>
      <c r="H30" s="131" t="s">
        <v>517</v>
      </c>
      <c r="I30" s="129">
        <v>46151</v>
      </c>
      <c r="J30" s="130" t="s">
        <v>518</v>
      </c>
      <c r="K30" s="129">
        <v>46151</v>
      </c>
      <c r="L30" s="130" t="s">
        <v>376</v>
      </c>
      <c r="M30" s="130" t="s">
        <v>519</v>
      </c>
      <c r="N30" s="131" t="s">
        <v>379</v>
      </c>
      <c r="O30" s="130">
        <v>491</v>
      </c>
      <c r="P30" s="289">
        <v>40.5</v>
      </c>
      <c r="Q30" s="132">
        <f t="shared" si="189"/>
        <v>19885.5</v>
      </c>
      <c r="R30" s="133">
        <v>0</v>
      </c>
      <c r="S30" s="132">
        <f t="shared" si="190"/>
        <v>491</v>
      </c>
      <c r="T30" s="133">
        <v>0</v>
      </c>
      <c r="U30" s="134">
        <v>0</v>
      </c>
      <c r="V30" s="135">
        <v>0</v>
      </c>
      <c r="W30" s="134">
        <v>0</v>
      </c>
      <c r="X30" s="136">
        <v>0</v>
      </c>
      <c r="Y30" s="134">
        <v>0</v>
      </c>
      <c r="Z30" s="134">
        <v>0</v>
      </c>
      <c r="AA30" s="133">
        <v>0</v>
      </c>
      <c r="AB30" s="137">
        <f t="shared" si="191"/>
        <v>0</v>
      </c>
      <c r="AC30" s="136">
        <v>0</v>
      </c>
      <c r="AD30" s="337">
        <f t="shared" si="192"/>
        <v>40.5</v>
      </c>
      <c r="AE30" s="151">
        <v>0</v>
      </c>
      <c r="AF30" s="134">
        <v>0</v>
      </c>
      <c r="AG30" s="134">
        <v>0</v>
      </c>
      <c r="AH30" s="134">
        <v>0</v>
      </c>
      <c r="AI30" s="135">
        <v>0</v>
      </c>
      <c r="AJ30" s="134">
        <v>0</v>
      </c>
      <c r="AK30" s="134">
        <v>0</v>
      </c>
      <c r="AL30" s="134">
        <v>0</v>
      </c>
      <c r="AM30" s="139">
        <f t="shared" si="193"/>
        <v>19885.5</v>
      </c>
      <c r="AN30" s="140">
        <v>46151</v>
      </c>
      <c r="AO30" s="141" t="s">
        <v>520</v>
      </c>
      <c r="AP30" s="142" t="s">
        <v>390</v>
      </c>
      <c r="AQ30" s="143" t="s">
        <v>391</v>
      </c>
      <c r="AR30" s="143" t="s">
        <v>392</v>
      </c>
      <c r="AS30" s="130" t="s">
        <v>496</v>
      </c>
      <c r="AT30" s="144" t="s">
        <v>394</v>
      </c>
      <c r="AU30" s="144" t="s">
        <v>395</v>
      </c>
      <c r="AV30" s="145">
        <v>0</v>
      </c>
      <c r="AW30" s="143">
        <v>491</v>
      </c>
      <c r="AX30" s="316">
        <v>50</v>
      </c>
      <c r="AY30" s="143">
        <f t="shared" si="156"/>
        <v>24550</v>
      </c>
      <c r="AZ30" s="146" t="b">
        <f t="shared" si="194"/>
        <v>1</v>
      </c>
      <c r="BA30" s="132">
        <v>0</v>
      </c>
      <c r="BB30" s="147">
        <f t="shared" si="195"/>
        <v>491</v>
      </c>
      <c r="BC30" s="148">
        <v>0</v>
      </c>
      <c r="BD30" s="147" t="s">
        <v>116</v>
      </c>
      <c r="BE30" s="148">
        <v>0</v>
      </c>
      <c r="BF30" s="147">
        <v>0</v>
      </c>
      <c r="BG30" s="148">
        <v>0</v>
      </c>
      <c r="BH30" s="134">
        <v>0</v>
      </c>
      <c r="BI30" s="134">
        <v>0</v>
      </c>
      <c r="BJ30" s="135">
        <v>0</v>
      </c>
      <c r="BK30" s="132">
        <v>0</v>
      </c>
      <c r="BL30" s="143">
        <v>0</v>
      </c>
      <c r="BM30" s="134">
        <v>0</v>
      </c>
      <c r="BN30" s="149">
        <f t="shared" si="196"/>
        <v>-613.75</v>
      </c>
      <c r="BO30" s="133">
        <f t="shared" si="197"/>
        <v>23936.25</v>
      </c>
      <c r="BP30" s="139">
        <f t="shared" si="198"/>
        <v>4050.75</v>
      </c>
      <c r="BQ30" s="148" t="str">
        <f t="shared" si="199"/>
        <v>Positive Margin</v>
      </c>
      <c r="BR30" s="150" t="s">
        <v>108</v>
      </c>
      <c r="BS30" s="132">
        <f t="shared" si="200"/>
        <v>4664.5</v>
      </c>
      <c r="BT30" s="151" t="str">
        <f t="shared" si="201"/>
        <v>Positive Margin at Inception</v>
      </c>
      <c r="BU30" s="152">
        <f t="shared" si="202"/>
        <v>0.16923076923076924</v>
      </c>
      <c r="BV30" s="151" t="str">
        <f t="shared" si="203"/>
        <v>More than 2%</v>
      </c>
      <c r="BW30" s="132">
        <f t="shared" si="204"/>
        <v>-613.75</v>
      </c>
      <c r="BX30" s="133">
        <f t="shared" si="205"/>
        <v>0</v>
      </c>
      <c r="BY30" s="132">
        <f t="shared" si="206"/>
        <v>-613.75</v>
      </c>
      <c r="BZ30" s="153">
        <f t="shared" si="207"/>
        <v>0</v>
      </c>
      <c r="CA30" s="153">
        <f t="shared" si="208"/>
        <v>0</v>
      </c>
      <c r="CB30" s="134">
        <f t="shared" si="209"/>
        <v>0</v>
      </c>
      <c r="CC30" s="153" t="s">
        <v>369</v>
      </c>
      <c r="CD30" s="134">
        <v>0</v>
      </c>
      <c r="CE30" s="134" t="str">
        <f t="shared" si="210"/>
        <v>May-26</v>
      </c>
      <c r="CF30" s="134">
        <f t="shared" si="211"/>
        <v>19885.5</v>
      </c>
      <c r="CG30" s="134">
        <f t="shared" si="212"/>
        <v>24550</v>
      </c>
      <c r="CH30" s="134">
        <f t="shared" si="213"/>
        <v>6</v>
      </c>
      <c r="CI30" s="154" t="s">
        <v>252</v>
      </c>
      <c r="CJ30" s="134" t="s">
        <v>252</v>
      </c>
      <c r="CK30" s="134" t="str">
        <f>_xlfn.XLOOKUP(AR30,receivables!B:B,receivables!D:D)</f>
        <v>Neelesh Dixit</v>
      </c>
      <c r="CL30" s="134">
        <f t="shared" si="214"/>
        <v>4664.5</v>
      </c>
      <c r="CM30" s="134">
        <f t="shared" si="215"/>
        <v>4664.5</v>
      </c>
      <c r="CN30" s="134">
        <f t="shared" si="216"/>
        <v>4050.75</v>
      </c>
      <c r="CO30" s="134">
        <f t="shared" si="217"/>
        <v>28969</v>
      </c>
      <c r="CP30" s="134">
        <f t="shared" si="218"/>
        <v>-23464.89</v>
      </c>
      <c r="CQ30" s="134">
        <f t="shared" si="219"/>
        <v>0</v>
      </c>
      <c r="CR30" s="134">
        <f t="shared" si="220"/>
        <v>0</v>
      </c>
      <c r="CS30" s="134">
        <f t="shared" si="221"/>
        <v>5504.1100000000006</v>
      </c>
      <c r="CT30" s="134" t="s">
        <v>296</v>
      </c>
      <c r="CU30" s="134" t="s">
        <v>296</v>
      </c>
      <c r="CV30" s="149" t="str">
        <f t="shared" si="222"/>
        <v>AAMCB5608A</v>
      </c>
      <c r="CW30" s="149" t="str">
        <f t="shared" si="223"/>
        <v>AAACD5406E</v>
      </c>
      <c r="CX30" s="149">
        <v>0</v>
      </c>
      <c r="CY30" s="149">
        <v>0</v>
      </c>
      <c r="CZ30" s="149">
        <v>0</v>
      </c>
      <c r="DA30" s="149">
        <v>0</v>
      </c>
      <c r="DB30" s="149">
        <v>0</v>
      </c>
    </row>
    <row r="31" spans="2:106" s="156" customFormat="1" ht="11.9" customHeight="1" x14ac:dyDescent="0.3">
      <c r="B31" s="127" t="str">
        <f t="shared" si="187"/>
        <v>Q1</v>
      </c>
      <c r="C31" s="128" t="str">
        <f t="shared" si="188"/>
        <v>May-26</v>
      </c>
      <c r="D31" s="294">
        <v>46151</v>
      </c>
      <c r="E31" s="130" t="s">
        <v>516</v>
      </c>
      <c r="F31" s="130" t="s">
        <v>197</v>
      </c>
      <c r="G31" s="130" t="s">
        <v>373</v>
      </c>
      <c r="H31" s="131" t="s">
        <v>517</v>
      </c>
      <c r="I31" s="129">
        <v>46151</v>
      </c>
      <c r="J31" s="130" t="s">
        <v>518</v>
      </c>
      <c r="K31" s="129">
        <v>46151</v>
      </c>
      <c r="L31" s="130" t="s">
        <v>376</v>
      </c>
      <c r="M31" s="130" t="s">
        <v>519</v>
      </c>
      <c r="N31" s="131" t="s">
        <v>384</v>
      </c>
      <c r="O31" s="130">
        <v>1150</v>
      </c>
      <c r="P31" s="289">
        <v>45.5</v>
      </c>
      <c r="Q31" s="132">
        <f t="shared" si="189"/>
        <v>52325</v>
      </c>
      <c r="R31" s="133">
        <v>0</v>
      </c>
      <c r="S31" s="132">
        <f t="shared" si="190"/>
        <v>1150</v>
      </c>
      <c r="T31" s="133">
        <v>0</v>
      </c>
      <c r="U31" s="134">
        <v>0</v>
      </c>
      <c r="V31" s="135">
        <v>0</v>
      </c>
      <c r="W31" s="134">
        <v>0</v>
      </c>
      <c r="X31" s="136">
        <v>0</v>
      </c>
      <c r="Y31" s="134">
        <v>0</v>
      </c>
      <c r="Z31" s="134">
        <v>0</v>
      </c>
      <c r="AA31" s="133">
        <v>0</v>
      </c>
      <c r="AB31" s="137">
        <f t="shared" si="191"/>
        <v>0</v>
      </c>
      <c r="AC31" s="136">
        <v>0</v>
      </c>
      <c r="AD31" s="337">
        <f t="shared" si="192"/>
        <v>45.5</v>
      </c>
      <c r="AE31" s="151">
        <v>0</v>
      </c>
      <c r="AF31" s="134">
        <v>0</v>
      </c>
      <c r="AG31" s="134">
        <v>0</v>
      </c>
      <c r="AH31" s="134">
        <v>0</v>
      </c>
      <c r="AI31" s="135">
        <v>0</v>
      </c>
      <c r="AJ31" s="134">
        <v>0</v>
      </c>
      <c r="AK31" s="134">
        <v>0</v>
      </c>
      <c r="AL31" s="134">
        <v>0</v>
      </c>
      <c r="AM31" s="139">
        <f t="shared" si="193"/>
        <v>52325</v>
      </c>
      <c r="AN31" s="140">
        <v>46151</v>
      </c>
      <c r="AO31" s="141" t="s">
        <v>520</v>
      </c>
      <c r="AP31" s="142" t="s">
        <v>390</v>
      </c>
      <c r="AQ31" s="143" t="s">
        <v>391</v>
      </c>
      <c r="AR31" s="143" t="s">
        <v>392</v>
      </c>
      <c r="AS31" s="130" t="s">
        <v>496</v>
      </c>
      <c r="AT31" s="144" t="s">
        <v>394</v>
      </c>
      <c r="AU31" s="144" t="s">
        <v>395</v>
      </c>
      <c r="AV31" s="145">
        <v>0</v>
      </c>
      <c r="AW31" s="143">
        <v>1150</v>
      </c>
      <c r="AX31" s="316">
        <v>65</v>
      </c>
      <c r="AY31" s="143">
        <f t="shared" si="156"/>
        <v>74750</v>
      </c>
      <c r="AZ31" s="146" t="b">
        <f t="shared" si="194"/>
        <v>1</v>
      </c>
      <c r="BA31" s="132">
        <v>0</v>
      </c>
      <c r="BB31" s="147">
        <f t="shared" si="195"/>
        <v>1150</v>
      </c>
      <c r="BC31" s="148">
        <v>0</v>
      </c>
      <c r="BD31" s="147" t="s">
        <v>116</v>
      </c>
      <c r="BE31" s="148">
        <v>0</v>
      </c>
      <c r="BF31" s="147">
        <v>0</v>
      </c>
      <c r="BG31" s="148">
        <v>0</v>
      </c>
      <c r="BH31" s="134">
        <v>0</v>
      </c>
      <c r="BI31" s="134">
        <v>0</v>
      </c>
      <c r="BJ31" s="135">
        <v>0</v>
      </c>
      <c r="BK31" s="132">
        <v>0</v>
      </c>
      <c r="BL31" s="143">
        <v>0</v>
      </c>
      <c r="BM31" s="134">
        <v>0</v>
      </c>
      <c r="BN31" s="149">
        <f t="shared" si="196"/>
        <v>-1868.75</v>
      </c>
      <c r="BO31" s="133">
        <f t="shared" si="197"/>
        <v>72881.25</v>
      </c>
      <c r="BP31" s="139">
        <f t="shared" si="198"/>
        <v>20556.25</v>
      </c>
      <c r="BQ31" s="148" t="str">
        <f t="shared" si="199"/>
        <v>Positive Margin</v>
      </c>
      <c r="BR31" s="150" t="s">
        <v>108</v>
      </c>
      <c r="BS31" s="132">
        <f t="shared" si="200"/>
        <v>22425</v>
      </c>
      <c r="BT31" s="151" t="str">
        <f t="shared" si="201"/>
        <v>Positive Margin at Inception</v>
      </c>
      <c r="BU31" s="152">
        <f t="shared" si="202"/>
        <v>0.28205128205128205</v>
      </c>
      <c r="BV31" s="151" t="str">
        <f t="shared" si="203"/>
        <v>More than 2%</v>
      </c>
      <c r="BW31" s="132">
        <f t="shared" si="204"/>
        <v>-1868.75</v>
      </c>
      <c r="BX31" s="133">
        <f t="shared" si="205"/>
        <v>0</v>
      </c>
      <c r="BY31" s="132">
        <f t="shared" si="206"/>
        <v>-1868.75</v>
      </c>
      <c r="BZ31" s="153">
        <f t="shared" si="207"/>
        <v>0</v>
      </c>
      <c r="CA31" s="153">
        <f t="shared" si="208"/>
        <v>0</v>
      </c>
      <c r="CB31" s="134">
        <f t="shared" si="209"/>
        <v>0</v>
      </c>
      <c r="CC31" s="153" t="s">
        <v>369</v>
      </c>
      <c r="CD31" s="134">
        <v>0</v>
      </c>
      <c r="CE31" s="134" t="str">
        <f t="shared" si="210"/>
        <v>May-26</v>
      </c>
      <c r="CF31" s="134">
        <f t="shared" si="211"/>
        <v>52325</v>
      </c>
      <c r="CG31" s="134">
        <f t="shared" si="212"/>
        <v>74750</v>
      </c>
      <c r="CH31" s="134">
        <f t="shared" si="213"/>
        <v>6</v>
      </c>
      <c r="CI31" s="154" t="s">
        <v>252</v>
      </c>
      <c r="CJ31" s="134" t="s">
        <v>252</v>
      </c>
      <c r="CK31" s="134" t="str">
        <f>_xlfn.XLOOKUP(AR31,receivables!B:B,receivables!D:D)</f>
        <v>Neelesh Dixit</v>
      </c>
      <c r="CL31" s="134">
        <f t="shared" si="214"/>
        <v>22425</v>
      </c>
      <c r="CM31" s="134">
        <f t="shared" si="215"/>
        <v>22425</v>
      </c>
      <c r="CN31" s="134">
        <f t="shared" si="216"/>
        <v>20556.25</v>
      </c>
      <c r="CO31" s="134">
        <f t="shared" si="217"/>
        <v>88205</v>
      </c>
      <c r="CP31" s="134">
        <f t="shared" si="218"/>
        <v>-61743.5</v>
      </c>
      <c r="CQ31" s="134">
        <f t="shared" si="219"/>
        <v>0</v>
      </c>
      <c r="CR31" s="134">
        <f t="shared" si="220"/>
        <v>0</v>
      </c>
      <c r="CS31" s="134">
        <f t="shared" si="221"/>
        <v>26461.5</v>
      </c>
      <c r="CT31" s="134" t="s">
        <v>296</v>
      </c>
      <c r="CU31" s="134" t="s">
        <v>296</v>
      </c>
      <c r="CV31" s="149" t="str">
        <f t="shared" si="222"/>
        <v>AAMCB5608A</v>
      </c>
      <c r="CW31" s="149" t="str">
        <f t="shared" si="223"/>
        <v>AAACD5406E</v>
      </c>
      <c r="CX31" s="149">
        <v>0</v>
      </c>
      <c r="CY31" s="149">
        <v>0</v>
      </c>
      <c r="CZ31" s="149">
        <v>0</v>
      </c>
      <c r="DA31" s="149">
        <v>0</v>
      </c>
      <c r="DB31" s="149">
        <v>0</v>
      </c>
    </row>
    <row r="32" spans="2:106" s="156" customFormat="1" ht="11.9" customHeight="1" x14ac:dyDescent="0.3">
      <c r="B32" s="127" t="str">
        <f t="shared" ref="B32:B34" si="224">"Q" &amp; IF(ROUNDUP(MONTH(D32)/3,0)-1=0,4,ROUNDUP(MONTH(D32)/3,0)-1)</f>
        <v>Q1</v>
      </c>
      <c r="C32" s="128" t="str">
        <f t="shared" ref="C32:C34" si="225">TEXT(AN32,"mmm-yy")</f>
        <v>May-26</v>
      </c>
      <c r="D32" s="294">
        <v>46158</v>
      </c>
      <c r="E32" s="130" t="s">
        <v>530</v>
      </c>
      <c r="F32" s="130" t="s">
        <v>197</v>
      </c>
      <c r="G32" s="130" t="s">
        <v>373</v>
      </c>
      <c r="H32" s="131" t="s">
        <v>531</v>
      </c>
      <c r="I32" s="129">
        <v>46158</v>
      </c>
      <c r="J32" s="130" t="s">
        <v>532</v>
      </c>
      <c r="K32" s="129">
        <v>46158</v>
      </c>
      <c r="L32" s="130" t="s">
        <v>376</v>
      </c>
      <c r="M32" s="130" t="s">
        <v>533</v>
      </c>
      <c r="N32" s="131" t="s">
        <v>378</v>
      </c>
      <c r="O32" s="130">
        <v>6229</v>
      </c>
      <c r="P32" s="289">
        <v>46</v>
      </c>
      <c r="Q32" s="132">
        <f t="shared" ref="Q32:Q34" si="226">O32*P32</f>
        <v>286534</v>
      </c>
      <c r="R32" s="133">
        <v>0</v>
      </c>
      <c r="S32" s="132">
        <f t="shared" ref="S32:S34" si="227">O32-R32</f>
        <v>6229</v>
      </c>
      <c r="T32" s="133">
        <v>0</v>
      </c>
      <c r="U32" s="134">
        <v>0</v>
      </c>
      <c r="V32" s="135">
        <v>0</v>
      </c>
      <c r="W32" s="134">
        <v>0</v>
      </c>
      <c r="X32" s="136">
        <v>0</v>
      </c>
      <c r="Y32" s="134">
        <v>0</v>
      </c>
      <c r="Z32" s="134">
        <v>0</v>
      </c>
      <c r="AA32" s="133">
        <v>0</v>
      </c>
      <c r="AB32" s="137">
        <f t="shared" ref="AB32:AB34" si="228">Y32+AA32+Z32</f>
        <v>0</v>
      </c>
      <c r="AC32" s="136">
        <v>0</v>
      </c>
      <c r="AD32" s="337">
        <f t="shared" ref="AD32:AD48" si="229">IFERROR((Q32+AB32)/S32,0)</f>
        <v>46</v>
      </c>
      <c r="AE32" s="151">
        <v>0</v>
      </c>
      <c r="AF32" s="134">
        <v>0</v>
      </c>
      <c r="AG32" s="134">
        <v>0</v>
      </c>
      <c r="AH32" s="134">
        <v>0</v>
      </c>
      <c r="AI32" s="135">
        <v>0</v>
      </c>
      <c r="AJ32" s="134">
        <v>0</v>
      </c>
      <c r="AK32" s="134">
        <v>0</v>
      </c>
      <c r="AL32" s="134">
        <v>0</v>
      </c>
      <c r="AM32" s="139">
        <f t="shared" ref="AM32:AM34" si="230">Q32+AB32+AL32+AK32+AJ32+T32+AE32</f>
        <v>286534</v>
      </c>
      <c r="AN32" s="140">
        <v>46158</v>
      </c>
      <c r="AO32" s="141" t="s">
        <v>529</v>
      </c>
      <c r="AP32" s="142" t="s">
        <v>390</v>
      </c>
      <c r="AQ32" s="143" t="s">
        <v>391</v>
      </c>
      <c r="AR32" s="143" t="s">
        <v>392</v>
      </c>
      <c r="AS32" s="130" t="s">
        <v>534</v>
      </c>
      <c r="AT32" s="144" t="s">
        <v>394</v>
      </c>
      <c r="AU32" s="144" t="s">
        <v>395</v>
      </c>
      <c r="AV32" s="145" t="s">
        <v>297</v>
      </c>
      <c r="AW32" s="143">
        <v>6229</v>
      </c>
      <c r="AX32" s="316">
        <v>60</v>
      </c>
      <c r="AY32" s="143">
        <f t="shared" ref="AY32:AY34" si="231">AW32*AX32</f>
        <v>373740</v>
      </c>
      <c r="AZ32" s="146" t="b">
        <f t="shared" ref="AZ32:AZ34" si="232">AW32=O32</f>
        <v>1</v>
      </c>
      <c r="BA32" s="132">
        <v>0</v>
      </c>
      <c r="BB32" s="147">
        <f t="shared" ref="BB32:BB34" si="233">AW32-BA32</f>
        <v>6229</v>
      </c>
      <c r="BC32" s="148">
        <v>0</v>
      </c>
      <c r="BD32" s="147" t="s">
        <v>116</v>
      </c>
      <c r="BE32" s="148">
        <v>0</v>
      </c>
      <c r="BF32" s="147">
        <v>0</v>
      </c>
      <c r="BG32" s="148">
        <v>0</v>
      </c>
      <c r="BH32" s="134">
        <v>0</v>
      </c>
      <c r="BI32" s="134">
        <v>0</v>
      </c>
      <c r="BJ32" s="135">
        <v>0</v>
      </c>
      <c r="BK32" s="132">
        <v>0</v>
      </c>
      <c r="BL32" s="143">
        <v>0</v>
      </c>
      <c r="BM32" s="134">
        <v>0</v>
      </c>
      <c r="BN32" s="149">
        <f t="shared" ref="BN32:BN34" si="234">AY32*$BM$3</f>
        <v>-9343.5</v>
      </c>
      <c r="BO32" s="133">
        <f t="shared" ref="BO32:BO34" si="235">AY32+BL32+BM32+BN32+BC32+BG32</f>
        <v>364396.5</v>
      </c>
      <c r="BP32" s="139">
        <f t="shared" ref="BP32:BP34" si="236">BO32-AM32</f>
        <v>77862.5</v>
      </c>
      <c r="BQ32" s="148" t="str">
        <f t="shared" ref="BQ32:BQ34" si="237">IF(BP32&gt;=0,"Positive Margin","Negative Margin")</f>
        <v>Positive Margin</v>
      </c>
      <c r="BR32" s="150" t="s">
        <v>108</v>
      </c>
      <c r="BS32" s="132">
        <f t="shared" ref="BS32:BS34" si="238">AY32-Y32-Q32-AA32-T32+BC32</f>
        <v>87206</v>
      </c>
      <c r="BT32" s="151" t="str">
        <f t="shared" ref="BT32:BT34" si="239">IF(BS32&lt;0, "Negative Margin at Inception", "Positive Margin at Inception")</f>
        <v>Positive Margin at Inception</v>
      </c>
      <c r="BU32" s="152">
        <f t="shared" ref="BU32:BU34" si="240">IFERROR(BP32/BO32,"0")</f>
        <v>0.21367521367521367</v>
      </c>
      <c r="BV32" s="151" t="str">
        <f t="shared" ref="BV32:BV34" si="241">IF(BU32&lt;1%,"Less Than 1%",IF(BU32&gt;2%,"More than 2%",IF(BU32&gt;=1%,"1% - 2%")))</f>
        <v>More than 2%</v>
      </c>
      <c r="BW32" s="132">
        <f t="shared" ref="BW32:BW34" si="242">BM32+BN32</f>
        <v>-9343.5</v>
      </c>
      <c r="BX32" s="133">
        <f t="shared" ref="BX32:BX34" si="243">AL32+AK32</f>
        <v>0</v>
      </c>
      <c r="BY32" s="132">
        <f t="shared" ref="BY32:BY34" si="244">BW32-BX32</f>
        <v>-9343.5</v>
      </c>
      <c r="BZ32" s="153">
        <f t="shared" ref="BZ32:BZ34" si="245">BM32</f>
        <v>0</v>
      </c>
      <c r="CA32" s="153">
        <f t="shared" ref="CA32:CA34" si="246">AK32</f>
        <v>0</v>
      </c>
      <c r="CB32" s="134">
        <f t="shared" ref="CB32:CB34" si="247">BZ32-CA32</f>
        <v>0</v>
      </c>
      <c r="CC32" s="153" t="s">
        <v>369</v>
      </c>
      <c r="CD32" s="134">
        <v>0</v>
      </c>
      <c r="CE32" s="134" t="str">
        <f t="shared" ref="CE32:CE34" si="248">TEXT(AN32,"mmm-yy")</f>
        <v>May-26</v>
      </c>
      <c r="CF32" s="134">
        <f t="shared" ref="CF32:CF34" si="249">AM32-AL32-AA32</f>
        <v>286534</v>
      </c>
      <c r="CG32" s="134">
        <f t="shared" ref="CG32:CG34" si="250">BO32-BN32</f>
        <v>373740</v>
      </c>
      <c r="CH32" s="134">
        <f t="shared" ref="CH32:CH34" si="251">INT((D32- IF(MONTH(D32) &gt;= 4, DATE(YEAR(D32), 4, 1), DATE(YEAR(D32)-1, 4, 1))) / 7) + 1</f>
        <v>7</v>
      </c>
      <c r="CI32" s="154" t="s">
        <v>252</v>
      </c>
      <c r="CJ32" s="134" t="s">
        <v>252</v>
      </c>
      <c r="CK32" s="134" t="str">
        <f>_xlfn.XLOOKUP(AR32,receivables!B:B,receivables!D:D)</f>
        <v>Neelesh Dixit</v>
      </c>
      <c r="CL32" s="134">
        <f t="shared" ref="CL32:CL34" si="252">AY32-Q32</f>
        <v>87206</v>
      </c>
      <c r="CM32" s="134">
        <f t="shared" ref="CM32:CM34" si="253">CL32-Y32+Z32</f>
        <v>87206</v>
      </c>
      <c r="CN32" s="134">
        <f t="shared" ref="CN32:CN34" si="254">BO32-AM32</f>
        <v>77862.5</v>
      </c>
      <c r="CO32" s="134">
        <f t="shared" ref="CO32:CO34" si="255">AY32*118%</f>
        <v>441013.19999999995</v>
      </c>
      <c r="CP32" s="134">
        <f t="shared" ref="CP32:CP34" si="256">-Q32*118%</f>
        <v>-338110.12</v>
      </c>
      <c r="CQ32" s="134">
        <f t="shared" ref="CQ32:CQ34" si="257">-BZ32*118%</f>
        <v>0</v>
      </c>
      <c r="CR32" s="134">
        <f t="shared" ref="CR32:CR34" si="258">-CA32*118%</f>
        <v>0</v>
      </c>
      <c r="CS32" s="134">
        <f t="shared" ref="CS32:CS34" si="259">SUM(CO32:CR32)</f>
        <v>102903.07999999996</v>
      </c>
      <c r="CT32" s="134" t="s">
        <v>296</v>
      </c>
      <c r="CU32" s="134" t="s">
        <v>296</v>
      </c>
      <c r="CV32" s="149" t="str">
        <f t="shared" ref="CV32:CV34" si="260">MID(G32,3,10)</f>
        <v>AAMCB5608A</v>
      </c>
      <c r="CW32" s="149" t="str">
        <f t="shared" ref="CW32:CW34" si="261">MID(AR32,3,10)</f>
        <v>AAACD5406E</v>
      </c>
      <c r="CX32" s="149">
        <v>0</v>
      </c>
      <c r="CY32" s="149">
        <v>0</v>
      </c>
      <c r="CZ32" s="149">
        <v>0</v>
      </c>
      <c r="DA32" s="149">
        <v>0</v>
      </c>
      <c r="DB32" s="149">
        <v>0</v>
      </c>
    </row>
    <row r="33" spans="2:106" s="156" customFormat="1" ht="11.9" customHeight="1" x14ac:dyDescent="0.3">
      <c r="B33" s="127" t="str">
        <f t="shared" si="224"/>
        <v>Q1</v>
      </c>
      <c r="C33" s="128" t="str">
        <f t="shared" si="225"/>
        <v>May-26</v>
      </c>
      <c r="D33" s="294">
        <v>46158</v>
      </c>
      <c r="E33" s="130" t="s">
        <v>530</v>
      </c>
      <c r="F33" s="130" t="s">
        <v>197</v>
      </c>
      <c r="G33" s="130" t="s">
        <v>373</v>
      </c>
      <c r="H33" s="131" t="s">
        <v>531</v>
      </c>
      <c r="I33" s="129">
        <v>46158</v>
      </c>
      <c r="J33" s="130" t="s">
        <v>532</v>
      </c>
      <c r="K33" s="129">
        <v>46158</v>
      </c>
      <c r="L33" s="130" t="s">
        <v>376</v>
      </c>
      <c r="M33" s="130" t="s">
        <v>533</v>
      </c>
      <c r="N33" s="131" t="s">
        <v>379</v>
      </c>
      <c r="O33" s="130">
        <v>691</v>
      </c>
      <c r="P33" s="289">
        <v>41</v>
      </c>
      <c r="Q33" s="132">
        <f t="shared" si="226"/>
        <v>28331</v>
      </c>
      <c r="R33" s="133">
        <v>0</v>
      </c>
      <c r="S33" s="132">
        <f t="shared" si="227"/>
        <v>691</v>
      </c>
      <c r="T33" s="133">
        <v>0</v>
      </c>
      <c r="U33" s="134">
        <v>0</v>
      </c>
      <c r="V33" s="135">
        <v>0</v>
      </c>
      <c r="W33" s="134">
        <v>0</v>
      </c>
      <c r="X33" s="136">
        <v>0</v>
      </c>
      <c r="Y33" s="134">
        <v>0</v>
      </c>
      <c r="Z33" s="134">
        <v>0</v>
      </c>
      <c r="AA33" s="133">
        <v>0</v>
      </c>
      <c r="AB33" s="137">
        <f t="shared" si="228"/>
        <v>0</v>
      </c>
      <c r="AC33" s="136">
        <v>0</v>
      </c>
      <c r="AD33" s="337">
        <f t="shared" si="229"/>
        <v>41</v>
      </c>
      <c r="AE33" s="151">
        <v>0</v>
      </c>
      <c r="AF33" s="134">
        <v>0</v>
      </c>
      <c r="AG33" s="134">
        <v>0</v>
      </c>
      <c r="AH33" s="134">
        <v>0</v>
      </c>
      <c r="AI33" s="135">
        <v>0</v>
      </c>
      <c r="AJ33" s="134">
        <v>0</v>
      </c>
      <c r="AK33" s="134">
        <v>0</v>
      </c>
      <c r="AL33" s="134">
        <v>0</v>
      </c>
      <c r="AM33" s="139">
        <f t="shared" si="230"/>
        <v>28331</v>
      </c>
      <c r="AN33" s="140">
        <v>46158</v>
      </c>
      <c r="AO33" s="141" t="s">
        <v>529</v>
      </c>
      <c r="AP33" s="142" t="s">
        <v>390</v>
      </c>
      <c r="AQ33" s="143" t="s">
        <v>391</v>
      </c>
      <c r="AR33" s="143" t="s">
        <v>392</v>
      </c>
      <c r="AS33" s="130" t="s">
        <v>534</v>
      </c>
      <c r="AT33" s="144" t="s">
        <v>394</v>
      </c>
      <c r="AU33" s="144" t="s">
        <v>395</v>
      </c>
      <c r="AV33" s="145" t="s">
        <v>297</v>
      </c>
      <c r="AW33" s="143">
        <v>691</v>
      </c>
      <c r="AX33" s="316">
        <v>50</v>
      </c>
      <c r="AY33" s="143">
        <f t="shared" si="231"/>
        <v>34550</v>
      </c>
      <c r="AZ33" s="146" t="b">
        <f t="shared" si="232"/>
        <v>1</v>
      </c>
      <c r="BA33" s="132">
        <v>0</v>
      </c>
      <c r="BB33" s="147">
        <f t="shared" si="233"/>
        <v>691</v>
      </c>
      <c r="BC33" s="148">
        <v>0</v>
      </c>
      <c r="BD33" s="147" t="s">
        <v>116</v>
      </c>
      <c r="BE33" s="148">
        <v>0</v>
      </c>
      <c r="BF33" s="147">
        <v>0</v>
      </c>
      <c r="BG33" s="148">
        <v>0</v>
      </c>
      <c r="BH33" s="134">
        <v>0</v>
      </c>
      <c r="BI33" s="134">
        <v>0</v>
      </c>
      <c r="BJ33" s="135">
        <v>0</v>
      </c>
      <c r="BK33" s="132">
        <v>0</v>
      </c>
      <c r="BL33" s="143">
        <v>0</v>
      </c>
      <c r="BM33" s="134">
        <v>0</v>
      </c>
      <c r="BN33" s="149">
        <f t="shared" si="234"/>
        <v>-863.75</v>
      </c>
      <c r="BO33" s="133">
        <f t="shared" si="235"/>
        <v>33686.25</v>
      </c>
      <c r="BP33" s="139">
        <f t="shared" si="236"/>
        <v>5355.25</v>
      </c>
      <c r="BQ33" s="148" t="str">
        <f t="shared" si="237"/>
        <v>Positive Margin</v>
      </c>
      <c r="BR33" s="150" t="s">
        <v>108</v>
      </c>
      <c r="BS33" s="132">
        <f t="shared" si="238"/>
        <v>6219</v>
      </c>
      <c r="BT33" s="151" t="str">
        <f t="shared" si="239"/>
        <v>Positive Margin at Inception</v>
      </c>
      <c r="BU33" s="152">
        <f t="shared" si="240"/>
        <v>0.15897435897435896</v>
      </c>
      <c r="BV33" s="151" t="str">
        <f t="shared" si="241"/>
        <v>More than 2%</v>
      </c>
      <c r="BW33" s="132">
        <f t="shared" si="242"/>
        <v>-863.75</v>
      </c>
      <c r="BX33" s="133">
        <f t="shared" si="243"/>
        <v>0</v>
      </c>
      <c r="BY33" s="132">
        <f t="shared" si="244"/>
        <v>-863.75</v>
      </c>
      <c r="BZ33" s="153">
        <f t="shared" si="245"/>
        <v>0</v>
      </c>
      <c r="CA33" s="153">
        <f t="shared" si="246"/>
        <v>0</v>
      </c>
      <c r="CB33" s="134">
        <f t="shared" si="247"/>
        <v>0</v>
      </c>
      <c r="CC33" s="153" t="s">
        <v>369</v>
      </c>
      <c r="CD33" s="134">
        <v>0</v>
      </c>
      <c r="CE33" s="134" t="str">
        <f t="shared" si="248"/>
        <v>May-26</v>
      </c>
      <c r="CF33" s="134">
        <f t="shared" si="249"/>
        <v>28331</v>
      </c>
      <c r="CG33" s="134">
        <f t="shared" si="250"/>
        <v>34550</v>
      </c>
      <c r="CH33" s="134">
        <f t="shared" si="251"/>
        <v>7</v>
      </c>
      <c r="CI33" s="154" t="s">
        <v>252</v>
      </c>
      <c r="CJ33" s="134" t="s">
        <v>252</v>
      </c>
      <c r="CK33" s="134" t="str">
        <f>_xlfn.XLOOKUP(AR33,receivables!B:B,receivables!D:D)</f>
        <v>Neelesh Dixit</v>
      </c>
      <c r="CL33" s="134">
        <f t="shared" si="252"/>
        <v>6219</v>
      </c>
      <c r="CM33" s="134">
        <f t="shared" si="253"/>
        <v>6219</v>
      </c>
      <c r="CN33" s="134">
        <f t="shared" si="254"/>
        <v>5355.25</v>
      </c>
      <c r="CO33" s="134">
        <f t="shared" si="255"/>
        <v>40769</v>
      </c>
      <c r="CP33" s="134">
        <f t="shared" si="256"/>
        <v>-33430.58</v>
      </c>
      <c r="CQ33" s="134">
        <f t="shared" si="257"/>
        <v>0</v>
      </c>
      <c r="CR33" s="134">
        <f t="shared" si="258"/>
        <v>0</v>
      </c>
      <c r="CS33" s="134">
        <f t="shared" si="259"/>
        <v>7338.4199999999983</v>
      </c>
      <c r="CT33" s="134" t="s">
        <v>296</v>
      </c>
      <c r="CU33" s="134" t="s">
        <v>296</v>
      </c>
      <c r="CV33" s="149" t="str">
        <f t="shared" si="260"/>
        <v>AAMCB5608A</v>
      </c>
      <c r="CW33" s="149" t="str">
        <f t="shared" si="261"/>
        <v>AAACD5406E</v>
      </c>
      <c r="CX33" s="149">
        <v>0</v>
      </c>
      <c r="CY33" s="149">
        <v>0</v>
      </c>
      <c r="CZ33" s="149">
        <v>0</v>
      </c>
      <c r="DA33" s="149">
        <v>0</v>
      </c>
      <c r="DB33" s="149">
        <v>0</v>
      </c>
    </row>
    <row r="34" spans="2:106" s="156" customFormat="1" ht="11.9" customHeight="1" x14ac:dyDescent="0.3">
      <c r="B34" s="127" t="str">
        <f t="shared" si="224"/>
        <v>Q1</v>
      </c>
      <c r="C34" s="128" t="str">
        <f t="shared" si="225"/>
        <v>May-26</v>
      </c>
      <c r="D34" s="294">
        <v>46158</v>
      </c>
      <c r="E34" s="130" t="s">
        <v>530</v>
      </c>
      <c r="F34" s="130" t="s">
        <v>197</v>
      </c>
      <c r="G34" s="130" t="s">
        <v>373</v>
      </c>
      <c r="H34" s="131" t="s">
        <v>531</v>
      </c>
      <c r="I34" s="129">
        <v>46158</v>
      </c>
      <c r="J34" s="130" t="s">
        <v>532</v>
      </c>
      <c r="K34" s="129">
        <v>46158</v>
      </c>
      <c r="L34" s="130" t="s">
        <v>376</v>
      </c>
      <c r="M34" s="130" t="s">
        <v>533</v>
      </c>
      <c r="N34" s="131" t="s">
        <v>384</v>
      </c>
      <c r="O34" s="130">
        <v>1165</v>
      </c>
      <c r="P34" s="289">
        <v>46</v>
      </c>
      <c r="Q34" s="132">
        <f t="shared" si="226"/>
        <v>53590</v>
      </c>
      <c r="R34" s="133">
        <v>0</v>
      </c>
      <c r="S34" s="132">
        <f t="shared" si="227"/>
        <v>1165</v>
      </c>
      <c r="T34" s="133">
        <v>0</v>
      </c>
      <c r="U34" s="134">
        <v>0</v>
      </c>
      <c r="V34" s="135">
        <v>0</v>
      </c>
      <c r="W34" s="134">
        <v>0</v>
      </c>
      <c r="X34" s="136">
        <v>0</v>
      </c>
      <c r="Y34" s="134">
        <v>0</v>
      </c>
      <c r="Z34" s="134">
        <v>0</v>
      </c>
      <c r="AA34" s="133">
        <v>0</v>
      </c>
      <c r="AB34" s="137">
        <f t="shared" si="228"/>
        <v>0</v>
      </c>
      <c r="AC34" s="136">
        <v>0</v>
      </c>
      <c r="AD34" s="337">
        <f t="shared" si="229"/>
        <v>46</v>
      </c>
      <c r="AE34" s="151">
        <v>0</v>
      </c>
      <c r="AF34" s="134">
        <v>0</v>
      </c>
      <c r="AG34" s="134">
        <v>0</v>
      </c>
      <c r="AH34" s="134">
        <v>0</v>
      </c>
      <c r="AI34" s="135">
        <v>0</v>
      </c>
      <c r="AJ34" s="134">
        <v>0</v>
      </c>
      <c r="AK34" s="134">
        <v>0</v>
      </c>
      <c r="AL34" s="134">
        <v>0</v>
      </c>
      <c r="AM34" s="139">
        <f t="shared" si="230"/>
        <v>53590</v>
      </c>
      <c r="AN34" s="140">
        <v>46158</v>
      </c>
      <c r="AO34" s="141" t="s">
        <v>529</v>
      </c>
      <c r="AP34" s="142" t="s">
        <v>390</v>
      </c>
      <c r="AQ34" s="143" t="s">
        <v>391</v>
      </c>
      <c r="AR34" s="143" t="s">
        <v>392</v>
      </c>
      <c r="AS34" s="130" t="s">
        <v>534</v>
      </c>
      <c r="AT34" s="144" t="s">
        <v>394</v>
      </c>
      <c r="AU34" s="144" t="s">
        <v>395</v>
      </c>
      <c r="AV34" s="145" t="s">
        <v>297</v>
      </c>
      <c r="AW34" s="143">
        <v>1165</v>
      </c>
      <c r="AX34" s="316">
        <v>65</v>
      </c>
      <c r="AY34" s="143">
        <f t="shared" si="231"/>
        <v>75725</v>
      </c>
      <c r="AZ34" s="146" t="b">
        <f t="shared" si="232"/>
        <v>1</v>
      </c>
      <c r="BA34" s="132">
        <v>0</v>
      </c>
      <c r="BB34" s="147">
        <f t="shared" si="233"/>
        <v>1165</v>
      </c>
      <c r="BC34" s="148">
        <v>0</v>
      </c>
      <c r="BD34" s="147" t="s">
        <v>116</v>
      </c>
      <c r="BE34" s="148">
        <v>0</v>
      </c>
      <c r="BF34" s="147">
        <v>0</v>
      </c>
      <c r="BG34" s="148">
        <v>0</v>
      </c>
      <c r="BH34" s="134">
        <v>0</v>
      </c>
      <c r="BI34" s="134">
        <v>0</v>
      </c>
      <c r="BJ34" s="135">
        <v>0</v>
      </c>
      <c r="BK34" s="132">
        <v>0</v>
      </c>
      <c r="BL34" s="143">
        <v>0</v>
      </c>
      <c r="BM34" s="134">
        <v>0</v>
      </c>
      <c r="BN34" s="149">
        <f t="shared" si="234"/>
        <v>-1893.125</v>
      </c>
      <c r="BO34" s="133">
        <f t="shared" si="235"/>
        <v>73831.875</v>
      </c>
      <c r="BP34" s="139">
        <f t="shared" si="236"/>
        <v>20241.875</v>
      </c>
      <c r="BQ34" s="148" t="str">
        <f t="shared" si="237"/>
        <v>Positive Margin</v>
      </c>
      <c r="BR34" s="150" t="s">
        <v>108</v>
      </c>
      <c r="BS34" s="132">
        <f t="shared" si="238"/>
        <v>22135</v>
      </c>
      <c r="BT34" s="151" t="str">
        <f t="shared" si="239"/>
        <v>Positive Margin at Inception</v>
      </c>
      <c r="BU34" s="152">
        <f t="shared" si="240"/>
        <v>0.27416173570019725</v>
      </c>
      <c r="BV34" s="151" t="str">
        <f t="shared" si="241"/>
        <v>More than 2%</v>
      </c>
      <c r="BW34" s="132">
        <f t="shared" si="242"/>
        <v>-1893.125</v>
      </c>
      <c r="BX34" s="133">
        <f t="shared" si="243"/>
        <v>0</v>
      </c>
      <c r="BY34" s="132">
        <f t="shared" si="244"/>
        <v>-1893.125</v>
      </c>
      <c r="BZ34" s="153">
        <f t="shared" si="245"/>
        <v>0</v>
      </c>
      <c r="CA34" s="153">
        <f t="shared" si="246"/>
        <v>0</v>
      </c>
      <c r="CB34" s="134">
        <f t="shared" si="247"/>
        <v>0</v>
      </c>
      <c r="CC34" s="153" t="s">
        <v>369</v>
      </c>
      <c r="CD34" s="134">
        <v>0</v>
      </c>
      <c r="CE34" s="134" t="str">
        <f t="shared" si="248"/>
        <v>May-26</v>
      </c>
      <c r="CF34" s="134">
        <f t="shared" si="249"/>
        <v>53590</v>
      </c>
      <c r="CG34" s="134">
        <f t="shared" si="250"/>
        <v>75725</v>
      </c>
      <c r="CH34" s="134">
        <f t="shared" si="251"/>
        <v>7</v>
      </c>
      <c r="CI34" s="154" t="s">
        <v>252</v>
      </c>
      <c r="CJ34" s="134" t="s">
        <v>252</v>
      </c>
      <c r="CK34" s="134" t="str">
        <f>_xlfn.XLOOKUP(AR34,receivables!B:B,receivables!D:D)</f>
        <v>Neelesh Dixit</v>
      </c>
      <c r="CL34" s="134">
        <f t="shared" si="252"/>
        <v>22135</v>
      </c>
      <c r="CM34" s="134">
        <f t="shared" si="253"/>
        <v>22135</v>
      </c>
      <c r="CN34" s="134">
        <f t="shared" si="254"/>
        <v>20241.875</v>
      </c>
      <c r="CO34" s="134">
        <f t="shared" si="255"/>
        <v>89355.5</v>
      </c>
      <c r="CP34" s="134">
        <f t="shared" si="256"/>
        <v>-63236.2</v>
      </c>
      <c r="CQ34" s="134">
        <f t="shared" si="257"/>
        <v>0</v>
      </c>
      <c r="CR34" s="134">
        <f t="shared" si="258"/>
        <v>0</v>
      </c>
      <c r="CS34" s="134">
        <f t="shared" si="259"/>
        <v>26119.300000000003</v>
      </c>
      <c r="CT34" s="134" t="s">
        <v>296</v>
      </c>
      <c r="CU34" s="134" t="s">
        <v>296</v>
      </c>
      <c r="CV34" s="149" t="str">
        <f t="shared" si="260"/>
        <v>AAMCB5608A</v>
      </c>
      <c r="CW34" s="149" t="str">
        <f t="shared" si="261"/>
        <v>AAACD5406E</v>
      </c>
      <c r="CX34" s="149">
        <v>0</v>
      </c>
      <c r="CY34" s="149">
        <v>0</v>
      </c>
      <c r="CZ34" s="149">
        <v>0</v>
      </c>
      <c r="DA34" s="149">
        <v>0</v>
      </c>
      <c r="DB34" s="149">
        <v>0</v>
      </c>
    </row>
    <row r="35" spans="2:106" s="156" customFormat="1" ht="11.9" customHeight="1" x14ac:dyDescent="0.3">
      <c r="B35" s="127" t="str">
        <f t="shared" ref="B35:B48" si="262">"Q" &amp; IF(ROUNDUP(MONTH(D35)/3,0)-1=0,4,ROUNDUP(MONTH(D35)/3,0)-1)</f>
        <v>Q1</v>
      </c>
      <c r="C35" s="128" t="str">
        <f t="shared" ref="C35:C48" si="263">TEXT(AN35,"mmm-yy")</f>
        <v>May-26</v>
      </c>
      <c r="D35" s="294">
        <v>46164</v>
      </c>
      <c r="E35" s="130" t="s">
        <v>539</v>
      </c>
      <c r="F35" s="130" t="s">
        <v>197</v>
      </c>
      <c r="G35" s="130" t="s">
        <v>373</v>
      </c>
      <c r="H35" s="131" t="s">
        <v>540</v>
      </c>
      <c r="I35" s="129">
        <v>46164</v>
      </c>
      <c r="J35" s="130" t="s">
        <v>541</v>
      </c>
      <c r="K35" s="129">
        <v>46164</v>
      </c>
      <c r="L35" s="130" t="s">
        <v>376</v>
      </c>
      <c r="M35" s="130" t="s">
        <v>542</v>
      </c>
      <c r="N35" s="131" t="s">
        <v>378</v>
      </c>
      <c r="O35" s="130">
        <v>8873</v>
      </c>
      <c r="P35" s="289">
        <v>45</v>
      </c>
      <c r="Q35" s="132">
        <f t="shared" ref="Q35:Q48" si="264">O35*P35</f>
        <v>399285</v>
      </c>
      <c r="R35" s="133">
        <v>0</v>
      </c>
      <c r="S35" s="132">
        <f t="shared" ref="S35:S48" si="265">O35-R35</f>
        <v>8873</v>
      </c>
      <c r="T35" s="133">
        <v>0</v>
      </c>
      <c r="U35" s="134">
        <v>0</v>
      </c>
      <c r="V35" s="135">
        <v>0</v>
      </c>
      <c r="W35" s="134">
        <v>0</v>
      </c>
      <c r="X35" s="136">
        <v>0</v>
      </c>
      <c r="Y35" s="134">
        <v>0</v>
      </c>
      <c r="Z35" s="134">
        <v>0</v>
      </c>
      <c r="AA35" s="133">
        <v>0</v>
      </c>
      <c r="AB35" s="137">
        <f t="shared" ref="AB35:AB48" si="266">Y35+AA35+Z35</f>
        <v>0</v>
      </c>
      <c r="AC35" s="136">
        <v>0</v>
      </c>
      <c r="AD35" s="337">
        <f t="shared" si="229"/>
        <v>45</v>
      </c>
      <c r="AE35" s="151">
        <v>0</v>
      </c>
      <c r="AF35" s="134">
        <v>0</v>
      </c>
      <c r="AG35" s="134">
        <v>0</v>
      </c>
      <c r="AH35" s="134">
        <v>0</v>
      </c>
      <c r="AI35" s="135">
        <v>0</v>
      </c>
      <c r="AJ35" s="134">
        <v>0</v>
      </c>
      <c r="AK35" s="134">
        <v>0</v>
      </c>
      <c r="AL35" s="134">
        <v>0</v>
      </c>
      <c r="AM35" s="139">
        <f t="shared" ref="AM35:AM48" si="267">Q35+AB35+AL35+AK35+AJ35+T35+AE35</f>
        <v>399285</v>
      </c>
      <c r="AN35" s="140">
        <v>46164</v>
      </c>
      <c r="AO35" s="141" t="s">
        <v>558</v>
      </c>
      <c r="AP35" s="142" t="s">
        <v>390</v>
      </c>
      <c r="AQ35" s="143" t="s">
        <v>391</v>
      </c>
      <c r="AR35" s="143" t="s">
        <v>392</v>
      </c>
      <c r="AS35" s="130" t="s">
        <v>534</v>
      </c>
      <c r="AT35" s="144" t="s">
        <v>394</v>
      </c>
      <c r="AU35" s="144" t="s">
        <v>395</v>
      </c>
      <c r="AV35" s="145" t="s">
        <v>297</v>
      </c>
      <c r="AW35" s="143">
        <v>8873</v>
      </c>
      <c r="AX35" s="316">
        <v>58</v>
      </c>
      <c r="AY35" s="143">
        <f t="shared" ref="AY35:AY48" si="268">AW35*AX35</f>
        <v>514634</v>
      </c>
      <c r="AZ35" s="146" t="b">
        <f t="shared" ref="AZ35:AZ48" si="269">AW35=O35</f>
        <v>1</v>
      </c>
      <c r="BA35" s="132">
        <v>0</v>
      </c>
      <c r="BB35" s="147">
        <f t="shared" ref="BB35:BB48" si="270">AW35-BA35</f>
        <v>8873</v>
      </c>
      <c r="BC35" s="148">
        <v>0</v>
      </c>
      <c r="BD35" s="147" t="s">
        <v>116</v>
      </c>
      <c r="BE35" s="148">
        <v>0</v>
      </c>
      <c r="BF35" s="147">
        <v>0</v>
      </c>
      <c r="BG35" s="148">
        <v>0</v>
      </c>
      <c r="BH35" s="134">
        <v>0</v>
      </c>
      <c r="BI35" s="134">
        <v>0</v>
      </c>
      <c r="BJ35" s="135">
        <v>0</v>
      </c>
      <c r="BK35" s="132">
        <v>0</v>
      </c>
      <c r="BL35" s="143">
        <v>0</v>
      </c>
      <c r="BM35" s="134">
        <v>0</v>
      </c>
      <c r="BN35" s="149">
        <f t="shared" ref="BN35:BN48" si="271">AY35*$BM$3</f>
        <v>-12865.85</v>
      </c>
      <c r="BO35" s="133">
        <f t="shared" ref="BO35:BO48" si="272">AY35+BL35+BM35+BN35+BC35+BG35</f>
        <v>501768.15</v>
      </c>
      <c r="BP35" s="139">
        <f t="shared" ref="BP35:BP48" si="273">BO35-AM35</f>
        <v>102483.15000000002</v>
      </c>
      <c r="BQ35" s="148" t="str">
        <f t="shared" ref="BQ35:BQ48" si="274">IF(BP35&gt;=0,"Positive Margin","Negative Margin")</f>
        <v>Positive Margin</v>
      </c>
      <c r="BR35" s="150" t="s">
        <v>108</v>
      </c>
      <c r="BS35" s="132">
        <f t="shared" ref="BS35:BS48" si="275">AY35-Y35-Q35-AA35-T35+BC35</f>
        <v>115349</v>
      </c>
      <c r="BT35" s="151" t="str">
        <f t="shared" ref="BT35:BT48" si="276">IF(BS35&lt;0, "Negative Margin at Inception", "Positive Margin at Inception")</f>
        <v>Positive Margin at Inception</v>
      </c>
      <c r="BU35" s="152">
        <f t="shared" ref="BU35:BU48" si="277">IFERROR(BP35/BO35,"0")</f>
        <v>0.20424403183023876</v>
      </c>
      <c r="BV35" s="151" t="str">
        <f t="shared" ref="BV35:BV48" si="278">IF(BU35&lt;1%,"Less Than 1%",IF(BU35&gt;2%,"More than 2%",IF(BU35&gt;=1%,"1% - 2%")))</f>
        <v>More than 2%</v>
      </c>
      <c r="BW35" s="132">
        <f t="shared" ref="BW35:BW48" si="279">BM35+BN35</f>
        <v>-12865.85</v>
      </c>
      <c r="BX35" s="133">
        <f t="shared" ref="BX35:BX48" si="280">AL35+AK35</f>
        <v>0</v>
      </c>
      <c r="BY35" s="132">
        <f t="shared" ref="BY35:BY48" si="281">BW35-BX35</f>
        <v>-12865.85</v>
      </c>
      <c r="BZ35" s="153">
        <f t="shared" ref="BZ35:BZ48" si="282">BM35</f>
        <v>0</v>
      </c>
      <c r="CA35" s="153">
        <f t="shared" ref="CA35:CA48" si="283">AK35</f>
        <v>0</v>
      </c>
      <c r="CB35" s="134">
        <f t="shared" ref="CB35:CB48" si="284">BZ35-CA35</f>
        <v>0</v>
      </c>
      <c r="CC35" s="153" t="s">
        <v>369</v>
      </c>
      <c r="CD35" s="134">
        <v>0</v>
      </c>
      <c r="CE35" s="134" t="str">
        <f t="shared" ref="CE35:CE48" si="285">TEXT(AN35,"mmm-yy")</f>
        <v>May-26</v>
      </c>
      <c r="CF35" s="134">
        <f t="shared" ref="CF35:CF48" si="286">AM35-AL35-AA35</f>
        <v>399285</v>
      </c>
      <c r="CG35" s="134">
        <f t="shared" ref="CG35:CG48" si="287">BO35-BN35</f>
        <v>514634</v>
      </c>
      <c r="CH35" s="134">
        <f t="shared" ref="CH35:CH48" si="288">INT((D35- IF(MONTH(D35) &gt;= 4, DATE(YEAR(D35), 4, 1), DATE(YEAR(D35)-1, 4, 1))) / 7) + 1</f>
        <v>8</v>
      </c>
      <c r="CI35" s="154" t="s">
        <v>252</v>
      </c>
      <c r="CJ35" s="134" t="s">
        <v>252</v>
      </c>
      <c r="CK35" s="134" t="str">
        <f>_xlfn.XLOOKUP(AR35,receivables!B:B,receivables!D:D)</f>
        <v>Neelesh Dixit</v>
      </c>
      <c r="CL35" s="134">
        <f t="shared" ref="CL35:CL48" si="289">AY35-Q35</f>
        <v>115349</v>
      </c>
      <c r="CM35" s="134">
        <f t="shared" ref="CM35:CM48" si="290">CL35-Y35+Z35</f>
        <v>115349</v>
      </c>
      <c r="CN35" s="134">
        <f t="shared" ref="CN35:CN48" si="291">BO35-AM35</f>
        <v>102483.15000000002</v>
      </c>
      <c r="CO35" s="134">
        <f t="shared" ref="CO35:CO48" si="292">AY35*118%</f>
        <v>607268.12</v>
      </c>
      <c r="CP35" s="134">
        <f t="shared" ref="CP35:CP48" si="293">-Q35*118%</f>
        <v>-471156.3</v>
      </c>
      <c r="CQ35" s="134">
        <f t="shared" ref="CQ35:CQ48" si="294">-BZ35*118%</f>
        <v>0</v>
      </c>
      <c r="CR35" s="134">
        <f t="shared" ref="CR35:CR48" si="295">-CA35*118%</f>
        <v>0</v>
      </c>
      <c r="CS35" s="134">
        <f t="shared" ref="CS35:CS48" si="296">SUM(CO35:CR35)</f>
        <v>136111.82</v>
      </c>
      <c r="CT35" s="134" t="s">
        <v>296</v>
      </c>
      <c r="CU35" s="134" t="s">
        <v>296</v>
      </c>
      <c r="CV35" s="149" t="str">
        <f t="shared" ref="CV35:CV48" si="297">MID(G35,3,10)</f>
        <v>AAMCB5608A</v>
      </c>
      <c r="CW35" s="149" t="str">
        <f t="shared" ref="CW35:CW48" si="298">MID(AR35,3,10)</f>
        <v>AAACD5406E</v>
      </c>
      <c r="CX35" s="149">
        <v>0</v>
      </c>
      <c r="CY35" s="149">
        <v>0</v>
      </c>
      <c r="CZ35" s="149">
        <v>0</v>
      </c>
      <c r="DA35" s="149">
        <v>0</v>
      </c>
      <c r="DB35" s="149">
        <v>0</v>
      </c>
    </row>
    <row r="36" spans="2:106" s="156" customFormat="1" ht="11.9" customHeight="1" x14ac:dyDescent="0.3">
      <c r="B36" s="127" t="str">
        <f t="shared" si="262"/>
        <v>Q1</v>
      </c>
      <c r="C36" s="128" t="str">
        <f t="shared" si="263"/>
        <v>May-26</v>
      </c>
      <c r="D36" s="294">
        <v>46164</v>
      </c>
      <c r="E36" s="130" t="s">
        <v>539</v>
      </c>
      <c r="F36" s="130" t="s">
        <v>197</v>
      </c>
      <c r="G36" s="130" t="s">
        <v>373</v>
      </c>
      <c r="H36" s="131" t="s">
        <v>540</v>
      </c>
      <c r="I36" s="129">
        <v>46164</v>
      </c>
      <c r="J36" s="130" t="s">
        <v>541</v>
      </c>
      <c r="K36" s="129">
        <v>46164</v>
      </c>
      <c r="L36" s="130" t="s">
        <v>376</v>
      </c>
      <c r="M36" s="130" t="s">
        <v>542</v>
      </c>
      <c r="N36" s="131" t="s">
        <v>379</v>
      </c>
      <c r="O36" s="130">
        <v>345</v>
      </c>
      <c r="P36" s="289">
        <v>40</v>
      </c>
      <c r="Q36" s="132">
        <f t="shared" si="264"/>
        <v>13800</v>
      </c>
      <c r="R36" s="133">
        <v>0</v>
      </c>
      <c r="S36" s="132">
        <f t="shared" si="265"/>
        <v>345</v>
      </c>
      <c r="T36" s="133">
        <v>0</v>
      </c>
      <c r="U36" s="134">
        <v>0</v>
      </c>
      <c r="V36" s="135">
        <v>0</v>
      </c>
      <c r="W36" s="134">
        <v>0</v>
      </c>
      <c r="X36" s="136">
        <v>0</v>
      </c>
      <c r="Y36" s="134">
        <v>0</v>
      </c>
      <c r="Z36" s="134">
        <v>0</v>
      </c>
      <c r="AA36" s="133">
        <v>0</v>
      </c>
      <c r="AB36" s="137">
        <f t="shared" si="266"/>
        <v>0</v>
      </c>
      <c r="AC36" s="136">
        <v>0</v>
      </c>
      <c r="AD36" s="337">
        <f t="shared" si="229"/>
        <v>40</v>
      </c>
      <c r="AE36" s="151">
        <v>0</v>
      </c>
      <c r="AF36" s="134">
        <v>0</v>
      </c>
      <c r="AG36" s="134">
        <v>0</v>
      </c>
      <c r="AH36" s="134">
        <v>0</v>
      </c>
      <c r="AI36" s="135">
        <v>0</v>
      </c>
      <c r="AJ36" s="134">
        <v>0</v>
      </c>
      <c r="AK36" s="134">
        <v>0</v>
      </c>
      <c r="AL36" s="134">
        <v>0</v>
      </c>
      <c r="AM36" s="139">
        <f t="shared" si="267"/>
        <v>13800</v>
      </c>
      <c r="AN36" s="140">
        <v>46164</v>
      </c>
      <c r="AO36" s="141" t="s">
        <v>558</v>
      </c>
      <c r="AP36" s="142" t="s">
        <v>390</v>
      </c>
      <c r="AQ36" s="143" t="s">
        <v>391</v>
      </c>
      <c r="AR36" s="143" t="s">
        <v>392</v>
      </c>
      <c r="AS36" s="130" t="s">
        <v>534</v>
      </c>
      <c r="AT36" s="144" t="s">
        <v>394</v>
      </c>
      <c r="AU36" s="144" t="s">
        <v>395</v>
      </c>
      <c r="AV36" s="145" t="s">
        <v>297</v>
      </c>
      <c r="AW36" s="143">
        <v>345</v>
      </c>
      <c r="AX36" s="316">
        <v>48</v>
      </c>
      <c r="AY36" s="143">
        <f t="shared" si="268"/>
        <v>16560</v>
      </c>
      <c r="AZ36" s="146" t="b">
        <f t="shared" si="269"/>
        <v>1</v>
      </c>
      <c r="BA36" s="132">
        <v>0</v>
      </c>
      <c r="BB36" s="147">
        <f t="shared" si="270"/>
        <v>345</v>
      </c>
      <c r="BC36" s="148">
        <v>0</v>
      </c>
      <c r="BD36" s="147" t="s">
        <v>116</v>
      </c>
      <c r="BE36" s="148">
        <v>0</v>
      </c>
      <c r="BF36" s="147">
        <v>0</v>
      </c>
      <c r="BG36" s="148">
        <v>0</v>
      </c>
      <c r="BH36" s="134">
        <v>0</v>
      </c>
      <c r="BI36" s="134">
        <v>0</v>
      </c>
      <c r="BJ36" s="135">
        <v>0</v>
      </c>
      <c r="BK36" s="132">
        <v>0</v>
      </c>
      <c r="BL36" s="143">
        <v>0</v>
      </c>
      <c r="BM36" s="134">
        <v>0</v>
      </c>
      <c r="BN36" s="149">
        <f t="shared" si="271"/>
        <v>-414</v>
      </c>
      <c r="BO36" s="133">
        <f t="shared" si="272"/>
        <v>16146</v>
      </c>
      <c r="BP36" s="139">
        <f t="shared" si="273"/>
        <v>2346</v>
      </c>
      <c r="BQ36" s="148" t="str">
        <f t="shared" si="274"/>
        <v>Positive Margin</v>
      </c>
      <c r="BR36" s="150" t="s">
        <v>108</v>
      </c>
      <c r="BS36" s="132">
        <f t="shared" si="275"/>
        <v>2760</v>
      </c>
      <c r="BT36" s="151" t="str">
        <f t="shared" si="276"/>
        <v>Positive Margin at Inception</v>
      </c>
      <c r="BU36" s="152">
        <f t="shared" si="277"/>
        <v>0.14529914529914531</v>
      </c>
      <c r="BV36" s="151" t="str">
        <f t="shared" si="278"/>
        <v>More than 2%</v>
      </c>
      <c r="BW36" s="132">
        <f t="shared" si="279"/>
        <v>-414</v>
      </c>
      <c r="BX36" s="133">
        <f t="shared" si="280"/>
        <v>0</v>
      </c>
      <c r="BY36" s="132">
        <f t="shared" si="281"/>
        <v>-414</v>
      </c>
      <c r="BZ36" s="153">
        <f t="shared" si="282"/>
        <v>0</v>
      </c>
      <c r="CA36" s="153">
        <f t="shared" si="283"/>
        <v>0</v>
      </c>
      <c r="CB36" s="134">
        <f t="shared" si="284"/>
        <v>0</v>
      </c>
      <c r="CC36" s="153" t="s">
        <v>369</v>
      </c>
      <c r="CD36" s="134">
        <v>0</v>
      </c>
      <c r="CE36" s="134" t="str">
        <f t="shared" si="285"/>
        <v>May-26</v>
      </c>
      <c r="CF36" s="134">
        <f t="shared" si="286"/>
        <v>13800</v>
      </c>
      <c r="CG36" s="134">
        <f t="shared" si="287"/>
        <v>16560</v>
      </c>
      <c r="CH36" s="134">
        <f t="shared" si="288"/>
        <v>8</v>
      </c>
      <c r="CI36" s="154" t="s">
        <v>252</v>
      </c>
      <c r="CJ36" s="134" t="s">
        <v>252</v>
      </c>
      <c r="CK36" s="134" t="str">
        <f>_xlfn.XLOOKUP(AR36,receivables!B:B,receivables!D:D)</f>
        <v>Neelesh Dixit</v>
      </c>
      <c r="CL36" s="134">
        <f t="shared" si="289"/>
        <v>2760</v>
      </c>
      <c r="CM36" s="134">
        <f t="shared" si="290"/>
        <v>2760</v>
      </c>
      <c r="CN36" s="134">
        <f t="shared" si="291"/>
        <v>2346</v>
      </c>
      <c r="CO36" s="134">
        <f t="shared" si="292"/>
        <v>19540.8</v>
      </c>
      <c r="CP36" s="134">
        <f t="shared" si="293"/>
        <v>-16284</v>
      </c>
      <c r="CQ36" s="134">
        <f t="shared" si="294"/>
        <v>0</v>
      </c>
      <c r="CR36" s="134">
        <f t="shared" si="295"/>
        <v>0</v>
      </c>
      <c r="CS36" s="134">
        <f t="shared" si="296"/>
        <v>3256.7999999999993</v>
      </c>
      <c r="CT36" s="134" t="s">
        <v>296</v>
      </c>
      <c r="CU36" s="134" t="s">
        <v>296</v>
      </c>
      <c r="CV36" s="149" t="str">
        <f t="shared" si="297"/>
        <v>AAMCB5608A</v>
      </c>
      <c r="CW36" s="149" t="str">
        <f t="shared" si="298"/>
        <v>AAACD5406E</v>
      </c>
      <c r="CX36" s="149">
        <v>0</v>
      </c>
      <c r="CY36" s="149">
        <v>0</v>
      </c>
      <c r="CZ36" s="149">
        <v>0</v>
      </c>
      <c r="DA36" s="149">
        <v>0</v>
      </c>
      <c r="DB36" s="149">
        <v>0</v>
      </c>
    </row>
    <row r="37" spans="2:106" s="156" customFormat="1" ht="11.9" customHeight="1" x14ac:dyDescent="0.3">
      <c r="B37" s="127" t="str">
        <f t="shared" si="262"/>
        <v>Q1</v>
      </c>
      <c r="C37" s="128" t="str">
        <f t="shared" si="263"/>
        <v>May-26</v>
      </c>
      <c r="D37" s="294">
        <v>46164</v>
      </c>
      <c r="E37" s="130" t="s">
        <v>539</v>
      </c>
      <c r="F37" s="130" t="s">
        <v>197</v>
      </c>
      <c r="G37" s="130" t="s">
        <v>373</v>
      </c>
      <c r="H37" s="131" t="s">
        <v>540</v>
      </c>
      <c r="I37" s="129">
        <v>46164</v>
      </c>
      <c r="J37" s="130" t="s">
        <v>541</v>
      </c>
      <c r="K37" s="129">
        <v>46164</v>
      </c>
      <c r="L37" s="130" t="s">
        <v>376</v>
      </c>
      <c r="M37" s="130" t="s">
        <v>542</v>
      </c>
      <c r="N37" s="131" t="s">
        <v>384</v>
      </c>
      <c r="O37" s="130">
        <v>317</v>
      </c>
      <c r="P37" s="289">
        <v>45</v>
      </c>
      <c r="Q37" s="132">
        <f t="shared" si="264"/>
        <v>14265</v>
      </c>
      <c r="R37" s="133">
        <v>0</v>
      </c>
      <c r="S37" s="132">
        <f t="shared" si="265"/>
        <v>317</v>
      </c>
      <c r="T37" s="133">
        <v>0</v>
      </c>
      <c r="U37" s="134">
        <v>0</v>
      </c>
      <c r="V37" s="135">
        <v>0</v>
      </c>
      <c r="W37" s="134">
        <v>0</v>
      </c>
      <c r="X37" s="136">
        <v>0</v>
      </c>
      <c r="Y37" s="134">
        <v>0</v>
      </c>
      <c r="Z37" s="134">
        <v>0</v>
      </c>
      <c r="AA37" s="133">
        <v>0</v>
      </c>
      <c r="AB37" s="137">
        <f t="shared" si="266"/>
        <v>0</v>
      </c>
      <c r="AC37" s="136">
        <v>0</v>
      </c>
      <c r="AD37" s="337">
        <f t="shared" si="229"/>
        <v>45</v>
      </c>
      <c r="AE37" s="151">
        <v>0</v>
      </c>
      <c r="AF37" s="134">
        <v>0</v>
      </c>
      <c r="AG37" s="134">
        <v>0</v>
      </c>
      <c r="AH37" s="134">
        <v>0</v>
      </c>
      <c r="AI37" s="135">
        <v>0</v>
      </c>
      <c r="AJ37" s="134">
        <v>0</v>
      </c>
      <c r="AK37" s="134">
        <v>0</v>
      </c>
      <c r="AL37" s="134">
        <v>0</v>
      </c>
      <c r="AM37" s="139">
        <f t="shared" si="267"/>
        <v>14265</v>
      </c>
      <c r="AN37" s="140">
        <v>46164</v>
      </c>
      <c r="AO37" s="141" t="s">
        <v>558</v>
      </c>
      <c r="AP37" s="142" t="s">
        <v>390</v>
      </c>
      <c r="AQ37" s="143" t="s">
        <v>391</v>
      </c>
      <c r="AR37" s="143" t="s">
        <v>392</v>
      </c>
      <c r="AS37" s="130" t="s">
        <v>534</v>
      </c>
      <c r="AT37" s="144" t="s">
        <v>394</v>
      </c>
      <c r="AU37" s="144" t="s">
        <v>395</v>
      </c>
      <c r="AV37" s="145" t="s">
        <v>297</v>
      </c>
      <c r="AW37" s="143">
        <v>317</v>
      </c>
      <c r="AX37" s="316">
        <v>63</v>
      </c>
      <c r="AY37" s="143">
        <f t="shared" si="268"/>
        <v>19971</v>
      </c>
      <c r="AZ37" s="146" t="b">
        <f t="shared" si="269"/>
        <v>1</v>
      </c>
      <c r="BA37" s="132">
        <v>0</v>
      </c>
      <c r="BB37" s="147">
        <f t="shared" si="270"/>
        <v>317</v>
      </c>
      <c r="BC37" s="148">
        <v>0</v>
      </c>
      <c r="BD37" s="147" t="s">
        <v>116</v>
      </c>
      <c r="BE37" s="148">
        <v>0</v>
      </c>
      <c r="BF37" s="147">
        <v>0</v>
      </c>
      <c r="BG37" s="148">
        <v>0</v>
      </c>
      <c r="BH37" s="134">
        <v>0</v>
      </c>
      <c r="BI37" s="134">
        <v>0</v>
      </c>
      <c r="BJ37" s="135">
        <v>0</v>
      </c>
      <c r="BK37" s="132">
        <v>0</v>
      </c>
      <c r="BL37" s="143">
        <v>0</v>
      </c>
      <c r="BM37" s="134">
        <v>0</v>
      </c>
      <c r="BN37" s="149">
        <f t="shared" si="271"/>
        <v>-499.27500000000003</v>
      </c>
      <c r="BO37" s="133">
        <f t="shared" si="272"/>
        <v>19471.724999999999</v>
      </c>
      <c r="BP37" s="139">
        <f t="shared" si="273"/>
        <v>5206.7249999999985</v>
      </c>
      <c r="BQ37" s="148" t="str">
        <f t="shared" si="274"/>
        <v>Positive Margin</v>
      </c>
      <c r="BR37" s="150" t="s">
        <v>108</v>
      </c>
      <c r="BS37" s="132">
        <f t="shared" si="275"/>
        <v>5706</v>
      </c>
      <c r="BT37" s="151" t="str">
        <f t="shared" si="276"/>
        <v>Positive Margin at Inception</v>
      </c>
      <c r="BU37" s="152">
        <f t="shared" si="277"/>
        <v>0.26739926739926734</v>
      </c>
      <c r="BV37" s="151" t="str">
        <f t="shared" si="278"/>
        <v>More than 2%</v>
      </c>
      <c r="BW37" s="132">
        <f t="shared" si="279"/>
        <v>-499.27500000000003</v>
      </c>
      <c r="BX37" s="133">
        <f t="shared" si="280"/>
        <v>0</v>
      </c>
      <c r="BY37" s="132">
        <f t="shared" si="281"/>
        <v>-499.27500000000003</v>
      </c>
      <c r="BZ37" s="153">
        <f t="shared" si="282"/>
        <v>0</v>
      </c>
      <c r="CA37" s="153">
        <f t="shared" si="283"/>
        <v>0</v>
      </c>
      <c r="CB37" s="134">
        <f t="shared" si="284"/>
        <v>0</v>
      </c>
      <c r="CC37" s="153" t="s">
        <v>369</v>
      </c>
      <c r="CD37" s="134">
        <v>0</v>
      </c>
      <c r="CE37" s="134" t="str">
        <f t="shared" si="285"/>
        <v>May-26</v>
      </c>
      <c r="CF37" s="134">
        <f t="shared" si="286"/>
        <v>14265</v>
      </c>
      <c r="CG37" s="134">
        <f t="shared" si="287"/>
        <v>19971</v>
      </c>
      <c r="CH37" s="134">
        <f t="shared" si="288"/>
        <v>8</v>
      </c>
      <c r="CI37" s="154" t="s">
        <v>252</v>
      </c>
      <c r="CJ37" s="134" t="s">
        <v>252</v>
      </c>
      <c r="CK37" s="134" t="str">
        <f>_xlfn.XLOOKUP(AR37,receivables!B:B,receivables!D:D)</f>
        <v>Neelesh Dixit</v>
      </c>
      <c r="CL37" s="134">
        <f t="shared" si="289"/>
        <v>5706</v>
      </c>
      <c r="CM37" s="134">
        <f t="shared" si="290"/>
        <v>5706</v>
      </c>
      <c r="CN37" s="134">
        <f t="shared" si="291"/>
        <v>5206.7249999999985</v>
      </c>
      <c r="CO37" s="134">
        <f t="shared" si="292"/>
        <v>23565.78</v>
      </c>
      <c r="CP37" s="134">
        <f t="shared" si="293"/>
        <v>-16832.7</v>
      </c>
      <c r="CQ37" s="134">
        <f t="shared" si="294"/>
        <v>0</v>
      </c>
      <c r="CR37" s="134">
        <f t="shared" si="295"/>
        <v>0</v>
      </c>
      <c r="CS37" s="134">
        <f t="shared" si="296"/>
        <v>6733.0799999999981</v>
      </c>
      <c r="CT37" s="134" t="s">
        <v>296</v>
      </c>
      <c r="CU37" s="134" t="s">
        <v>296</v>
      </c>
      <c r="CV37" s="149" t="str">
        <f t="shared" si="297"/>
        <v>AAMCB5608A</v>
      </c>
      <c r="CW37" s="149" t="str">
        <f t="shared" si="298"/>
        <v>AAACD5406E</v>
      </c>
      <c r="CX37" s="149">
        <v>0</v>
      </c>
      <c r="CY37" s="149">
        <v>0</v>
      </c>
      <c r="CZ37" s="149">
        <v>0</v>
      </c>
      <c r="DA37" s="149">
        <v>0</v>
      </c>
      <c r="DB37" s="149">
        <v>0</v>
      </c>
    </row>
    <row r="38" spans="2:106" s="156" customFormat="1" ht="11.9" customHeight="1" x14ac:dyDescent="0.3">
      <c r="B38" s="127" t="str">
        <f t="shared" si="262"/>
        <v>Q1</v>
      </c>
      <c r="C38" s="128" t="str">
        <f t="shared" si="263"/>
        <v>May-26</v>
      </c>
      <c r="D38" s="294">
        <v>46164</v>
      </c>
      <c r="E38" s="130" t="s">
        <v>543</v>
      </c>
      <c r="F38" s="130" t="s">
        <v>197</v>
      </c>
      <c r="G38" s="130" t="s">
        <v>373</v>
      </c>
      <c r="H38" s="131" t="s">
        <v>544</v>
      </c>
      <c r="I38" s="129">
        <v>46164</v>
      </c>
      <c r="J38" s="130" t="s">
        <v>545</v>
      </c>
      <c r="K38" s="129">
        <v>46164</v>
      </c>
      <c r="L38" s="130" t="s">
        <v>376</v>
      </c>
      <c r="M38" s="130" t="s">
        <v>546</v>
      </c>
      <c r="N38" s="131" t="s">
        <v>378</v>
      </c>
      <c r="O38" s="130">
        <v>8600</v>
      </c>
      <c r="P38" s="289">
        <v>45</v>
      </c>
      <c r="Q38" s="132">
        <f t="shared" si="264"/>
        <v>387000</v>
      </c>
      <c r="R38" s="133">
        <v>0</v>
      </c>
      <c r="S38" s="132">
        <f t="shared" si="265"/>
        <v>8600</v>
      </c>
      <c r="T38" s="133">
        <v>0</v>
      </c>
      <c r="U38" s="134">
        <v>0</v>
      </c>
      <c r="V38" s="135">
        <v>0</v>
      </c>
      <c r="W38" s="134">
        <v>0</v>
      </c>
      <c r="X38" s="136">
        <v>0</v>
      </c>
      <c r="Y38" s="134">
        <v>0</v>
      </c>
      <c r="Z38" s="134">
        <v>0</v>
      </c>
      <c r="AA38" s="133">
        <v>0</v>
      </c>
      <c r="AB38" s="137">
        <f t="shared" si="266"/>
        <v>0</v>
      </c>
      <c r="AC38" s="136">
        <v>0</v>
      </c>
      <c r="AD38" s="337">
        <f t="shared" si="229"/>
        <v>45</v>
      </c>
      <c r="AE38" s="151">
        <v>0</v>
      </c>
      <c r="AF38" s="134">
        <v>0</v>
      </c>
      <c r="AG38" s="134">
        <v>0</v>
      </c>
      <c r="AH38" s="134">
        <v>0</v>
      </c>
      <c r="AI38" s="135">
        <v>0</v>
      </c>
      <c r="AJ38" s="134">
        <v>0</v>
      </c>
      <c r="AK38" s="134">
        <v>0</v>
      </c>
      <c r="AL38" s="134">
        <v>0</v>
      </c>
      <c r="AM38" s="139">
        <f t="shared" si="267"/>
        <v>387000</v>
      </c>
      <c r="AN38" s="140">
        <v>46164</v>
      </c>
      <c r="AO38" s="141" t="s">
        <v>559</v>
      </c>
      <c r="AP38" s="142" t="s">
        <v>390</v>
      </c>
      <c r="AQ38" s="143" t="s">
        <v>391</v>
      </c>
      <c r="AR38" s="143" t="s">
        <v>392</v>
      </c>
      <c r="AS38" s="130" t="s">
        <v>534</v>
      </c>
      <c r="AT38" s="144" t="s">
        <v>394</v>
      </c>
      <c r="AU38" s="144" t="s">
        <v>395</v>
      </c>
      <c r="AV38" s="145" t="s">
        <v>297</v>
      </c>
      <c r="AW38" s="143">
        <v>8600</v>
      </c>
      <c r="AX38" s="316">
        <v>58</v>
      </c>
      <c r="AY38" s="143">
        <f t="shared" si="268"/>
        <v>498800</v>
      </c>
      <c r="AZ38" s="146" t="b">
        <f t="shared" si="269"/>
        <v>1</v>
      </c>
      <c r="BA38" s="132">
        <v>0</v>
      </c>
      <c r="BB38" s="147">
        <f t="shared" si="270"/>
        <v>8600</v>
      </c>
      <c r="BC38" s="148">
        <v>0</v>
      </c>
      <c r="BD38" s="147" t="s">
        <v>116</v>
      </c>
      <c r="BE38" s="148">
        <v>0</v>
      </c>
      <c r="BF38" s="147">
        <v>0</v>
      </c>
      <c r="BG38" s="148">
        <v>0</v>
      </c>
      <c r="BH38" s="134">
        <v>0</v>
      </c>
      <c r="BI38" s="134">
        <v>0</v>
      </c>
      <c r="BJ38" s="135">
        <v>0</v>
      </c>
      <c r="BK38" s="132">
        <v>0</v>
      </c>
      <c r="BL38" s="143">
        <v>0</v>
      </c>
      <c r="BM38" s="134">
        <v>0</v>
      </c>
      <c r="BN38" s="149">
        <f t="shared" si="271"/>
        <v>-12470</v>
      </c>
      <c r="BO38" s="133">
        <f t="shared" si="272"/>
        <v>486330</v>
      </c>
      <c r="BP38" s="139">
        <f t="shared" si="273"/>
        <v>99330</v>
      </c>
      <c r="BQ38" s="148" t="str">
        <f t="shared" si="274"/>
        <v>Positive Margin</v>
      </c>
      <c r="BR38" s="150" t="s">
        <v>108</v>
      </c>
      <c r="BS38" s="132">
        <f t="shared" si="275"/>
        <v>111800</v>
      </c>
      <c r="BT38" s="151" t="str">
        <f t="shared" si="276"/>
        <v>Positive Margin at Inception</v>
      </c>
      <c r="BU38" s="152">
        <f t="shared" si="277"/>
        <v>0.20424403183023873</v>
      </c>
      <c r="BV38" s="151" t="str">
        <f t="shared" si="278"/>
        <v>More than 2%</v>
      </c>
      <c r="BW38" s="132">
        <f t="shared" si="279"/>
        <v>-12470</v>
      </c>
      <c r="BX38" s="133">
        <f t="shared" si="280"/>
        <v>0</v>
      </c>
      <c r="BY38" s="132">
        <f t="shared" si="281"/>
        <v>-12470</v>
      </c>
      <c r="BZ38" s="153">
        <f t="shared" si="282"/>
        <v>0</v>
      </c>
      <c r="CA38" s="153">
        <f t="shared" si="283"/>
        <v>0</v>
      </c>
      <c r="CB38" s="134">
        <f t="shared" si="284"/>
        <v>0</v>
      </c>
      <c r="CC38" s="153" t="s">
        <v>369</v>
      </c>
      <c r="CD38" s="134">
        <v>0</v>
      </c>
      <c r="CE38" s="134" t="str">
        <f t="shared" si="285"/>
        <v>May-26</v>
      </c>
      <c r="CF38" s="134">
        <f t="shared" si="286"/>
        <v>387000</v>
      </c>
      <c r="CG38" s="134">
        <f t="shared" si="287"/>
        <v>498800</v>
      </c>
      <c r="CH38" s="134">
        <f t="shared" si="288"/>
        <v>8</v>
      </c>
      <c r="CI38" s="154" t="s">
        <v>252</v>
      </c>
      <c r="CJ38" s="134" t="s">
        <v>252</v>
      </c>
      <c r="CK38" s="134" t="str">
        <f>_xlfn.XLOOKUP(AR38,receivables!B:B,receivables!D:D)</f>
        <v>Neelesh Dixit</v>
      </c>
      <c r="CL38" s="134">
        <f t="shared" si="289"/>
        <v>111800</v>
      </c>
      <c r="CM38" s="134">
        <f t="shared" si="290"/>
        <v>111800</v>
      </c>
      <c r="CN38" s="134">
        <f t="shared" si="291"/>
        <v>99330</v>
      </c>
      <c r="CO38" s="134">
        <f t="shared" si="292"/>
        <v>588584</v>
      </c>
      <c r="CP38" s="134">
        <f t="shared" si="293"/>
        <v>-456660</v>
      </c>
      <c r="CQ38" s="134">
        <f t="shared" si="294"/>
        <v>0</v>
      </c>
      <c r="CR38" s="134">
        <f t="shared" si="295"/>
        <v>0</v>
      </c>
      <c r="CS38" s="134">
        <f t="shared" si="296"/>
        <v>131924</v>
      </c>
      <c r="CT38" s="134" t="s">
        <v>296</v>
      </c>
      <c r="CU38" s="134" t="s">
        <v>296</v>
      </c>
      <c r="CV38" s="149" t="str">
        <f t="shared" si="297"/>
        <v>AAMCB5608A</v>
      </c>
      <c r="CW38" s="149" t="str">
        <f t="shared" si="298"/>
        <v>AAACD5406E</v>
      </c>
      <c r="CX38" s="149">
        <v>0</v>
      </c>
      <c r="CY38" s="149">
        <v>0</v>
      </c>
      <c r="CZ38" s="149">
        <v>0</v>
      </c>
      <c r="DA38" s="149">
        <v>0</v>
      </c>
      <c r="DB38" s="149">
        <v>0</v>
      </c>
    </row>
    <row r="39" spans="2:106" s="156" customFormat="1" ht="11.9" customHeight="1" x14ac:dyDescent="0.3">
      <c r="B39" s="127" t="str">
        <f t="shared" si="262"/>
        <v>Q1</v>
      </c>
      <c r="C39" s="128" t="str">
        <f t="shared" si="263"/>
        <v>May-26</v>
      </c>
      <c r="D39" s="294">
        <v>46164</v>
      </c>
      <c r="E39" s="130" t="s">
        <v>543</v>
      </c>
      <c r="F39" s="130" t="s">
        <v>197</v>
      </c>
      <c r="G39" s="130" t="s">
        <v>373</v>
      </c>
      <c r="H39" s="131" t="s">
        <v>544</v>
      </c>
      <c r="I39" s="129">
        <v>46164</v>
      </c>
      <c r="J39" s="130" t="s">
        <v>545</v>
      </c>
      <c r="K39" s="129">
        <v>46164</v>
      </c>
      <c r="L39" s="130" t="s">
        <v>376</v>
      </c>
      <c r="M39" s="130" t="s">
        <v>546</v>
      </c>
      <c r="N39" s="131" t="s">
        <v>379</v>
      </c>
      <c r="O39" s="130">
        <v>350</v>
      </c>
      <c r="P39" s="289">
        <v>40</v>
      </c>
      <c r="Q39" s="132">
        <f t="shared" si="264"/>
        <v>14000</v>
      </c>
      <c r="R39" s="133">
        <v>0</v>
      </c>
      <c r="S39" s="132">
        <f t="shared" si="265"/>
        <v>350</v>
      </c>
      <c r="T39" s="133">
        <v>0</v>
      </c>
      <c r="U39" s="134">
        <v>0</v>
      </c>
      <c r="V39" s="135">
        <v>0</v>
      </c>
      <c r="W39" s="134">
        <v>0</v>
      </c>
      <c r="X39" s="136">
        <v>0</v>
      </c>
      <c r="Y39" s="134">
        <v>0</v>
      </c>
      <c r="Z39" s="134">
        <v>0</v>
      </c>
      <c r="AA39" s="133">
        <v>0</v>
      </c>
      <c r="AB39" s="137">
        <f t="shared" si="266"/>
        <v>0</v>
      </c>
      <c r="AC39" s="136">
        <v>0</v>
      </c>
      <c r="AD39" s="337">
        <f t="shared" si="229"/>
        <v>40</v>
      </c>
      <c r="AE39" s="151">
        <v>0</v>
      </c>
      <c r="AF39" s="134">
        <v>0</v>
      </c>
      <c r="AG39" s="134">
        <v>0</v>
      </c>
      <c r="AH39" s="134">
        <v>0</v>
      </c>
      <c r="AI39" s="135">
        <v>0</v>
      </c>
      <c r="AJ39" s="134">
        <v>0</v>
      </c>
      <c r="AK39" s="134">
        <v>0</v>
      </c>
      <c r="AL39" s="134">
        <v>0</v>
      </c>
      <c r="AM39" s="139">
        <f t="shared" si="267"/>
        <v>14000</v>
      </c>
      <c r="AN39" s="140">
        <v>46164</v>
      </c>
      <c r="AO39" s="141" t="s">
        <v>559</v>
      </c>
      <c r="AP39" s="142" t="s">
        <v>390</v>
      </c>
      <c r="AQ39" s="143" t="s">
        <v>391</v>
      </c>
      <c r="AR39" s="143" t="s">
        <v>392</v>
      </c>
      <c r="AS39" s="130" t="s">
        <v>534</v>
      </c>
      <c r="AT39" s="144" t="s">
        <v>394</v>
      </c>
      <c r="AU39" s="144" t="s">
        <v>395</v>
      </c>
      <c r="AV39" s="145" t="s">
        <v>297</v>
      </c>
      <c r="AW39" s="143">
        <v>350</v>
      </c>
      <c r="AX39" s="316">
        <v>48</v>
      </c>
      <c r="AY39" s="143">
        <f t="shared" si="268"/>
        <v>16800</v>
      </c>
      <c r="AZ39" s="146" t="b">
        <f t="shared" si="269"/>
        <v>1</v>
      </c>
      <c r="BA39" s="132">
        <v>0</v>
      </c>
      <c r="BB39" s="147">
        <f t="shared" si="270"/>
        <v>350</v>
      </c>
      <c r="BC39" s="148">
        <v>0</v>
      </c>
      <c r="BD39" s="147" t="s">
        <v>116</v>
      </c>
      <c r="BE39" s="148">
        <v>0</v>
      </c>
      <c r="BF39" s="147">
        <v>0</v>
      </c>
      <c r="BG39" s="148">
        <v>0</v>
      </c>
      <c r="BH39" s="134">
        <v>0</v>
      </c>
      <c r="BI39" s="134">
        <v>0</v>
      </c>
      <c r="BJ39" s="135">
        <v>0</v>
      </c>
      <c r="BK39" s="132">
        <v>0</v>
      </c>
      <c r="BL39" s="143">
        <v>0</v>
      </c>
      <c r="BM39" s="134">
        <v>0</v>
      </c>
      <c r="BN39" s="149">
        <f t="shared" si="271"/>
        <v>-420</v>
      </c>
      <c r="BO39" s="133">
        <f t="shared" si="272"/>
        <v>16380</v>
      </c>
      <c r="BP39" s="139">
        <f t="shared" si="273"/>
        <v>2380</v>
      </c>
      <c r="BQ39" s="148" t="str">
        <f t="shared" si="274"/>
        <v>Positive Margin</v>
      </c>
      <c r="BR39" s="150" t="s">
        <v>108</v>
      </c>
      <c r="BS39" s="132">
        <f t="shared" si="275"/>
        <v>2800</v>
      </c>
      <c r="BT39" s="151" t="str">
        <f t="shared" si="276"/>
        <v>Positive Margin at Inception</v>
      </c>
      <c r="BU39" s="152">
        <f t="shared" si="277"/>
        <v>0.14529914529914531</v>
      </c>
      <c r="BV39" s="151" t="str">
        <f t="shared" si="278"/>
        <v>More than 2%</v>
      </c>
      <c r="BW39" s="132">
        <f t="shared" si="279"/>
        <v>-420</v>
      </c>
      <c r="BX39" s="133">
        <f t="shared" si="280"/>
        <v>0</v>
      </c>
      <c r="BY39" s="132">
        <f t="shared" si="281"/>
        <v>-420</v>
      </c>
      <c r="BZ39" s="153">
        <f t="shared" si="282"/>
        <v>0</v>
      </c>
      <c r="CA39" s="153">
        <f t="shared" si="283"/>
        <v>0</v>
      </c>
      <c r="CB39" s="134">
        <f t="shared" si="284"/>
        <v>0</v>
      </c>
      <c r="CC39" s="153" t="s">
        <v>369</v>
      </c>
      <c r="CD39" s="134">
        <v>0</v>
      </c>
      <c r="CE39" s="134" t="str">
        <f t="shared" si="285"/>
        <v>May-26</v>
      </c>
      <c r="CF39" s="134">
        <f t="shared" si="286"/>
        <v>14000</v>
      </c>
      <c r="CG39" s="134">
        <f t="shared" si="287"/>
        <v>16800</v>
      </c>
      <c r="CH39" s="134">
        <f t="shared" si="288"/>
        <v>8</v>
      </c>
      <c r="CI39" s="154" t="s">
        <v>252</v>
      </c>
      <c r="CJ39" s="134" t="s">
        <v>252</v>
      </c>
      <c r="CK39" s="134" t="str">
        <f>_xlfn.XLOOKUP(AR39,receivables!B:B,receivables!D:D)</f>
        <v>Neelesh Dixit</v>
      </c>
      <c r="CL39" s="134">
        <f t="shared" si="289"/>
        <v>2800</v>
      </c>
      <c r="CM39" s="134">
        <f t="shared" si="290"/>
        <v>2800</v>
      </c>
      <c r="CN39" s="134">
        <f t="shared" si="291"/>
        <v>2380</v>
      </c>
      <c r="CO39" s="134">
        <f t="shared" si="292"/>
        <v>19824</v>
      </c>
      <c r="CP39" s="134">
        <f t="shared" si="293"/>
        <v>-16520</v>
      </c>
      <c r="CQ39" s="134">
        <f t="shared" si="294"/>
        <v>0</v>
      </c>
      <c r="CR39" s="134">
        <f t="shared" si="295"/>
        <v>0</v>
      </c>
      <c r="CS39" s="134">
        <f t="shared" si="296"/>
        <v>3304</v>
      </c>
      <c r="CT39" s="134" t="s">
        <v>296</v>
      </c>
      <c r="CU39" s="134" t="s">
        <v>296</v>
      </c>
      <c r="CV39" s="149" t="str">
        <f t="shared" si="297"/>
        <v>AAMCB5608A</v>
      </c>
      <c r="CW39" s="149" t="str">
        <f t="shared" si="298"/>
        <v>AAACD5406E</v>
      </c>
      <c r="CX39" s="149">
        <v>0</v>
      </c>
      <c r="CY39" s="149">
        <v>0</v>
      </c>
      <c r="CZ39" s="149">
        <v>0</v>
      </c>
      <c r="DA39" s="149">
        <v>0</v>
      </c>
      <c r="DB39" s="149">
        <v>0</v>
      </c>
    </row>
    <row r="40" spans="2:106" s="156" customFormat="1" ht="11.9" customHeight="1" x14ac:dyDescent="0.3">
      <c r="B40" s="127" t="str">
        <f t="shared" si="262"/>
        <v>Q1</v>
      </c>
      <c r="C40" s="128" t="str">
        <f t="shared" si="263"/>
        <v>May-26</v>
      </c>
      <c r="D40" s="294">
        <v>46164</v>
      </c>
      <c r="E40" s="130" t="s">
        <v>543</v>
      </c>
      <c r="F40" s="130" t="s">
        <v>197</v>
      </c>
      <c r="G40" s="130" t="s">
        <v>373</v>
      </c>
      <c r="H40" s="131" t="s">
        <v>544</v>
      </c>
      <c r="I40" s="129">
        <v>46164</v>
      </c>
      <c r="J40" s="130" t="s">
        <v>545</v>
      </c>
      <c r="K40" s="129">
        <v>46164</v>
      </c>
      <c r="L40" s="130" t="s">
        <v>376</v>
      </c>
      <c r="M40" s="130" t="s">
        <v>546</v>
      </c>
      <c r="N40" s="131" t="s">
        <v>384</v>
      </c>
      <c r="O40" s="130">
        <v>325</v>
      </c>
      <c r="P40" s="289">
        <v>45</v>
      </c>
      <c r="Q40" s="132">
        <f t="shared" si="264"/>
        <v>14625</v>
      </c>
      <c r="R40" s="133">
        <v>0</v>
      </c>
      <c r="S40" s="132">
        <f t="shared" si="265"/>
        <v>325</v>
      </c>
      <c r="T40" s="133">
        <v>0</v>
      </c>
      <c r="U40" s="134">
        <v>0</v>
      </c>
      <c r="V40" s="135">
        <v>0</v>
      </c>
      <c r="W40" s="134">
        <v>0</v>
      </c>
      <c r="X40" s="136">
        <v>0</v>
      </c>
      <c r="Y40" s="134">
        <v>0</v>
      </c>
      <c r="Z40" s="134">
        <v>0</v>
      </c>
      <c r="AA40" s="133">
        <v>0</v>
      </c>
      <c r="AB40" s="137">
        <f t="shared" si="266"/>
        <v>0</v>
      </c>
      <c r="AC40" s="136">
        <v>0</v>
      </c>
      <c r="AD40" s="337">
        <f t="shared" si="229"/>
        <v>45</v>
      </c>
      <c r="AE40" s="151">
        <v>0</v>
      </c>
      <c r="AF40" s="134">
        <v>0</v>
      </c>
      <c r="AG40" s="134">
        <v>0</v>
      </c>
      <c r="AH40" s="134">
        <v>0</v>
      </c>
      <c r="AI40" s="135">
        <v>0</v>
      </c>
      <c r="AJ40" s="134">
        <v>0</v>
      </c>
      <c r="AK40" s="134">
        <v>0</v>
      </c>
      <c r="AL40" s="134">
        <v>0</v>
      </c>
      <c r="AM40" s="139">
        <f t="shared" si="267"/>
        <v>14625</v>
      </c>
      <c r="AN40" s="140">
        <v>46164</v>
      </c>
      <c r="AO40" s="141" t="s">
        <v>559</v>
      </c>
      <c r="AP40" s="142" t="s">
        <v>390</v>
      </c>
      <c r="AQ40" s="143" t="s">
        <v>391</v>
      </c>
      <c r="AR40" s="143" t="s">
        <v>392</v>
      </c>
      <c r="AS40" s="130" t="s">
        <v>534</v>
      </c>
      <c r="AT40" s="144" t="s">
        <v>394</v>
      </c>
      <c r="AU40" s="144" t="s">
        <v>395</v>
      </c>
      <c r="AV40" s="145" t="s">
        <v>297</v>
      </c>
      <c r="AW40" s="143">
        <v>325</v>
      </c>
      <c r="AX40" s="316">
        <v>63</v>
      </c>
      <c r="AY40" s="143">
        <f t="shared" si="268"/>
        <v>20475</v>
      </c>
      <c r="AZ40" s="146" t="b">
        <f t="shared" si="269"/>
        <v>1</v>
      </c>
      <c r="BA40" s="132">
        <v>0</v>
      </c>
      <c r="BB40" s="147">
        <f t="shared" si="270"/>
        <v>325</v>
      </c>
      <c r="BC40" s="148">
        <v>0</v>
      </c>
      <c r="BD40" s="147" t="s">
        <v>116</v>
      </c>
      <c r="BE40" s="148">
        <v>0</v>
      </c>
      <c r="BF40" s="147">
        <v>0</v>
      </c>
      <c r="BG40" s="148">
        <v>0</v>
      </c>
      <c r="BH40" s="134">
        <v>0</v>
      </c>
      <c r="BI40" s="134">
        <v>0</v>
      </c>
      <c r="BJ40" s="135">
        <v>0</v>
      </c>
      <c r="BK40" s="132">
        <v>0</v>
      </c>
      <c r="BL40" s="143">
        <v>0</v>
      </c>
      <c r="BM40" s="134">
        <v>0</v>
      </c>
      <c r="BN40" s="149">
        <f t="shared" si="271"/>
        <v>-511.875</v>
      </c>
      <c r="BO40" s="133">
        <f t="shared" si="272"/>
        <v>19963.125</v>
      </c>
      <c r="BP40" s="139">
        <f t="shared" si="273"/>
        <v>5338.125</v>
      </c>
      <c r="BQ40" s="148" t="str">
        <f t="shared" si="274"/>
        <v>Positive Margin</v>
      </c>
      <c r="BR40" s="150" t="s">
        <v>108</v>
      </c>
      <c r="BS40" s="132">
        <f t="shared" si="275"/>
        <v>5850</v>
      </c>
      <c r="BT40" s="151" t="str">
        <f t="shared" si="276"/>
        <v>Positive Margin at Inception</v>
      </c>
      <c r="BU40" s="152">
        <f t="shared" si="277"/>
        <v>0.26739926739926739</v>
      </c>
      <c r="BV40" s="151" t="str">
        <f t="shared" si="278"/>
        <v>More than 2%</v>
      </c>
      <c r="BW40" s="132">
        <f t="shared" si="279"/>
        <v>-511.875</v>
      </c>
      <c r="BX40" s="133">
        <f t="shared" si="280"/>
        <v>0</v>
      </c>
      <c r="BY40" s="132">
        <f t="shared" si="281"/>
        <v>-511.875</v>
      </c>
      <c r="BZ40" s="153">
        <f t="shared" si="282"/>
        <v>0</v>
      </c>
      <c r="CA40" s="153">
        <f t="shared" si="283"/>
        <v>0</v>
      </c>
      <c r="CB40" s="134">
        <f t="shared" si="284"/>
        <v>0</v>
      </c>
      <c r="CC40" s="153" t="s">
        <v>369</v>
      </c>
      <c r="CD40" s="134">
        <v>0</v>
      </c>
      <c r="CE40" s="134" t="str">
        <f t="shared" si="285"/>
        <v>May-26</v>
      </c>
      <c r="CF40" s="134">
        <f t="shared" si="286"/>
        <v>14625</v>
      </c>
      <c r="CG40" s="134">
        <f t="shared" si="287"/>
        <v>20475</v>
      </c>
      <c r="CH40" s="134">
        <f t="shared" si="288"/>
        <v>8</v>
      </c>
      <c r="CI40" s="154" t="s">
        <v>252</v>
      </c>
      <c r="CJ40" s="134" t="s">
        <v>252</v>
      </c>
      <c r="CK40" s="134" t="str">
        <f>_xlfn.XLOOKUP(AR40,receivables!B:B,receivables!D:D)</f>
        <v>Neelesh Dixit</v>
      </c>
      <c r="CL40" s="134">
        <f t="shared" si="289"/>
        <v>5850</v>
      </c>
      <c r="CM40" s="134">
        <f t="shared" si="290"/>
        <v>5850</v>
      </c>
      <c r="CN40" s="134">
        <f t="shared" si="291"/>
        <v>5338.125</v>
      </c>
      <c r="CO40" s="134">
        <f t="shared" si="292"/>
        <v>24160.5</v>
      </c>
      <c r="CP40" s="134">
        <f t="shared" si="293"/>
        <v>-17257.5</v>
      </c>
      <c r="CQ40" s="134">
        <f t="shared" si="294"/>
        <v>0</v>
      </c>
      <c r="CR40" s="134">
        <f t="shared" si="295"/>
        <v>0</v>
      </c>
      <c r="CS40" s="134">
        <f t="shared" si="296"/>
        <v>6903</v>
      </c>
      <c r="CT40" s="134" t="s">
        <v>296</v>
      </c>
      <c r="CU40" s="134" t="s">
        <v>296</v>
      </c>
      <c r="CV40" s="149" t="str">
        <f t="shared" si="297"/>
        <v>AAMCB5608A</v>
      </c>
      <c r="CW40" s="149" t="str">
        <f t="shared" si="298"/>
        <v>AAACD5406E</v>
      </c>
      <c r="CX40" s="149">
        <v>0</v>
      </c>
      <c r="CY40" s="149">
        <v>0</v>
      </c>
      <c r="CZ40" s="149">
        <v>0</v>
      </c>
      <c r="DA40" s="149">
        <v>0</v>
      </c>
      <c r="DB40" s="149">
        <v>0</v>
      </c>
    </row>
    <row r="41" spans="2:106" s="156" customFormat="1" ht="11.9" customHeight="1" x14ac:dyDescent="0.3">
      <c r="B41" s="127" t="str">
        <f t="shared" si="262"/>
        <v>Q1</v>
      </c>
      <c r="C41" s="128" t="str">
        <f t="shared" si="263"/>
        <v>May-26</v>
      </c>
      <c r="D41" s="294">
        <v>46165</v>
      </c>
      <c r="E41" s="130" t="s">
        <v>547</v>
      </c>
      <c r="F41" s="130" t="s">
        <v>197</v>
      </c>
      <c r="G41" s="130" t="s">
        <v>373</v>
      </c>
      <c r="H41" s="131" t="s">
        <v>548</v>
      </c>
      <c r="I41" s="129">
        <v>46165</v>
      </c>
      <c r="J41" s="130" t="s">
        <v>549</v>
      </c>
      <c r="K41" s="129">
        <v>46165</v>
      </c>
      <c r="L41" s="130" t="s">
        <v>376</v>
      </c>
      <c r="M41" s="130" t="s">
        <v>533</v>
      </c>
      <c r="N41" s="131" t="s">
        <v>378</v>
      </c>
      <c r="O41" s="130">
        <v>7915</v>
      </c>
      <c r="P41" s="289">
        <v>45</v>
      </c>
      <c r="Q41" s="132">
        <f t="shared" si="264"/>
        <v>356175</v>
      </c>
      <c r="R41" s="133">
        <v>0</v>
      </c>
      <c r="S41" s="132">
        <f t="shared" si="265"/>
        <v>7915</v>
      </c>
      <c r="T41" s="133">
        <v>0</v>
      </c>
      <c r="U41" s="134">
        <v>0</v>
      </c>
      <c r="V41" s="135">
        <v>0</v>
      </c>
      <c r="W41" s="134">
        <v>0</v>
      </c>
      <c r="X41" s="136">
        <v>0</v>
      </c>
      <c r="Y41" s="134">
        <v>0</v>
      </c>
      <c r="Z41" s="134">
        <v>0</v>
      </c>
      <c r="AA41" s="133">
        <v>0</v>
      </c>
      <c r="AB41" s="137">
        <f t="shared" si="266"/>
        <v>0</v>
      </c>
      <c r="AC41" s="136">
        <v>0</v>
      </c>
      <c r="AD41" s="337">
        <f t="shared" si="229"/>
        <v>45</v>
      </c>
      <c r="AE41" s="151">
        <v>0</v>
      </c>
      <c r="AF41" s="134">
        <v>0</v>
      </c>
      <c r="AG41" s="134">
        <v>0</v>
      </c>
      <c r="AH41" s="134">
        <v>0</v>
      </c>
      <c r="AI41" s="135">
        <v>0</v>
      </c>
      <c r="AJ41" s="134">
        <v>0</v>
      </c>
      <c r="AK41" s="134">
        <v>0</v>
      </c>
      <c r="AL41" s="134">
        <v>0</v>
      </c>
      <c r="AM41" s="139">
        <f t="shared" si="267"/>
        <v>356175</v>
      </c>
      <c r="AN41" s="140">
        <v>46165</v>
      </c>
      <c r="AO41" s="141" t="s">
        <v>560</v>
      </c>
      <c r="AP41" s="142" t="s">
        <v>390</v>
      </c>
      <c r="AQ41" s="143" t="s">
        <v>391</v>
      </c>
      <c r="AR41" s="143" t="s">
        <v>392</v>
      </c>
      <c r="AS41" s="130" t="s">
        <v>496</v>
      </c>
      <c r="AT41" s="144" t="s">
        <v>394</v>
      </c>
      <c r="AU41" s="144" t="s">
        <v>395</v>
      </c>
      <c r="AV41" s="145" t="s">
        <v>297</v>
      </c>
      <c r="AW41" s="143">
        <v>7915</v>
      </c>
      <c r="AX41" s="316">
        <v>58</v>
      </c>
      <c r="AY41" s="143">
        <f t="shared" si="268"/>
        <v>459070</v>
      </c>
      <c r="AZ41" s="146" t="b">
        <f t="shared" si="269"/>
        <v>1</v>
      </c>
      <c r="BA41" s="132">
        <v>0</v>
      </c>
      <c r="BB41" s="147">
        <f t="shared" si="270"/>
        <v>7915</v>
      </c>
      <c r="BC41" s="148">
        <v>0</v>
      </c>
      <c r="BD41" s="147" t="s">
        <v>116</v>
      </c>
      <c r="BE41" s="148">
        <v>0</v>
      </c>
      <c r="BF41" s="147">
        <v>0</v>
      </c>
      <c r="BG41" s="148">
        <v>0</v>
      </c>
      <c r="BH41" s="134">
        <v>0</v>
      </c>
      <c r="BI41" s="134">
        <v>0</v>
      </c>
      <c r="BJ41" s="135">
        <v>0</v>
      </c>
      <c r="BK41" s="132">
        <v>0</v>
      </c>
      <c r="BL41" s="143">
        <v>0</v>
      </c>
      <c r="BM41" s="134">
        <v>0</v>
      </c>
      <c r="BN41" s="149">
        <f t="shared" si="271"/>
        <v>-11476.75</v>
      </c>
      <c r="BO41" s="133">
        <f t="shared" si="272"/>
        <v>447593.25</v>
      </c>
      <c r="BP41" s="139">
        <f t="shared" si="273"/>
        <v>91418.25</v>
      </c>
      <c r="BQ41" s="148" t="str">
        <f t="shared" si="274"/>
        <v>Positive Margin</v>
      </c>
      <c r="BR41" s="150" t="s">
        <v>108</v>
      </c>
      <c r="BS41" s="132">
        <f t="shared" si="275"/>
        <v>102895</v>
      </c>
      <c r="BT41" s="151" t="str">
        <f t="shared" si="276"/>
        <v>Positive Margin at Inception</v>
      </c>
      <c r="BU41" s="152">
        <f t="shared" si="277"/>
        <v>0.20424403183023873</v>
      </c>
      <c r="BV41" s="151" t="str">
        <f t="shared" si="278"/>
        <v>More than 2%</v>
      </c>
      <c r="BW41" s="132">
        <f t="shared" si="279"/>
        <v>-11476.75</v>
      </c>
      <c r="BX41" s="133">
        <f t="shared" si="280"/>
        <v>0</v>
      </c>
      <c r="BY41" s="132">
        <f t="shared" si="281"/>
        <v>-11476.75</v>
      </c>
      <c r="BZ41" s="153">
        <f t="shared" si="282"/>
        <v>0</v>
      </c>
      <c r="CA41" s="153">
        <f t="shared" si="283"/>
        <v>0</v>
      </c>
      <c r="CB41" s="134">
        <f t="shared" si="284"/>
        <v>0</v>
      </c>
      <c r="CC41" s="153" t="s">
        <v>369</v>
      </c>
      <c r="CD41" s="134">
        <v>0</v>
      </c>
      <c r="CE41" s="134" t="str">
        <f t="shared" si="285"/>
        <v>May-26</v>
      </c>
      <c r="CF41" s="134">
        <f t="shared" si="286"/>
        <v>356175</v>
      </c>
      <c r="CG41" s="134">
        <f t="shared" si="287"/>
        <v>459070</v>
      </c>
      <c r="CH41" s="134">
        <f t="shared" si="288"/>
        <v>8</v>
      </c>
      <c r="CI41" s="154" t="s">
        <v>252</v>
      </c>
      <c r="CJ41" s="134" t="s">
        <v>252</v>
      </c>
      <c r="CK41" s="134" t="str">
        <f>_xlfn.XLOOKUP(AR41,receivables!B:B,receivables!D:D)</f>
        <v>Neelesh Dixit</v>
      </c>
      <c r="CL41" s="134">
        <f t="shared" si="289"/>
        <v>102895</v>
      </c>
      <c r="CM41" s="134">
        <f t="shared" si="290"/>
        <v>102895</v>
      </c>
      <c r="CN41" s="134">
        <f t="shared" si="291"/>
        <v>91418.25</v>
      </c>
      <c r="CO41" s="134">
        <f t="shared" si="292"/>
        <v>541702.6</v>
      </c>
      <c r="CP41" s="134">
        <f t="shared" si="293"/>
        <v>-420286.5</v>
      </c>
      <c r="CQ41" s="134">
        <f t="shared" si="294"/>
        <v>0</v>
      </c>
      <c r="CR41" s="134">
        <f t="shared" si="295"/>
        <v>0</v>
      </c>
      <c r="CS41" s="134">
        <f t="shared" si="296"/>
        <v>121416.09999999998</v>
      </c>
      <c r="CT41" s="134" t="s">
        <v>296</v>
      </c>
      <c r="CU41" s="134" t="s">
        <v>296</v>
      </c>
      <c r="CV41" s="149" t="str">
        <f t="shared" si="297"/>
        <v>AAMCB5608A</v>
      </c>
      <c r="CW41" s="149" t="str">
        <f t="shared" si="298"/>
        <v>AAACD5406E</v>
      </c>
      <c r="CX41" s="149">
        <v>0</v>
      </c>
      <c r="CY41" s="149">
        <v>0</v>
      </c>
      <c r="CZ41" s="149">
        <v>0</v>
      </c>
      <c r="DA41" s="149">
        <v>0</v>
      </c>
      <c r="DB41" s="149">
        <v>0</v>
      </c>
    </row>
    <row r="42" spans="2:106" s="156" customFormat="1" ht="11.9" customHeight="1" x14ac:dyDescent="0.3">
      <c r="B42" s="127" t="str">
        <f t="shared" si="262"/>
        <v>Q1</v>
      </c>
      <c r="C42" s="128" t="str">
        <f t="shared" si="263"/>
        <v>May-26</v>
      </c>
      <c r="D42" s="294">
        <v>46165</v>
      </c>
      <c r="E42" s="130" t="s">
        <v>547</v>
      </c>
      <c r="F42" s="130" t="s">
        <v>197</v>
      </c>
      <c r="G42" s="130" t="s">
        <v>373</v>
      </c>
      <c r="H42" s="131" t="s">
        <v>548</v>
      </c>
      <c r="I42" s="129">
        <v>46165</v>
      </c>
      <c r="J42" s="130" t="s">
        <v>549</v>
      </c>
      <c r="K42" s="129">
        <v>46165</v>
      </c>
      <c r="L42" s="130" t="s">
        <v>376</v>
      </c>
      <c r="M42" s="130" t="s">
        <v>533</v>
      </c>
      <c r="N42" s="131" t="s">
        <v>384</v>
      </c>
      <c r="O42" s="130">
        <v>305</v>
      </c>
      <c r="P42" s="289">
        <v>45</v>
      </c>
      <c r="Q42" s="132">
        <f t="shared" si="264"/>
        <v>13725</v>
      </c>
      <c r="R42" s="133">
        <v>0</v>
      </c>
      <c r="S42" s="132">
        <f t="shared" si="265"/>
        <v>305</v>
      </c>
      <c r="T42" s="133">
        <v>0</v>
      </c>
      <c r="U42" s="134">
        <v>0</v>
      </c>
      <c r="V42" s="135">
        <v>0</v>
      </c>
      <c r="W42" s="134">
        <v>0</v>
      </c>
      <c r="X42" s="136">
        <v>0</v>
      </c>
      <c r="Y42" s="134">
        <v>0</v>
      </c>
      <c r="Z42" s="134">
        <v>0</v>
      </c>
      <c r="AA42" s="133">
        <v>0</v>
      </c>
      <c r="AB42" s="137">
        <f t="shared" si="266"/>
        <v>0</v>
      </c>
      <c r="AC42" s="136">
        <v>0</v>
      </c>
      <c r="AD42" s="337">
        <f t="shared" si="229"/>
        <v>45</v>
      </c>
      <c r="AE42" s="151">
        <v>0</v>
      </c>
      <c r="AF42" s="134">
        <v>0</v>
      </c>
      <c r="AG42" s="134">
        <v>0</v>
      </c>
      <c r="AH42" s="134">
        <v>0</v>
      </c>
      <c r="AI42" s="135">
        <v>0</v>
      </c>
      <c r="AJ42" s="134">
        <v>0</v>
      </c>
      <c r="AK42" s="134">
        <v>0</v>
      </c>
      <c r="AL42" s="134">
        <v>0</v>
      </c>
      <c r="AM42" s="139">
        <f t="shared" si="267"/>
        <v>13725</v>
      </c>
      <c r="AN42" s="140">
        <v>46165</v>
      </c>
      <c r="AO42" s="141" t="s">
        <v>560</v>
      </c>
      <c r="AP42" s="142" t="s">
        <v>390</v>
      </c>
      <c r="AQ42" s="143" t="s">
        <v>391</v>
      </c>
      <c r="AR42" s="143" t="s">
        <v>392</v>
      </c>
      <c r="AS42" s="130" t="s">
        <v>496</v>
      </c>
      <c r="AT42" s="144" t="s">
        <v>394</v>
      </c>
      <c r="AU42" s="144" t="s">
        <v>395</v>
      </c>
      <c r="AV42" s="145" t="s">
        <v>297</v>
      </c>
      <c r="AW42" s="143">
        <v>305</v>
      </c>
      <c r="AX42" s="316">
        <v>63</v>
      </c>
      <c r="AY42" s="143">
        <f t="shared" si="268"/>
        <v>19215</v>
      </c>
      <c r="AZ42" s="146" t="b">
        <f t="shared" si="269"/>
        <v>1</v>
      </c>
      <c r="BA42" s="132">
        <v>0</v>
      </c>
      <c r="BB42" s="147">
        <f t="shared" si="270"/>
        <v>305</v>
      </c>
      <c r="BC42" s="148">
        <v>0</v>
      </c>
      <c r="BD42" s="147" t="s">
        <v>116</v>
      </c>
      <c r="BE42" s="148">
        <v>0</v>
      </c>
      <c r="BF42" s="147">
        <v>0</v>
      </c>
      <c r="BG42" s="148">
        <v>0</v>
      </c>
      <c r="BH42" s="134">
        <v>0</v>
      </c>
      <c r="BI42" s="134">
        <v>0</v>
      </c>
      <c r="BJ42" s="135">
        <v>0</v>
      </c>
      <c r="BK42" s="132">
        <v>0</v>
      </c>
      <c r="BL42" s="143">
        <v>0</v>
      </c>
      <c r="BM42" s="134">
        <v>0</v>
      </c>
      <c r="BN42" s="149">
        <f t="shared" si="271"/>
        <v>-480.375</v>
      </c>
      <c r="BO42" s="133">
        <f t="shared" si="272"/>
        <v>18734.625</v>
      </c>
      <c r="BP42" s="139">
        <f t="shared" si="273"/>
        <v>5009.625</v>
      </c>
      <c r="BQ42" s="148" t="str">
        <f t="shared" si="274"/>
        <v>Positive Margin</v>
      </c>
      <c r="BR42" s="150" t="s">
        <v>108</v>
      </c>
      <c r="BS42" s="132">
        <f t="shared" si="275"/>
        <v>5490</v>
      </c>
      <c r="BT42" s="151" t="str">
        <f t="shared" si="276"/>
        <v>Positive Margin at Inception</v>
      </c>
      <c r="BU42" s="152">
        <f t="shared" si="277"/>
        <v>0.26739926739926739</v>
      </c>
      <c r="BV42" s="151" t="str">
        <f t="shared" si="278"/>
        <v>More than 2%</v>
      </c>
      <c r="BW42" s="132">
        <f t="shared" si="279"/>
        <v>-480.375</v>
      </c>
      <c r="BX42" s="133">
        <f t="shared" si="280"/>
        <v>0</v>
      </c>
      <c r="BY42" s="132">
        <f t="shared" si="281"/>
        <v>-480.375</v>
      </c>
      <c r="BZ42" s="153">
        <f t="shared" si="282"/>
        <v>0</v>
      </c>
      <c r="CA42" s="153">
        <f t="shared" si="283"/>
        <v>0</v>
      </c>
      <c r="CB42" s="134">
        <f t="shared" si="284"/>
        <v>0</v>
      </c>
      <c r="CC42" s="153" t="s">
        <v>369</v>
      </c>
      <c r="CD42" s="134">
        <v>0</v>
      </c>
      <c r="CE42" s="134" t="str">
        <f t="shared" si="285"/>
        <v>May-26</v>
      </c>
      <c r="CF42" s="134">
        <f t="shared" si="286"/>
        <v>13725</v>
      </c>
      <c r="CG42" s="134">
        <f t="shared" si="287"/>
        <v>19215</v>
      </c>
      <c r="CH42" s="134">
        <f t="shared" si="288"/>
        <v>8</v>
      </c>
      <c r="CI42" s="154" t="s">
        <v>252</v>
      </c>
      <c r="CJ42" s="134" t="s">
        <v>252</v>
      </c>
      <c r="CK42" s="134" t="str">
        <f>_xlfn.XLOOKUP(AR42,receivables!B:B,receivables!D:D)</f>
        <v>Neelesh Dixit</v>
      </c>
      <c r="CL42" s="134">
        <f t="shared" si="289"/>
        <v>5490</v>
      </c>
      <c r="CM42" s="134">
        <f t="shared" si="290"/>
        <v>5490</v>
      </c>
      <c r="CN42" s="134">
        <f t="shared" si="291"/>
        <v>5009.625</v>
      </c>
      <c r="CO42" s="134">
        <f t="shared" si="292"/>
        <v>22673.699999999997</v>
      </c>
      <c r="CP42" s="134">
        <f t="shared" si="293"/>
        <v>-16195.5</v>
      </c>
      <c r="CQ42" s="134">
        <f t="shared" si="294"/>
        <v>0</v>
      </c>
      <c r="CR42" s="134">
        <f t="shared" si="295"/>
        <v>0</v>
      </c>
      <c r="CS42" s="134">
        <f t="shared" si="296"/>
        <v>6478.1999999999971</v>
      </c>
      <c r="CT42" s="134" t="s">
        <v>296</v>
      </c>
      <c r="CU42" s="134" t="s">
        <v>296</v>
      </c>
      <c r="CV42" s="149" t="str">
        <f t="shared" si="297"/>
        <v>AAMCB5608A</v>
      </c>
      <c r="CW42" s="149" t="str">
        <f t="shared" si="298"/>
        <v>AAACD5406E</v>
      </c>
      <c r="CX42" s="149">
        <v>0</v>
      </c>
      <c r="CY42" s="149">
        <v>0</v>
      </c>
      <c r="CZ42" s="149">
        <v>0</v>
      </c>
      <c r="DA42" s="149">
        <v>0</v>
      </c>
      <c r="DB42" s="149">
        <v>0</v>
      </c>
    </row>
    <row r="43" spans="2:106" s="156" customFormat="1" ht="11.9" customHeight="1" x14ac:dyDescent="0.3">
      <c r="B43" s="127" t="str">
        <f t="shared" si="262"/>
        <v>Q1</v>
      </c>
      <c r="C43" s="128" t="str">
        <f t="shared" si="263"/>
        <v>May-26</v>
      </c>
      <c r="D43" s="294">
        <v>46166</v>
      </c>
      <c r="E43" s="130" t="s">
        <v>550</v>
      </c>
      <c r="F43" s="130" t="s">
        <v>197</v>
      </c>
      <c r="G43" s="130" t="s">
        <v>373</v>
      </c>
      <c r="H43" s="131" t="s">
        <v>551</v>
      </c>
      <c r="I43" s="129">
        <v>46166</v>
      </c>
      <c r="J43" s="130" t="s">
        <v>552</v>
      </c>
      <c r="K43" s="129">
        <v>46166</v>
      </c>
      <c r="L43" s="130" t="s">
        <v>376</v>
      </c>
      <c r="M43" s="130" t="s">
        <v>553</v>
      </c>
      <c r="N43" s="131" t="s">
        <v>378</v>
      </c>
      <c r="O43" s="130">
        <v>9530</v>
      </c>
      <c r="P43" s="289">
        <v>44</v>
      </c>
      <c r="Q43" s="132">
        <f t="shared" si="264"/>
        <v>419320</v>
      </c>
      <c r="R43" s="133">
        <v>0</v>
      </c>
      <c r="S43" s="132">
        <f t="shared" si="265"/>
        <v>9530</v>
      </c>
      <c r="T43" s="133">
        <v>0</v>
      </c>
      <c r="U43" s="134">
        <v>0</v>
      </c>
      <c r="V43" s="135">
        <v>0</v>
      </c>
      <c r="W43" s="134">
        <v>0</v>
      </c>
      <c r="X43" s="136">
        <v>0</v>
      </c>
      <c r="Y43" s="134">
        <v>0</v>
      </c>
      <c r="Z43" s="134">
        <v>0</v>
      </c>
      <c r="AA43" s="133">
        <v>0</v>
      </c>
      <c r="AB43" s="137">
        <f t="shared" si="266"/>
        <v>0</v>
      </c>
      <c r="AC43" s="136">
        <v>0</v>
      </c>
      <c r="AD43" s="337">
        <f t="shared" si="229"/>
        <v>44</v>
      </c>
      <c r="AE43" s="151">
        <v>0</v>
      </c>
      <c r="AF43" s="134">
        <v>0</v>
      </c>
      <c r="AG43" s="134">
        <v>0</v>
      </c>
      <c r="AH43" s="134">
        <v>0</v>
      </c>
      <c r="AI43" s="135">
        <v>0</v>
      </c>
      <c r="AJ43" s="134">
        <v>0</v>
      </c>
      <c r="AK43" s="134">
        <v>0</v>
      </c>
      <c r="AL43" s="134">
        <v>0</v>
      </c>
      <c r="AM43" s="139">
        <f t="shared" si="267"/>
        <v>419320</v>
      </c>
      <c r="AN43" s="140">
        <v>46166</v>
      </c>
      <c r="AO43" s="141" t="s">
        <v>561</v>
      </c>
      <c r="AP43" s="142" t="s">
        <v>390</v>
      </c>
      <c r="AQ43" s="143" t="s">
        <v>391</v>
      </c>
      <c r="AR43" s="143" t="s">
        <v>392</v>
      </c>
      <c r="AS43" s="130" t="s">
        <v>534</v>
      </c>
      <c r="AT43" s="144" t="s">
        <v>394</v>
      </c>
      <c r="AU43" s="144" t="s">
        <v>395</v>
      </c>
      <c r="AV43" s="145" t="s">
        <v>297</v>
      </c>
      <c r="AW43" s="143">
        <v>9530</v>
      </c>
      <c r="AX43" s="316">
        <v>58</v>
      </c>
      <c r="AY43" s="143">
        <f t="shared" si="268"/>
        <v>552740</v>
      </c>
      <c r="AZ43" s="146" t="b">
        <f t="shared" si="269"/>
        <v>1</v>
      </c>
      <c r="BA43" s="132">
        <v>0</v>
      </c>
      <c r="BB43" s="147">
        <f t="shared" si="270"/>
        <v>9530</v>
      </c>
      <c r="BC43" s="148">
        <v>0</v>
      </c>
      <c r="BD43" s="147" t="s">
        <v>116</v>
      </c>
      <c r="BE43" s="148">
        <v>0</v>
      </c>
      <c r="BF43" s="147">
        <v>0</v>
      </c>
      <c r="BG43" s="148">
        <v>0</v>
      </c>
      <c r="BH43" s="134">
        <v>0</v>
      </c>
      <c r="BI43" s="134">
        <v>0</v>
      </c>
      <c r="BJ43" s="135">
        <v>0</v>
      </c>
      <c r="BK43" s="132">
        <v>0</v>
      </c>
      <c r="BL43" s="143">
        <v>0</v>
      </c>
      <c r="BM43" s="134">
        <v>0</v>
      </c>
      <c r="BN43" s="149">
        <f t="shared" si="271"/>
        <v>-13818.5</v>
      </c>
      <c r="BO43" s="133">
        <f t="shared" si="272"/>
        <v>538921.5</v>
      </c>
      <c r="BP43" s="139">
        <f t="shared" si="273"/>
        <v>119601.5</v>
      </c>
      <c r="BQ43" s="148" t="str">
        <f t="shared" si="274"/>
        <v>Positive Margin</v>
      </c>
      <c r="BR43" s="150" t="s">
        <v>108</v>
      </c>
      <c r="BS43" s="132">
        <f t="shared" si="275"/>
        <v>133420</v>
      </c>
      <c r="BT43" s="151" t="str">
        <f t="shared" si="276"/>
        <v>Positive Margin at Inception</v>
      </c>
      <c r="BU43" s="152">
        <f t="shared" si="277"/>
        <v>0.22192749778956675</v>
      </c>
      <c r="BV43" s="151" t="str">
        <f t="shared" si="278"/>
        <v>More than 2%</v>
      </c>
      <c r="BW43" s="132">
        <f t="shared" si="279"/>
        <v>-13818.5</v>
      </c>
      <c r="BX43" s="133">
        <f t="shared" si="280"/>
        <v>0</v>
      </c>
      <c r="BY43" s="132">
        <f t="shared" si="281"/>
        <v>-13818.5</v>
      </c>
      <c r="BZ43" s="153">
        <f t="shared" si="282"/>
        <v>0</v>
      </c>
      <c r="CA43" s="153">
        <f t="shared" si="283"/>
        <v>0</v>
      </c>
      <c r="CB43" s="134">
        <f t="shared" si="284"/>
        <v>0</v>
      </c>
      <c r="CC43" s="153" t="s">
        <v>369</v>
      </c>
      <c r="CD43" s="134">
        <v>0</v>
      </c>
      <c r="CE43" s="134" t="str">
        <f t="shared" si="285"/>
        <v>May-26</v>
      </c>
      <c r="CF43" s="134">
        <f t="shared" si="286"/>
        <v>419320</v>
      </c>
      <c r="CG43" s="134">
        <f t="shared" si="287"/>
        <v>552740</v>
      </c>
      <c r="CH43" s="134">
        <f t="shared" si="288"/>
        <v>8</v>
      </c>
      <c r="CI43" s="154" t="s">
        <v>252</v>
      </c>
      <c r="CJ43" s="134" t="s">
        <v>252</v>
      </c>
      <c r="CK43" s="134" t="str">
        <f>_xlfn.XLOOKUP(AR43,receivables!B:B,receivables!D:D)</f>
        <v>Neelesh Dixit</v>
      </c>
      <c r="CL43" s="134">
        <f t="shared" si="289"/>
        <v>133420</v>
      </c>
      <c r="CM43" s="134">
        <f t="shared" si="290"/>
        <v>133420</v>
      </c>
      <c r="CN43" s="134">
        <f t="shared" si="291"/>
        <v>119601.5</v>
      </c>
      <c r="CO43" s="134">
        <f t="shared" si="292"/>
        <v>652233.19999999995</v>
      </c>
      <c r="CP43" s="134">
        <f t="shared" si="293"/>
        <v>-494797.6</v>
      </c>
      <c r="CQ43" s="134">
        <f t="shared" si="294"/>
        <v>0</v>
      </c>
      <c r="CR43" s="134">
        <f t="shared" si="295"/>
        <v>0</v>
      </c>
      <c r="CS43" s="134">
        <f t="shared" si="296"/>
        <v>157435.59999999998</v>
      </c>
      <c r="CT43" s="134" t="s">
        <v>296</v>
      </c>
      <c r="CU43" s="134" t="s">
        <v>296</v>
      </c>
      <c r="CV43" s="149" t="str">
        <f t="shared" si="297"/>
        <v>AAMCB5608A</v>
      </c>
      <c r="CW43" s="149" t="str">
        <f t="shared" si="298"/>
        <v>AAACD5406E</v>
      </c>
      <c r="CX43" s="149">
        <v>0</v>
      </c>
      <c r="CY43" s="149">
        <v>0</v>
      </c>
      <c r="CZ43" s="149">
        <v>0</v>
      </c>
      <c r="DA43" s="149">
        <v>0</v>
      </c>
      <c r="DB43" s="149">
        <v>0</v>
      </c>
    </row>
    <row r="44" spans="2:106" s="156" customFormat="1" ht="11.9" customHeight="1" x14ac:dyDescent="0.3">
      <c r="B44" s="127" t="str">
        <f t="shared" si="262"/>
        <v>Q1</v>
      </c>
      <c r="C44" s="128" t="str">
        <f t="shared" si="263"/>
        <v>May-26</v>
      </c>
      <c r="D44" s="294">
        <v>46166</v>
      </c>
      <c r="E44" s="130" t="s">
        <v>550</v>
      </c>
      <c r="F44" s="130" t="s">
        <v>197</v>
      </c>
      <c r="G44" s="130" t="s">
        <v>373</v>
      </c>
      <c r="H44" s="131" t="s">
        <v>551</v>
      </c>
      <c r="I44" s="129">
        <v>46166</v>
      </c>
      <c r="J44" s="130" t="s">
        <v>552</v>
      </c>
      <c r="K44" s="129">
        <v>46166</v>
      </c>
      <c r="L44" s="130" t="s">
        <v>376</v>
      </c>
      <c r="M44" s="130" t="s">
        <v>553</v>
      </c>
      <c r="N44" s="131" t="s">
        <v>379</v>
      </c>
      <c r="O44" s="130">
        <v>656</v>
      </c>
      <c r="P44" s="289">
        <v>39</v>
      </c>
      <c r="Q44" s="132">
        <f t="shared" si="264"/>
        <v>25584</v>
      </c>
      <c r="R44" s="133">
        <v>0</v>
      </c>
      <c r="S44" s="132">
        <f t="shared" si="265"/>
        <v>656</v>
      </c>
      <c r="T44" s="133">
        <v>0</v>
      </c>
      <c r="U44" s="134">
        <v>0</v>
      </c>
      <c r="V44" s="135">
        <v>0</v>
      </c>
      <c r="W44" s="134">
        <v>0</v>
      </c>
      <c r="X44" s="136">
        <v>0</v>
      </c>
      <c r="Y44" s="134">
        <v>0</v>
      </c>
      <c r="Z44" s="134">
        <v>0</v>
      </c>
      <c r="AA44" s="133">
        <v>0</v>
      </c>
      <c r="AB44" s="137">
        <f t="shared" si="266"/>
        <v>0</v>
      </c>
      <c r="AC44" s="136">
        <v>0</v>
      </c>
      <c r="AD44" s="337">
        <f t="shared" si="229"/>
        <v>39</v>
      </c>
      <c r="AE44" s="151">
        <v>0</v>
      </c>
      <c r="AF44" s="134">
        <v>0</v>
      </c>
      <c r="AG44" s="134">
        <v>0</v>
      </c>
      <c r="AH44" s="134">
        <v>0</v>
      </c>
      <c r="AI44" s="135">
        <v>0</v>
      </c>
      <c r="AJ44" s="134">
        <v>0</v>
      </c>
      <c r="AK44" s="134">
        <v>0</v>
      </c>
      <c r="AL44" s="134">
        <v>0</v>
      </c>
      <c r="AM44" s="139">
        <f t="shared" si="267"/>
        <v>25584</v>
      </c>
      <c r="AN44" s="140">
        <v>46166</v>
      </c>
      <c r="AO44" s="141" t="s">
        <v>561</v>
      </c>
      <c r="AP44" s="142" t="s">
        <v>390</v>
      </c>
      <c r="AQ44" s="143" t="s">
        <v>391</v>
      </c>
      <c r="AR44" s="143" t="s">
        <v>392</v>
      </c>
      <c r="AS44" s="130" t="s">
        <v>534</v>
      </c>
      <c r="AT44" s="144" t="s">
        <v>394</v>
      </c>
      <c r="AU44" s="144" t="s">
        <v>395</v>
      </c>
      <c r="AV44" s="145" t="s">
        <v>297</v>
      </c>
      <c r="AW44" s="143">
        <v>656</v>
      </c>
      <c r="AX44" s="316">
        <v>48</v>
      </c>
      <c r="AY44" s="143">
        <f t="shared" si="268"/>
        <v>31488</v>
      </c>
      <c r="AZ44" s="146" t="b">
        <f t="shared" si="269"/>
        <v>1</v>
      </c>
      <c r="BA44" s="132">
        <v>0</v>
      </c>
      <c r="BB44" s="147">
        <f t="shared" si="270"/>
        <v>656</v>
      </c>
      <c r="BC44" s="148">
        <v>0</v>
      </c>
      <c r="BD44" s="147" t="s">
        <v>116</v>
      </c>
      <c r="BE44" s="148">
        <v>0</v>
      </c>
      <c r="BF44" s="147">
        <v>0</v>
      </c>
      <c r="BG44" s="148">
        <v>0</v>
      </c>
      <c r="BH44" s="134">
        <v>0</v>
      </c>
      <c r="BI44" s="134">
        <v>0</v>
      </c>
      <c r="BJ44" s="135">
        <v>0</v>
      </c>
      <c r="BK44" s="132">
        <v>0</v>
      </c>
      <c r="BL44" s="143">
        <v>0</v>
      </c>
      <c r="BM44" s="134">
        <v>0</v>
      </c>
      <c r="BN44" s="149">
        <f t="shared" si="271"/>
        <v>-787.2</v>
      </c>
      <c r="BO44" s="133">
        <f t="shared" si="272"/>
        <v>30700.799999999999</v>
      </c>
      <c r="BP44" s="139">
        <f t="shared" si="273"/>
        <v>5116.7999999999993</v>
      </c>
      <c r="BQ44" s="148" t="str">
        <f t="shared" si="274"/>
        <v>Positive Margin</v>
      </c>
      <c r="BR44" s="150" t="s">
        <v>108</v>
      </c>
      <c r="BS44" s="132">
        <f t="shared" si="275"/>
        <v>5904</v>
      </c>
      <c r="BT44" s="151" t="str">
        <f t="shared" si="276"/>
        <v>Positive Margin at Inception</v>
      </c>
      <c r="BU44" s="152">
        <f t="shared" si="277"/>
        <v>0.16666666666666666</v>
      </c>
      <c r="BV44" s="151" t="str">
        <f t="shared" si="278"/>
        <v>More than 2%</v>
      </c>
      <c r="BW44" s="132">
        <f t="shared" si="279"/>
        <v>-787.2</v>
      </c>
      <c r="BX44" s="133">
        <f t="shared" si="280"/>
        <v>0</v>
      </c>
      <c r="BY44" s="132">
        <f t="shared" si="281"/>
        <v>-787.2</v>
      </c>
      <c r="BZ44" s="153">
        <f t="shared" si="282"/>
        <v>0</v>
      </c>
      <c r="CA44" s="153">
        <f t="shared" si="283"/>
        <v>0</v>
      </c>
      <c r="CB44" s="134">
        <f t="shared" si="284"/>
        <v>0</v>
      </c>
      <c r="CC44" s="153" t="s">
        <v>369</v>
      </c>
      <c r="CD44" s="134">
        <v>0</v>
      </c>
      <c r="CE44" s="134" t="str">
        <f t="shared" si="285"/>
        <v>May-26</v>
      </c>
      <c r="CF44" s="134">
        <f t="shared" si="286"/>
        <v>25584</v>
      </c>
      <c r="CG44" s="134">
        <f t="shared" si="287"/>
        <v>31488</v>
      </c>
      <c r="CH44" s="134">
        <f t="shared" si="288"/>
        <v>8</v>
      </c>
      <c r="CI44" s="154" t="s">
        <v>252</v>
      </c>
      <c r="CJ44" s="134" t="s">
        <v>252</v>
      </c>
      <c r="CK44" s="134" t="str">
        <f>_xlfn.XLOOKUP(AR44,receivables!B:B,receivables!D:D)</f>
        <v>Neelesh Dixit</v>
      </c>
      <c r="CL44" s="134">
        <f t="shared" si="289"/>
        <v>5904</v>
      </c>
      <c r="CM44" s="134">
        <f t="shared" si="290"/>
        <v>5904</v>
      </c>
      <c r="CN44" s="134">
        <f t="shared" si="291"/>
        <v>5116.7999999999993</v>
      </c>
      <c r="CO44" s="134">
        <f t="shared" si="292"/>
        <v>37155.839999999997</v>
      </c>
      <c r="CP44" s="134">
        <f t="shared" si="293"/>
        <v>-30189.119999999999</v>
      </c>
      <c r="CQ44" s="134">
        <f t="shared" si="294"/>
        <v>0</v>
      </c>
      <c r="CR44" s="134">
        <f t="shared" si="295"/>
        <v>0</v>
      </c>
      <c r="CS44" s="134">
        <f t="shared" si="296"/>
        <v>6966.7199999999975</v>
      </c>
      <c r="CT44" s="134" t="s">
        <v>296</v>
      </c>
      <c r="CU44" s="134" t="s">
        <v>296</v>
      </c>
      <c r="CV44" s="149" t="str">
        <f t="shared" si="297"/>
        <v>AAMCB5608A</v>
      </c>
      <c r="CW44" s="149" t="str">
        <f t="shared" si="298"/>
        <v>AAACD5406E</v>
      </c>
      <c r="CX44" s="149">
        <v>0</v>
      </c>
      <c r="CY44" s="149">
        <v>0</v>
      </c>
      <c r="CZ44" s="149">
        <v>0</v>
      </c>
      <c r="DA44" s="149">
        <v>0</v>
      </c>
      <c r="DB44" s="149">
        <v>0</v>
      </c>
    </row>
    <row r="45" spans="2:106" s="156" customFormat="1" ht="11.9" customHeight="1" x14ac:dyDescent="0.3">
      <c r="B45" s="127" t="str">
        <f t="shared" si="262"/>
        <v>Q1</v>
      </c>
      <c r="C45" s="128" t="str">
        <f t="shared" si="263"/>
        <v>May-26</v>
      </c>
      <c r="D45" s="294">
        <v>46166</v>
      </c>
      <c r="E45" s="130" t="s">
        <v>550</v>
      </c>
      <c r="F45" s="130" t="s">
        <v>197</v>
      </c>
      <c r="G45" s="130" t="s">
        <v>373</v>
      </c>
      <c r="H45" s="131" t="s">
        <v>551</v>
      </c>
      <c r="I45" s="129">
        <v>46166</v>
      </c>
      <c r="J45" s="130" t="s">
        <v>552</v>
      </c>
      <c r="K45" s="129">
        <v>46166</v>
      </c>
      <c r="L45" s="130" t="s">
        <v>376</v>
      </c>
      <c r="M45" s="130" t="s">
        <v>553</v>
      </c>
      <c r="N45" s="131" t="s">
        <v>384</v>
      </c>
      <c r="O45" s="130">
        <v>474</v>
      </c>
      <c r="P45" s="289">
        <v>44</v>
      </c>
      <c r="Q45" s="132">
        <f t="shared" si="264"/>
        <v>20856</v>
      </c>
      <c r="R45" s="133">
        <v>0</v>
      </c>
      <c r="S45" s="132">
        <f t="shared" si="265"/>
        <v>474</v>
      </c>
      <c r="T45" s="133">
        <v>0</v>
      </c>
      <c r="U45" s="134">
        <v>0</v>
      </c>
      <c r="V45" s="135">
        <v>0</v>
      </c>
      <c r="W45" s="134">
        <v>0</v>
      </c>
      <c r="X45" s="136">
        <v>0</v>
      </c>
      <c r="Y45" s="134">
        <v>0</v>
      </c>
      <c r="Z45" s="134">
        <v>0</v>
      </c>
      <c r="AA45" s="133">
        <v>0</v>
      </c>
      <c r="AB45" s="137">
        <f t="shared" si="266"/>
        <v>0</v>
      </c>
      <c r="AC45" s="136">
        <v>0</v>
      </c>
      <c r="AD45" s="337">
        <f t="shared" si="229"/>
        <v>44</v>
      </c>
      <c r="AE45" s="151">
        <v>0</v>
      </c>
      <c r="AF45" s="134">
        <v>0</v>
      </c>
      <c r="AG45" s="134">
        <v>0</v>
      </c>
      <c r="AH45" s="134">
        <v>0</v>
      </c>
      <c r="AI45" s="135">
        <v>0</v>
      </c>
      <c r="AJ45" s="134">
        <v>0</v>
      </c>
      <c r="AK45" s="134">
        <v>0</v>
      </c>
      <c r="AL45" s="134">
        <v>0</v>
      </c>
      <c r="AM45" s="139">
        <f t="shared" si="267"/>
        <v>20856</v>
      </c>
      <c r="AN45" s="140">
        <v>46166</v>
      </c>
      <c r="AO45" s="141" t="s">
        <v>561</v>
      </c>
      <c r="AP45" s="142" t="s">
        <v>390</v>
      </c>
      <c r="AQ45" s="143" t="s">
        <v>391</v>
      </c>
      <c r="AR45" s="143" t="s">
        <v>392</v>
      </c>
      <c r="AS45" s="130" t="s">
        <v>534</v>
      </c>
      <c r="AT45" s="144" t="s">
        <v>394</v>
      </c>
      <c r="AU45" s="144" t="s">
        <v>395</v>
      </c>
      <c r="AV45" s="145" t="s">
        <v>297</v>
      </c>
      <c r="AW45" s="143">
        <v>474</v>
      </c>
      <c r="AX45" s="316">
        <v>63</v>
      </c>
      <c r="AY45" s="143">
        <f t="shared" si="268"/>
        <v>29862</v>
      </c>
      <c r="AZ45" s="146" t="b">
        <f t="shared" si="269"/>
        <v>1</v>
      </c>
      <c r="BA45" s="132">
        <v>0</v>
      </c>
      <c r="BB45" s="147">
        <f t="shared" si="270"/>
        <v>474</v>
      </c>
      <c r="BC45" s="148">
        <v>0</v>
      </c>
      <c r="BD45" s="147" t="s">
        <v>116</v>
      </c>
      <c r="BE45" s="148">
        <v>0</v>
      </c>
      <c r="BF45" s="147">
        <v>0</v>
      </c>
      <c r="BG45" s="148">
        <v>0</v>
      </c>
      <c r="BH45" s="134">
        <v>0</v>
      </c>
      <c r="BI45" s="134">
        <v>0</v>
      </c>
      <c r="BJ45" s="135">
        <v>0</v>
      </c>
      <c r="BK45" s="132">
        <v>0</v>
      </c>
      <c r="BL45" s="143">
        <v>0</v>
      </c>
      <c r="BM45" s="134">
        <v>0</v>
      </c>
      <c r="BN45" s="149">
        <f t="shared" si="271"/>
        <v>-746.55000000000007</v>
      </c>
      <c r="BO45" s="133">
        <f t="shared" si="272"/>
        <v>29115.45</v>
      </c>
      <c r="BP45" s="139">
        <f t="shared" si="273"/>
        <v>8259.4500000000007</v>
      </c>
      <c r="BQ45" s="148" t="str">
        <f t="shared" si="274"/>
        <v>Positive Margin</v>
      </c>
      <c r="BR45" s="150" t="s">
        <v>108</v>
      </c>
      <c r="BS45" s="132">
        <f t="shared" si="275"/>
        <v>9006</v>
      </c>
      <c r="BT45" s="151" t="str">
        <f t="shared" si="276"/>
        <v>Positive Margin at Inception</v>
      </c>
      <c r="BU45" s="152">
        <f t="shared" si="277"/>
        <v>0.28367928367928369</v>
      </c>
      <c r="BV45" s="151" t="str">
        <f t="shared" si="278"/>
        <v>More than 2%</v>
      </c>
      <c r="BW45" s="132">
        <f t="shared" si="279"/>
        <v>-746.55000000000007</v>
      </c>
      <c r="BX45" s="133">
        <f t="shared" si="280"/>
        <v>0</v>
      </c>
      <c r="BY45" s="132">
        <f t="shared" si="281"/>
        <v>-746.55000000000007</v>
      </c>
      <c r="BZ45" s="153">
        <f t="shared" si="282"/>
        <v>0</v>
      </c>
      <c r="CA45" s="153">
        <f t="shared" si="283"/>
        <v>0</v>
      </c>
      <c r="CB45" s="134">
        <f t="shared" si="284"/>
        <v>0</v>
      </c>
      <c r="CC45" s="153" t="s">
        <v>369</v>
      </c>
      <c r="CD45" s="134">
        <v>0</v>
      </c>
      <c r="CE45" s="134" t="str">
        <f t="shared" si="285"/>
        <v>May-26</v>
      </c>
      <c r="CF45" s="134">
        <f t="shared" si="286"/>
        <v>20856</v>
      </c>
      <c r="CG45" s="134">
        <f t="shared" si="287"/>
        <v>29862</v>
      </c>
      <c r="CH45" s="134">
        <f t="shared" si="288"/>
        <v>8</v>
      </c>
      <c r="CI45" s="154" t="s">
        <v>252</v>
      </c>
      <c r="CJ45" s="134" t="s">
        <v>252</v>
      </c>
      <c r="CK45" s="134" t="str">
        <f>_xlfn.XLOOKUP(AR45,receivables!B:B,receivables!D:D)</f>
        <v>Neelesh Dixit</v>
      </c>
      <c r="CL45" s="134">
        <f t="shared" si="289"/>
        <v>9006</v>
      </c>
      <c r="CM45" s="134">
        <f t="shared" si="290"/>
        <v>9006</v>
      </c>
      <c r="CN45" s="134">
        <f t="shared" si="291"/>
        <v>8259.4500000000007</v>
      </c>
      <c r="CO45" s="134">
        <f t="shared" si="292"/>
        <v>35237.159999999996</v>
      </c>
      <c r="CP45" s="134">
        <f t="shared" si="293"/>
        <v>-24610.079999999998</v>
      </c>
      <c r="CQ45" s="134">
        <f t="shared" si="294"/>
        <v>0</v>
      </c>
      <c r="CR45" s="134">
        <f t="shared" si="295"/>
        <v>0</v>
      </c>
      <c r="CS45" s="134">
        <f t="shared" si="296"/>
        <v>10627.079999999998</v>
      </c>
      <c r="CT45" s="134" t="s">
        <v>296</v>
      </c>
      <c r="CU45" s="134" t="s">
        <v>296</v>
      </c>
      <c r="CV45" s="149" t="str">
        <f t="shared" si="297"/>
        <v>AAMCB5608A</v>
      </c>
      <c r="CW45" s="149" t="str">
        <f t="shared" si="298"/>
        <v>AAACD5406E</v>
      </c>
      <c r="CX45" s="149">
        <v>0</v>
      </c>
      <c r="CY45" s="149">
        <v>0</v>
      </c>
      <c r="CZ45" s="149">
        <v>0</v>
      </c>
      <c r="DA45" s="149">
        <v>0</v>
      </c>
      <c r="DB45" s="149">
        <v>0</v>
      </c>
    </row>
    <row r="46" spans="2:106" s="156" customFormat="1" ht="11.9" customHeight="1" x14ac:dyDescent="0.3">
      <c r="B46" s="127" t="str">
        <f t="shared" si="262"/>
        <v>Q1</v>
      </c>
      <c r="C46" s="128" t="str">
        <f t="shared" si="263"/>
        <v>May-26</v>
      </c>
      <c r="D46" s="294">
        <v>46166</v>
      </c>
      <c r="E46" s="130" t="s">
        <v>554</v>
      </c>
      <c r="F46" s="130" t="s">
        <v>197</v>
      </c>
      <c r="G46" s="130" t="s">
        <v>373</v>
      </c>
      <c r="H46" s="131" t="s">
        <v>555</v>
      </c>
      <c r="I46" s="129">
        <v>46166</v>
      </c>
      <c r="J46" s="130" t="s">
        <v>556</v>
      </c>
      <c r="K46" s="129">
        <v>46166</v>
      </c>
      <c r="L46" s="130" t="s">
        <v>376</v>
      </c>
      <c r="M46" s="130" t="s">
        <v>557</v>
      </c>
      <c r="N46" s="131" t="s">
        <v>378</v>
      </c>
      <c r="O46" s="130">
        <v>8469</v>
      </c>
      <c r="P46" s="289">
        <v>44</v>
      </c>
      <c r="Q46" s="132">
        <f t="shared" si="264"/>
        <v>372636</v>
      </c>
      <c r="R46" s="133">
        <v>0</v>
      </c>
      <c r="S46" s="132">
        <f t="shared" si="265"/>
        <v>8469</v>
      </c>
      <c r="T46" s="133">
        <v>0</v>
      </c>
      <c r="U46" s="134">
        <v>0</v>
      </c>
      <c r="V46" s="135">
        <v>0</v>
      </c>
      <c r="W46" s="134">
        <v>0</v>
      </c>
      <c r="X46" s="136">
        <v>0</v>
      </c>
      <c r="Y46" s="134">
        <v>0</v>
      </c>
      <c r="Z46" s="134">
        <v>0</v>
      </c>
      <c r="AA46" s="133">
        <v>0</v>
      </c>
      <c r="AB46" s="137">
        <f t="shared" si="266"/>
        <v>0</v>
      </c>
      <c r="AC46" s="136">
        <v>0</v>
      </c>
      <c r="AD46" s="337">
        <f t="shared" si="229"/>
        <v>44</v>
      </c>
      <c r="AE46" s="151">
        <v>0</v>
      </c>
      <c r="AF46" s="134">
        <v>0</v>
      </c>
      <c r="AG46" s="134">
        <v>0</v>
      </c>
      <c r="AH46" s="134">
        <v>0</v>
      </c>
      <c r="AI46" s="135">
        <v>0</v>
      </c>
      <c r="AJ46" s="134">
        <v>0</v>
      </c>
      <c r="AK46" s="134">
        <v>0</v>
      </c>
      <c r="AL46" s="134">
        <v>0</v>
      </c>
      <c r="AM46" s="139">
        <f t="shared" si="267"/>
        <v>372636</v>
      </c>
      <c r="AN46" s="140">
        <v>46166</v>
      </c>
      <c r="AO46" s="141" t="s">
        <v>562</v>
      </c>
      <c r="AP46" s="142" t="s">
        <v>390</v>
      </c>
      <c r="AQ46" s="143" t="s">
        <v>391</v>
      </c>
      <c r="AR46" s="143" t="s">
        <v>392</v>
      </c>
      <c r="AS46" s="130" t="s">
        <v>534</v>
      </c>
      <c r="AT46" s="144" t="s">
        <v>394</v>
      </c>
      <c r="AU46" s="144" t="s">
        <v>395</v>
      </c>
      <c r="AV46" s="145" t="s">
        <v>297</v>
      </c>
      <c r="AW46" s="143">
        <v>8469</v>
      </c>
      <c r="AX46" s="316">
        <v>58</v>
      </c>
      <c r="AY46" s="143">
        <f t="shared" si="268"/>
        <v>491202</v>
      </c>
      <c r="AZ46" s="146" t="b">
        <f t="shared" si="269"/>
        <v>1</v>
      </c>
      <c r="BA46" s="132">
        <v>0</v>
      </c>
      <c r="BB46" s="147">
        <f t="shared" si="270"/>
        <v>8469</v>
      </c>
      <c r="BC46" s="148">
        <v>0</v>
      </c>
      <c r="BD46" s="147" t="s">
        <v>116</v>
      </c>
      <c r="BE46" s="148">
        <v>0</v>
      </c>
      <c r="BF46" s="147">
        <v>0</v>
      </c>
      <c r="BG46" s="148">
        <v>0</v>
      </c>
      <c r="BH46" s="134">
        <v>0</v>
      </c>
      <c r="BI46" s="134">
        <v>0</v>
      </c>
      <c r="BJ46" s="135">
        <v>0</v>
      </c>
      <c r="BK46" s="132">
        <v>0</v>
      </c>
      <c r="BL46" s="143">
        <v>0</v>
      </c>
      <c r="BM46" s="134">
        <v>0</v>
      </c>
      <c r="BN46" s="149">
        <f t="shared" si="271"/>
        <v>-12280.050000000001</v>
      </c>
      <c r="BO46" s="133">
        <f t="shared" si="272"/>
        <v>478921.95</v>
      </c>
      <c r="BP46" s="139">
        <f t="shared" si="273"/>
        <v>106285.95000000001</v>
      </c>
      <c r="BQ46" s="148" t="str">
        <f t="shared" si="274"/>
        <v>Positive Margin</v>
      </c>
      <c r="BR46" s="150" t="s">
        <v>108</v>
      </c>
      <c r="BS46" s="132">
        <f t="shared" si="275"/>
        <v>118566</v>
      </c>
      <c r="BT46" s="151" t="str">
        <f t="shared" si="276"/>
        <v>Positive Margin at Inception</v>
      </c>
      <c r="BU46" s="152">
        <f t="shared" si="277"/>
        <v>0.22192749778956677</v>
      </c>
      <c r="BV46" s="151" t="str">
        <f t="shared" si="278"/>
        <v>More than 2%</v>
      </c>
      <c r="BW46" s="132">
        <f t="shared" si="279"/>
        <v>-12280.050000000001</v>
      </c>
      <c r="BX46" s="133">
        <f t="shared" si="280"/>
        <v>0</v>
      </c>
      <c r="BY46" s="132">
        <f t="shared" si="281"/>
        <v>-12280.050000000001</v>
      </c>
      <c r="BZ46" s="153">
        <f t="shared" si="282"/>
        <v>0</v>
      </c>
      <c r="CA46" s="153">
        <f t="shared" si="283"/>
        <v>0</v>
      </c>
      <c r="CB46" s="134">
        <f t="shared" si="284"/>
        <v>0</v>
      </c>
      <c r="CC46" s="153" t="s">
        <v>369</v>
      </c>
      <c r="CD46" s="134">
        <v>0</v>
      </c>
      <c r="CE46" s="134" t="str">
        <f t="shared" si="285"/>
        <v>May-26</v>
      </c>
      <c r="CF46" s="134">
        <f t="shared" si="286"/>
        <v>372636</v>
      </c>
      <c r="CG46" s="134">
        <f t="shared" si="287"/>
        <v>491202</v>
      </c>
      <c r="CH46" s="134">
        <f t="shared" si="288"/>
        <v>8</v>
      </c>
      <c r="CI46" s="154" t="s">
        <v>252</v>
      </c>
      <c r="CJ46" s="134" t="s">
        <v>252</v>
      </c>
      <c r="CK46" s="134" t="str">
        <f>_xlfn.XLOOKUP(AR46,receivables!B:B,receivables!D:D)</f>
        <v>Neelesh Dixit</v>
      </c>
      <c r="CL46" s="134">
        <f t="shared" si="289"/>
        <v>118566</v>
      </c>
      <c r="CM46" s="134">
        <f t="shared" si="290"/>
        <v>118566</v>
      </c>
      <c r="CN46" s="134">
        <f t="shared" si="291"/>
        <v>106285.95000000001</v>
      </c>
      <c r="CO46" s="134">
        <f t="shared" si="292"/>
        <v>579618.36</v>
      </c>
      <c r="CP46" s="134">
        <f t="shared" si="293"/>
        <v>-439710.48</v>
      </c>
      <c r="CQ46" s="134">
        <f t="shared" si="294"/>
        <v>0</v>
      </c>
      <c r="CR46" s="134">
        <f t="shared" si="295"/>
        <v>0</v>
      </c>
      <c r="CS46" s="134">
        <f t="shared" si="296"/>
        <v>139907.88</v>
      </c>
      <c r="CT46" s="134" t="s">
        <v>296</v>
      </c>
      <c r="CU46" s="134" t="s">
        <v>296</v>
      </c>
      <c r="CV46" s="149" t="str">
        <f t="shared" si="297"/>
        <v>AAMCB5608A</v>
      </c>
      <c r="CW46" s="149" t="str">
        <f t="shared" si="298"/>
        <v>AAACD5406E</v>
      </c>
      <c r="CX46" s="149">
        <v>0</v>
      </c>
      <c r="CY46" s="149">
        <v>0</v>
      </c>
      <c r="CZ46" s="149">
        <v>0</v>
      </c>
      <c r="DA46" s="149">
        <v>0</v>
      </c>
      <c r="DB46" s="149">
        <v>0</v>
      </c>
    </row>
    <row r="47" spans="2:106" s="156" customFormat="1" ht="11.9" customHeight="1" x14ac:dyDescent="0.3">
      <c r="B47" s="127" t="str">
        <f t="shared" si="262"/>
        <v>Q1</v>
      </c>
      <c r="C47" s="128" t="str">
        <f t="shared" si="263"/>
        <v>May-26</v>
      </c>
      <c r="D47" s="294">
        <v>46166</v>
      </c>
      <c r="E47" s="130" t="s">
        <v>554</v>
      </c>
      <c r="F47" s="130" t="s">
        <v>197</v>
      </c>
      <c r="G47" s="130" t="s">
        <v>373</v>
      </c>
      <c r="H47" s="131" t="s">
        <v>555</v>
      </c>
      <c r="I47" s="129">
        <v>46166</v>
      </c>
      <c r="J47" s="130" t="s">
        <v>556</v>
      </c>
      <c r="K47" s="129">
        <v>46166</v>
      </c>
      <c r="L47" s="130" t="s">
        <v>376</v>
      </c>
      <c r="M47" s="130" t="s">
        <v>557</v>
      </c>
      <c r="N47" s="131" t="s">
        <v>379</v>
      </c>
      <c r="O47" s="130">
        <v>340</v>
      </c>
      <c r="P47" s="289">
        <v>39</v>
      </c>
      <c r="Q47" s="132">
        <f t="shared" si="264"/>
        <v>13260</v>
      </c>
      <c r="R47" s="133">
        <v>0</v>
      </c>
      <c r="S47" s="132">
        <f t="shared" si="265"/>
        <v>340</v>
      </c>
      <c r="T47" s="133">
        <v>0</v>
      </c>
      <c r="U47" s="134">
        <v>0</v>
      </c>
      <c r="V47" s="135">
        <v>0</v>
      </c>
      <c r="W47" s="134">
        <v>0</v>
      </c>
      <c r="X47" s="136">
        <v>0</v>
      </c>
      <c r="Y47" s="134">
        <v>0</v>
      </c>
      <c r="Z47" s="134">
        <v>0</v>
      </c>
      <c r="AA47" s="133">
        <v>0</v>
      </c>
      <c r="AB47" s="137">
        <f t="shared" si="266"/>
        <v>0</v>
      </c>
      <c r="AC47" s="136">
        <v>0</v>
      </c>
      <c r="AD47" s="337">
        <f t="shared" si="229"/>
        <v>39</v>
      </c>
      <c r="AE47" s="151">
        <v>0</v>
      </c>
      <c r="AF47" s="134">
        <v>0</v>
      </c>
      <c r="AG47" s="134">
        <v>0</v>
      </c>
      <c r="AH47" s="134">
        <v>0</v>
      </c>
      <c r="AI47" s="135">
        <v>0</v>
      </c>
      <c r="AJ47" s="134">
        <v>0</v>
      </c>
      <c r="AK47" s="134">
        <v>0</v>
      </c>
      <c r="AL47" s="134">
        <v>0</v>
      </c>
      <c r="AM47" s="139">
        <f t="shared" si="267"/>
        <v>13260</v>
      </c>
      <c r="AN47" s="140">
        <v>46166</v>
      </c>
      <c r="AO47" s="141" t="s">
        <v>562</v>
      </c>
      <c r="AP47" s="142" t="s">
        <v>390</v>
      </c>
      <c r="AQ47" s="143" t="s">
        <v>391</v>
      </c>
      <c r="AR47" s="143" t="s">
        <v>392</v>
      </c>
      <c r="AS47" s="130" t="s">
        <v>534</v>
      </c>
      <c r="AT47" s="144" t="s">
        <v>394</v>
      </c>
      <c r="AU47" s="144" t="s">
        <v>395</v>
      </c>
      <c r="AV47" s="145" t="s">
        <v>297</v>
      </c>
      <c r="AW47" s="143">
        <v>340</v>
      </c>
      <c r="AX47" s="316">
        <v>48</v>
      </c>
      <c r="AY47" s="143">
        <f t="shared" si="268"/>
        <v>16320</v>
      </c>
      <c r="AZ47" s="146" t="b">
        <f t="shared" si="269"/>
        <v>1</v>
      </c>
      <c r="BA47" s="132">
        <v>0</v>
      </c>
      <c r="BB47" s="147">
        <f t="shared" si="270"/>
        <v>340</v>
      </c>
      <c r="BC47" s="148">
        <v>0</v>
      </c>
      <c r="BD47" s="147" t="s">
        <v>116</v>
      </c>
      <c r="BE47" s="148">
        <v>0</v>
      </c>
      <c r="BF47" s="147">
        <v>0</v>
      </c>
      <c r="BG47" s="148">
        <v>0</v>
      </c>
      <c r="BH47" s="134">
        <v>0</v>
      </c>
      <c r="BI47" s="134">
        <v>0</v>
      </c>
      <c r="BJ47" s="135">
        <v>0</v>
      </c>
      <c r="BK47" s="132">
        <v>0</v>
      </c>
      <c r="BL47" s="143">
        <v>0</v>
      </c>
      <c r="BM47" s="134">
        <v>0</v>
      </c>
      <c r="BN47" s="149">
        <f t="shared" si="271"/>
        <v>-408</v>
      </c>
      <c r="BO47" s="133">
        <f t="shared" si="272"/>
        <v>15912</v>
      </c>
      <c r="BP47" s="139">
        <f t="shared" si="273"/>
        <v>2652</v>
      </c>
      <c r="BQ47" s="148" t="str">
        <f t="shared" si="274"/>
        <v>Positive Margin</v>
      </c>
      <c r="BR47" s="150" t="s">
        <v>108</v>
      </c>
      <c r="BS47" s="132">
        <f t="shared" si="275"/>
        <v>3060</v>
      </c>
      <c r="BT47" s="151" t="str">
        <f t="shared" si="276"/>
        <v>Positive Margin at Inception</v>
      </c>
      <c r="BU47" s="152">
        <f t="shared" si="277"/>
        <v>0.16666666666666666</v>
      </c>
      <c r="BV47" s="151" t="str">
        <f t="shared" si="278"/>
        <v>More than 2%</v>
      </c>
      <c r="BW47" s="132">
        <f t="shared" si="279"/>
        <v>-408</v>
      </c>
      <c r="BX47" s="133">
        <f t="shared" si="280"/>
        <v>0</v>
      </c>
      <c r="BY47" s="132">
        <f t="shared" si="281"/>
        <v>-408</v>
      </c>
      <c r="BZ47" s="153">
        <f t="shared" si="282"/>
        <v>0</v>
      </c>
      <c r="CA47" s="153">
        <f t="shared" si="283"/>
        <v>0</v>
      </c>
      <c r="CB47" s="134">
        <f t="shared" si="284"/>
        <v>0</v>
      </c>
      <c r="CC47" s="153" t="s">
        <v>369</v>
      </c>
      <c r="CD47" s="134">
        <v>0</v>
      </c>
      <c r="CE47" s="134" t="str">
        <f t="shared" si="285"/>
        <v>May-26</v>
      </c>
      <c r="CF47" s="134">
        <f t="shared" si="286"/>
        <v>13260</v>
      </c>
      <c r="CG47" s="134">
        <f t="shared" si="287"/>
        <v>16320</v>
      </c>
      <c r="CH47" s="134">
        <f t="shared" si="288"/>
        <v>8</v>
      </c>
      <c r="CI47" s="154" t="s">
        <v>252</v>
      </c>
      <c r="CJ47" s="134" t="s">
        <v>252</v>
      </c>
      <c r="CK47" s="134" t="str">
        <f>_xlfn.XLOOKUP(AR47,receivables!B:B,receivables!D:D)</f>
        <v>Neelesh Dixit</v>
      </c>
      <c r="CL47" s="134">
        <f t="shared" si="289"/>
        <v>3060</v>
      </c>
      <c r="CM47" s="134">
        <f t="shared" si="290"/>
        <v>3060</v>
      </c>
      <c r="CN47" s="134">
        <f t="shared" si="291"/>
        <v>2652</v>
      </c>
      <c r="CO47" s="134">
        <f t="shared" si="292"/>
        <v>19257.599999999999</v>
      </c>
      <c r="CP47" s="134">
        <f t="shared" si="293"/>
        <v>-15646.8</v>
      </c>
      <c r="CQ47" s="134">
        <f t="shared" si="294"/>
        <v>0</v>
      </c>
      <c r="CR47" s="134">
        <f t="shared" si="295"/>
        <v>0</v>
      </c>
      <c r="CS47" s="134">
        <f t="shared" si="296"/>
        <v>3610.7999999999993</v>
      </c>
      <c r="CT47" s="134" t="s">
        <v>296</v>
      </c>
      <c r="CU47" s="134" t="s">
        <v>296</v>
      </c>
      <c r="CV47" s="149" t="str">
        <f t="shared" si="297"/>
        <v>AAMCB5608A</v>
      </c>
      <c r="CW47" s="149" t="str">
        <f t="shared" si="298"/>
        <v>AAACD5406E</v>
      </c>
      <c r="CX47" s="149">
        <v>0</v>
      </c>
      <c r="CY47" s="149">
        <v>0</v>
      </c>
      <c r="CZ47" s="149">
        <v>0</v>
      </c>
      <c r="DA47" s="149">
        <v>0</v>
      </c>
      <c r="DB47" s="149">
        <v>0</v>
      </c>
    </row>
    <row r="48" spans="2:106" s="156" customFormat="1" ht="11.9" customHeight="1" x14ac:dyDescent="0.3">
      <c r="B48" s="127" t="str">
        <f t="shared" si="262"/>
        <v>Q1</v>
      </c>
      <c r="C48" s="128" t="str">
        <f t="shared" si="263"/>
        <v>May-26</v>
      </c>
      <c r="D48" s="294">
        <v>46166</v>
      </c>
      <c r="E48" s="130" t="s">
        <v>554</v>
      </c>
      <c r="F48" s="130" t="s">
        <v>197</v>
      </c>
      <c r="G48" s="130" t="s">
        <v>373</v>
      </c>
      <c r="H48" s="131" t="s">
        <v>555</v>
      </c>
      <c r="I48" s="129">
        <v>46166</v>
      </c>
      <c r="J48" s="130" t="s">
        <v>556</v>
      </c>
      <c r="K48" s="129">
        <v>46166</v>
      </c>
      <c r="L48" s="130" t="s">
        <v>376</v>
      </c>
      <c r="M48" s="130" t="s">
        <v>557</v>
      </c>
      <c r="N48" s="131" t="s">
        <v>384</v>
      </c>
      <c r="O48" s="130">
        <v>461</v>
      </c>
      <c r="P48" s="289">
        <v>44</v>
      </c>
      <c r="Q48" s="132">
        <f t="shared" si="264"/>
        <v>20284</v>
      </c>
      <c r="R48" s="133">
        <v>0</v>
      </c>
      <c r="S48" s="132">
        <f t="shared" si="265"/>
        <v>461</v>
      </c>
      <c r="T48" s="133">
        <v>0</v>
      </c>
      <c r="U48" s="134">
        <v>0</v>
      </c>
      <c r="V48" s="135">
        <v>0</v>
      </c>
      <c r="W48" s="134">
        <v>0</v>
      </c>
      <c r="X48" s="136">
        <v>0</v>
      </c>
      <c r="Y48" s="134">
        <v>0</v>
      </c>
      <c r="Z48" s="134">
        <v>0</v>
      </c>
      <c r="AA48" s="133">
        <v>0</v>
      </c>
      <c r="AB48" s="137">
        <f t="shared" si="266"/>
        <v>0</v>
      </c>
      <c r="AC48" s="136">
        <v>0</v>
      </c>
      <c r="AD48" s="337">
        <f t="shared" si="229"/>
        <v>44</v>
      </c>
      <c r="AE48" s="151">
        <v>0</v>
      </c>
      <c r="AF48" s="134">
        <v>0</v>
      </c>
      <c r="AG48" s="134">
        <v>0</v>
      </c>
      <c r="AH48" s="134">
        <v>0</v>
      </c>
      <c r="AI48" s="135">
        <v>0</v>
      </c>
      <c r="AJ48" s="134">
        <v>0</v>
      </c>
      <c r="AK48" s="134">
        <v>0</v>
      </c>
      <c r="AL48" s="134">
        <v>0</v>
      </c>
      <c r="AM48" s="139">
        <f t="shared" si="267"/>
        <v>20284</v>
      </c>
      <c r="AN48" s="140">
        <v>46166</v>
      </c>
      <c r="AO48" s="141" t="s">
        <v>562</v>
      </c>
      <c r="AP48" s="142" t="s">
        <v>390</v>
      </c>
      <c r="AQ48" s="143" t="s">
        <v>391</v>
      </c>
      <c r="AR48" s="143" t="s">
        <v>392</v>
      </c>
      <c r="AS48" s="130" t="s">
        <v>534</v>
      </c>
      <c r="AT48" s="144" t="s">
        <v>394</v>
      </c>
      <c r="AU48" s="144" t="s">
        <v>395</v>
      </c>
      <c r="AV48" s="145" t="s">
        <v>297</v>
      </c>
      <c r="AW48" s="143">
        <v>461</v>
      </c>
      <c r="AX48" s="316">
        <v>63</v>
      </c>
      <c r="AY48" s="143">
        <f t="shared" si="268"/>
        <v>29043</v>
      </c>
      <c r="AZ48" s="146" t="b">
        <f t="shared" si="269"/>
        <v>1</v>
      </c>
      <c r="BA48" s="132">
        <v>0</v>
      </c>
      <c r="BB48" s="147">
        <f t="shared" si="270"/>
        <v>461</v>
      </c>
      <c r="BC48" s="148">
        <v>0</v>
      </c>
      <c r="BD48" s="147" t="s">
        <v>116</v>
      </c>
      <c r="BE48" s="148">
        <v>0</v>
      </c>
      <c r="BF48" s="147">
        <v>0</v>
      </c>
      <c r="BG48" s="148">
        <v>0</v>
      </c>
      <c r="BH48" s="134">
        <v>0</v>
      </c>
      <c r="BI48" s="134">
        <v>0</v>
      </c>
      <c r="BJ48" s="135">
        <v>0</v>
      </c>
      <c r="BK48" s="132">
        <v>0</v>
      </c>
      <c r="BL48" s="143">
        <v>0</v>
      </c>
      <c r="BM48" s="134">
        <v>0</v>
      </c>
      <c r="BN48" s="149">
        <f t="shared" si="271"/>
        <v>-726.07500000000005</v>
      </c>
      <c r="BO48" s="133">
        <f t="shared" si="272"/>
        <v>28316.924999999999</v>
      </c>
      <c r="BP48" s="139">
        <f t="shared" si="273"/>
        <v>8032.9249999999993</v>
      </c>
      <c r="BQ48" s="148" t="str">
        <f t="shared" si="274"/>
        <v>Positive Margin</v>
      </c>
      <c r="BR48" s="150" t="s">
        <v>108</v>
      </c>
      <c r="BS48" s="132">
        <f t="shared" si="275"/>
        <v>8759</v>
      </c>
      <c r="BT48" s="151" t="str">
        <f t="shared" si="276"/>
        <v>Positive Margin at Inception</v>
      </c>
      <c r="BU48" s="152">
        <f t="shared" si="277"/>
        <v>0.28367928367928363</v>
      </c>
      <c r="BV48" s="151" t="str">
        <f t="shared" si="278"/>
        <v>More than 2%</v>
      </c>
      <c r="BW48" s="132">
        <f t="shared" si="279"/>
        <v>-726.07500000000005</v>
      </c>
      <c r="BX48" s="133">
        <f t="shared" si="280"/>
        <v>0</v>
      </c>
      <c r="BY48" s="132">
        <f t="shared" si="281"/>
        <v>-726.07500000000005</v>
      </c>
      <c r="BZ48" s="153">
        <f t="shared" si="282"/>
        <v>0</v>
      </c>
      <c r="CA48" s="153">
        <f t="shared" si="283"/>
        <v>0</v>
      </c>
      <c r="CB48" s="134">
        <f t="shared" si="284"/>
        <v>0</v>
      </c>
      <c r="CC48" s="153" t="s">
        <v>369</v>
      </c>
      <c r="CD48" s="134">
        <v>0</v>
      </c>
      <c r="CE48" s="134" t="str">
        <f t="shared" si="285"/>
        <v>May-26</v>
      </c>
      <c r="CF48" s="134">
        <f t="shared" si="286"/>
        <v>20284</v>
      </c>
      <c r="CG48" s="134">
        <f t="shared" si="287"/>
        <v>29043</v>
      </c>
      <c r="CH48" s="134">
        <f t="shared" si="288"/>
        <v>8</v>
      </c>
      <c r="CI48" s="154" t="s">
        <v>252</v>
      </c>
      <c r="CJ48" s="134" t="s">
        <v>252</v>
      </c>
      <c r="CK48" s="134" t="str">
        <f>_xlfn.XLOOKUP(AR48,receivables!B:B,receivables!D:D)</f>
        <v>Neelesh Dixit</v>
      </c>
      <c r="CL48" s="134">
        <f t="shared" si="289"/>
        <v>8759</v>
      </c>
      <c r="CM48" s="134">
        <f t="shared" si="290"/>
        <v>8759</v>
      </c>
      <c r="CN48" s="134">
        <f t="shared" si="291"/>
        <v>8032.9249999999993</v>
      </c>
      <c r="CO48" s="134">
        <f t="shared" si="292"/>
        <v>34270.74</v>
      </c>
      <c r="CP48" s="134">
        <f t="shared" si="293"/>
        <v>-23935.119999999999</v>
      </c>
      <c r="CQ48" s="134">
        <f t="shared" si="294"/>
        <v>0</v>
      </c>
      <c r="CR48" s="134">
        <f t="shared" si="295"/>
        <v>0</v>
      </c>
      <c r="CS48" s="134">
        <f t="shared" si="296"/>
        <v>10335.619999999999</v>
      </c>
      <c r="CT48" s="134" t="s">
        <v>296</v>
      </c>
      <c r="CU48" s="134" t="s">
        <v>296</v>
      </c>
      <c r="CV48" s="149" t="str">
        <f t="shared" si="297"/>
        <v>AAMCB5608A</v>
      </c>
      <c r="CW48" s="149" t="str">
        <f t="shared" si="298"/>
        <v>AAACD5406E</v>
      </c>
      <c r="CX48" s="149">
        <v>0</v>
      </c>
      <c r="CY48" s="149">
        <v>0</v>
      </c>
      <c r="CZ48" s="149">
        <v>0</v>
      </c>
      <c r="DA48" s="149">
        <v>0</v>
      </c>
      <c r="DB48" s="149">
        <v>0</v>
      </c>
    </row>
    <row r="49" spans="2:106" s="156" customFormat="1" ht="11.9" customHeight="1" x14ac:dyDescent="0.3">
      <c r="B49" s="127" t="str">
        <f t="shared" ref="B49:B54" si="299">"Q" &amp; IF(ROUNDUP(MONTH(D49)/3,0)-1=0,4,ROUNDUP(MONTH(D49)/3,0)-1)</f>
        <v>Q1</v>
      </c>
      <c r="C49" s="128" t="str">
        <f t="shared" ref="C49:C54" si="300">TEXT(AN49,"mmm-yy")</f>
        <v>May-26</v>
      </c>
      <c r="D49" s="294">
        <v>46170</v>
      </c>
      <c r="E49" s="130" t="s">
        <v>569</v>
      </c>
      <c r="F49" s="130" t="s">
        <v>197</v>
      </c>
      <c r="G49" s="130" t="s">
        <v>373</v>
      </c>
      <c r="H49" s="131" t="s">
        <v>570</v>
      </c>
      <c r="I49" s="129">
        <v>46170</v>
      </c>
      <c r="J49" s="130" t="s">
        <v>571</v>
      </c>
      <c r="K49" s="129">
        <v>46170</v>
      </c>
      <c r="L49" s="130" t="s">
        <v>376</v>
      </c>
      <c r="M49" s="130" t="s">
        <v>572</v>
      </c>
      <c r="N49" s="131" t="s">
        <v>378</v>
      </c>
      <c r="O49" s="130">
        <v>8720</v>
      </c>
      <c r="P49" s="289">
        <v>45</v>
      </c>
      <c r="Q49" s="132">
        <f t="shared" ref="Q49:Q54" si="301">O49*P49</f>
        <v>392400</v>
      </c>
      <c r="R49" s="133">
        <v>0</v>
      </c>
      <c r="S49" s="132">
        <f t="shared" ref="S49:S54" si="302">O49-R49</f>
        <v>8720</v>
      </c>
      <c r="T49" s="133">
        <v>0</v>
      </c>
      <c r="U49" s="134">
        <v>0</v>
      </c>
      <c r="V49" s="135">
        <v>0</v>
      </c>
      <c r="W49" s="134">
        <v>0</v>
      </c>
      <c r="X49" s="136">
        <v>0</v>
      </c>
      <c r="Y49" s="134">
        <v>0</v>
      </c>
      <c r="Z49" s="134">
        <v>0</v>
      </c>
      <c r="AA49" s="133">
        <v>0</v>
      </c>
      <c r="AB49" s="137">
        <f t="shared" ref="AB49:AB54" si="303">Y49+AA49+Z49</f>
        <v>0</v>
      </c>
      <c r="AC49" s="136">
        <v>0</v>
      </c>
      <c r="AD49" s="337">
        <f t="shared" ref="AD49:AD54" si="304">IFERROR((Q49+AB49)/S49,0)</f>
        <v>45</v>
      </c>
      <c r="AE49" s="151">
        <v>0</v>
      </c>
      <c r="AF49" s="134">
        <v>0</v>
      </c>
      <c r="AG49" s="134">
        <v>0</v>
      </c>
      <c r="AH49" s="134">
        <v>0</v>
      </c>
      <c r="AI49" s="135">
        <v>0</v>
      </c>
      <c r="AJ49" s="134">
        <v>0</v>
      </c>
      <c r="AK49" s="134">
        <v>0</v>
      </c>
      <c r="AL49" s="134">
        <v>0</v>
      </c>
      <c r="AM49" s="139">
        <f t="shared" ref="AM49:AM54" si="305">Q49+AB49+AL49+AK49+AJ49+T49+AE49</f>
        <v>392400</v>
      </c>
      <c r="AN49" s="140">
        <v>46170</v>
      </c>
      <c r="AO49" s="141" t="s">
        <v>576</v>
      </c>
      <c r="AP49" s="142" t="s">
        <v>390</v>
      </c>
      <c r="AQ49" s="143" t="s">
        <v>391</v>
      </c>
      <c r="AR49" s="143" t="s">
        <v>392</v>
      </c>
      <c r="AS49" s="130" t="s">
        <v>496</v>
      </c>
      <c r="AT49" s="144" t="s">
        <v>394</v>
      </c>
      <c r="AU49" s="144" t="s">
        <v>395</v>
      </c>
      <c r="AV49" s="145" t="s">
        <v>297</v>
      </c>
      <c r="AW49" s="143">
        <v>8720</v>
      </c>
      <c r="AX49" s="316">
        <v>58</v>
      </c>
      <c r="AY49" s="143">
        <f t="shared" ref="AY49:AY54" si="306">AW49*AX49</f>
        <v>505760</v>
      </c>
      <c r="AZ49" s="146" t="b">
        <f t="shared" ref="AZ49:AZ54" si="307">AW49=O49</f>
        <v>1</v>
      </c>
      <c r="BA49" s="132">
        <v>0</v>
      </c>
      <c r="BB49" s="147">
        <f t="shared" ref="BB49:BB54" si="308">AW49-BA49</f>
        <v>8720</v>
      </c>
      <c r="BC49" s="148">
        <v>0</v>
      </c>
      <c r="BD49" s="147" t="s">
        <v>116</v>
      </c>
      <c r="BE49" s="148">
        <v>0</v>
      </c>
      <c r="BF49" s="147">
        <v>0</v>
      </c>
      <c r="BG49" s="148">
        <v>0</v>
      </c>
      <c r="BH49" s="134">
        <v>0</v>
      </c>
      <c r="BI49" s="134">
        <v>0</v>
      </c>
      <c r="BJ49" s="135">
        <v>0</v>
      </c>
      <c r="BK49" s="132">
        <v>0</v>
      </c>
      <c r="BL49" s="143">
        <v>0</v>
      </c>
      <c r="BM49" s="134">
        <v>0</v>
      </c>
      <c r="BN49" s="149">
        <f t="shared" ref="BN49:BN54" si="309">AY49*$BM$3</f>
        <v>-12644</v>
      </c>
      <c r="BO49" s="133">
        <f t="shared" ref="BO49:BO54" si="310">AY49+BL49+BM49+BN49+BC49+BG49</f>
        <v>493116</v>
      </c>
      <c r="BP49" s="139">
        <f t="shared" ref="BP49:BP54" si="311">BO49-AM49</f>
        <v>100716</v>
      </c>
      <c r="BQ49" s="148" t="str">
        <f t="shared" ref="BQ49:BQ54" si="312">IF(BP49&gt;=0,"Positive Margin","Negative Margin")</f>
        <v>Positive Margin</v>
      </c>
      <c r="BR49" s="150" t="s">
        <v>108</v>
      </c>
      <c r="BS49" s="132">
        <f t="shared" ref="BS49:BS54" si="313">AY49-Y49-Q49-AA49-T49+BC49</f>
        <v>113360</v>
      </c>
      <c r="BT49" s="151" t="str">
        <f t="shared" ref="BT49:BT54" si="314">IF(BS49&lt;0, "Negative Margin at Inception", "Positive Margin at Inception")</f>
        <v>Positive Margin at Inception</v>
      </c>
      <c r="BU49" s="152">
        <f t="shared" ref="BU49:BU54" si="315">IFERROR(BP49/BO49,"0")</f>
        <v>0.20424403183023873</v>
      </c>
      <c r="BV49" s="151" t="str">
        <f t="shared" ref="BV49:BV54" si="316">IF(BU49&lt;1%,"Less Than 1%",IF(BU49&gt;2%,"More than 2%",IF(BU49&gt;=1%,"1% - 2%")))</f>
        <v>More than 2%</v>
      </c>
      <c r="BW49" s="132">
        <f t="shared" ref="BW49:BW54" si="317">BM49+BN49</f>
        <v>-12644</v>
      </c>
      <c r="BX49" s="133">
        <f t="shared" ref="BX49:BX54" si="318">AL49+AK49</f>
        <v>0</v>
      </c>
      <c r="BY49" s="132">
        <f t="shared" ref="BY49:BY54" si="319">BW49-BX49</f>
        <v>-12644</v>
      </c>
      <c r="BZ49" s="153">
        <f t="shared" ref="BZ49:BZ54" si="320">BM49</f>
        <v>0</v>
      </c>
      <c r="CA49" s="153">
        <f t="shared" ref="CA49:CA54" si="321">AK49</f>
        <v>0</v>
      </c>
      <c r="CB49" s="134">
        <f t="shared" ref="CB49:CB54" si="322">BZ49-CA49</f>
        <v>0</v>
      </c>
      <c r="CC49" s="153" t="s">
        <v>369</v>
      </c>
      <c r="CD49" s="134">
        <v>0</v>
      </c>
      <c r="CE49" s="134" t="str">
        <f t="shared" ref="CE49:CE54" si="323">TEXT(AN49,"mmm-yy")</f>
        <v>May-26</v>
      </c>
      <c r="CF49" s="134">
        <f t="shared" ref="CF49:CF54" si="324">AM49-AL49-AA49</f>
        <v>392400</v>
      </c>
      <c r="CG49" s="134">
        <f t="shared" ref="CG49:CG54" si="325">BO49-BN49</f>
        <v>505760</v>
      </c>
      <c r="CH49" s="134">
        <f t="shared" ref="CH49:CH54" si="326">INT((D49- IF(MONTH(D49) &gt;= 4, DATE(YEAR(D49), 4, 1), DATE(YEAR(D49)-1, 4, 1))) / 7) + 1</f>
        <v>9</v>
      </c>
      <c r="CI49" s="154" t="s">
        <v>252</v>
      </c>
      <c r="CJ49" s="134" t="s">
        <v>252</v>
      </c>
      <c r="CK49" s="134" t="str">
        <f>_xlfn.XLOOKUP(AR49,receivables!B:B,receivables!D:D)</f>
        <v>Neelesh Dixit</v>
      </c>
      <c r="CL49" s="134">
        <f t="shared" ref="CL49:CL54" si="327">AY49-Q49</f>
        <v>113360</v>
      </c>
      <c r="CM49" s="134">
        <f t="shared" ref="CM49:CM54" si="328">CL49-Y49+Z49</f>
        <v>113360</v>
      </c>
      <c r="CN49" s="134">
        <f t="shared" ref="CN49:CN54" si="329">BO49-AM49</f>
        <v>100716</v>
      </c>
      <c r="CO49" s="134">
        <f t="shared" ref="CO49:CO54" si="330">AY49*118%</f>
        <v>596796.79999999993</v>
      </c>
      <c r="CP49" s="134">
        <f t="shared" ref="CP49:CP54" si="331">-Q49*118%</f>
        <v>-463032</v>
      </c>
      <c r="CQ49" s="134">
        <f t="shared" ref="CQ49:CQ54" si="332">-BZ49*118%</f>
        <v>0</v>
      </c>
      <c r="CR49" s="134">
        <f t="shared" ref="CR49:CR54" si="333">-CA49*118%</f>
        <v>0</v>
      </c>
      <c r="CS49" s="134">
        <f t="shared" ref="CS49:CS54" si="334">SUM(CO49:CR49)</f>
        <v>133764.79999999993</v>
      </c>
      <c r="CT49" s="134" t="s">
        <v>296</v>
      </c>
      <c r="CU49" s="134" t="s">
        <v>296</v>
      </c>
      <c r="CV49" s="149" t="str">
        <f t="shared" ref="CV49:CV54" si="335">MID(G49,3,10)</f>
        <v>AAMCB5608A</v>
      </c>
      <c r="CW49" s="149" t="str">
        <f t="shared" ref="CW49:CW54" si="336">MID(AR49,3,10)</f>
        <v>AAACD5406E</v>
      </c>
      <c r="CX49" s="149">
        <v>0</v>
      </c>
      <c r="CY49" s="149">
        <v>0</v>
      </c>
      <c r="CZ49" s="149">
        <v>0</v>
      </c>
      <c r="DA49" s="149">
        <v>0</v>
      </c>
      <c r="DB49" s="149">
        <v>0</v>
      </c>
    </row>
    <row r="50" spans="2:106" s="156" customFormat="1" ht="11.9" customHeight="1" x14ac:dyDescent="0.3">
      <c r="B50" s="127" t="str">
        <f t="shared" si="299"/>
        <v>Q1</v>
      </c>
      <c r="C50" s="128" t="str">
        <f t="shared" si="300"/>
        <v>May-26</v>
      </c>
      <c r="D50" s="294">
        <v>46170</v>
      </c>
      <c r="E50" s="130" t="s">
        <v>569</v>
      </c>
      <c r="F50" s="130" t="s">
        <v>197</v>
      </c>
      <c r="G50" s="130" t="s">
        <v>373</v>
      </c>
      <c r="H50" s="131" t="s">
        <v>570</v>
      </c>
      <c r="I50" s="129">
        <v>46170</v>
      </c>
      <c r="J50" s="130" t="s">
        <v>571</v>
      </c>
      <c r="K50" s="129">
        <v>46170</v>
      </c>
      <c r="L50" s="130" t="s">
        <v>376</v>
      </c>
      <c r="M50" s="130" t="s">
        <v>572</v>
      </c>
      <c r="N50" s="131" t="s">
        <v>379</v>
      </c>
      <c r="O50" s="130">
        <v>320</v>
      </c>
      <c r="P50" s="289">
        <v>40</v>
      </c>
      <c r="Q50" s="132">
        <f t="shared" si="301"/>
        <v>12800</v>
      </c>
      <c r="R50" s="133">
        <v>0</v>
      </c>
      <c r="S50" s="132">
        <f t="shared" si="302"/>
        <v>320</v>
      </c>
      <c r="T50" s="133">
        <v>0</v>
      </c>
      <c r="U50" s="134">
        <v>0</v>
      </c>
      <c r="V50" s="135">
        <v>0</v>
      </c>
      <c r="W50" s="134">
        <v>0</v>
      </c>
      <c r="X50" s="136">
        <v>0</v>
      </c>
      <c r="Y50" s="134">
        <v>0</v>
      </c>
      <c r="Z50" s="134">
        <v>0</v>
      </c>
      <c r="AA50" s="133">
        <v>0</v>
      </c>
      <c r="AB50" s="137">
        <f t="shared" si="303"/>
        <v>0</v>
      </c>
      <c r="AC50" s="136">
        <v>0</v>
      </c>
      <c r="AD50" s="337">
        <f t="shared" si="304"/>
        <v>40</v>
      </c>
      <c r="AE50" s="151">
        <v>0</v>
      </c>
      <c r="AF50" s="134">
        <v>0</v>
      </c>
      <c r="AG50" s="134">
        <v>0</v>
      </c>
      <c r="AH50" s="134">
        <v>0</v>
      </c>
      <c r="AI50" s="135">
        <v>0</v>
      </c>
      <c r="AJ50" s="134">
        <v>0</v>
      </c>
      <c r="AK50" s="134">
        <v>0</v>
      </c>
      <c r="AL50" s="134">
        <v>0</v>
      </c>
      <c r="AM50" s="139">
        <f t="shared" si="305"/>
        <v>12800</v>
      </c>
      <c r="AN50" s="140">
        <v>46170</v>
      </c>
      <c r="AO50" s="141" t="s">
        <v>576</v>
      </c>
      <c r="AP50" s="142" t="s">
        <v>390</v>
      </c>
      <c r="AQ50" s="143" t="s">
        <v>391</v>
      </c>
      <c r="AR50" s="143" t="s">
        <v>392</v>
      </c>
      <c r="AS50" s="130" t="s">
        <v>496</v>
      </c>
      <c r="AT50" s="144" t="s">
        <v>394</v>
      </c>
      <c r="AU50" s="144" t="s">
        <v>395</v>
      </c>
      <c r="AV50" s="145" t="s">
        <v>297</v>
      </c>
      <c r="AW50" s="143">
        <v>320</v>
      </c>
      <c r="AX50" s="316">
        <v>48</v>
      </c>
      <c r="AY50" s="143">
        <f t="shared" si="306"/>
        <v>15360</v>
      </c>
      <c r="AZ50" s="146" t="b">
        <f t="shared" si="307"/>
        <v>1</v>
      </c>
      <c r="BA50" s="132">
        <v>0</v>
      </c>
      <c r="BB50" s="147">
        <f t="shared" si="308"/>
        <v>320</v>
      </c>
      <c r="BC50" s="148">
        <v>0</v>
      </c>
      <c r="BD50" s="147" t="s">
        <v>116</v>
      </c>
      <c r="BE50" s="148">
        <v>0</v>
      </c>
      <c r="BF50" s="147">
        <v>0</v>
      </c>
      <c r="BG50" s="148">
        <v>0</v>
      </c>
      <c r="BH50" s="134">
        <v>0</v>
      </c>
      <c r="BI50" s="134">
        <v>0</v>
      </c>
      <c r="BJ50" s="135">
        <v>0</v>
      </c>
      <c r="BK50" s="132">
        <v>0</v>
      </c>
      <c r="BL50" s="143">
        <v>0</v>
      </c>
      <c r="BM50" s="134">
        <v>0</v>
      </c>
      <c r="BN50" s="149">
        <f t="shared" si="309"/>
        <v>-384</v>
      </c>
      <c r="BO50" s="133">
        <f t="shared" si="310"/>
        <v>14976</v>
      </c>
      <c r="BP50" s="139">
        <f t="shared" si="311"/>
        <v>2176</v>
      </c>
      <c r="BQ50" s="148" t="str">
        <f t="shared" si="312"/>
        <v>Positive Margin</v>
      </c>
      <c r="BR50" s="150" t="s">
        <v>108</v>
      </c>
      <c r="BS50" s="132">
        <f t="shared" si="313"/>
        <v>2560</v>
      </c>
      <c r="BT50" s="151" t="str">
        <f t="shared" si="314"/>
        <v>Positive Margin at Inception</v>
      </c>
      <c r="BU50" s="152">
        <f t="shared" si="315"/>
        <v>0.14529914529914531</v>
      </c>
      <c r="BV50" s="151" t="str">
        <f t="shared" si="316"/>
        <v>More than 2%</v>
      </c>
      <c r="BW50" s="132">
        <f t="shared" si="317"/>
        <v>-384</v>
      </c>
      <c r="BX50" s="133">
        <f t="shared" si="318"/>
        <v>0</v>
      </c>
      <c r="BY50" s="132">
        <f t="shared" si="319"/>
        <v>-384</v>
      </c>
      <c r="BZ50" s="153">
        <f t="shared" si="320"/>
        <v>0</v>
      </c>
      <c r="CA50" s="153">
        <f t="shared" si="321"/>
        <v>0</v>
      </c>
      <c r="CB50" s="134">
        <f t="shared" si="322"/>
        <v>0</v>
      </c>
      <c r="CC50" s="153" t="s">
        <v>369</v>
      </c>
      <c r="CD50" s="134">
        <v>0</v>
      </c>
      <c r="CE50" s="134" t="str">
        <f t="shared" si="323"/>
        <v>May-26</v>
      </c>
      <c r="CF50" s="134">
        <f t="shared" si="324"/>
        <v>12800</v>
      </c>
      <c r="CG50" s="134">
        <f t="shared" si="325"/>
        <v>15360</v>
      </c>
      <c r="CH50" s="134">
        <f t="shared" si="326"/>
        <v>9</v>
      </c>
      <c r="CI50" s="154" t="s">
        <v>252</v>
      </c>
      <c r="CJ50" s="134" t="s">
        <v>252</v>
      </c>
      <c r="CK50" s="134" t="str">
        <f>_xlfn.XLOOKUP(AR50,receivables!B:B,receivables!D:D)</f>
        <v>Neelesh Dixit</v>
      </c>
      <c r="CL50" s="134">
        <f t="shared" si="327"/>
        <v>2560</v>
      </c>
      <c r="CM50" s="134">
        <f t="shared" si="328"/>
        <v>2560</v>
      </c>
      <c r="CN50" s="134">
        <f t="shared" si="329"/>
        <v>2176</v>
      </c>
      <c r="CO50" s="134">
        <f t="shared" si="330"/>
        <v>18124.8</v>
      </c>
      <c r="CP50" s="134">
        <f t="shared" si="331"/>
        <v>-15104</v>
      </c>
      <c r="CQ50" s="134">
        <f t="shared" si="332"/>
        <v>0</v>
      </c>
      <c r="CR50" s="134">
        <f t="shared" si="333"/>
        <v>0</v>
      </c>
      <c r="CS50" s="134">
        <f t="shared" si="334"/>
        <v>3020.7999999999993</v>
      </c>
      <c r="CT50" s="134" t="s">
        <v>296</v>
      </c>
      <c r="CU50" s="134" t="s">
        <v>296</v>
      </c>
      <c r="CV50" s="149" t="str">
        <f t="shared" si="335"/>
        <v>AAMCB5608A</v>
      </c>
      <c r="CW50" s="149" t="str">
        <f t="shared" si="336"/>
        <v>AAACD5406E</v>
      </c>
      <c r="CX50" s="149">
        <v>0</v>
      </c>
      <c r="CY50" s="149">
        <v>0</v>
      </c>
      <c r="CZ50" s="149">
        <v>0</v>
      </c>
      <c r="DA50" s="149">
        <v>0</v>
      </c>
      <c r="DB50" s="149">
        <v>0</v>
      </c>
    </row>
    <row r="51" spans="2:106" s="156" customFormat="1" ht="11.9" customHeight="1" x14ac:dyDescent="0.3">
      <c r="B51" s="127" t="str">
        <f t="shared" si="299"/>
        <v>Q1</v>
      </c>
      <c r="C51" s="128" t="str">
        <f t="shared" si="300"/>
        <v>May-26</v>
      </c>
      <c r="D51" s="294">
        <v>46170</v>
      </c>
      <c r="E51" s="130" t="s">
        <v>569</v>
      </c>
      <c r="F51" s="130" t="s">
        <v>197</v>
      </c>
      <c r="G51" s="130" t="s">
        <v>373</v>
      </c>
      <c r="H51" s="131" t="s">
        <v>570</v>
      </c>
      <c r="I51" s="129">
        <v>46170</v>
      </c>
      <c r="J51" s="130" t="s">
        <v>571</v>
      </c>
      <c r="K51" s="129">
        <v>46170</v>
      </c>
      <c r="L51" s="130" t="s">
        <v>376</v>
      </c>
      <c r="M51" s="130" t="s">
        <v>572</v>
      </c>
      <c r="N51" s="131" t="s">
        <v>384</v>
      </c>
      <c r="O51" s="130">
        <v>310</v>
      </c>
      <c r="P51" s="289">
        <v>45</v>
      </c>
      <c r="Q51" s="132">
        <f t="shared" si="301"/>
        <v>13950</v>
      </c>
      <c r="R51" s="133">
        <v>0</v>
      </c>
      <c r="S51" s="132">
        <f t="shared" si="302"/>
        <v>310</v>
      </c>
      <c r="T51" s="133">
        <v>0</v>
      </c>
      <c r="U51" s="134">
        <v>0</v>
      </c>
      <c r="V51" s="135">
        <v>0</v>
      </c>
      <c r="W51" s="134">
        <v>0</v>
      </c>
      <c r="X51" s="136">
        <v>0</v>
      </c>
      <c r="Y51" s="134">
        <v>0</v>
      </c>
      <c r="Z51" s="134">
        <v>0</v>
      </c>
      <c r="AA51" s="133">
        <v>0</v>
      </c>
      <c r="AB51" s="137">
        <f t="shared" si="303"/>
        <v>0</v>
      </c>
      <c r="AC51" s="136">
        <v>0</v>
      </c>
      <c r="AD51" s="337">
        <f t="shared" si="304"/>
        <v>45</v>
      </c>
      <c r="AE51" s="151">
        <v>0</v>
      </c>
      <c r="AF51" s="134">
        <v>0</v>
      </c>
      <c r="AG51" s="134">
        <v>0</v>
      </c>
      <c r="AH51" s="134">
        <v>0</v>
      </c>
      <c r="AI51" s="135">
        <v>0</v>
      </c>
      <c r="AJ51" s="134">
        <v>0</v>
      </c>
      <c r="AK51" s="134">
        <v>0</v>
      </c>
      <c r="AL51" s="134">
        <v>0</v>
      </c>
      <c r="AM51" s="139">
        <f t="shared" si="305"/>
        <v>13950</v>
      </c>
      <c r="AN51" s="140">
        <v>46170</v>
      </c>
      <c r="AO51" s="141" t="s">
        <v>576</v>
      </c>
      <c r="AP51" s="142" t="s">
        <v>390</v>
      </c>
      <c r="AQ51" s="143" t="s">
        <v>391</v>
      </c>
      <c r="AR51" s="143" t="s">
        <v>392</v>
      </c>
      <c r="AS51" s="130" t="s">
        <v>496</v>
      </c>
      <c r="AT51" s="144" t="s">
        <v>394</v>
      </c>
      <c r="AU51" s="144" t="s">
        <v>395</v>
      </c>
      <c r="AV51" s="145" t="s">
        <v>297</v>
      </c>
      <c r="AW51" s="143">
        <v>310</v>
      </c>
      <c r="AX51" s="316">
        <v>63</v>
      </c>
      <c r="AY51" s="143">
        <f t="shared" si="306"/>
        <v>19530</v>
      </c>
      <c r="AZ51" s="146" t="b">
        <f t="shared" si="307"/>
        <v>1</v>
      </c>
      <c r="BA51" s="132">
        <v>0</v>
      </c>
      <c r="BB51" s="147">
        <f t="shared" si="308"/>
        <v>310</v>
      </c>
      <c r="BC51" s="148">
        <v>0</v>
      </c>
      <c r="BD51" s="147" t="s">
        <v>116</v>
      </c>
      <c r="BE51" s="148">
        <v>0</v>
      </c>
      <c r="BF51" s="147">
        <v>0</v>
      </c>
      <c r="BG51" s="148">
        <v>0</v>
      </c>
      <c r="BH51" s="134">
        <v>0</v>
      </c>
      <c r="BI51" s="134">
        <v>0</v>
      </c>
      <c r="BJ51" s="135">
        <v>0</v>
      </c>
      <c r="BK51" s="132">
        <v>0</v>
      </c>
      <c r="BL51" s="143">
        <v>0</v>
      </c>
      <c r="BM51" s="134">
        <v>0</v>
      </c>
      <c r="BN51" s="149">
        <f t="shared" si="309"/>
        <v>-488.25</v>
      </c>
      <c r="BO51" s="133">
        <f t="shared" si="310"/>
        <v>19041.75</v>
      </c>
      <c r="BP51" s="139">
        <f t="shared" si="311"/>
        <v>5091.75</v>
      </c>
      <c r="BQ51" s="148" t="str">
        <f t="shared" si="312"/>
        <v>Positive Margin</v>
      </c>
      <c r="BR51" s="150" t="s">
        <v>108</v>
      </c>
      <c r="BS51" s="132">
        <f t="shared" si="313"/>
        <v>5580</v>
      </c>
      <c r="BT51" s="151" t="str">
        <f t="shared" si="314"/>
        <v>Positive Margin at Inception</v>
      </c>
      <c r="BU51" s="152">
        <f t="shared" si="315"/>
        <v>0.26739926739926739</v>
      </c>
      <c r="BV51" s="151" t="str">
        <f t="shared" si="316"/>
        <v>More than 2%</v>
      </c>
      <c r="BW51" s="132">
        <f t="shared" si="317"/>
        <v>-488.25</v>
      </c>
      <c r="BX51" s="133">
        <f t="shared" si="318"/>
        <v>0</v>
      </c>
      <c r="BY51" s="132">
        <f t="shared" si="319"/>
        <v>-488.25</v>
      </c>
      <c r="BZ51" s="153">
        <f t="shared" si="320"/>
        <v>0</v>
      </c>
      <c r="CA51" s="153">
        <f t="shared" si="321"/>
        <v>0</v>
      </c>
      <c r="CB51" s="134">
        <f t="shared" si="322"/>
        <v>0</v>
      </c>
      <c r="CC51" s="153" t="s">
        <v>369</v>
      </c>
      <c r="CD51" s="134">
        <v>0</v>
      </c>
      <c r="CE51" s="134" t="str">
        <f t="shared" si="323"/>
        <v>May-26</v>
      </c>
      <c r="CF51" s="134">
        <f t="shared" si="324"/>
        <v>13950</v>
      </c>
      <c r="CG51" s="134">
        <f t="shared" si="325"/>
        <v>19530</v>
      </c>
      <c r="CH51" s="134">
        <f t="shared" si="326"/>
        <v>9</v>
      </c>
      <c r="CI51" s="154" t="s">
        <v>252</v>
      </c>
      <c r="CJ51" s="134" t="s">
        <v>252</v>
      </c>
      <c r="CK51" s="134" t="str">
        <f>_xlfn.XLOOKUP(AR51,receivables!B:B,receivables!D:D)</f>
        <v>Neelesh Dixit</v>
      </c>
      <c r="CL51" s="134">
        <f t="shared" si="327"/>
        <v>5580</v>
      </c>
      <c r="CM51" s="134">
        <f t="shared" si="328"/>
        <v>5580</v>
      </c>
      <c r="CN51" s="134">
        <f t="shared" si="329"/>
        <v>5091.75</v>
      </c>
      <c r="CO51" s="134">
        <f t="shared" si="330"/>
        <v>23045.399999999998</v>
      </c>
      <c r="CP51" s="134">
        <f t="shared" si="331"/>
        <v>-16461</v>
      </c>
      <c r="CQ51" s="134">
        <f t="shared" si="332"/>
        <v>0</v>
      </c>
      <c r="CR51" s="134">
        <f t="shared" si="333"/>
        <v>0</v>
      </c>
      <c r="CS51" s="134">
        <f t="shared" si="334"/>
        <v>6584.3999999999978</v>
      </c>
      <c r="CT51" s="134" t="s">
        <v>296</v>
      </c>
      <c r="CU51" s="134" t="s">
        <v>296</v>
      </c>
      <c r="CV51" s="149" t="str">
        <f t="shared" si="335"/>
        <v>AAMCB5608A</v>
      </c>
      <c r="CW51" s="149" t="str">
        <f t="shared" si="336"/>
        <v>AAACD5406E</v>
      </c>
      <c r="CX51" s="149">
        <v>0</v>
      </c>
      <c r="CY51" s="149">
        <v>0</v>
      </c>
      <c r="CZ51" s="149">
        <v>0</v>
      </c>
      <c r="DA51" s="149">
        <v>0</v>
      </c>
      <c r="DB51" s="149">
        <v>0</v>
      </c>
    </row>
    <row r="52" spans="2:106" s="156" customFormat="1" ht="11.9" customHeight="1" x14ac:dyDescent="0.3">
      <c r="B52" s="127" t="str">
        <f t="shared" si="299"/>
        <v>Q1</v>
      </c>
      <c r="C52" s="128" t="str">
        <f t="shared" si="300"/>
        <v>May-26</v>
      </c>
      <c r="D52" s="294">
        <v>46172</v>
      </c>
      <c r="E52" s="130" t="s">
        <v>573</v>
      </c>
      <c r="F52" s="130" t="s">
        <v>197</v>
      </c>
      <c r="G52" s="130" t="s">
        <v>373</v>
      </c>
      <c r="H52" s="131" t="s">
        <v>574</v>
      </c>
      <c r="I52" s="129">
        <v>46172</v>
      </c>
      <c r="J52" s="130" t="s">
        <v>575</v>
      </c>
      <c r="K52" s="129">
        <v>46172</v>
      </c>
      <c r="L52" s="130" t="s">
        <v>376</v>
      </c>
      <c r="M52" s="130" t="s">
        <v>453</v>
      </c>
      <c r="N52" s="131" t="s">
        <v>378</v>
      </c>
      <c r="O52" s="130">
        <v>8566</v>
      </c>
      <c r="P52" s="289">
        <v>45</v>
      </c>
      <c r="Q52" s="132">
        <f t="shared" si="301"/>
        <v>385470</v>
      </c>
      <c r="R52" s="133">
        <v>0</v>
      </c>
      <c r="S52" s="132">
        <f t="shared" si="302"/>
        <v>8566</v>
      </c>
      <c r="T52" s="133">
        <v>0</v>
      </c>
      <c r="U52" s="134">
        <v>0</v>
      </c>
      <c r="V52" s="135">
        <v>0</v>
      </c>
      <c r="W52" s="134">
        <v>0</v>
      </c>
      <c r="X52" s="136">
        <v>0</v>
      </c>
      <c r="Y52" s="134">
        <v>0</v>
      </c>
      <c r="Z52" s="134">
        <v>0</v>
      </c>
      <c r="AA52" s="133">
        <v>0</v>
      </c>
      <c r="AB52" s="137">
        <f t="shared" si="303"/>
        <v>0</v>
      </c>
      <c r="AC52" s="136">
        <v>0</v>
      </c>
      <c r="AD52" s="337">
        <f t="shared" si="304"/>
        <v>45</v>
      </c>
      <c r="AE52" s="151">
        <v>0</v>
      </c>
      <c r="AF52" s="134">
        <v>0</v>
      </c>
      <c r="AG52" s="134">
        <v>0</v>
      </c>
      <c r="AH52" s="134">
        <v>0</v>
      </c>
      <c r="AI52" s="135">
        <v>0</v>
      </c>
      <c r="AJ52" s="134">
        <v>0</v>
      </c>
      <c r="AK52" s="134">
        <v>0</v>
      </c>
      <c r="AL52" s="134">
        <v>0</v>
      </c>
      <c r="AM52" s="139">
        <f t="shared" si="305"/>
        <v>385470</v>
      </c>
      <c r="AN52" s="140">
        <v>46172</v>
      </c>
      <c r="AO52" s="141" t="s">
        <v>577</v>
      </c>
      <c r="AP52" s="142" t="s">
        <v>390</v>
      </c>
      <c r="AQ52" s="143" t="s">
        <v>391</v>
      </c>
      <c r="AR52" s="143" t="s">
        <v>392</v>
      </c>
      <c r="AS52" s="130" t="s">
        <v>534</v>
      </c>
      <c r="AT52" s="144" t="s">
        <v>394</v>
      </c>
      <c r="AU52" s="144" t="s">
        <v>395</v>
      </c>
      <c r="AV52" s="145" t="s">
        <v>297</v>
      </c>
      <c r="AW52" s="143">
        <v>8566</v>
      </c>
      <c r="AX52" s="316">
        <v>58</v>
      </c>
      <c r="AY52" s="143">
        <f t="shared" si="306"/>
        <v>496828</v>
      </c>
      <c r="AZ52" s="146" t="b">
        <f t="shared" si="307"/>
        <v>1</v>
      </c>
      <c r="BA52" s="132">
        <v>0</v>
      </c>
      <c r="BB52" s="147">
        <f t="shared" si="308"/>
        <v>8566</v>
      </c>
      <c r="BC52" s="148">
        <v>0</v>
      </c>
      <c r="BD52" s="147" t="s">
        <v>116</v>
      </c>
      <c r="BE52" s="148">
        <v>0</v>
      </c>
      <c r="BF52" s="147">
        <v>0</v>
      </c>
      <c r="BG52" s="148">
        <v>0</v>
      </c>
      <c r="BH52" s="134">
        <v>0</v>
      </c>
      <c r="BI52" s="134">
        <v>0</v>
      </c>
      <c r="BJ52" s="135">
        <v>0</v>
      </c>
      <c r="BK52" s="132">
        <v>0</v>
      </c>
      <c r="BL52" s="143">
        <v>0</v>
      </c>
      <c r="BM52" s="134">
        <v>0</v>
      </c>
      <c r="BN52" s="149">
        <f t="shared" si="309"/>
        <v>-12420.7</v>
      </c>
      <c r="BO52" s="133">
        <f t="shared" si="310"/>
        <v>484407.3</v>
      </c>
      <c r="BP52" s="139">
        <f t="shared" si="311"/>
        <v>98937.299999999988</v>
      </c>
      <c r="BQ52" s="148" t="str">
        <f t="shared" si="312"/>
        <v>Positive Margin</v>
      </c>
      <c r="BR52" s="150" t="s">
        <v>108</v>
      </c>
      <c r="BS52" s="132">
        <f t="shared" si="313"/>
        <v>111358</v>
      </c>
      <c r="BT52" s="151" t="str">
        <f t="shared" si="314"/>
        <v>Positive Margin at Inception</v>
      </c>
      <c r="BU52" s="152">
        <f t="shared" si="315"/>
        <v>0.2042440318302387</v>
      </c>
      <c r="BV52" s="151" t="str">
        <f t="shared" si="316"/>
        <v>More than 2%</v>
      </c>
      <c r="BW52" s="132">
        <f t="shared" si="317"/>
        <v>-12420.7</v>
      </c>
      <c r="BX52" s="133">
        <f t="shared" si="318"/>
        <v>0</v>
      </c>
      <c r="BY52" s="132">
        <f t="shared" si="319"/>
        <v>-12420.7</v>
      </c>
      <c r="BZ52" s="153">
        <f t="shared" si="320"/>
        <v>0</v>
      </c>
      <c r="CA52" s="153">
        <f t="shared" si="321"/>
        <v>0</v>
      </c>
      <c r="CB52" s="134">
        <f t="shared" si="322"/>
        <v>0</v>
      </c>
      <c r="CC52" s="153" t="s">
        <v>369</v>
      </c>
      <c r="CD52" s="134">
        <v>0</v>
      </c>
      <c r="CE52" s="134" t="str">
        <f t="shared" si="323"/>
        <v>May-26</v>
      </c>
      <c r="CF52" s="134">
        <f t="shared" si="324"/>
        <v>385470</v>
      </c>
      <c r="CG52" s="134">
        <f t="shared" si="325"/>
        <v>496828</v>
      </c>
      <c r="CH52" s="134">
        <f t="shared" si="326"/>
        <v>9</v>
      </c>
      <c r="CI52" s="154" t="s">
        <v>252</v>
      </c>
      <c r="CJ52" s="134" t="s">
        <v>252</v>
      </c>
      <c r="CK52" s="134" t="str">
        <f>_xlfn.XLOOKUP(AR52,receivables!B:B,receivables!D:D)</f>
        <v>Neelesh Dixit</v>
      </c>
      <c r="CL52" s="134">
        <f t="shared" si="327"/>
        <v>111358</v>
      </c>
      <c r="CM52" s="134">
        <f t="shared" si="328"/>
        <v>111358</v>
      </c>
      <c r="CN52" s="134">
        <f t="shared" si="329"/>
        <v>98937.299999999988</v>
      </c>
      <c r="CO52" s="134">
        <f t="shared" si="330"/>
        <v>586257.03999999992</v>
      </c>
      <c r="CP52" s="134">
        <f t="shared" si="331"/>
        <v>-454854.6</v>
      </c>
      <c r="CQ52" s="134">
        <f t="shared" si="332"/>
        <v>0</v>
      </c>
      <c r="CR52" s="134">
        <f t="shared" si="333"/>
        <v>0</v>
      </c>
      <c r="CS52" s="134">
        <f t="shared" si="334"/>
        <v>131402.43999999994</v>
      </c>
      <c r="CT52" s="134" t="s">
        <v>296</v>
      </c>
      <c r="CU52" s="134" t="s">
        <v>296</v>
      </c>
      <c r="CV52" s="149" t="str">
        <f t="shared" si="335"/>
        <v>AAMCB5608A</v>
      </c>
      <c r="CW52" s="149" t="str">
        <f t="shared" si="336"/>
        <v>AAACD5406E</v>
      </c>
      <c r="CX52" s="149">
        <v>0</v>
      </c>
      <c r="CY52" s="149">
        <v>0</v>
      </c>
      <c r="CZ52" s="149">
        <v>0</v>
      </c>
      <c r="DA52" s="149">
        <v>0</v>
      </c>
      <c r="DB52" s="149">
        <v>0</v>
      </c>
    </row>
    <row r="53" spans="2:106" s="156" customFormat="1" ht="11.9" customHeight="1" x14ac:dyDescent="0.3">
      <c r="B53" s="127" t="str">
        <f t="shared" si="299"/>
        <v>Q1</v>
      </c>
      <c r="C53" s="128" t="str">
        <f t="shared" si="300"/>
        <v>May-26</v>
      </c>
      <c r="D53" s="294">
        <v>46172</v>
      </c>
      <c r="E53" s="130" t="s">
        <v>573</v>
      </c>
      <c r="F53" s="130" t="s">
        <v>197</v>
      </c>
      <c r="G53" s="130" t="s">
        <v>373</v>
      </c>
      <c r="H53" s="131" t="s">
        <v>574</v>
      </c>
      <c r="I53" s="129">
        <v>46172</v>
      </c>
      <c r="J53" s="130" t="s">
        <v>575</v>
      </c>
      <c r="K53" s="129">
        <v>46172</v>
      </c>
      <c r="L53" s="130" t="s">
        <v>376</v>
      </c>
      <c r="M53" s="130" t="s">
        <v>453</v>
      </c>
      <c r="N53" s="131" t="s">
        <v>379</v>
      </c>
      <c r="O53" s="130">
        <v>934</v>
      </c>
      <c r="P53" s="289">
        <v>35</v>
      </c>
      <c r="Q53" s="132">
        <f t="shared" si="301"/>
        <v>32690</v>
      </c>
      <c r="R53" s="133">
        <v>0</v>
      </c>
      <c r="S53" s="132">
        <f t="shared" si="302"/>
        <v>934</v>
      </c>
      <c r="T53" s="133">
        <v>0</v>
      </c>
      <c r="U53" s="134">
        <v>0</v>
      </c>
      <c r="V53" s="135">
        <v>0</v>
      </c>
      <c r="W53" s="134">
        <v>0</v>
      </c>
      <c r="X53" s="136">
        <v>0</v>
      </c>
      <c r="Y53" s="134">
        <v>0</v>
      </c>
      <c r="Z53" s="134">
        <v>0</v>
      </c>
      <c r="AA53" s="133">
        <v>0</v>
      </c>
      <c r="AB53" s="137">
        <f t="shared" si="303"/>
        <v>0</v>
      </c>
      <c r="AC53" s="136">
        <v>0</v>
      </c>
      <c r="AD53" s="337">
        <f t="shared" si="304"/>
        <v>35</v>
      </c>
      <c r="AE53" s="151">
        <v>0</v>
      </c>
      <c r="AF53" s="134">
        <v>0</v>
      </c>
      <c r="AG53" s="134">
        <v>0</v>
      </c>
      <c r="AH53" s="134">
        <v>0</v>
      </c>
      <c r="AI53" s="135">
        <v>0</v>
      </c>
      <c r="AJ53" s="134">
        <v>0</v>
      </c>
      <c r="AK53" s="134">
        <v>0</v>
      </c>
      <c r="AL53" s="134">
        <v>0</v>
      </c>
      <c r="AM53" s="139">
        <f t="shared" si="305"/>
        <v>32690</v>
      </c>
      <c r="AN53" s="140">
        <v>46172</v>
      </c>
      <c r="AO53" s="141" t="s">
        <v>577</v>
      </c>
      <c r="AP53" s="142" t="s">
        <v>390</v>
      </c>
      <c r="AQ53" s="143" t="s">
        <v>391</v>
      </c>
      <c r="AR53" s="143" t="s">
        <v>392</v>
      </c>
      <c r="AS53" s="130" t="s">
        <v>534</v>
      </c>
      <c r="AT53" s="144" t="s">
        <v>394</v>
      </c>
      <c r="AU53" s="144" t="s">
        <v>395</v>
      </c>
      <c r="AV53" s="145" t="s">
        <v>297</v>
      </c>
      <c r="AW53" s="143">
        <v>934</v>
      </c>
      <c r="AX53" s="316">
        <v>48</v>
      </c>
      <c r="AY53" s="143">
        <f t="shared" si="306"/>
        <v>44832</v>
      </c>
      <c r="AZ53" s="146" t="b">
        <f t="shared" si="307"/>
        <v>1</v>
      </c>
      <c r="BA53" s="132">
        <v>0</v>
      </c>
      <c r="BB53" s="147">
        <f t="shared" si="308"/>
        <v>934</v>
      </c>
      <c r="BC53" s="148">
        <v>0</v>
      </c>
      <c r="BD53" s="147" t="s">
        <v>116</v>
      </c>
      <c r="BE53" s="148">
        <v>0</v>
      </c>
      <c r="BF53" s="147">
        <v>0</v>
      </c>
      <c r="BG53" s="148">
        <v>0</v>
      </c>
      <c r="BH53" s="134">
        <v>0</v>
      </c>
      <c r="BI53" s="134">
        <v>0</v>
      </c>
      <c r="BJ53" s="135">
        <v>0</v>
      </c>
      <c r="BK53" s="132">
        <v>0</v>
      </c>
      <c r="BL53" s="143">
        <v>0</v>
      </c>
      <c r="BM53" s="134">
        <v>0</v>
      </c>
      <c r="BN53" s="149">
        <f t="shared" si="309"/>
        <v>-1120.8</v>
      </c>
      <c r="BO53" s="133">
        <f t="shared" si="310"/>
        <v>43711.199999999997</v>
      </c>
      <c r="BP53" s="139">
        <f t="shared" si="311"/>
        <v>11021.199999999997</v>
      </c>
      <c r="BQ53" s="148" t="str">
        <f t="shared" si="312"/>
        <v>Positive Margin</v>
      </c>
      <c r="BR53" s="150" t="s">
        <v>108</v>
      </c>
      <c r="BS53" s="132">
        <f t="shared" si="313"/>
        <v>12142</v>
      </c>
      <c r="BT53" s="151" t="str">
        <f t="shared" si="314"/>
        <v>Positive Margin at Inception</v>
      </c>
      <c r="BU53" s="152">
        <f t="shared" si="315"/>
        <v>0.25213675213675207</v>
      </c>
      <c r="BV53" s="151" t="str">
        <f t="shared" si="316"/>
        <v>More than 2%</v>
      </c>
      <c r="BW53" s="132">
        <f t="shared" si="317"/>
        <v>-1120.8</v>
      </c>
      <c r="BX53" s="133">
        <f t="shared" si="318"/>
        <v>0</v>
      </c>
      <c r="BY53" s="132">
        <f t="shared" si="319"/>
        <v>-1120.8</v>
      </c>
      <c r="BZ53" s="153">
        <f t="shared" si="320"/>
        <v>0</v>
      </c>
      <c r="CA53" s="153">
        <f t="shared" si="321"/>
        <v>0</v>
      </c>
      <c r="CB53" s="134">
        <f t="shared" si="322"/>
        <v>0</v>
      </c>
      <c r="CC53" s="153" t="s">
        <v>369</v>
      </c>
      <c r="CD53" s="134">
        <v>0</v>
      </c>
      <c r="CE53" s="134" t="str">
        <f t="shared" si="323"/>
        <v>May-26</v>
      </c>
      <c r="CF53" s="134">
        <f t="shared" si="324"/>
        <v>32690</v>
      </c>
      <c r="CG53" s="134">
        <f t="shared" si="325"/>
        <v>44832</v>
      </c>
      <c r="CH53" s="134">
        <f t="shared" si="326"/>
        <v>9</v>
      </c>
      <c r="CI53" s="154" t="s">
        <v>252</v>
      </c>
      <c r="CJ53" s="134" t="s">
        <v>252</v>
      </c>
      <c r="CK53" s="134" t="str">
        <f>_xlfn.XLOOKUP(AR53,receivables!B:B,receivables!D:D)</f>
        <v>Neelesh Dixit</v>
      </c>
      <c r="CL53" s="134">
        <f t="shared" si="327"/>
        <v>12142</v>
      </c>
      <c r="CM53" s="134">
        <f t="shared" si="328"/>
        <v>12142</v>
      </c>
      <c r="CN53" s="134">
        <f t="shared" si="329"/>
        <v>11021.199999999997</v>
      </c>
      <c r="CO53" s="134">
        <f t="shared" si="330"/>
        <v>52901.759999999995</v>
      </c>
      <c r="CP53" s="134">
        <f t="shared" si="331"/>
        <v>-38574.199999999997</v>
      </c>
      <c r="CQ53" s="134">
        <f t="shared" si="332"/>
        <v>0</v>
      </c>
      <c r="CR53" s="134">
        <f t="shared" si="333"/>
        <v>0</v>
      </c>
      <c r="CS53" s="134">
        <f t="shared" si="334"/>
        <v>14327.559999999998</v>
      </c>
      <c r="CT53" s="134" t="s">
        <v>296</v>
      </c>
      <c r="CU53" s="134" t="s">
        <v>296</v>
      </c>
      <c r="CV53" s="149" t="str">
        <f t="shared" si="335"/>
        <v>AAMCB5608A</v>
      </c>
      <c r="CW53" s="149" t="str">
        <f t="shared" si="336"/>
        <v>AAACD5406E</v>
      </c>
      <c r="CX53" s="149">
        <v>0</v>
      </c>
      <c r="CY53" s="149">
        <v>0</v>
      </c>
      <c r="CZ53" s="149">
        <v>0</v>
      </c>
      <c r="DA53" s="149">
        <v>0</v>
      </c>
      <c r="DB53" s="149">
        <v>0</v>
      </c>
    </row>
    <row r="54" spans="2:106" s="156" customFormat="1" ht="11.9" customHeight="1" x14ac:dyDescent="0.3">
      <c r="B54" s="127" t="str">
        <f t="shared" si="299"/>
        <v>Q1</v>
      </c>
      <c r="C54" s="128" t="str">
        <f t="shared" si="300"/>
        <v>May-26</v>
      </c>
      <c r="D54" s="294">
        <v>46172</v>
      </c>
      <c r="E54" s="130" t="s">
        <v>573</v>
      </c>
      <c r="F54" s="130" t="s">
        <v>197</v>
      </c>
      <c r="G54" s="130" t="s">
        <v>373</v>
      </c>
      <c r="H54" s="131" t="s">
        <v>574</v>
      </c>
      <c r="I54" s="129">
        <v>46172</v>
      </c>
      <c r="J54" s="130" t="s">
        <v>575</v>
      </c>
      <c r="K54" s="129">
        <v>46172</v>
      </c>
      <c r="L54" s="130" t="s">
        <v>376</v>
      </c>
      <c r="M54" s="130" t="s">
        <v>453</v>
      </c>
      <c r="N54" s="131" t="s">
        <v>384</v>
      </c>
      <c r="O54" s="130">
        <v>1055</v>
      </c>
      <c r="P54" s="289">
        <v>45</v>
      </c>
      <c r="Q54" s="132">
        <f t="shared" si="301"/>
        <v>47475</v>
      </c>
      <c r="R54" s="133">
        <v>0</v>
      </c>
      <c r="S54" s="132">
        <f t="shared" si="302"/>
        <v>1055</v>
      </c>
      <c r="T54" s="133">
        <v>0</v>
      </c>
      <c r="U54" s="134">
        <v>0</v>
      </c>
      <c r="V54" s="135">
        <v>0</v>
      </c>
      <c r="W54" s="134">
        <v>0</v>
      </c>
      <c r="X54" s="136">
        <v>0</v>
      </c>
      <c r="Y54" s="134">
        <v>0</v>
      </c>
      <c r="Z54" s="134">
        <v>0</v>
      </c>
      <c r="AA54" s="133">
        <v>0</v>
      </c>
      <c r="AB54" s="137">
        <f t="shared" si="303"/>
        <v>0</v>
      </c>
      <c r="AC54" s="136">
        <v>0</v>
      </c>
      <c r="AD54" s="337">
        <f t="shared" si="304"/>
        <v>45</v>
      </c>
      <c r="AE54" s="151">
        <v>0</v>
      </c>
      <c r="AF54" s="134">
        <v>0</v>
      </c>
      <c r="AG54" s="134">
        <v>0</v>
      </c>
      <c r="AH54" s="134">
        <v>0</v>
      </c>
      <c r="AI54" s="135">
        <v>0</v>
      </c>
      <c r="AJ54" s="134">
        <v>0</v>
      </c>
      <c r="AK54" s="134">
        <v>0</v>
      </c>
      <c r="AL54" s="134">
        <v>0</v>
      </c>
      <c r="AM54" s="139">
        <f t="shared" si="305"/>
        <v>47475</v>
      </c>
      <c r="AN54" s="140">
        <v>46172</v>
      </c>
      <c r="AO54" s="141" t="s">
        <v>577</v>
      </c>
      <c r="AP54" s="142" t="s">
        <v>390</v>
      </c>
      <c r="AQ54" s="143" t="s">
        <v>391</v>
      </c>
      <c r="AR54" s="143" t="s">
        <v>392</v>
      </c>
      <c r="AS54" s="130" t="s">
        <v>534</v>
      </c>
      <c r="AT54" s="144" t="s">
        <v>394</v>
      </c>
      <c r="AU54" s="144" t="s">
        <v>395</v>
      </c>
      <c r="AV54" s="145" t="s">
        <v>297</v>
      </c>
      <c r="AW54" s="143">
        <v>1055</v>
      </c>
      <c r="AX54" s="316">
        <v>63</v>
      </c>
      <c r="AY54" s="143">
        <f t="shared" si="306"/>
        <v>66465</v>
      </c>
      <c r="AZ54" s="146" t="b">
        <f t="shared" si="307"/>
        <v>1</v>
      </c>
      <c r="BA54" s="132">
        <v>0</v>
      </c>
      <c r="BB54" s="147">
        <f t="shared" si="308"/>
        <v>1055</v>
      </c>
      <c r="BC54" s="148">
        <v>0</v>
      </c>
      <c r="BD54" s="147" t="s">
        <v>116</v>
      </c>
      <c r="BE54" s="148">
        <v>0</v>
      </c>
      <c r="BF54" s="147">
        <v>0</v>
      </c>
      <c r="BG54" s="148">
        <v>0</v>
      </c>
      <c r="BH54" s="134">
        <v>0</v>
      </c>
      <c r="BI54" s="134">
        <v>0</v>
      </c>
      <c r="BJ54" s="135">
        <v>0</v>
      </c>
      <c r="BK54" s="132">
        <v>0</v>
      </c>
      <c r="BL54" s="143">
        <v>0</v>
      </c>
      <c r="BM54" s="134">
        <v>0</v>
      </c>
      <c r="BN54" s="149">
        <f t="shared" si="309"/>
        <v>-1661.625</v>
      </c>
      <c r="BO54" s="133">
        <f t="shared" si="310"/>
        <v>64803.375</v>
      </c>
      <c r="BP54" s="139">
        <f t="shared" si="311"/>
        <v>17328.375</v>
      </c>
      <c r="BQ54" s="148" t="str">
        <f t="shared" si="312"/>
        <v>Positive Margin</v>
      </c>
      <c r="BR54" s="150" t="s">
        <v>108</v>
      </c>
      <c r="BS54" s="132">
        <f t="shared" si="313"/>
        <v>18990</v>
      </c>
      <c r="BT54" s="151" t="str">
        <f t="shared" si="314"/>
        <v>Positive Margin at Inception</v>
      </c>
      <c r="BU54" s="152">
        <f t="shared" si="315"/>
        <v>0.26739926739926739</v>
      </c>
      <c r="BV54" s="151" t="str">
        <f t="shared" si="316"/>
        <v>More than 2%</v>
      </c>
      <c r="BW54" s="132">
        <f t="shared" si="317"/>
        <v>-1661.625</v>
      </c>
      <c r="BX54" s="133">
        <f t="shared" si="318"/>
        <v>0</v>
      </c>
      <c r="BY54" s="132">
        <f t="shared" si="319"/>
        <v>-1661.625</v>
      </c>
      <c r="BZ54" s="153">
        <f t="shared" si="320"/>
        <v>0</v>
      </c>
      <c r="CA54" s="153">
        <f t="shared" si="321"/>
        <v>0</v>
      </c>
      <c r="CB54" s="134">
        <f t="shared" si="322"/>
        <v>0</v>
      </c>
      <c r="CC54" s="153" t="s">
        <v>369</v>
      </c>
      <c r="CD54" s="134">
        <v>0</v>
      </c>
      <c r="CE54" s="134" t="str">
        <f t="shared" si="323"/>
        <v>May-26</v>
      </c>
      <c r="CF54" s="134">
        <f t="shared" si="324"/>
        <v>47475</v>
      </c>
      <c r="CG54" s="134">
        <f t="shared" si="325"/>
        <v>66465</v>
      </c>
      <c r="CH54" s="134">
        <f t="shared" si="326"/>
        <v>9</v>
      </c>
      <c r="CI54" s="154" t="s">
        <v>252</v>
      </c>
      <c r="CJ54" s="134" t="s">
        <v>252</v>
      </c>
      <c r="CK54" s="134" t="str">
        <f>_xlfn.XLOOKUP(AR54,receivables!B:B,receivables!D:D)</f>
        <v>Neelesh Dixit</v>
      </c>
      <c r="CL54" s="134">
        <f t="shared" si="327"/>
        <v>18990</v>
      </c>
      <c r="CM54" s="134">
        <f t="shared" si="328"/>
        <v>18990</v>
      </c>
      <c r="CN54" s="134">
        <f t="shared" si="329"/>
        <v>17328.375</v>
      </c>
      <c r="CO54" s="134">
        <f t="shared" si="330"/>
        <v>78428.7</v>
      </c>
      <c r="CP54" s="134">
        <f t="shared" si="331"/>
        <v>-56020.5</v>
      </c>
      <c r="CQ54" s="134">
        <f t="shared" si="332"/>
        <v>0</v>
      </c>
      <c r="CR54" s="134">
        <f t="shared" si="333"/>
        <v>0</v>
      </c>
      <c r="CS54" s="134">
        <f t="shared" si="334"/>
        <v>22408.199999999997</v>
      </c>
      <c r="CT54" s="134" t="s">
        <v>296</v>
      </c>
      <c r="CU54" s="134" t="s">
        <v>296</v>
      </c>
      <c r="CV54" s="149" t="str">
        <f t="shared" si="335"/>
        <v>AAMCB5608A</v>
      </c>
      <c r="CW54" s="149" t="str">
        <f t="shared" si="336"/>
        <v>AAACD5406E</v>
      </c>
      <c r="CX54" s="149">
        <v>0</v>
      </c>
      <c r="CY54" s="149">
        <v>0</v>
      </c>
      <c r="CZ54" s="149">
        <v>0</v>
      </c>
      <c r="DA54" s="149">
        <v>0</v>
      </c>
      <c r="DB54" s="149">
        <v>0</v>
      </c>
    </row>
    <row r="55" spans="2:106" s="156" customFormat="1" ht="11.9" customHeight="1" x14ac:dyDescent="0.3">
      <c r="B55" s="127" t="str">
        <f t="shared" ref="B55:B60" si="337">"Q" &amp; IF(ROUNDUP(MONTH(D55)/3,0)-1=0,4,ROUNDUP(MONTH(D55)/3,0)-1)</f>
        <v>Q1</v>
      </c>
      <c r="C55" s="128" t="str">
        <f t="shared" ref="C55:C60" si="338">TEXT(AN55,"mmm-yy")</f>
        <v>Jun-26</v>
      </c>
      <c r="D55" s="294">
        <v>46175</v>
      </c>
      <c r="E55" s="130" t="s">
        <v>580</v>
      </c>
      <c r="F55" s="130" t="s">
        <v>197</v>
      </c>
      <c r="G55" s="130" t="s">
        <v>373</v>
      </c>
      <c r="H55" s="131" t="s">
        <v>581</v>
      </c>
      <c r="I55" s="129">
        <v>46175</v>
      </c>
      <c r="J55" s="130" t="s">
        <v>582</v>
      </c>
      <c r="K55" s="129">
        <v>46175</v>
      </c>
      <c r="L55" s="130" t="s">
        <v>376</v>
      </c>
      <c r="M55" s="130" t="s">
        <v>583</v>
      </c>
      <c r="N55" s="131" t="s">
        <v>378</v>
      </c>
      <c r="O55" s="130">
        <v>7730</v>
      </c>
      <c r="P55" s="289">
        <v>44</v>
      </c>
      <c r="Q55" s="132">
        <f t="shared" ref="Q55:Q60" si="339">O55*P55</f>
        <v>340120</v>
      </c>
      <c r="R55" s="133">
        <v>0</v>
      </c>
      <c r="S55" s="132">
        <f t="shared" ref="S55:S60" si="340">O55-R55</f>
        <v>7730</v>
      </c>
      <c r="T55" s="133">
        <v>0</v>
      </c>
      <c r="U55" s="134">
        <v>0</v>
      </c>
      <c r="V55" s="135">
        <v>0</v>
      </c>
      <c r="W55" s="134">
        <v>0</v>
      </c>
      <c r="X55" s="136">
        <v>0</v>
      </c>
      <c r="Y55" s="134">
        <v>0</v>
      </c>
      <c r="Z55" s="134">
        <v>0</v>
      </c>
      <c r="AA55" s="133">
        <v>0</v>
      </c>
      <c r="AB55" s="137">
        <f t="shared" ref="AB55:AB60" si="341">Y55+AA55+Z55</f>
        <v>0</v>
      </c>
      <c r="AC55" s="136">
        <v>0</v>
      </c>
      <c r="AD55" s="337">
        <f t="shared" ref="AD55:AD60" si="342">IFERROR((Q55+AB55)/S55,0)</f>
        <v>44</v>
      </c>
      <c r="AE55" s="151">
        <v>0</v>
      </c>
      <c r="AF55" s="134">
        <v>0</v>
      </c>
      <c r="AG55" s="134">
        <v>0</v>
      </c>
      <c r="AH55" s="134">
        <v>0</v>
      </c>
      <c r="AI55" s="135">
        <v>0</v>
      </c>
      <c r="AJ55" s="134">
        <v>0</v>
      </c>
      <c r="AK55" s="134">
        <v>0</v>
      </c>
      <c r="AL55" s="134">
        <v>0</v>
      </c>
      <c r="AM55" s="139">
        <f t="shared" ref="AM55:AM60" si="343">Q55+AB55+AL55+AK55+AJ55+T55+AE55</f>
        <v>340120</v>
      </c>
      <c r="AN55" s="140">
        <v>46175</v>
      </c>
      <c r="AO55" s="141" t="s">
        <v>588</v>
      </c>
      <c r="AP55" s="142" t="s">
        <v>390</v>
      </c>
      <c r="AQ55" s="143" t="s">
        <v>391</v>
      </c>
      <c r="AR55" s="143" t="s">
        <v>392</v>
      </c>
      <c r="AS55" s="130" t="s">
        <v>534</v>
      </c>
      <c r="AT55" s="144" t="s">
        <v>394</v>
      </c>
      <c r="AU55" s="144" t="s">
        <v>395</v>
      </c>
      <c r="AV55" s="145" t="s">
        <v>297</v>
      </c>
      <c r="AW55" s="143">
        <v>7730</v>
      </c>
      <c r="AX55" s="316">
        <v>58</v>
      </c>
      <c r="AY55" s="143">
        <f t="shared" ref="AY55:AY60" si="344">AW55*AX55</f>
        <v>448340</v>
      </c>
      <c r="AZ55" s="146" t="b">
        <f t="shared" ref="AZ55:AZ60" si="345">AW55=O55</f>
        <v>1</v>
      </c>
      <c r="BA55" s="132">
        <v>0</v>
      </c>
      <c r="BB55" s="147">
        <f t="shared" ref="BB55:BB60" si="346">AW55-BA55</f>
        <v>7730</v>
      </c>
      <c r="BC55" s="148">
        <v>0</v>
      </c>
      <c r="BD55" s="147" t="s">
        <v>116</v>
      </c>
      <c r="BE55" s="148">
        <v>0</v>
      </c>
      <c r="BF55" s="147">
        <v>0</v>
      </c>
      <c r="BG55" s="148">
        <v>0</v>
      </c>
      <c r="BH55" s="134">
        <v>0</v>
      </c>
      <c r="BI55" s="134">
        <v>0</v>
      </c>
      <c r="BJ55" s="135">
        <v>0</v>
      </c>
      <c r="BK55" s="132">
        <v>0</v>
      </c>
      <c r="BL55" s="143">
        <v>0</v>
      </c>
      <c r="BM55" s="134">
        <v>0</v>
      </c>
      <c r="BN55" s="149">
        <f t="shared" ref="BN55:BN60" si="347">AY55*$BM$3</f>
        <v>-11208.5</v>
      </c>
      <c r="BO55" s="133">
        <f t="shared" ref="BO55:BO60" si="348">AY55+BL55+BM55+BN55+BC55+BG55</f>
        <v>437131.5</v>
      </c>
      <c r="BP55" s="139">
        <f t="shared" ref="BP55:BP60" si="349">BO55-AM55</f>
        <v>97011.5</v>
      </c>
      <c r="BQ55" s="148" t="str">
        <f t="shared" ref="BQ55:BQ60" si="350">IF(BP55&gt;=0,"Positive Margin","Negative Margin")</f>
        <v>Positive Margin</v>
      </c>
      <c r="BR55" s="150" t="s">
        <v>108</v>
      </c>
      <c r="BS55" s="132">
        <f t="shared" ref="BS55:BS60" si="351">AY55-Y55-Q55-AA55-T55+BC55</f>
        <v>108220</v>
      </c>
      <c r="BT55" s="151" t="str">
        <f t="shared" ref="BT55:BT60" si="352">IF(BS55&lt;0, "Negative Margin at Inception", "Positive Margin at Inception")</f>
        <v>Positive Margin at Inception</v>
      </c>
      <c r="BU55" s="152">
        <f t="shared" ref="BU55:BU60" si="353">IFERROR(BP55/BO55,"0")</f>
        <v>0.22192749778956675</v>
      </c>
      <c r="BV55" s="151" t="str">
        <f t="shared" ref="BV55:BV60" si="354">IF(BU55&lt;1%,"Less Than 1%",IF(BU55&gt;2%,"More than 2%",IF(BU55&gt;=1%,"1% - 2%")))</f>
        <v>More than 2%</v>
      </c>
      <c r="BW55" s="132">
        <f t="shared" ref="BW55:BW60" si="355">BM55+BN55</f>
        <v>-11208.5</v>
      </c>
      <c r="BX55" s="133">
        <f t="shared" ref="BX55:BX60" si="356">AL55+AK55</f>
        <v>0</v>
      </c>
      <c r="BY55" s="132">
        <f t="shared" ref="BY55:BY60" si="357">BW55-BX55</f>
        <v>-11208.5</v>
      </c>
      <c r="BZ55" s="153">
        <f t="shared" ref="BZ55:BZ60" si="358">BM55</f>
        <v>0</v>
      </c>
      <c r="CA55" s="153">
        <f t="shared" ref="CA55:CA60" si="359">AK55</f>
        <v>0</v>
      </c>
      <c r="CB55" s="134">
        <f t="shared" ref="CB55:CB60" si="360">BZ55-CA55</f>
        <v>0</v>
      </c>
      <c r="CC55" s="153" t="s">
        <v>369</v>
      </c>
      <c r="CD55" s="134">
        <v>0</v>
      </c>
      <c r="CE55" s="134" t="str">
        <f t="shared" ref="CE55:CE60" si="361">TEXT(AN55,"mmm-yy")</f>
        <v>Jun-26</v>
      </c>
      <c r="CF55" s="134">
        <f t="shared" ref="CF55:CF60" si="362">AM55-AL55-AA55</f>
        <v>340120</v>
      </c>
      <c r="CG55" s="134">
        <f t="shared" ref="CG55:CG60" si="363">BO55-BN55</f>
        <v>448340</v>
      </c>
      <c r="CH55" s="134">
        <f t="shared" ref="CH55:CH60" si="364">INT((D55- IF(MONTH(D55) &gt;= 4, DATE(YEAR(D55), 4, 1), DATE(YEAR(D55)-1, 4, 1))) / 7) + 1</f>
        <v>9</v>
      </c>
      <c r="CI55" s="154" t="s">
        <v>252</v>
      </c>
      <c r="CJ55" s="134" t="s">
        <v>252</v>
      </c>
      <c r="CK55" s="134" t="str">
        <f>_xlfn.XLOOKUP(AR55,receivables!B:B,receivables!D:D)</f>
        <v>Neelesh Dixit</v>
      </c>
      <c r="CL55" s="134">
        <f t="shared" ref="CL55:CL60" si="365">AY55-Q55</f>
        <v>108220</v>
      </c>
      <c r="CM55" s="134">
        <f t="shared" ref="CM55:CM60" si="366">CL55-Y55+Z55</f>
        <v>108220</v>
      </c>
      <c r="CN55" s="134">
        <f t="shared" ref="CN55:CN60" si="367">BO55-AM55</f>
        <v>97011.5</v>
      </c>
      <c r="CO55" s="134">
        <f t="shared" ref="CO55:CO60" si="368">AY55*118%</f>
        <v>529041.19999999995</v>
      </c>
      <c r="CP55" s="134">
        <f t="shared" ref="CP55:CP60" si="369">-Q55*118%</f>
        <v>-401341.6</v>
      </c>
      <c r="CQ55" s="134">
        <f t="shared" ref="CQ55:CQ60" si="370">-BZ55*118%</f>
        <v>0</v>
      </c>
      <c r="CR55" s="134">
        <f t="shared" ref="CR55:CR60" si="371">-CA55*118%</f>
        <v>0</v>
      </c>
      <c r="CS55" s="134">
        <f t="shared" ref="CS55:CS60" si="372">SUM(CO55:CR55)</f>
        <v>127699.59999999998</v>
      </c>
      <c r="CT55" s="134" t="s">
        <v>296</v>
      </c>
      <c r="CU55" s="134" t="s">
        <v>296</v>
      </c>
      <c r="CV55" s="149" t="str">
        <f t="shared" ref="CV55:CV60" si="373">MID(G55,3,10)</f>
        <v>AAMCB5608A</v>
      </c>
      <c r="CW55" s="149" t="str">
        <f t="shared" ref="CW55:CW60" si="374">MID(AR55,3,10)</f>
        <v>AAACD5406E</v>
      </c>
      <c r="CX55" s="149">
        <v>0</v>
      </c>
      <c r="CY55" s="149">
        <v>0</v>
      </c>
      <c r="CZ55" s="149">
        <v>0</v>
      </c>
      <c r="DA55" s="149">
        <v>0</v>
      </c>
      <c r="DB55" s="149">
        <v>0</v>
      </c>
    </row>
    <row r="56" spans="2:106" s="156" customFormat="1" ht="11.9" customHeight="1" x14ac:dyDescent="0.3">
      <c r="B56" s="127" t="str">
        <f t="shared" si="337"/>
        <v>Q1</v>
      </c>
      <c r="C56" s="128" t="str">
        <f t="shared" si="338"/>
        <v>Jun-26</v>
      </c>
      <c r="D56" s="294">
        <v>46175</v>
      </c>
      <c r="E56" s="130" t="s">
        <v>580</v>
      </c>
      <c r="F56" s="130" t="s">
        <v>197</v>
      </c>
      <c r="G56" s="130" t="s">
        <v>373</v>
      </c>
      <c r="H56" s="131" t="s">
        <v>581</v>
      </c>
      <c r="I56" s="129">
        <v>46175</v>
      </c>
      <c r="J56" s="130" t="s">
        <v>582</v>
      </c>
      <c r="K56" s="129">
        <v>46175</v>
      </c>
      <c r="L56" s="130" t="s">
        <v>376</v>
      </c>
      <c r="M56" s="130" t="s">
        <v>583</v>
      </c>
      <c r="N56" s="131" t="s">
        <v>379</v>
      </c>
      <c r="O56" s="130">
        <v>660</v>
      </c>
      <c r="P56" s="289">
        <v>39</v>
      </c>
      <c r="Q56" s="132">
        <f t="shared" si="339"/>
        <v>25740</v>
      </c>
      <c r="R56" s="133">
        <v>0</v>
      </c>
      <c r="S56" s="132">
        <f t="shared" si="340"/>
        <v>660</v>
      </c>
      <c r="T56" s="133">
        <v>0</v>
      </c>
      <c r="U56" s="134">
        <v>0</v>
      </c>
      <c r="V56" s="135">
        <v>0</v>
      </c>
      <c r="W56" s="134">
        <v>0</v>
      </c>
      <c r="X56" s="136">
        <v>0</v>
      </c>
      <c r="Y56" s="134">
        <v>0</v>
      </c>
      <c r="Z56" s="134">
        <v>0</v>
      </c>
      <c r="AA56" s="133">
        <v>0</v>
      </c>
      <c r="AB56" s="137">
        <f t="shared" si="341"/>
        <v>0</v>
      </c>
      <c r="AC56" s="136">
        <v>0</v>
      </c>
      <c r="AD56" s="337">
        <f t="shared" si="342"/>
        <v>39</v>
      </c>
      <c r="AE56" s="151">
        <v>0</v>
      </c>
      <c r="AF56" s="134">
        <v>0</v>
      </c>
      <c r="AG56" s="134">
        <v>0</v>
      </c>
      <c r="AH56" s="134">
        <v>0</v>
      </c>
      <c r="AI56" s="135">
        <v>0</v>
      </c>
      <c r="AJ56" s="134">
        <v>0</v>
      </c>
      <c r="AK56" s="134">
        <v>0</v>
      </c>
      <c r="AL56" s="134">
        <v>0</v>
      </c>
      <c r="AM56" s="139">
        <f t="shared" si="343"/>
        <v>25740</v>
      </c>
      <c r="AN56" s="140">
        <v>46175</v>
      </c>
      <c r="AO56" s="141" t="s">
        <v>588</v>
      </c>
      <c r="AP56" s="142" t="s">
        <v>390</v>
      </c>
      <c r="AQ56" s="143" t="s">
        <v>391</v>
      </c>
      <c r="AR56" s="143" t="s">
        <v>392</v>
      </c>
      <c r="AS56" s="130" t="s">
        <v>534</v>
      </c>
      <c r="AT56" s="144" t="s">
        <v>394</v>
      </c>
      <c r="AU56" s="144" t="s">
        <v>395</v>
      </c>
      <c r="AV56" s="145" t="s">
        <v>297</v>
      </c>
      <c r="AW56" s="143">
        <v>660</v>
      </c>
      <c r="AX56" s="316">
        <v>48</v>
      </c>
      <c r="AY56" s="143">
        <f t="shared" si="344"/>
        <v>31680</v>
      </c>
      <c r="AZ56" s="146" t="b">
        <f t="shared" si="345"/>
        <v>1</v>
      </c>
      <c r="BA56" s="132">
        <v>0</v>
      </c>
      <c r="BB56" s="147">
        <f t="shared" si="346"/>
        <v>660</v>
      </c>
      <c r="BC56" s="148">
        <v>0</v>
      </c>
      <c r="BD56" s="147" t="s">
        <v>116</v>
      </c>
      <c r="BE56" s="148">
        <v>0</v>
      </c>
      <c r="BF56" s="147">
        <v>0</v>
      </c>
      <c r="BG56" s="148">
        <v>0</v>
      </c>
      <c r="BH56" s="134">
        <v>0</v>
      </c>
      <c r="BI56" s="134">
        <v>0</v>
      </c>
      <c r="BJ56" s="135">
        <v>0</v>
      </c>
      <c r="BK56" s="132">
        <v>0</v>
      </c>
      <c r="BL56" s="143">
        <v>0</v>
      </c>
      <c r="BM56" s="134">
        <v>0</v>
      </c>
      <c r="BN56" s="149">
        <f t="shared" si="347"/>
        <v>-792</v>
      </c>
      <c r="BO56" s="133">
        <f t="shared" si="348"/>
        <v>30888</v>
      </c>
      <c r="BP56" s="139">
        <f t="shared" si="349"/>
        <v>5148</v>
      </c>
      <c r="BQ56" s="148" t="str">
        <f t="shared" si="350"/>
        <v>Positive Margin</v>
      </c>
      <c r="BR56" s="150" t="s">
        <v>108</v>
      </c>
      <c r="BS56" s="132">
        <f t="shared" si="351"/>
        <v>5940</v>
      </c>
      <c r="BT56" s="151" t="str">
        <f t="shared" si="352"/>
        <v>Positive Margin at Inception</v>
      </c>
      <c r="BU56" s="152">
        <f t="shared" si="353"/>
        <v>0.16666666666666666</v>
      </c>
      <c r="BV56" s="151" t="str">
        <f t="shared" si="354"/>
        <v>More than 2%</v>
      </c>
      <c r="BW56" s="132">
        <f t="shared" si="355"/>
        <v>-792</v>
      </c>
      <c r="BX56" s="133">
        <f t="shared" si="356"/>
        <v>0</v>
      </c>
      <c r="BY56" s="132">
        <f t="shared" si="357"/>
        <v>-792</v>
      </c>
      <c r="BZ56" s="153">
        <f t="shared" si="358"/>
        <v>0</v>
      </c>
      <c r="CA56" s="153">
        <f t="shared" si="359"/>
        <v>0</v>
      </c>
      <c r="CB56" s="134">
        <f t="shared" si="360"/>
        <v>0</v>
      </c>
      <c r="CC56" s="153" t="s">
        <v>369</v>
      </c>
      <c r="CD56" s="134">
        <v>0</v>
      </c>
      <c r="CE56" s="134" t="str">
        <f t="shared" si="361"/>
        <v>Jun-26</v>
      </c>
      <c r="CF56" s="134">
        <f t="shared" si="362"/>
        <v>25740</v>
      </c>
      <c r="CG56" s="134">
        <f t="shared" si="363"/>
        <v>31680</v>
      </c>
      <c r="CH56" s="134">
        <f t="shared" si="364"/>
        <v>9</v>
      </c>
      <c r="CI56" s="154" t="s">
        <v>252</v>
      </c>
      <c r="CJ56" s="134" t="s">
        <v>252</v>
      </c>
      <c r="CK56" s="134" t="str">
        <f>_xlfn.XLOOKUP(AR56,receivables!B:B,receivables!D:D)</f>
        <v>Neelesh Dixit</v>
      </c>
      <c r="CL56" s="134">
        <f t="shared" si="365"/>
        <v>5940</v>
      </c>
      <c r="CM56" s="134">
        <f t="shared" si="366"/>
        <v>5940</v>
      </c>
      <c r="CN56" s="134">
        <f t="shared" si="367"/>
        <v>5148</v>
      </c>
      <c r="CO56" s="134">
        <f t="shared" si="368"/>
        <v>37382.400000000001</v>
      </c>
      <c r="CP56" s="134">
        <f t="shared" si="369"/>
        <v>-30373.199999999997</v>
      </c>
      <c r="CQ56" s="134">
        <f t="shared" si="370"/>
        <v>0</v>
      </c>
      <c r="CR56" s="134">
        <f t="shared" si="371"/>
        <v>0</v>
      </c>
      <c r="CS56" s="134">
        <f t="shared" si="372"/>
        <v>7009.2000000000044</v>
      </c>
      <c r="CT56" s="134" t="s">
        <v>296</v>
      </c>
      <c r="CU56" s="134" t="s">
        <v>296</v>
      </c>
      <c r="CV56" s="149" t="str">
        <f t="shared" si="373"/>
        <v>AAMCB5608A</v>
      </c>
      <c r="CW56" s="149" t="str">
        <f t="shared" si="374"/>
        <v>AAACD5406E</v>
      </c>
      <c r="CX56" s="149">
        <v>0</v>
      </c>
      <c r="CY56" s="149">
        <v>0</v>
      </c>
      <c r="CZ56" s="149">
        <v>0</v>
      </c>
      <c r="DA56" s="149">
        <v>0</v>
      </c>
      <c r="DB56" s="149">
        <v>0</v>
      </c>
    </row>
    <row r="57" spans="2:106" s="156" customFormat="1" ht="11.9" customHeight="1" x14ac:dyDescent="0.3">
      <c r="B57" s="127" t="str">
        <f t="shared" si="337"/>
        <v>Q1</v>
      </c>
      <c r="C57" s="128" t="str">
        <f t="shared" si="338"/>
        <v>Jun-26</v>
      </c>
      <c r="D57" s="294">
        <v>46175</v>
      </c>
      <c r="E57" s="130" t="s">
        <v>580</v>
      </c>
      <c r="F57" s="130" t="s">
        <v>197</v>
      </c>
      <c r="G57" s="130" t="s">
        <v>373</v>
      </c>
      <c r="H57" s="131" t="s">
        <v>581</v>
      </c>
      <c r="I57" s="129">
        <v>46175</v>
      </c>
      <c r="J57" s="130" t="s">
        <v>582</v>
      </c>
      <c r="K57" s="129">
        <v>46175</v>
      </c>
      <c r="L57" s="130" t="s">
        <v>376</v>
      </c>
      <c r="M57" s="130" t="s">
        <v>583</v>
      </c>
      <c r="N57" s="131" t="s">
        <v>384</v>
      </c>
      <c r="O57" s="130">
        <v>2175</v>
      </c>
      <c r="P57" s="289">
        <v>44</v>
      </c>
      <c r="Q57" s="132">
        <f t="shared" si="339"/>
        <v>95700</v>
      </c>
      <c r="R57" s="133">
        <v>0</v>
      </c>
      <c r="S57" s="132">
        <f t="shared" si="340"/>
        <v>2175</v>
      </c>
      <c r="T57" s="133">
        <v>0</v>
      </c>
      <c r="U57" s="134">
        <v>0</v>
      </c>
      <c r="V57" s="135">
        <v>0</v>
      </c>
      <c r="W57" s="134">
        <v>0</v>
      </c>
      <c r="X57" s="136">
        <v>0</v>
      </c>
      <c r="Y57" s="134">
        <v>0</v>
      </c>
      <c r="Z57" s="134">
        <v>0</v>
      </c>
      <c r="AA57" s="133">
        <v>0</v>
      </c>
      <c r="AB57" s="137">
        <f t="shared" si="341"/>
        <v>0</v>
      </c>
      <c r="AC57" s="136">
        <v>0</v>
      </c>
      <c r="AD57" s="337">
        <f t="shared" si="342"/>
        <v>44</v>
      </c>
      <c r="AE57" s="151">
        <v>0</v>
      </c>
      <c r="AF57" s="134">
        <v>0</v>
      </c>
      <c r="AG57" s="134">
        <v>0</v>
      </c>
      <c r="AH57" s="134">
        <v>0</v>
      </c>
      <c r="AI57" s="135">
        <v>0</v>
      </c>
      <c r="AJ57" s="134">
        <v>0</v>
      </c>
      <c r="AK57" s="134">
        <v>0</v>
      </c>
      <c r="AL57" s="134">
        <v>0</v>
      </c>
      <c r="AM57" s="139">
        <f t="shared" si="343"/>
        <v>95700</v>
      </c>
      <c r="AN57" s="140">
        <v>46175</v>
      </c>
      <c r="AO57" s="141" t="s">
        <v>588</v>
      </c>
      <c r="AP57" s="142" t="s">
        <v>390</v>
      </c>
      <c r="AQ57" s="143" t="s">
        <v>391</v>
      </c>
      <c r="AR57" s="143" t="s">
        <v>392</v>
      </c>
      <c r="AS57" s="130" t="s">
        <v>534</v>
      </c>
      <c r="AT57" s="144" t="s">
        <v>394</v>
      </c>
      <c r="AU57" s="144" t="s">
        <v>395</v>
      </c>
      <c r="AV57" s="145" t="s">
        <v>297</v>
      </c>
      <c r="AW57" s="143">
        <v>2175</v>
      </c>
      <c r="AX57" s="316">
        <v>63</v>
      </c>
      <c r="AY57" s="143">
        <f t="shared" si="344"/>
        <v>137025</v>
      </c>
      <c r="AZ57" s="146" t="b">
        <f t="shared" si="345"/>
        <v>1</v>
      </c>
      <c r="BA57" s="132">
        <v>0</v>
      </c>
      <c r="BB57" s="147">
        <f t="shared" si="346"/>
        <v>2175</v>
      </c>
      <c r="BC57" s="148">
        <v>0</v>
      </c>
      <c r="BD57" s="147" t="s">
        <v>116</v>
      </c>
      <c r="BE57" s="148">
        <v>0</v>
      </c>
      <c r="BF57" s="147">
        <v>0</v>
      </c>
      <c r="BG57" s="148">
        <v>0</v>
      </c>
      <c r="BH57" s="134">
        <v>0</v>
      </c>
      <c r="BI57" s="134">
        <v>0</v>
      </c>
      <c r="BJ57" s="135">
        <v>0</v>
      </c>
      <c r="BK57" s="132">
        <v>0</v>
      </c>
      <c r="BL57" s="143">
        <v>0</v>
      </c>
      <c r="BM57" s="134">
        <v>0</v>
      </c>
      <c r="BN57" s="149">
        <f t="shared" si="347"/>
        <v>-3425.625</v>
      </c>
      <c r="BO57" s="133">
        <f t="shared" si="348"/>
        <v>133599.375</v>
      </c>
      <c r="BP57" s="139">
        <f t="shared" si="349"/>
        <v>37899.375</v>
      </c>
      <c r="BQ57" s="148" t="str">
        <f t="shared" si="350"/>
        <v>Positive Margin</v>
      </c>
      <c r="BR57" s="150" t="s">
        <v>108</v>
      </c>
      <c r="BS57" s="132">
        <f t="shared" si="351"/>
        <v>41325</v>
      </c>
      <c r="BT57" s="151" t="str">
        <f t="shared" si="352"/>
        <v>Positive Margin at Inception</v>
      </c>
      <c r="BU57" s="152">
        <f t="shared" si="353"/>
        <v>0.28367928367928369</v>
      </c>
      <c r="BV57" s="151" t="str">
        <f t="shared" si="354"/>
        <v>More than 2%</v>
      </c>
      <c r="BW57" s="132">
        <f t="shared" si="355"/>
        <v>-3425.625</v>
      </c>
      <c r="BX57" s="133">
        <f t="shared" si="356"/>
        <v>0</v>
      </c>
      <c r="BY57" s="132">
        <f t="shared" si="357"/>
        <v>-3425.625</v>
      </c>
      <c r="BZ57" s="153">
        <f t="shared" si="358"/>
        <v>0</v>
      </c>
      <c r="CA57" s="153">
        <f t="shared" si="359"/>
        <v>0</v>
      </c>
      <c r="CB57" s="134">
        <f t="shared" si="360"/>
        <v>0</v>
      </c>
      <c r="CC57" s="153" t="s">
        <v>369</v>
      </c>
      <c r="CD57" s="134">
        <v>0</v>
      </c>
      <c r="CE57" s="134" t="str">
        <f t="shared" si="361"/>
        <v>Jun-26</v>
      </c>
      <c r="CF57" s="134">
        <f t="shared" si="362"/>
        <v>95700</v>
      </c>
      <c r="CG57" s="134">
        <f t="shared" si="363"/>
        <v>137025</v>
      </c>
      <c r="CH57" s="134">
        <f t="shared" si="364"/>
        <v>9</v>
      </c>
      <c r="CI57" s="154" t="s">
        <v>252</v>
      </c>
      <c r="CJ57" s="134" t="s">
        <v>252</v>
      </c>
      <c r="CK57" s="134" t="str">
        <f>_xlfn.XLOOKUP(AR57,receivables!B:B,receivables!D:D)</f>
        <v>Neelesh Dixit</v>
      </c>
      <c r="CL57" s="134">
        <f t="shared" si="365"/>
        <v>41325</v>
      </c>
      <c r="CM57" s="134">
        <f t="shared" si="366"/>
        <v>41325</v>
      </c>
      <c r="CN57" s="134">
        <f t="shared" si="367"/>
        <v>37899.375</v>
      </c>
      <c r="CO57" s="134">
        <f t="shared" si="368"/>
        <v>161689.5</v>
      </c>
      <c r="CP57" s="134">
        <f t="shared" si="369"/>
        <v>-112926</v>
      </c>
      <c r="CQ57" s="134">
        <f t="shared" si="370"/>
        <v>0</v>
      </c>
      <c r="CR57" s="134">
        <f t="shared" si="371"/>
        <v>0</v>
      </c>
      <c r="CS57" s="134">
        <f t="shared" si="372"/>
        <v>48763.5</v>
      </c>
      <c r="CT57" s="134" t="s">
        <v>296</v>
      </c>
      <c r="CU57" s="134" t="s">
        <v>296</v>
      </c>
      <c r="CV57" s="149" t="str">
        <f t="shared" si="373"/>
        <v>AAMCB5608A</v>
      </c>
      <c r="CW57" s="149" t="str">
        <f t="shared" si="374"/>
        <v>AAACD5406E</v>
      </c>
      <c r="CX57" s="149">
        <v>0</v>
      </c>
      <c r="CY57" s="149">
        <v>0</v>
      </c>
      <c r="CZ57" s="149">
        <v>0</v>
      </c>
      <c r="DA57" s="149">
        <v>0</v>
      </c>
      <c r="DB57" s="149">
        <v>0</v>
      </c>
    </row>
    <row r="58" spans="2:106" s="156" customFormat="1" ht="11.9" customHeight="1" x14ac:dyDescent="0.3">
      <c r="B58" s="127" t="str">
        <f t="shared" si="337"/>
        <v>Q1</v>
      </c>
      <c r="C58" s="128" t="str">
        <f t="shared" si="338"/>
        <v>Jun-26</v>
      </c>
      <c r="D58" s="294">
        <v>46179</v>
      </c>
      <c r="E58" s="130" t="s">
        <v>584</v>
      </c>
      <c r="F58" s="130" t="s">
        <v>197</v>
      </c>
      <c r="G58" s="130" t="s">
        <v>373</v>
      </c>
      <c r="H58" s="131" t="s">
        <v>585</v>
      </c>
      <c r="I58" s="129">
        <v>46179</v>
      </c>
      <c r="J58" s="130" t="s">
        <v>586</v>
      </c>
      <c r="K58" s="129">
        <v>46179</v>
      </c>
      <c r="L58" s="130" t="s">
        <v>376</v>
      </c>
      <c r="M58" s="130" t="s">
        <v>587</v>
      </c>
      <c r="N58" s="131" t="s">
        <v>378</v>
      </c>
      <c r="O58" s="130">
        <v>9055</v>
      </c>
      <c r="P58" s="289">
        <v>44</v>
      </c>
      <c r="Q58" s="132">
        <f t="shared" si="339"/>
        <v>398420</v>
      </c>
      <c r="R58" s="133">
        <v>0</v>
      </c>
      <c r="S58" s="132">
        <f t="shared" si="340"/>
        <v>9055</v>
      </c>
      <c r="T58" s="133">
        <v>0</v>
      </c>
      <c r="U58" s="134">
        <v>0</v>
      </c>
      <c r="V58" s="135">
        <v>0</v>
      </c>
      <c r="W58" s="134">
        <v>0</v>
      </c>
      <c r="X58" s="136">
        <v>0</v>
      </c>
      <c r="Y58" s="134">
        <v>0</v>
      </c>
      <c r="Z58" s="134">
        <v>0</v>
      </c>
      <c r="AA58" s="133">
        <v>0</v>
      </c>
      <c r="AB58" s="137">
        <f t="shared" si="341"/>
        <v>0</v>
      </c>
      <c r="AC58" s="136">
        <v>0</v>
      </c>
      <c r="AD58" s="337">
        <f t="shared" si="342"/>
        <v>44</v>
      </c>
      <c r="AE58" s="151">
        <v>0</v>
      </c>
      <c r="AF58" s="134">
        <v>0</v>
      </c>
      <c r="AG58" s="134">
        <v>0</v>
      </c>
      <c r="AH58" s="134">
        <v>0</v>
      </c>
      <c r="AI58" s="135">
        <v>0</v>
      </c>
      <c r="AJ58" s="134">
        <v>0</v>
      </c>
      <c r="AK58" s="134">
        <v>0</v>
      </c>
      <c r="AL58" s="134">
        <v>0</v>
      </c>
      <c r="AM58" s="139">
        <f t="shared" si="343"/>
        <v>398420</v>
      </c>
      <c r="AN58" s="140">
        <v>46179</v>
      </c>
      <c r="AO58" s="141" t="s">
        <v>589</v>
      </c>
      <c r="AP58" s="142" t="s">
        <v>390</v>
      </c>
      <c r="AQ58" s="143" t="s">
        <v>391</v>
      </c>
      <c r="AR58" s="143" t="s">
        <v>392</v>
      </c>
      <c r="AS58" s="130" t="s">
        <v>496</v>
      </c>
      <c r="AT58" s="144" t="s">
        <v>394</v>
      </c>
      <c r="AU58" s="144" t="s">
        <v>395</v>
      </c>
      <c r="AV58" s="145" t="s">
        <v>297</v>
      </c>
      <c r="AW58" s="143">
        <v>9055</v>
      </c>
      <c r="AX58" s="316">
        <v>58</v>
      </c>
      <c r="AY58" s="143">
        <f t="shared" si="344"/>
        <v>525190</v>
      </c>
      <c r="AZ58" s="146" t="b">
        <f t="shared" si="345"/>
        <v>1</v>
      </c>
      <c r="BA58" s="132">
        <v>0</v>
      </c>
      <c r="BB58" s="147">
        <f t="shared" si="346"/>
        <v>9055</v>
      </c>
      <c r="BC58" s="148">
        <v>0</v>
      </c>
      <c r="BD58" s="147" t="s">
        <v>116</v>
      </c>
      <c r="BE58" s="148">
        <v>0</v>
      </c>
      <c r="BF58" s="147">
        <v>0</v>
      </c>
      <c r="BG58" s="148">
        <v>0</v>
      </c>
      <c r="BH58" s="134">
        <v>0</v>
      </c>
      <c r="BI58" s="134">
        <v>0</v>
      </c>
      <c r="BJ58" s="135">
        <v>0</v>
      </c>
      <c r="BK58" s="132">
        <v>0</v>
      </c>
      <c r="BL58" s="143">
        <v>0</v>
      </c>
      <c r="BM58" s="134">
        <v>0</v>
      </c>
      <c r="BN58" s="149">
        <f t="shared" si="347"/>
        <v>-13129.75</v>
      </c>
      <c r="BO58" s="133">
        <f t="shared" si="348"/>
        <v>512060.25</v>
      </c>
      <c r="BP58" s="139">
        <f t="shared" si="349"/>
        <v>113640.25</v>
      </c>
      <c r="BQ58" s="148" t="str">
        <f t="shared" si="350"/>
        <v>Positive Margin</v>
      </c>
      <c r="BR58" s="150" t="s">
        <v>108</v>
      </c>
      <c r="BS58" s="132">
        <f t="shared" si="351"/>
        <v>126770</v>
      </c>
      <c r="BT58" s="151" t="str">
        <f t="shared" si="352"/>
        <v>Positive Margin at Inception</v>
      </c>
      <c r="BU58" s="152">
        <f t="shared" si="353"/>
        <v>0.22192749778956675</v>
      </c>
      <c r="BV58" s="151" t="str">
        <f t="shared" si="354"/>
        <v>More than 2%</v>
      </c>
      <c r="BW58" s="132">
        <f t="shared" si="355"/>
        <v>-13129.75</v>
      </c>
      <c r="BX58" s="133">
        <f t="shared" si="356"/>
        <v>0</v>
      </c>
      <c r="BY58" s="132">
        <f t="shared" si="357"/>
        <v>-13129.75</v>
      </c>
      <c r="BZ58" s="153">
        <f t="shared" si="358"/>
        <v>0</v>
      </c>
      <c r="CA58" s="153">
        <f t="shared" si="359"/>
        <v>0</v>
      </c>
      <c r="CB58" s="134">
        <f t="shared" si="360"/>
        <v>0</v>
      </c>
      <c r="CC58" s="153" t="s">
        <v>369</v>
      </c>
      <c r="CD58" s="134">
        <v>0</v>
      </c>
      <c r="CE58" s="134" t="str">
        <f t="shared" si="361"/>
        <v>Jun-26</v>
      </c>
      <c r="CF58" s="134">
        <f t="shared" si="362"/>
        <v>398420</v>
      </c>
      <c r="CG58" s="134">
        <f t="shared" si="363"/>
        <v>525190</v>
      </c>
      <c r="CH58" s="134">
        <f t="shared" si="364"/>
        <v>10</v>
      </c>
      <c r="CI58" s="154" t="s">
        <v>252</v>
      </c>
      <c r="CJ58" s="134" t="s">
        <v>252</v>
      </c>
      <c r="CK58" s="134" t="str">
        <f>_xlfn.XLOOKUP(AR58,receivables!B:B,receivables!D:D)</f>
        <v>Neelesh Dixit</v>
      </c>
      <c r="CL58" s="134">
        <f t="shared" si="365"/>
        <v>126770</v>
      </c>
      <c r="CM58" s="134">
        <f t="shared" si="366"/>
        <v>126770</v>
      </c>
      <c r="CN58" s="134">
        <f t="shared" si="367"/>
        <v>113640.25</v>
      </c>
      <c r="CO58" s="134">
        <f t="shared" si="368"/>
        <v>619724.19999999995</v>
      </c>
      <c r="CP58" s="134">
        <f t="shared" si="369"/>
        <v>-470135.6</v>
      </c>
      <c r="CQ58" s="134">
        <f t="shared" si="370"/>
        <v>0</v>
      </c>
      <c r="CR58" s="134">
        <f t="shared" si="371"/>
        <v>0</v>
      </c>
      <c r="CS58" s="134">
        <f t="shared" si="372"/>
        <v>149588.59999999998</v>
      </c>
      <c r="CT58" s="134" t="s">
        <v>296</v>
      </c>
      <c r="CU58" s="134" t="s">
        <v>296</v>
      </c>
      <c r="CV58" s="149" t="str">
        <f t="shared" si="373"/>
        <v>AAMCB5608A</v>
      </c>
      <c r="CW58" s="149" t="str">
        <f t="shared" si="374"/>
        <v>AAACD5406E</v>
      </c>
      <c r="CX58" s="149">
        <v>0</v>
      </c>
      <c r="CY58" s="149">
        <v>0</v>
      </c>
      <c r="CZ58" s="149">
        <v>0</v>
      </c>
      <c r="DA58" s="149">
        <v>0</v>
      </c>
      <c r="DB58" s="149">
        <v>0</v>
      </c>
    </row>
    <row r="59" spans="2:106" s="156" customFormat="1" ht="11.9" customHeight="1" x14ac:dyDescent="0.3">
      <c r="B59" s="127" t="str">
        <f t="shared" si="337"/>
        <v>Q1</v>
      </c>
      <c r="C59" s="128" t="str">
        <f t="shared" si="338"/>
        <v>Jun-26</v>
      </c>
      <c r="D59" s="294">
        <v>46179</v>
      </c>
      <c r="E59" s="130" t="s">
        <v>584</v>
      </c>
      <c r="F59" s="130" t="s">
        <v>197</v>
      </c>
      <c r="G59" s="130" t="s">
        <v>373</v>
      </c>
      <c r="H59" s="131" t="s">
        <v>585</v>
      </c>
      <c r="I59" s="129">
        <v>46179</v>
      </c>
      <c r="J59" s="130" t="s">
        <v>586</v>
      </c>
      <c r="K59" s="129">
        <v>46179</v>
      </c>
      <c r="L59" s="130" t="s">
        <v>376</v>
      </c>
      <c r="M59" s="130" t="s">
        <v>587</v>
      </c>
      <c r="N59" s="131" t="s">
        <v>379</v>
      </c>
      <c r="O59" s="130">
        <v>680</v>
      </c>
      <c r="P59" s="289">
        <v>39</v>
      </c>
      <c r="Q59" s="132">
        <f t="shared" si="339"/>
        <v>26520</v>
      </c>
      <c r="R59" s="133">
        <v>0</v>
      </c>
      <c r="S59" s="132">
        <f t="shared" si="340"/>
        <v>680</v>
      </c>
      <c r="T59" s="133">
        <v>0</v>
      </c>
      <c r="U59" s="134">
        <v>0</v>
      </c>
      <c r="V59" s="135">
        <v>0</v>
      </c>
      <c r="W59" s="134">
        <v>0</v>
      </c>
      <c r="X59" s="136">
        <v>0</v>
      </c>
      <c r="Y59" s="134">
        <v>0</v>
      </c>
      <c r="Z59" s="134">
        <v>0</v>
      </c>
      <c r="AA59" s="133">
        <v>0</v>
      </c>
      <c r="AB59" s="137">
        <f t="shared" si="341"/>
        <v>0</v>
      </c>
      <c r="AC59" s="136">
        <v>0</v>
      </c>
      <c r="AD59" s="337">
        <f t="shared" si="342"/>
        <v>39</v>
      </c>
      <c r="AE59" s="151">
        <v>0</v>
      </c>
      <c r="AF59" s="134">
        <v>0</v>
      </c>
      <c r="AG59" s="134">
        <v>0</v>
      </c>
      <c r="AH59" s="134">
        <v>0</v>
      </c>
      <c r="AI59" s="135">
        <v>0</v>
      </c>
      <c r="AJ59" s="134">
        <v>0</v>
      </c>
      <c r="AK59" s="134">
        <v>0</v>
      </c>
      <c r="AL59" s="134">
        <v>0</v>
      </c>
      <c r="AM59" s="139">
        <f t="shared" si="343"/>
        <v>26520</v>
      </c>
      <c r="AN59" s="140">
        <v>46179</v>
      </c>
      <c r="AO59" s="141" t="s">
        <v>589</v>
      </c>
      <c r="AP59" s="142" t="s">
        <v>390</v>
      </c>
      <c r="AQ59" s="143" t="s">
        <v>391</v>
      </c>
      <c r="AR59" s="143" t="s">
        <v>392</v>
      </c>
      <c r="AS59" s="130" t="s">
        <v>496</v>
      </c>
      <c r="AT59" s="144" t="s">
        <v>394</v>
      </c>
      <c r="AU59" s="144" t="s">
        <v>395</v>
      </c>
      <c r="AV59" s="145" t="s">
        <v>297</v>
      </c>
      <c r="AW59" s="143">
        <v>680</v>
      </c>
      <c r="AX59" s="316">
        <v>48</v>
      </c>
      <c r="AY59" s="143">
        <f t="shared" si="344"/>
        <v>32640</v>
      </c>
      <c r="AZ59" s="146" t="b">
        <f t="shared" si="345"/>
        <v>1</v>
      </c>
      <c r="BA59" s="132">
        <v>0</v>
      </c>
      <c r="BB59" s="147">
        <f t="shared" si="346"/>
        <v>680</v>
      </c>
      <c r="BC59" s="148">
        <v>0</v>
      </c>
      <c r="BD59" s="147" t="s">
        <v>116</v>
      </c>
      <c r="BE59" s="148">
        <v>0</v>
      </c>
      <c r="BF59" s="147">
        <v>0</v>
      </c>
      <c r="BG59" s="148">
        <v>0</v>
      </c>
      <c r="BH59" s="134">
        <v>0</v>
      </c>
      <c r="BI59" s="134">
        <v>0</v>
      </c>
      <c r="BJ59" s="135">
        <v>0</v>
      </c>
      <c r="BK59" s="132">
        <v>0</v>
      </c>
      <c r="BL59" s="143">
        <v>0</v>
      </c>
      <c r="BM59" s="134">
        <v>0</v>
      </c>
      <c r="BN59" s="149">
        <f t="shared" si="347"/>
        <v>-816</v>
      </c>
      <c r="BO59" s="133">
        <f t="shared" si="348"/>
        <v>31824</v>
      </c>
      <c r="BP59" s="139">
        <f t="shared" si="349"/>
        <v>5304</v>
      </c>
      <c r="BQ59" s="148" t="str">
        <f t="shared" si="350"/>
        <v>Positive Margin</v>
      </c>
      <c r="BR59" s="150" t="s">
        <v>108</v>
      </c>
      <c r="BS59" s="132">
        <f t="shared" si="351"/>
        <v>6120</v>
      </c>
      <c r="BT59" s="151" t="str">
        <f t="shared" si="352"/>
        <v>Positive Margin at Inception</v>
      </c>
      <c r="BU59" s="152">
        <f t="shared" si="353"/>
        <v>0.16666666666666666</v>
      </c>
      <c r="BV59" s="151" t="str">
        <f t="shared" si="354"/>
        <v>More than 2%</v>
      </c>
      <c r="BW59" s="132">
        <f t="shared" si="355"/>
        <v>-816</v>
      </c>
      <c r="BX59" s="133">
        <f t="shared" si="356"/>
        <v>0</v>
      </c>
      <c r="BY59" s="132">
        <f t="shared" si="357"/>
        <v>-816</v>
      </c>
      <c r="BZ59" s="153">
        <f t="shared" si="358"/>
        <v>0</v>
      </c>
      <c r="CA59" s="153">
        <f t="shared" si="359"/>
        <v>0</v>
      </c>
      <c r="CB59" s="134">
        <f t="shared" si="360"/>
        <v>0</v>
      </c>
      <c r="CC59" s="153" t="s">
        <v>369</v>
      </c>
      <c r="CD59" s="134">
        <v>0</v>
      </c>
      <c r="CE59" s="134" t="str">
        <f t="shared" si="361"/>
        <v>Jun-26</v>
      </c>
      <c r="CF59" s="134">
        <f t="shared" si="362"/>
        <v>26520</v>
      </c>
      <c r="CG59" s="134">
        <f t="shared" si="363"/>
        <v>32640</v>
      </c>
      <c r="CH59" s="134">
        <f t="shared" si="364"/>
        <v>10</v>
      </c>
      <c r="CI59" s="154" t="s">
        <v>252</v>
      </c>
      <c r="CJ59" s="134" t="s">
        <v>252</v>
      </c>
      <c r="CK59" s="134" t="str">
        <f>_xlfn.XLOOKUP(AR59,receivables!B:B,receivables!D:D)</f>
        <v>Neelesh Dixit</v>
      </c>
      <c r="CL59" s="134">
        <f t="shared" si="365"/>
        <v>6120</v>
      </c>
      <c r="CM59" s="134">
        <f t="shared" si="366"/>
        <v>6120</v>
      </c>
      <c r="CN59" s="134">
        <f t="shared" si="367"/>
        <v>5304</v>
      </c>
      <c r="CO59" s="134">
        <f t="shared" si="368"/>
        <v>38515.199999999997</v>
      </c>
      <c r="CP59" s="134">
        <f t="shared" si="369"/>
        <v>-31293.599999999999</v>
      </c>
      <c r="CQ59" s="134">
        <f t="shared" si="370"/>
        <v>0</v>
      </c>
      <c r="CR59" s="134">
        <f t="shared" si="371"/>
        <v>0</v>
      </c>
      <c r="CS59" s="134">
        <f t="shared" si="372"/>
        <v>7221.5999999999985</v>
      </c>
      <c r="CT59" s="134" t="s">
        <v>296</v>
      </c>
      <c r="CU59" s="134" t="s">
        <v>296</v>
      </c>
      <c r="CV59" s="149" t="str">
        <f t="shared" si="373"/>
        <v>AAMCB5608A</v>
      </c>
      <c r="CW59" s="149" t="str">
        <f t="shared" si="374"/>
        <v>AAACD5406E</v>
      </c>
      <c r="CX59" s="149">
        <v>0</v>
      </c>
      <c r="CY59" s="149">
        <v>0</v>
      </c>
      <c r="CZ59" s="149">
        <v>0</v>
      </c>
      <c r="DA59" s="149">
        <v>0</v>
      </c>
      <c r="DB59" s="149">
        <v>0</v>
      </c>
    </row>
    <row r="60" spans="2:106" s="156" customFormat="1" ht="11.9" customHeight="1" x14ac:dyDescent="0.3">
      <c r="B60" s="127" t="str">
        <f t="shared" si="337"/>
        <v>Q1</v>
      </c>
      <c r="C60" s="128" t="str">
        <f t="shared" si="338"/>
        <v>Jun-26</v>
      </c>
      <c r="D60" s="294">
        <v>46179</v>
      </c>
      <c r="E60" s="130" t="s">
        <v>584</v>
      </c>
      <c r="F60" s="130" t="s">
        <v>197</v>
      </c>
      <c r="G60" s="130" t="s">
        <v>373</v>
      </c>
      <c r="H60" s="131" t="s">
        <v>585</v>
      </c>
      <c r="I60" s="129">
        <v>46179</v>
      </c>
      <c r="J60" s="130" t="s">
        <v>586</v>
      </c>
      <c r="K60" s="129">
        <v>46179</v>
      </c>
      <c r="L60" s="130" t="s">
        <v>376</v>
      </c>
      <c r="M60" s="130" t="s">
        <v>587</v>
      </c>
      <c r="N60" s="131" t="s">
        <v>384</v>
      </c>
      <c r="O60" s="130">
        <v>760</v>
      </c>
      <c r="P60" s="289">
        <v>44</v>
      </c>
      <c r="Q60" s="132">
        <f t="shared" si="339"/>
        <v>33440</v>
      </c>
      <c r="R60" s="133">
        <v>0</v>
      </c>
      <c r="S60" s="132">
        <f t="shared" si="340"/>
        <v>760</v>
      </c>
      <c r="T60" s="133">
        <v>0</v>
      </c>
      <c r="U60" s="134">
        <v>0</v>
      </c>
      <c r="V60" s="135">
        <v>0</v>
      </c>
      <c r="W60" s="134">
        <v>0</v>
      </c>
      <c r="X60" s="136">
        <v>0</v>
      </c>
      <c r="Y60" s="134">
        <v>0</v>
      </c>
      <c r="Z60" s="134">
        <v>0</v>
      </c>
      <c r="AA60" s="133">
        <v>0</v>
      </c>
      <c r="AB60" s="137">
        <f t="shared" si="341"/>
        <v>0</v>
      </c>
      <c r="AC60" s="136">
        <v>0</v>
      </c>
      <c r="AD60" s="337">
        <f t="shared" si="342"/>
        <v>44</v>
      </c>
      <c r="AE60" s="151">
        <v>0</v>
      </c>
      <c r="AF60" s="134">
        <v>0</v>
      </c>
      <c r="AG60" s="134">
        <v>0</v>
      </c>
      <c r="AH60" s="134">
        <v>0</v>
      </c>
      <c r="AI60" s="135">
        <v>0</v>
      </c>
      <c r="AJ60" s="134">
        <v>0</v>
      </c>
      <c r="AK60" s="134">
        <v>0</v>
      </c>
      <c r="AL60" s="134">
        <v>0</v>
      </c>
      <c r="AM60" s="139">
        <f t="shared" si="343"/>
        <v>33440</v>
      </c>
      <c r="AN60" s="140">
        <v>46179</v>
      </c>
      <c r="AO60" s="141" t="s">
        <v>589</v>
      </c>
      <c r="AP60" s="142" t="s">
        <v>390</v>
      </c>
      <c r="AQ60" s="143" t="s">
        <v>391</v>
      </c>
      <c r="AR60" s="143" t="s">
        <v>392</v>
      </c>
      <c r="AS60" s="130" t="s">
        <v>496</v>
      </c>
      <c r="AT60" s="144" t="s">
        <v>394</v>
      </c>
      <c r="AU60" s="144" t="s">
        <v>395</v>
      </c>
      <c r="AV60" s="145" t="s">
        <v>297</v>
      </c>
      <c r="AW60" s="143">
        <v>760</v>
      </c>
      <c r="AX60" s="316">
        <v>63</v>
      </c>
      <c r="AY60" s="143">
        <f t="shared" si="344"/>
        <v>47880</v>
      </c>
      <c r="AZ60" s="146" t="b">
        <f t="shared" si="345"/>
        <v>1</v>
      </c>
      <c r="BA60" s="132">
        <v>0</v>
      </c>
      <c r="BB60" s="147">
        <f t="shared" si="346"/>
        <v>760</v>
      </c>
      <c r="BC60" s="148">
        <v>0</v>
      </c>
      <c r="BD60" s="147" t="s">
        <v>116</v>
      </c>
      <c r="BE60" s="148">
        <v>0</v>
      </c>
      <c r="BF60" s="147">
        <v>0</v>
      </c>
      <c r="BG60" s="148">
        <v>0</v>
      </c>
      <c r="BH60" s="134">
        <v>0</v>
      </c>
      <c r="BI60" s="134">
        <v>0</v>
      </c>
      <c r="BJ60" s="135">
        <v>0</v>
      </c>
      <c r="BK60" s="132">
        <v>0</v>
      </c>
      <c r="BL60" s="143">
        <v>0</v>
      </c>
      <c r="BM60" s="134">
        <v>0</v>
      </c>
      <c r="BN60" s="149">
        <f t="shared" si="347"/>
        <v>-1197</v>
      </c>
      <c r="BO60" s="133">
        <f t="shared" si="348"/>
        <v>46683</v>
      </c>
      <c r="BP60" s="139">
        <f t="shared" si="349"/>
        <v>13243</v>
      </c>
      <c r="BQ60" s="148" t="str">
        <f t="shared" si="350"/>
        <v>Positive Margin</v>
      </c>
      <c r="BR60" s="150" t="s">
        <v>108</v>
      </c>
      <c r="BS60" s="132">
        <f t="shared" si="351"/>
        <v>14440</v>
      </c>
      <c r="BT60" s="151" t="str">
        <f t="shared" si="352"/>
        <v>Positive Margin at Inception</v>
      </c>
      <c r="BU60" s="152">
        <f t="shared" si="353"/>
        <v>0.28367928367928369</v>
      </c>
      <c r="BV60" s="151" t="str">
        <f t="shared" si="354"/>
        <v>More than 2%</v>
      </c>
      <c r="BW60" s="132">
        <f t="shared" si="355"/>
        <v>-1197</v>
      </c>
      <c r="BX60" s="133">
        <f t="shared" si="356"/>
        <v>0</v>
      </c>
      <c r="BY60" s="132">
        <f t="shared" si="357"/>
        <v>-1197</v>
      </c>
      <c r="BZ60" s="153">
        <f t="shared" si="358"/>
        <v>0</v>
      </c>
      <c r="CA60" s="153">
        <f t="shared" si="359"/>
        <v>0</v>
      </c>
      <c r="CB60" s="134">
        <f t="shared" si="360"/>
        <v>0</v>
      </c>
      <c r="CC60" s="153" t="s">
        <v>369</v>
      </c>
      <c r="CD60" s="134">
        <v>0</v>
      </c>
      <c r="CE60" s="134" t="str">
        <f t="shared" si="361"/>
        <v>Jun-26</v>
      </c>
      <c r="CF60" s="134">
        <f t="shared" si="362"/>
        <v>33440</v>
      </c>
      <c r="CG60" s="134">
        <f t="shared" si="363"/>
        <v>47880</v>
      </c>
      <c r="CH60" s="134">
        <f t="shared" si="364"/>
        <v>10</v>
      </c>
      <c r="CI60" s="154" t="s">
        <v>252</v>
      </c>
      <c r="CJ60" s="134" t="s">
        <v>252</v>
      </c>
      <c r="CK60" s="134" t="str">
        <f>_xlfn.XLOOKUP(AR60,receivables!B:B,receivables!D:D)</f>
        <v>Neelesh Dixit</v>
      </c>
      <c r="CL60" s="134">
        <f t="shared" si="365"/>
        <v>14440</v>
      </c>
      <c r="CM60" s="134">
        <f t="shared" si="366"/>
        <v>14440</v>
      </c>
      <c r="CN60" s="134">
        <f t="shared" si="367"/>
        <v>13243</v>
      </c>
      <c r="CO60" s="134">
        <f t="shared" si="368"/>
        <v>56498.399999999994</v>
      </c>
      <c r="CP60" s="134">
        <f t="shared" si="369"/>
        <v>-39459.199999999997</v>
      </c>
      <c r="CQ60" s="134">
        <f t="shared" si="370"/>
        <v>0</v>
      </c>
      <c r="CR60" s="134">
        <f t="shared" si="371"/>
        <v>0</v>
      </c>
      <c r="CS60" s="134">
        <f t="shared" si="372"/>
        <v>17039.199999999997</v>
      </c>
      <c r="CT60" s="134" t="s">
        <v>296</v>
      </c>
      <c r="CU60" s="134" t="s">
        <v>296</v>
      </c>
      <c r="CV60" s="149" t="str">
        <f t="shared" si="373"/>
        <v>AAMCB5608A</v>
      </c>
      <c r="CW60" s="149" t="str">
        <f t="shared" si="374"/>
        <v>AAACD5406E</v>
      </c>
      <c r="CX60" s="149">
        <v>0</v>
      </c>
      <c r="CY60" s="149">
        <v>0</v>
      </c>
      <c r="CZ60" s="149">
        <v>0</v>
      </c>
      <c r="DA60" s="149">
        <v>0</v>
      </c>
      <c r="DB60" s="149">
        <v>0</v>
      </c>
    </row>
    <row r="61" spans="2:106" s="156" customFormat="1" ht="11.9" customHeight="1" x14ac:dyDescent="0.3">
      <c r="B61" s="127" t="str">
        <f t="shared" ref="B61:B63" si="375">"Q" &amp; IF(ROUNDUP(MONTH(D61)/3,0)-1=0,4,ROUNDUP(MONTH(D61)/3,0)-1)</f>
        <v>Q1</v>
      </c>
      <c r="C61" s="128" t="str">
        <f t="shared" ref="C61:C63" si="376">TEXT(AN61,"mmm-yy")</f>
        <v>Jun-26</v>
      </c>
      <c r="D61" s="294">
        <v>46186</v>
      </c>
      <c r="E61" s="130" t="s">
        <v>597</v>
      </c>
      <c r="F61" s="130" t="s">
        <v>197</v>
      </c>
      <c r="G61" s="130" t="s">
        <v>373</v>
      </c>
      <c r="H61" s="131" t="s">
        <v>598</v>
      </c>
      <c r="I61" s="129">
        <v>46186</v>
      </c>
      <c r="J61" s="130" t="s">
        <v>599</v>
      </c>
      <c r="K61" s="129">
        <v>46187</v>
      </c>
      <c r="L61" s="130" t="s">
        <v>376</v>
      </c>
      <c r="M61" s="130" t="s">
        <v>453</v>
      </c>
      <c r="N61" s="131" t="s">
        <v>378</v>
      </c>
      <c r="O61" s="130">
        <v>8760</v>
      </c>
      <c r="P61" s="289">
        <v>44</v>
      </c>
      <c r="Q61" s="132">
        <f t="shared" ref="Q61:Q63" si="377">O61*P61</f>
        <v>385440</v>
      </c>
      <c r="R61" s="133">
        <v>0</v>
      </c>
      <c r="S61" s="132">
        <f t="shared" ref="S61:S63" si="378">O61-R61</f>
        <v>8760</v>
      </c>
      <c r="T61" s="133">
        <v>0</v>
      </c>
      <c r="U61" s="134">
        <v>0</v>
      </c>
      <c r="V61" s="135">
        <v>0</v>
      </c>
      <c r="W61" s="134">
        <v>0</v>
      </c>
      <c r="X61" s="136">
        <v>0</v>
      </c>
      <c r="Y61" s="134">
        <v>0</v>
      </c>
      <c r="Z61" s="134">
        <v>0</v>
      </c>
      <c r="AA61" s="133">
        <v>0</v>
      </c>
      <c r="AB61" s="137">
        <f t="shared" ref="AB61:AB63" si="379">Y61+AA61+Z61</f>
        <v>0</v>
      </c>
      <c r="AC61" s="136">
        <v>0</v>
      </c>
      <c r="AD61" s="337">
        <f t="shared" ref="AD61:AD63" si="380">IFERROR((Q61+AB61)/S61,0)</f>
        <v>44</v>
      </c>
      <c r="AE61" s="151">
        <v>0</v>
      </c>
      <c r="AF61" s="134">
        <v>0</v>
      </c>
      <c r="AG61" s="134">
        <v>0</v>
      </c>
      <c r="AH61" s="134">
        <v>0</v>
      </c>
      <c r="AI61" s="135">
        <v>0</v>
      </c>
      <c r="AJ61" s="134">
        <v>0</v>
      </c>
      <c r="AK61" s="134">
        <v>0</v>
      </c>
      <c r="AL61" s="134">
        <v>0</v>
      </c>
      <c r="AM61" s="139">
        <f t="shared" ref="AM61:AM63" si="381">Q61+AB61+AL61+AK61+AJ61+T61+AE61</f>
        <v>385440</v>
      </c>
      <c r="AN61" s="140">
        <v>46187</v>
      </c>
      <c r="AO61" s="141" t="s">
        <v>600</v>
      </c>
      <c r="AP61" s="142" t="s">
        <v>390</v>
      </c>
      <c r="AQ61" s="143" t="s">
        <v>391</v>
      </c>
      <c r="AR61" s="143" t="s">
        <v>392</v>
      </c>
      <c r="AS61" s="130" t="s">
        <v>534</v>
      </c>
      <c r="AT61" s="144" t="s">
        <v>394</v>
      </c>
      <c r="AU61" s="144" t="s">
        <v>395</v>
      </c>
      <c r="AV61" s="145" t="s">
        <v>297</v>
      </c>
      <c r="AW61" s="143">
        <v>8760</v>
      </c>
      <c r="AX61" s="316">
        <v>57</v>
      </c>
      <c r="AY61" s="143">
        <f t="shared" ref="AY61:AY63" si="382">AW61*AX61</f>
        <v>499320</v>
      </c>
      <c r="AZ61" s="146" t="b">
        <f t="shared" ref="AZ61:AZ63" si="383">AW61=O61</f>
        <v>1</v>
      </c>
      <c r="BA61" s="132">
        <v>0</v>
      </c>
      <c r="BB61" s="147">
        <f t="shared" ref="BB61:BB63" si="384">AW61-BA61</f>
        <v>8760</v>
      </c>
      <c r="BC61" s="148">
        <v>0</v>
      </c>
      <c r="BD61" s="147" t="s">
        <v>116</v>
      </c>
      <c r="BE61" s="148">
        <v>0</v>
      </c>
      <c r="BF61" s="147">
        <v>0</v>
      </c>
      <c r="BG61" s="148">
        <v>0</v>
      </c>
      <c r="BH61" s="134">
        <v>0</v>
      </c>
      <c r="BI61" s="134">
        <v>0</v>
      </c>
      <c r="BJ61" s="135">
        <v>0</v>
      </c>
      <c r="BK61" s="132">
        <v>0</v>
      </c>
      <c r="BL61" s="143">
        <v>0</v>
      </c>
      <c r="BM61" s="134">
        <v>0</v>
      </c>
      <c r="BN61" s="149">
        <f t="shared" ref="BN61:BN63" si="385">AY61*$BM$3</f>
        <v>-12483</v>
      </c>
      <c r="BO61" s="133">
        <f t="shared" ref="BO61:BO63" si="386">AY61+BL61+BM61+BN61+BC61+BG61</f>
        <v>486837</v>
      </c>
      <c r="BP61" s="139">
        <f t="shared" ref="BP61:BP63" si="387">BO61-AM61</f>
        <v>101397</v>
      </c>
      <c r="BQ61" s="148" t="str">
        <f t="shared" ref="BQ61:BQ63" si="388">IF(BP61&gt;=0,"Positive Margin","Negative Margin")</f>
        <v>Positive Margin</v>
      </c>
      <c r="BR61" s="150" t="s">
        <v>108</v>
      </c>
      <c r="BS61" s="132">
        <f t="shared" ref="BS61:BS63" si="389">AY61-Y61-Q61-AA61-T61+BC61</f>
        <v>113880</v>
      </c>
      <c r="BT61" s="151" t="str">
        <f t="shared" ref="BT61:BT63" si="390">IF(BS61&lt;0, "Negative Margin at Inception", "Positive Margin at Inception")</f>
        <v>Positive Margin at Inception</v>
      </c>
      <c r="BU61" s="152">
        <f t="shared" ref="BU61:BU63" si="391">IFERROR(BP61/BO61,"0")</f>
        <v>0.20827710301394511</v>
      </c>
      <c r="BV61" s="151" t="str">
        <f t="shared" ref="BV61:BV63" si="392">IF(BU61&lt;1%,"Less Than 1%",IF(BU61&gt;2%,"More than 2%",IF(BU61&gt;=1%,"1% - 2%")))</f>
        <v>More than 2%</v>
      </c>
      <c r="BW61" s="132">
        <f t="shared" ref="BW61:BW63" si="393">BM61+BN61</f>
        <v>-12483</v>
      </c>
      <c r="BX61" s="133">
        <f t="shared" ref="BX61:BX63" si="394">AL61+AK61</f>
        <v>0</v>
      </c>
      <c r="BY61" s="132">
        <f t="shared" ref="BY61:BY63" si="395">BW61-BX61</f>
        <v>-12483</v>
      </c>
      <c r="BZ61" s="153">
        <f t="shared" ref="BZ61:BZ63" si="396">BM61</f>
        <v>0</v>
      </c>
      <c r="CA61" s="153">
        <f t="shared" ref="CA61:CA63" si="397">AK61</f>
        <v>0</v>
      </c>
      <c r="CB61" s="134">
        <f t="shared" ref="CB61:CB63" si="398">BZ61-CA61</f>
        <v>0</v>
      </c>
      <c r="CC61" s="153" t="s">
        <v>369</v>
      </c>
      <c r="CD61" s="134">
        <v>0</v>
      </c>
      <c r="CE61" s="134" t="str">
        <f t="shared" ref="CE61:CE63" si="399">TEXT(AN61,"mmm-yy")</f>
        <v>Jun-26</v>
      </c>
      <c r="CF61" s="134">
        <f t="shared" ref="CF61:CF63" si="400">AM61-AL61-AA61</f>
        <v>385440</v>
      </c>
      <c r="CG61" s="134">
        <f t="shared" ref="CG61:CG63" si="401">BO61-BN61</f>
        <v>499320</v>
      </c>
      <c r="CH61" s="134">
        <f t="shared" ref="CH61:CH63" si="402">INT((D61- IF(MONTH(D61) &gt;= 4, DATE(YEAR(D61), 4, 1), DATE(YEAR(D61)-1, 4, 1))) / 7) + 1</f>
        <v>11</v>
      </c>
      <c r="CI61" s="154" t="s">
        <v>252</v>
      </c>
      <c r="CJ61" s="134" t="s">
        <v>252</v>
      </c>
      <c r="CK61" s="134" t="str">
        <f>_xlfn.XLOOKUP(AR61,receivables!B:B,receivables!D:D)</f>
        <v>Neelesh Dixit</v>
      </c>
      <c r="CL61" s="134">
        <f t="shared" ref="CL61:CL63" si="403">AY61-Q61</f>
        <v>113880</v>
      </c>
      <c r="CM61" s="134">
        <f t="shared" ref="CM61:CM63" si="404">CL61-Y61+Z61</f>
        <v>113880</v>
      </c>
      <c r="CN61" s="134">
        <f t="shared" ref="CN61:CN63" si="405">BO61-AM61</f>
        <v>101397</v>
      </c>
      <c r="CO61" s="134">
        <f t="shared" ref="CO61:CO63" si="406">AY61*118%</f>
        <v>589197.6</v>
      </c>
      <c r="CP61" s="134">
        <f t="shared" ref="CP61:CP63" si="407">-Q61*118%</f>
        <v>-454819.19999999995</v>
      </c>
      <c r="CQ61" s="134">
        <f t="shared" ref="CQ61:CQ63" si="408">-BZ61*118%</f>
        <v>0</v>
      </c>
      <c r="CR61" s="134">
        <f t="shared" ref="CR61:CR63" si="409">-CA61*118%</f>
        <v>0</v>
      </c>
      <c r="CS61" s="134">
        <f t="shared" ref="CS61:CS63" si="410">SUM(CO61:CR61)</f>
        <v>134378.40000000002</v>
      </c>
      <c r="CT61" s="134" t="s">
        <v>296</v>
      </c>
      <c r="CU61" s="134" t="s">
        <v>296</v>
      </c>
      <c r="CV61" s="149" t="str">
        <f t="shared" ref="CV61:CV63" si="411">MID(G61,3,10)</f>
        <v>AAMCB5608A</v>
      </c>
      <c r="CW61" s="149" t="str">
        <f t="shared" ref="CW61:CW63" si="412">MID(AR61,3,10)</f>
        <v>AAACD5406E</v>
      </c>
      <c r="CX61" s="149">
        <v>0</v>
      </c>
      <c r="CY61" s="149">
        <v>0</v>
      </c>
      <c r="CZ61" s="149">
        <v>0</v>
      </c>
      <c r="DA61" s="149">
        <v>0</v>
      </c>
      <c r="DB61" s="149">
        <v>0</v>
      </c>
    </row>
    <row r="62" spans="2:106" s="156" customFormat="1" ht="11.9" customHeight="1" x14ac:dyDescent="0.3">
      <c r="B62" s="127" t="str">
        <f t="shared" si="375"/>
        <v>Q1</v>
      </c>
      <c r="C62" s="128" t="str">
        <f t="shared" si="376"/>
        <v>Jun-26</v>
      </c>
      <c r="D62" s="294">
        <v>46186</v>
      </c>
      <c r="E62" s="130" t="s">
        <v>597</v>
      </c>
      <c r="F62" s="130" t="s">
        <v>197</v>
      </c>
      <c r="G62" s="130" t="s">
        <v>373</v>
      </c>
      <c r="H62" s="131" t="s">
        <v>598</v>
      </c>
      <c r="I62" s="129">
        <v>46186</v>
      </c>
      <c r="J62" s="130" t="s">
        <v>599</v>
      </c>
      <c r="K62" s="129">
        <v>46187</v>
      </c>
      <c r="L62" s="130" t="s">
        <v>376</v>
      </c>
      <c r="M62" s="130" t="s">
        <v>453</v>
      </c>
      <c r="N62" s="131" t="s">
        <v>379</v>
      </c>
      <c r="O62" s="130">
        <v>792</v>
      </c>
      <c r="P62" s="289">
        <v>39</v>
      </c>
      <c r="Q62" s="132">
        <f t="shared" si="377"/>
        <v>30888</v>
      </c>
      <c r="R62" s="133">
        <v>0</v>
      </c>
      <c r="S62" s="132">
        <f t="shared" si="378"/>
        <v>792</v>
      </c>
      <c r="T62" s="133">
        <v>0</v>
      </c>
      <c r="U62" s="134">
        <v>0</v>
      </c>
      <c r="V62" s="135">
        <v>0</v>
      </c>
      <c r="W62" s="134">
        <v>0</v>
      </c>
      <c r="X62" s="136">
        <v>0</v>
      </c>
      <c r="Y62" s="134">
        <v>0</v>
      </c>
      <c r="Z62" s="134">
        <v>0</v>
      </c>
      <c r="AA62" s="133">
        <v>0</v>
      </c>
      <c r="AB62" s="137">
        <f t="shared" si="379"/>
        <v>0</v>
      </c>
      <c r="AC62" s="136">
        <v>0</v>
      </c>
      <c r="AD62" s="337">
        <f t="shared" si="380"/>
        <v>39</v>
      </c>
      <c r="AE62" s="151">
        <v>0</v>
      </c>
      <c r="AF62" s="134">
        <v>0</v>
      </c>
      <c r="AG62" s="134">
        <v>0</v>
      </c>
      <c r="AH62" s="134">
        <v>0</v>
      </c>
      <c r="AI62" s="135">
        <v>0</v>
      </c>
      <c r="AJ62" s="134">
        <v>0</v>
      </c>
      <c r="AK62" s="134">
        <v>0</v>
      </c>
      <c r="AL62" s="134">
        <v>0</v>
      </c>
      <c r="AM62" s="139">
        <f t="shared" si="381"/>
        <v>30888</v>
      </c>
      <c r="AN62" s="140">
        <v>46187</v>
      </c>
      <c r="AO62" s="141" t="s">
        <v>600</v>
      </c>
      <c r="AP62" s="142" t="s">
        <v>390</v>
      </c>
      <c r="AQ62" s="143" t="s">
        <v>391</v>
      </c>
      <c r="AR62" s="143" t="s">
        <v>392</v>
      </c>
      <c r="AS62" s="130" t="s">
        <v>534</v>
      </c>
      <c r="AT62" s="144" t="s">
        <v>394</v>
      </c>
      <c r="AU62" s="144" t="s">
        <v>395</v>
      </c>
      <c r="AV62" s="145" t="s">
        <v>297</v>
      </c>
      <c r="AW62" s="143">
        <v>792</v>
      </c>
      <c r="AX62" s="316">
        <v>47</v>
      </c>
      <c r="AY62" s="143">
        <f t="shared" si="382"/>
        <v>37224</v>
      </c>
      <c r="AZ62" s="146" t="b">
        <f t="shared" si="383"/>
        <v>1</v>
      </c>
      <c r="BA62" s="132">
        <v>0</v>
      </c>
      <c r="BB62" s="147">
        <f t="shared" si="384"/>
        <v>792</v>
      </c>
      <c r="BC62" s="148">
        <v>0</v>
      </c>
      <c r="BD62" s="147" t="s">
        <v>116</v>
      </c>
      <c r="BE62" s="148">
        <v>0</v>
      </c>
      <c r="BF62" s="147">
        <v>0</v>
      </c>
      <c r="BG62" s="148">
        <v>0</v>
      </c>
      <c r="BH62" s="134">
        <v>0</v>
      </c>
      <c r="BI62" s="134">
        <v>0</v>
      </c>
      <c r="BJ62" s="135">
        <v>0</v>
      </c>
      <c r="BK62" s="132">
        <v>0</v>
      </c>
      <c r="BL62" s="143">
        <v>0</v>
      </c>
      <c r="BM62" s="134">
        <v>0</v>
      </c>
      <c r="BN62" s="149">
        <f t="shared" si="385"/>
        <v>-930.6</v>
      </c>
      <c r="BO62" s="133">
        <f t="shared" si="386"/>
        <v>36293.4</v>
      </c>
      <c r="BP62" s="139">
        <f t="shared" si="387"/>
        <v>5405.4000000000015</v>
      </c>
      <c r="BQ62" s="148" t="str">
        <f t="shared" si="388"/>
        <v>Positive Margin</v>
      </c>
      <c r="BR62" s="150" t="s">
        <v>108</v>
      </c>
      <c r="BS62" s="132">
        <f t="shared" si="389"/>
        <v>6336</v>
      </c>
      <c r="BT62" s="151" t="str">
        <f t="shared" si="390"/>
        <v>Positive Margin at Inception</v>
      </c>
      <c r="BU62" s="152">
        <f t="shared" si="391"/>
        <v>0.14893617021276598</v>
      </c>
      <c r="BV62" s="151" t="str">
        <f t="shared" si="392"/>
        <v>More than 2%</v>
      </c>
      <c r="BW62" s="132">
        <f t="shared" si="393"/>
        <v>-930.6</v>
      </c>
      <c r="BX62" s="133">
        <f t="shared" si="394"/>
        <v>0</v>
      </c>
      <c r="BY62" s="132">
        <f t="shared" si="395"/>
        <v>-930.6</v>
      </c>
      <c r="BZ62" s="153">
        <f t="shared" si="396"/>
        <v>0</v>
      </c>
      <c r="CA62" s="153">
        <f t="shared" si="397"/>
        <v>0</v>
      </c>
      <c r="CB62" s="134">
        <f t="shared" si="398"/>
        <v>0</v>
      </c>
      <c r="CC62" s="153" t="s">
        <v>369</v>
      </c>
      <c r="CD62" s="134">
        <v>0</v>
      </c>
      <c r="CE62" s="134" t="str">
        <f t="shared" si="399"/>
        <v>Jun-26</v>
      </c>
      <c r="CF62" s="134">
        <f t="shared" si="400"/>
        <v>30888</v>
      </c>
      <c r="CG62" s="134">
        <f t="shared" si="401"/>
        <v>37224</v>
      </c>
      <c r="CH62" s="134">
        <f t="shared" si="402"/>
        <v>11</v>
      </c>
      <c r="CI62" s="154" t="s">
        <v>252</v>
      </c>
      <c r="CJ62" s="134" t="s">
        <v>252</v>
      </c>
      <c r="CK62" s="134" t="str">
        <f>_xlfn.XLOOKUP(AR62,receivables!B:B,receivables!D:D)</f>
        <v>Neelesh Dixit</v>
      </c>
      <c r="CL62" s="134">
        <f t="shared" si="403"/>
        <v>6336</v>
      </c>
      <c r="CM62" s="134">
        <f t="shared" si="404"/>
        <v>6336</v>
      </c>
      <c r="CN62" s="134">
        <f t="shared" si="405"/>
        <v>5405.4000000000015</v>
      </c>
      <c r="CO62" s="134">
        <f t="shared" si="406"/>
        <v>43924.32</v>
      </c>
      <c r="CP62" s="134">
        <f t="shared" si="407"/>
        <v>-36447.839999999997</v>
      </c>
      <c r="CQ62" s="134">
        <f t="shared" si="408"/>
        <v>0</v>
      </c>
      <c r="CR62" s="134">
        <f t="shared" si="409"/>
        <v>0</v>
      </c>
      <c r="CS62" s="134">
        <f t="shared" si="410"/>
        <v>7476.4800000000032</v>
      </c>
      <c r="CT62" s="134" t="s">
        <v>296</v>
      </c>
      <c r="CU62" s="134" t="s">
        <v>296</v>
      </c>
      <c r="CV62" s="149" t="str">
        <f t="shared" si="411"/>
        <v>AAMCB5608A</v>
      </c>
      <c r="CW62" s="149" t="str">
        <f t="shared" si="412"/>
        <v>AAACD5406E</v>
      </c>
      <c r="CX62" s="149">
        <v>0</v>
      </c>
      <c r="CY62" s="149">
        <v>0</v>
      </c>
      <c r="CZ62" s="149">
        <v>0</v>
      </c>
      <c r="DA62" s="149">
        <v>0</v>
      </c>
      <c r="DB62" s="149">
        <v>0</v>
      </c>
    </row>
    <row r="63" spans="2:106" s="156" customFormat="1" ht="11.9" customHeight="1" x14ac:dyDescent="0.3">
      <c r="B63" s="127" t="str">
        <f t="shared" si="375"/>
        <v>Q1</v>
      </c>
      <c r="C63" s="128" t="str">
        <f t="shared" si="376"/>
        <v>Jun-26</v>
      </c>
      <c r="D63" s="294">
        <v>46186</v>
      </c>
      <c r="E63" s="130" t="s">
        <v>597</v>
      </c>
      <c r="F63" s="130" t="s">
        <v>197</v>
      </c>
      <c r="G63" s="130" t="s">
        <v>373</v>
      </c>
      <c r="H63" s="131" t="s">
        <v>598</v>
      </c>
      <c r="I63" s="129">
        <v>46186</v>
      </c>
      <c r="J63" s="130" t="s">
        <v>599</v>
      </c>
      <c r="K63" s="129">
        <v>46187</v>
      </c>
      <c r="L63" s="130" t="s">
        <v>376</v>
      </c>
      <c r="M63" s="130" t="s">
        <v>453</v>
      </c>
      <c r="N63" s="131" t="s">
        <v>384</v>
      </c>
      <c r="O63" s="130">
        <v>848</v>
      </c>
      <c r="P63" s="289">
        <v>49</v>
      </c>
      <c r="Q63" s="132">
        <f t="shared" si="377"/>
        <v>41552</v>
      </c>
      <c r="R63" s="133">
        <v>0</v>
      </c>
      <c r="S63" s="132">
        <f t="shared" si="378"/>
        <v>848</v>
      </c>
      <c r="T63" s="133">
        <v>0</v>
      </c>
      <c r="U63" s="134">
        <v>0</v>
      </c>
      <c r="V63" s="135">
        <v>0</v>
      </c>
      <c r="W63" s="134">
        <v>0</v>
      </c>
      <c r="X63" s="136">
        <v>0</v>
      </c>
      <c r="Y63" s="134">
        <v>0</v>
      </c>
      <c r="Z63" s="134">
        <v>0</v>
      </c>
      <c r="AA63" s="133">
        <v>0</v>
      </c>
      <c r="AB63" s="137">
        <f t="shared" si="379"/>
        <v>0</v>
      </c>
      <c r="AC63" s="136">
        <v>0</v>
      </c>
      <c r="AD63" s="337">
        <f t="shared" si="380"/>
        <v>49</v>
      </c>
      <c r="AE63" s="151">
        <v>0</v>
      </c>
      <c r="AF63" s="134">
        <v>0</v>
      </c>
      <c r="AG63" s="134">
        <v>0</v>
      </c>
      <c r="AH63" s="134">
        <v>0</v>
      </c>
      <c r="AI63" s="135">
        <v>0</v>
      </c>
      <c r="AJ63" s="134">
        <v>0</v>
      </c>
      <c r="AK63" s="134">
        <v>0</v>
      </c>
      <c r="AL63" s="134">
        <v>0</v>
      </c>
      <c r="AM63" s="139">
        <f t="shared" si="381"/>
        <v>41552</v>
      </c>
      <c r="AN63" s="140">
        <v>46187</v>
      </c>
      <c r="AO63" s="141" t="s">
        <v>600</v>
      </c>
      <c r="AP63" s="142" t="s">
        <v>390</v>
      </c>
      <c r="AQ63" s="143" t="s">
        <v>391</v>
      </c>
      <c r="AR63" s="143" t="s">
        <v>392</v>
      </c>
      <c r="AS63" s="130" t="s">
        <v>534</v>
      </c>
      <c r="AT63" s="144" t="s">
        <v>394</v>
      </c>
      <c r="AU63" s="144" t="s">
        <v>395</v>
      </c>
      <c r="AV63" s="145" t="s">
        <v>297</v>
      </c>
      <c r="AW63" s="143">
        <v>848</v>
      </c>
      <c r="AX63" s="316">
        <v>62</v>
      </c>
      <c r="AY63" s="143">
        <f t="shared" si="382"/>
        <v>52576</v>
      </c>
      <c r="AZ63" s="146" t="b">
        <f t="shared" si="383"/>
        <v>1</v>
      </c>
      <c r="BA63" s="132">
        <v>0</v>
      </c>
      <c r="BB63" s="147">
        <f t="shared" si="384"/>
        <v>848</v>
      </c>
      <c r="BC63" s="148">
        <v>0</v>
      </c>
      <c r="BD63" s="147" t="s">
        <v>116</v>
      </c>
      <c r="BE63" s="148">
        <v>0</v>
      </c>
      <c r="BF63" s="147">
        <v>0</v>
      </c>
      <c r="BG63" s="148">
        <v>0</v>
      </c>
      <c r="BH63" s="134">
        <v>0</v>
      </c>
      <c r="BI63" s="134">
        <v>0</v>
      </c>
      <c r="BJ63" s="135">
        <v>0</v>
      </c>
      <c r="BK63" s="132">
        <v>0</v>
      </c>
      <c r="BL63" s="143">
        <v>0</v>
      </c>
      <c r="BM63" s="134">
        <v>0</v>
      </c>
      <c r="BN63" s="149">
        <f t="shared" si="385"/>
        <v>-1314.4</v>
      </c>
      <c r="BO63" s="133">
        <f t="shared" si="386"/>
        <v>51261.599999999999</v>
      </c>
      <c r="BP63" s="139">
        <f t="shared" si="387"/>
        <v>9709.5999999999985</v>
      </c>
      <c r="BQ63" s="148" t="str">
        <f t="shared" si="388"/>
        <v>Positive Margin</v>
      </c>
      <c r="BR63" s="150" t="s">
        <v>108</v>
      </c>
      <c r="BS63" s="132">
        <f t="shared" si="389"/>
        <v>11024</v>
      </c>
      <c r="BT63" s="151" t="str">
        <f t="shared" si="390"/>
        <v>Positive Margin at Inception</v>
      </c>
      <c r="BU63" s="152">
        <f t="shared" si="391"/>
        <v>0.18941273779983456</v>
      </c>
      <c r="BV63" s="151" t="str">
        <f t="shared" si="392"/>
        <v>More than 2%</v>
      </c>
      <c r="BW63" s="132">
        <f t="shared" si="393"/>
        <v>-1314.4</v>
      </c>
      <c r="BX63" s="133">
        <f t="shared" si="394"/>
        <v>0</v>
      </c>
      <c r="BY63" s="132">
        <f t="shared" si="395"/>
        <v>-1314.4</v>
      </c>
      <c r="BZ63" s="153">
        <f t="shared" si="396"/>
        <v>0</v>
      </c>
      <c r="CA63" s="153">
        <f t="shared" si="397"/>
        <v>0</v>
      </c>
      <c r="CB63" s="134">
        <f t="shared" si="398"/>
        <v>0</v>
      </c>
      <c r="CC63" s="153" t="s">
        <v>369</v>
      </c>
      <c r="CD63" s="134">
        <v>0</v>
      </c>
      <c r="CE63" s="134" t="str">
        <f t="shared" si="399"/>
        <v>Jun-26</v>
      </c>
      <c r="CF63" s="134">
        <f t="shared" si="400"/>
        <v>41552</v>
      </c>
      <c r="CG63" s="134">
        <f t="shared" si="401"/>
        <v>52576</v>
      </c>
      <c r="CH63" s="134">
        <f t="shared" si="402"/>
        <v>11</v>
      </c>
      <c r="CI63" s="154" t="s">
        <v>252</v>
      </c>
      <c r="CJ63" s="134" t="s">
        <v>252</v>
      </c>
      <c r="CK63" s="134" t="str">
        <f>_xlfn.XLOOKUP(AR63,receivables!B:B,receivables!D:D)</f>
        <v>Neelesh Dixit</v>
      </c>
      <c r="CL63" s="134">
        <f t="shared" si="403"/>
        <v>11024</v>
      </c>
      <c r="CM63" s="134">
        <f t="shared" si="404"/>
        <v>11024</v>
      </c>
      <c r="CN63" s="134">
        <f t="shared" si="405"/>
        <v>9709.5999999999985</v>
      </c>
      <c r="CO63" s="134">
        <f t="shared" si="406"/>
        <v>62039.68</v>
      </c>
      <c r="CP63" s="134">
        <f t="shared" si="407"/>
        <v>-49031.360000000001</v>
      </c>
      <c r="CQ63" s="134">
        <f t="shared" si="408"/>
        <v>0</v>
      </c>
      <c r="CR63" s="134">
        <f t="shared" si="409"/>
        <v>0</v>
      </c>
      <c r="CS63" s="134">
        <f t="shared" si="410"/>
        <v>13008.32</v>
      </c>
      <c r="CT63" s="134" t="s">
        <v>296</v>
      </c>
      <c r="CU63" s="134" t="s">
        <v>296</v>
      </c>
      <c r="CV63" s="149" t="str">
        <f t="shared" si="411"/>
        <v>AAMCB5608A</v>
      </c>
      <c r="CW63" s="149" t="str">
        <f t="shared" si="412"/>
        <v>AAACD5406E</v>
      </c>
      <c r="CX63" s="149">
        <v>0</v>
      </c>
      <c r="CY63" s="149">
        <v>0</v>
      </c>
      <c r="CZ63" s="149">
        <v>0</v>
      </c>
      <c r="DA63" s="149">
        <v>0</v>
      </c>
      <c r="DB63" s="149">
        <v>0</v>
      </c>
    </row>
    <row r="64" spans="2:106" s="156" customFormat="1" ht="11.9" customHeight="1" x14ac:dyDescent="0.3">
      <c r="B64" s="127" t="str">
        <f t="shared" ref="B64:B75" si="413">"Q" &amp; IF(ROUNDUP(MONTH(D64)/3,0)-1=0,4,ROUNDUP(MONTH(D64)/3,0)-1)</f>
        <v>Q1</v>
      </c>
      <c r="C64" s="128" t="str">
        <f t="shared" ref="C64:C75" si="414">TEXT(AN64,"mmm-yy")</f>
        <v>Jun-26</v>
      </c>
      <c r="D64" s="294">
        <v>46188</v>
      </c>
      <c r="E64" s="130" t="s">
        <v>613</v>
      </c>
      <c r="F64" s="130" t="s">
        <v>197</v>
      </c>
      <c r="G64" s="130" t="s">
        <v>373</v>
      </c>
      <c r="H64" s="131" t="s">
        <v>614</v>
      </c>
      <c r="I64" s="129">
        <v>46188</v>
      </c>
      <c r="J64" s="130" t="s">
        <v>615</v>
      </c>
      <c r="K64" s="129">
        <v>46188</v>
      </c>
      <c r="L64" s="130" t="s">
        <v>376</v>
      </c>
      <c r="M64" s="130" t="s">
        <v>616</v>
      </c>
      <c r="N64" s="131" t="s">
        <v>378</v>
      </c>
      <c r="O64" s="130">
        <v>8155</v>
      </c>
      <c r="P64" s="289">
        <v>44</v>
      </c>
      <c r="Q64" s="132">
        <f t="shared" ref="Q64:Q75" si="415">O64*P64</f>
        <v>358820</v>
      </c>
      <c r="R64" s="133">
        <v>0</v>
      </c>
      <c r="S64" s="132">
        <f t="shared" ref="S64:S75" si="416">O64-R64</f>
        <v>8155</v>
      </c>
      <c r="T64" s="133">
        <v>0</v>
      </c>
      <c r="U64" s="134">
        <v>0</v>
      </c>
      <c r="V64" s="135">
        <v>0</v>
      </c>
      <c r="W64" s="134">
        <v>0</v>
      </c>
      <c r="X64" s="136">
        <v>0</v>
      </c>
      <c r="Y64" s="134">
        <v>0</v>
      </c>
      <c r="Z64" s="134">
        <v>0</v>
      </c>
      <c r="AA64" s="133">
        <v>0</v>
      </c>
      <c r="AB64" s="137">
        <f t="shared" ref="AB64:AB75" si="417">Y64+AA64+Z64</f>
        <v>0</v>
      </c>
      <c r="AC64" s="136">
        <v>0</v>
      </c>
      <c r="AD64" s="337">
        <f t="shared" ref="AD64:AD75" si="418">IFERROR((Q64+AB64)/S64,0)</f>
        <v>44</v>
      </c>
      <c r="AE64" s="151">
        <v>0</v>
      </c>
      <c r="AF64" s="134">
        <v>0</v>
      </c>
      <c r="AG64" s="134">
        <v>0</v>
      </c>
      <c r="AH64" s="134">
        <v>0</v>
      </c>
      <c r="AI64" s="135">
        <v>0</v>
      </c>
      <c r="AJ64" s="134">
        <v>0</v>
      </c>
      <c r="AK64" s="134">
        <v>0</v>
      </c>
      <c r="AL64" s="134">
        <v>0</v>
      </c>
      <c r="AM64" s="139">
        <f t="shared" ref="AM64:AM75" si="419">Q64+AB64+AL64+AK64+AJ64+T64+AE64</f>
        <v>358820</v>
      </c>
      <c r="AN64" s="140">
        <v>46188</v>
      </c>
      <c r="AO64" s="141" t="s">
        <v>628</v>
      </c>
      <c r="AP64" s="142" t="s">
        <v>629</v>
      </c>
      <c r="AQ64" s="143" t="s">
        <v>630</v>
      </c>
      <c r="AR64" s="143" t="s">
        <v>631</v>
      </c>
      <c r="AS64" s="130" t="s">
        <v>496</v>
      </c>
      <c r="AT64" s="144" t="s">
        <v>632</v>
      </c>
      <c r="AU64" s="144" t="s">
        <v>633</v>
      </c>
      <c r="AV64" s="145" t="s">
        <v>634</v>
      </c>
      <c r="AW64" s="143">
        <v>8155</v>
      </c>
      <c r="AX64" s="316">
        <v>57</v>
      </c>
      <c r="AY64" s="143">
        <f t="shared" ref="AY64:AY75" si="420">AW64*AX64</f>
        <v>464835</v>
      </c>
      <c r="AZ64" s="146" t="b">
        <f t="shared" ref="AZ64:AZ75" si="421">AW64=O64</f>
        <v>1</v>
      </c>
      <c r="BA64" s="132">
        <v>0</v>
      </c>
      <c r="BB64" s="147">
        <f t="shared" ref="BB64:BB75" si="422">AW64-BA64</f>
        <v>8155</v>
      </c>
      <c r="BC64" s="148">
        <v>0</v>
      </c>
      <c r="BD64" s="147" t="s">
        <v>116</v>
      </c>
      <c r="BE64" s="148">
        <v>0</v>
      </c>
      <c r="BF64" s="147">
        <v>0</v>
      </c>
      <c r="BG64" s="148">
        <v>0</v>
      </c>
      <c r="BH64" s="134">
        <v>0</v>
      </c>
      <c r="BI64" s="134">
        <v>0</v>
      </c>
      <c r="BJ64" s="135">
        <v>0</v>
      </c>
      <c r="BK64" s="132">
        <v>0</v>
      </c>
      <c r="BL64" s="143">
        <v>0</v>
      </c>
      <c r="BM64" s="134">
        <v>0</v>
      </c>
      <c r="BN64" s="149">
        <f t="shared" ref="BN64:BN75" si="423">AY64*$BM$3</f>
        <v>-11620.875</v>
      </c>
      <c r="BO64" s="133">
        <f t="shared" ref="BO64:BO75" si="424">AY64+BL64+BM64+BN64+BC64+BG64</f>
        <v>453214.125</v>
      </c>
      <c r="BP64" s="139">
        <f t="shared" ref="BP64:BP75" si="425">BO64-AM64</f>
        <v>94394.125</v>
      </c>
      <c r="BQ64" s="148" t="str">
        <f t="shared" ref="BQ64:BQ75" si="426">IF(BP64&gt;=0,"Positive Margin","Negative Margin")</f>
        <v>Positive Margin</v>
      </c>
      <c r="BR64" s="150" t="s">
        <v>108</v>
      </c>
      <c r="BS64" s="132">
        <f t="shared" ref="BS64:BS75" si="427">AY64-Y64-Q64-AA64-T64+BC64</f>
        <v>106015</v>
      </c>
      <c r="BT64" s="151" t="str">
        <f t="shared" ref="BT64:BT75" si="428">IF(BS64&lt;0, "Negative Margin at Inception", "Positive Margin at Inception")</f>
        <v>Positive Margin at Inception</v>
      </c>
      <c r="BU64" s="152">
        <f t="shared" ref="BU64:BU75" si="429">IFERROR(BP64/BO64,"0")</f>
        <v>0.20827710301394511</v>
      </c>
      <c r="BV64" s="151" t="str">
        <f t="shared" ref="BV64:BV75" si="430">IF(BU64&lt;1%,"Less Than 1%",IF(BU64&gt;2%,"More than 2%",IF(BU64&gt;=1%,"1% - 2%")))</f>
        <v>More than 2%</v>
      </c>
      <c r="BW64" s="132">
        <f t="shared" ref="BW64:BW75" si="431">BM64+BN64</f>
        <v>-11620.875</v>
      </c>
      <c r="BX64" s="133">
        <f t="shared" ref="BX64:BX75" si="432">AL64+AK64</f>
        <v>0</v>
      </c>
      <c r="BY64" s="132">
        <f t="shared" ref="BY64:BY75" si="433">BW64-BX64</f>
        <v>-11620.875</v>
      </c>
      <c r="BZ64" s="153">
        <f t="shared" ref="BZ64:BZ75" si="434">BM64</f>
        <v>0</v>
      </c>
      <c r="CA64" s="153">
        <f t="shared" ref="CA64:CA75" si="435">AK64</f>
        <v>0</v>
      </c>
      <c r="CB64" s="134">
        <f t="shared" ref="CB64:CB75" si="436">BZ64-CA64</f>
        <v>0</v>
      </c>
      <c r="CC64" s="153" t="s">
        <v>369</v>
      </c>
      <c r="CD64" s="134">
        <v>0</v>
      </c>
      <c r="CE64" s="134" t="str">
        <f t="shared" ref="CE64:CE75" si="437">TEXT(AN64,"mmm-yy")</f>
        <v>Jun-26</v>
      </c>
      <c r="CF64" s="134">
        <f t="shared" ref="CF64:CF75" si="438">AM64-AL64-AA64</f>
        <v>358820</v>
      </c>
      <c r="CG64" s="134">
        <f t="shared" ref="CG64:CG75" si="439">BO64-BN64</f>
        <v>464835</v>
      </c>
      <c r="CH64" s="134">
        <f t="shared" ref="CH64:CH75" si="440">INT((D64- IF(MONTH(D64) &gt;= 4, DATE(YEAR(D64), 4, 1), DATE(YEAR(D64)-1, 4, 1))) / 7) + 1</f>
        <v>11</v>
      </c>
      <c r="CI64" s="154" t="s">
        <v>252</v>
      </c>
      <c r="CJ64" s="134" t="s">
        <v>252</v>
      </c>
      <c r="CK64" s="134">
        <f>_xlfn.XLOOKUP(AR64,receivables!B:B,receivables!D:D)</f>
        <v>0</v>
      </c>
      <c r="CL64" s="134">
        <f t="shared" ref="CL64:CL75" si="441">AY64-Q64</f>
        <v>106015</v>
      </c>
      <c r="CM64" s="134">
        <f t="shared" ref="CM64:CM75" si="442">CL64-Y64+Z64</f>
        <v>106015</v>
      </c>
      <c r="CN64" s="134">
        <f t="shared" ref="CN64:CN75" si="443">BO64-AM64</f>
        <v>94394.125</v>
      </c>
      <c r="CO64" s="134">
        <f t="shared" ref="CO64:CO75" si="444">AY64*118%</f>
        <v>548505.29999999993</v>
      </c>
      <c r="CP64" s="134">
        <f t="shared" ref="CP64:CP75" si="445">-Q64*118%</f>
        <v>-423407.6</v>
      </c>
      <c r="CQ64" s="134">
        <f t="shared" ref="CQ64:CQ75" si="446">-BZ64*118%</f>
        <v>0</v>
      </c>
      <c r="CR64" s="134">
        <f t="shared" ref="CR64:CR75" si="447">-CA64*118%</f>
        <v>0</v>
      </c>
      <c r="CS64" s="134">
        <f t="shared" ref="CS64:CS75" si="448">SUM(CO64:CR64)</f>
        <v>125097.69999999995</v>
      </c>
      <c r="CT64" s="134" t="s">
        <v>296</v>
      </c>
      <c r="CU64" s="134" t="s">
        <v>296</v>
      </c>
      <c r="CV64" s="149" t="str">
        <f t="shared" ref="CV64:CV75" si="449">MID(G64,3,10)</f>
        <v>AAMCB5608A</v>
      </c>
      <c r="CW64" s="149" t="str">
        <f t="shared" ref="CW64:CW75" si="450">MID(AR64,3,10)</f>
        <v>AAICN2675D</v>
      </c>
      <c r="CX64" s="149">
        <v>0</v>
      </c>
      <c r="CY64" s="149">
        <v>0</v>
      </c>
      <c r="CZ64" s="149">
        <v>0</v>
      </c>
      <c r="DA64" s="149">
        <v>0</v>
      </c>
      <c r="DB64" s="149">
        <v>0</v>
      </c>
    </row>
    <row r="65" spans="2:106" s="156" customFormat="1" ht="11.9" customHeight="1" x14ac:dyDescent="0.3">
      <c r="B65" s="127" t="str">
        <f t="shared" si="413"/>
        <v>Q1</v>
      </c>
      <c r="C65" s="128" t="str">
        <f t="shared" si="414"/>
        <v>Jun-26</v>
      </c>
      <c r="D65" s="294">
        <v>46188</v>
      </c>
      <c r="E65" s="130" t="s">
        <v>613</v>
      </c>
      <c r="F65" s="130" t="s">
        <v>197</v>
      </c>
      <c r="G65" s="130" t="s">
        <v>373</v>
      </c>
      <c r="H65" s="131" t="s">
        <v>614</v>
      </c>
      <c r="I65" s="129">
        <v>46188</v>
      </c>
      <c r="J65" s="130" t="s">
        <v>615</v>
      </c>
      <c r="K65" s="129">
        <v>46188</v>
      </c>
      <c r="L65" s="130" t="s">
        <v>376</v>
      </c>
      <c r="M65" s="130" t="s">
        <v>616</v>
      </c>
      <c r="N65" s="131" t="s">
        <v>379</v>
      </c>
      <c r="O65" s="130">
        <v>340</v>
      </c>
      <c r="P65" s="289">
        <v>39</v>
      </c>
      <c r="Q65" s="132">
        <f t="shared" si="415"/>
        <v>13260</v>
      </c>
      <c r="R65" s="133">
        <v>0</v>
      </c>
      <c r="S65" s="132">
        <f t="shared" si="416"/>
        <v>340</v>
      </c>
      <c r="T65" s="133">
        <v>0</v>
      </c>
      <c r="U65" s="134">
        <v>0</v>
      </c>
      <c r="V65" s="135">
        <v>0</v>
      </c>
      <c r="W65" s="134">
        <v>0</v>
      </c>
      <c r="X65" s="136">
        <v>0</v>
      </c>
      <c r="Y65" s="134">
        <v>0</v>
      </c>
      <c r="Z65" s="134">
        <v>0</v>
      </c>
      <c r="AA65" s="133">
        <v>0</v>
      </c>
      <c r="AB65" s="137">
        <f t="shared" si="417"/>
        <v>0</v>
      </c>
      <c r="AC65" s="136">
        <v>0</v>
      </c>
      <c r="AD65" s="337">
        <f t="shared" si="418"/>
        <v>39</v>
      </c>
      <c r="AE65" s="151">
        <v>0</v>
      </c>
      <c r="AF65" s="134">
        <v>0</v>
      </c>
      <c r="AG65" s="134">
        <v>0</v>
      </c>
      <c r="AH65" s="134">
        <v>0</v>
      </c>
      <c r="AI65" s="135">
        <v>0</v>
      </c>
      <c r="AJ65" s="134">
        <v>0</v>
      </c>
      <c r="AK65" s="134">
        <v>0</v>
      </c>
      <c r="AL65" s="134">
        <v>0</v>
      </c>
      <c r="AM65" s="139">
        <f t="shared" si="419"/>
        <v>13260</v>
      </c>
      <c r="AN65" s="140">
        <v>46188</v>
      </c>
      <c r="AO65" s="141" t="s">
        <v>628</v>
      </c>
      <c r="AP65" s="142" t="s">
        <v>629</v>
      </c>
      <c r="AQ65" s="143" t="s">
        <v>630</v>
      </c>
      <c r="AR65" s="143" t="s">
        <v>631</v>
      </c>
      <c r="AS65" s="130" t="s">
        <v>496</v>
      </c>
      <c r="AT65" s="144" t="s">
        <v>632</v>
      </c>
      <c r="AU65" s="144" t="s">
        <v>633</v>
      </c>
      <c r="AV65" s="145" t="s">
        <v>634</v>
      </c>
      <c r="AW65" s="143">
        <v>340</v>
      </c>
      <c r="AX65" s="316">
        <v>47</v>
      </c>
      <c r="AY65" s="143">
        <f t="shared" si="420"/>
        <v>15980</v>
      </c>
      <c r="AZ65" s="146" t="b">
        <f t="shared" si="421"/>
        <v>1</v>
      </c>
      <c r="BA65" s="132">
        <v>0</v>
      </c>
      <c r="BB65" s="147">
        <f t="shared" si="422"/>
        <v>340</v>
      </c>
      <c r="BC65" s="148">
        <v>0</v>
      </c>
      <c r="BD65" s="147" t="s">
        <v>116</v>
      </c>
      <c r="BE65" s="148">
        <v>0</v>
      </c>
      <c r="BF65" s="147">
        <v>0</v>
      </c>
      <c r="BG65" s="148">
        <v>0</v>
      </c>
      <c r="BH65" s="134">
        <v>0</v>
      </c>
      <c r="BI65" s="134">
        <v>0</v>
      </c>
      <c r="BJ65" s="135">
        <v>0</v>
      </c>
      <c r="BK65" s="132">
        <v>0</v>
      </c>
      <c r="BL65" s="143">
        <v>0</v>
      </c>
      <c r="BM65" s="134">
        <v>0</v>
      </c>
      <c r="BN65" s="149">
        <f t="shared" si="423"/>
        <v>-399.5</v>
      </c>
      <c r="BO65" s="133">
        <f t="shared" si="424"/>
        <v>15580.5</v>
      </c>
      <c r="BP65" s="139">
        <f t="shared" si="425"/>
        <v>2320.5</v>
      </c>
      <c r="BQ65" s="148" t="str">
        <f t="shared" si="426"/>
        <v>Positive Margin</v>
      </c>
      <c r="BR65" s="150" t="s">
        <v>108</v>
      </c>
      <c r="BS65" s="132">
        <f t="shared" si="427"/>
        <v>2720</v>
      </c>
      <c r="BT65" s="151" t="str">
        <f t="shared" si="428"/>
        <v>Positive Margin at Inception</v>
      </c>
      <c r="BU65" s="152">
        <f t="shared" si="429"/>
        <v>0.14893617021276595</v>
      </c>
      <c r="BV65" s="151" t="str">
        <f t="shared" si="430"/>
        <v>More than 2%</v>
      </c>
      <c r="BW65" s="132">
        <f t="shared" si="431"/>
        <v>-399.5</v>
      </c>
      <c r="BX65" s="133">
        <f t="shared" si="432"/>
        <v>0</v>
      </c>
      <c r="BY65" s="132">
        <f t="shared" si="433"/>
        <v>-399.5</v>
      </c>
      <c r="BZ65" s="153">
        <f t="shared" si="434"/>
        <v>0</v>
      </c>
      <c r="CA65" s="153">
        <f t="shared" si="435"/>
        <v>0</v>
      </c>
      <c r="CB65" s="134">
        <f t="shared" si="436"/>
        <v>0</v>
      </c>
      <c r="CC65" s="153" t="s">
        <v>369</v>
      </c>
      <c r="CD65" s="134">
        <v>0</v>
      </c>
      <c r="CE65" s="134" t="str">
        <f t="shared" si="437"/>
        <v>Jun-26</v>
      </c>
      <c r="CF65" s="134">
        <f t="shared" si="438"/>
        <v>13260</v>
      </c>
      <c r="CG65" s="134">
        <f t="shared" si="439"/>
        <v>15980</v>
      </c>
      <c r="CH65" s="134">
        <f t="shared" si="440"/>
        <v>11</v>
      </c>
      <c r="CI65" s="154" t="s">
        <v>252</v>
      </c>
      <c r="CJ65" s="134" t="s">
        <v>252</v>
      </c>
      <c r="CK65" s="134">
        <f>_xlfn.XLOOKUP(AR65,receivables!B:B,receivables!D:D)</f>
        <v>0</v>
      </c>
      <c r="CL65" s="134">
        <f t="shared" si="441"/>
        <v>2720</v>
      </c>
      <c r="CM65" s="134">
        <f t="shared" si="442"/>
        <v>2720</v>
      </c>
      <c r="CN65" s="134">
        <f t="shared" si="443"/>
        <v>2320.5</v>
      </c>
      <c r="CO65" s="134">
        <f t="shared" si="444"/>
        <v>18856.399999999998</v>
      </c>
      <c r="CP65" s="134">
        <f t="shared" si="445"/>
        <v>-15646.8</v>
      </c>
      <c r="CQ65" s="134">
        <f t="shared" si="446"/>
        <v>0</v>
      </c>
      <c r="CR65" s="134">
        <f t="shared" si="447"/>
        <v>0</v>
      </c>
      <c r="CS65" s="134">
        <f t="shared" si="448"/>
        <v>3209.5999999999985</v>
      </c>
      <c r="CT65" s="134" t="s">
        <v>296</v>
      </c>
      <c r="CU65" s="134" t="s">
        <v>296</v>
      </c>
      <c r="CV65" s="149" t="str">
        <f t="shared" si="449"/>
        <v>AAMCB5608A</v>
      </c>
      <c r="CW65" s="149" t="str">
        <f t="shared" si="450"/>
        <v>AAICN2675D</v>
      </c>
      <c r="CX65" s="149">
        <v>0</v>
      </c>
      <c r="CY65" s="149">
        <v>0</v>
      </c>
      <c r="CZ65" s="149">
        <v>0</v>
      </c>
      <c r="DA65" s="149">
        <v>0</v>
      </c>
      <c r="DB65" s="149">
        <v>0</v>
      </c>
    </row>
    <row r="66" spans="2:106" s="156" customFormat="1" ht="11.9" customHeight="1" x14ac:dyDescent="0.3">
      <c r="B66" s="127" t="str">
        <f t="shared" si="413"/>
        <v>Q1</v>
      </c>
      <c r="C66" s="128" t="str">
        <f t="shared" si="414"/>
        <v>Jun-26</v>
      </c>
      <c r="D66" s="294">
        <v>46188</v>
      </c>
      <c r="E66" s="130" t="s">
        <v>613</v>
      </c>
      <c r="F66" s="130" t="s">
        <v>197</v>
      </c>
      <c r="G66" s="130" t="s">
        <v>373</v>
      </c>
      <c r="H66" s="131" t="s">
        <v>614</v>
      </c>
      <c r="I66" s="129">
        <v>46188</v>
      </c>
      <c r="J66" s="130" t="s">
        <v>615</v>
      </c>
      <c r="K66" s="129">
        <v>46188</v>
      </c>
      <c r="L66" s="130" t="s">
        <v>376</v>
      </c>
      <c r="M66" s="130" t="s">
        <v>616</v>
      </c>
      <c r="N66" s="131" t="s">
        <v>384</v>
      </c>
      <c r="O66" s="130">
        <v>445</v>
      </c>
      <c r="P66" s="289">
        <v>44</v>
      </c>
      <c r="Q66" s="132">
        <f t="shared" si="415"/>
        <v>19580</v>
      </c>
      <c r="R66" s="133">
        <v>0</v>
      </c>
      <c r="S66" s="132">
        <f t="shared" si="416"/>
        <v>445</v>
      </c>
      <c r="T66" s="133">
        <v>0</v>
      </c>
      <c r="U66" s="134">
        <v>0</v>
      </c>
      <c r="V66" s="135">
        <v>0</v>
      </c>
      <c r="W66" s="134">
        <v>0</v>
      </c>
      <c r="X66" s="136">
        <v>0</v>
      </c>
      <c r="Y66" s="134">
        <v>0</v>
      </c>
      <c r="Z66" s="134">
        <v>0</v>
      </c>
      <c r="AA66" s="133">
        <v>0</v>
      </c>
      <c r="AB66" s="137">
        <f t="shared" si="417"/>
        <v>0</v>
      </c>
      <c r="AC66" s="136">
        <v>0</v>
      </c>
      <c r="AD66" s="337">
        <f t="shared" si="418"/>
        <v>44</v>
      </c>
      <c r="AE66" s="151">
        <v>0</v>
      </c>
      <c r="AF66" s="134">
        <v>0</v>
      </c>
      <c r="AG66" s="134">
        <v>0</v>
      </c>
      <c r="AH66" s="134">
        <v>0</v>
      </c>
      <c r="AI66" s="135">
        <v>0</v>
      </c>
      <c r="AJ66" s="134">
        <v>0</v>
      </c>
      <c r="AK66" s="134">
        <v>0</v>
      </c>
      <c r="AL66" s="134">
        <v>0</v>
      </c>
      <c r="AM66" s="139">
        <f t="shared" si="419"/>
        <v>19580</v>
      </c>
      <c r="AN66" s="140">
        <v>46188</v>
      </c>
      <c r="AO66" s="141" t="s">
        <v>628</v>
      </c>
      <c r="AP66" s="142" t="s">
        <v>629</v>
      </c>
      <c r="AQ66" s="143" t="s">
        <v>630</v>
      </c>
      <c r="AR66" s="143" t="s">
        <v>631</v>
      </c>
      <c r="AS66" s="130" t="s">
        <v>496</v>
      </c>
      <c r="AT66" s="144" t="s">
        <v>632</v>
      </c>
      <c r="AU66" s="144" t="s">
        <v>633</v>
      </c>
      <c r="AV66" s="145" t="s">
        <v>634</v>
      </c>
      <c r="AW66" s="143">
        <v>445</v>
      </c>
      <c r="AX66" s="316">
        <v>62</v>
      </c>
      <c r="AY66" s="143">
        <f t="shared" si="420"/>
        <v>27590</v>
      </c>
      <c r="AZ66" s="146" t="b">
        <f t="shared" si="421"/>
        <v>1</v>
      </c>
      <c r="BA66" s="132">
        <v>0</v>
      </c>
      <c r="BB66" s="147">
        <f t="shared" si="422"/>
        <v>445</v>
      </c>
      <c r="BC66" s="148">
        <v>0</v>
      </c>
      <c r="BD66" s="147" t="s">
        <v>116</v>
      </c>
      <c r="BE66" s="148">
        <v>0</v>
      </c>
      <c r="BF66" s="147">
        <v>0</v>
      </c>
      <c r="BG66" s="148">
        <v>0</v>
      </c>
      <c r="BH66" s="134">
        <v>0</v>
      </c>
      <c r="BI66" s="134">
        <v>0</v>
      </c>
      <c r="BJ66" s="135">
        <v>0</v>
      </c>
      <c r="BK66" s="132">
        <v>0</v>
      </c>
      <c r="BL66" s="143">
        <v>0</v>
      </c>
      <c r="BM66" s="134">
        <v>0</v>
      </c>
      <c r="BN66" s="149">
        <f t="shared" si="423"/>
        <v>-689.75</v>
      </c>
      <c r="BO66" s="133">
        <f t="shared" si="424"/>
        <v>26900.25</v>
      </c>
      <c r="BP66" s="139">
        <f t="shared" si="425"/>
        <v>7320.25</v>
      </c>
      <c r="BQ66" s="148" t="str">
        <f t="shared" si="426"/>
        <v>Positive Margin</v>
      </c>
      <c r="BR66" s="150" t="s">
        <v>108</v>
      </c>
      <c r="BS66" s="132">
        <f t="shared" si="427"/>
        <v>8010</v>
      </c>
      <c r="BT66" s="151" t="str">
        <f t="shared" si="428"/>
        <v>Positive Margin at Inception</v>
      </c>
      <c r="BU66" s="152">
        <f t="shared" si="429"/>
        <v>0.27212572373862698</v>
      </c>
      <c r="BV66" s="151" t="str">
        <f t="shared" si="430"/>
        <v>More than 2%</v>
      </c>
      <c r="BW66" s="132">
        <f t="shared" si="431"/>
        <v>-689.75</v>
      </c>
      <c r="BX66" s="133">
        <f t="shared" si="432"/>
        <v>0</v>
      </c>
      <c r="BY66" s="132">
        <f t="shared" si="433"/>
        <v>-689.75</v>
      </c>
      <c r="BZ66" s="153">
        <f t="shared" si="434"/>
        <v>0</v>
      </c>
      <c r="CA66" s="153">
        <f t="shared" si="435"/>
        <v>0</v>
      </c>
      <c r="CB66" s="134">
        <f t="shared" si="436"/>
        <v>0</v>
      </c>
      <c r="CC66" s="153" t="s">
        <v>369</v>
      </c>
      <c r="CD66" s="134">
        <v>0</v>
      </c>
      <c r="CE66" s="134" t="str">
        <f t="shared" si="437"/>
        <v>Jun-26</v>
      </c>
      <c r="CF66" s="134">
        <f t="shared" si="438"/>
        <v>19580</v>
      </c>
      <c r="CG66" s="134">
        <f t="shared" si="439"/>
        <v>27590</v>
      </c>
      <c r="CH66" s="134">
        <f t="shared" si="440"/>
        <v>11</v>
      </c>
      <c r="CI66" s="154" t="s">
        <v>252</v>
      </c>
      <c r="CJ66" s="134" t="s">
        <v>252</v>
      </c>
      <c r="CK66" s="134">
        <f>_xlfn.XLOOKUP(AR66,receivables!B:B,receivables!D:D)</f>
        <v>0</v>
      </c>
      <c r="CL66" s="134">
        <f t="shared" si="441"/>
        <v>8010</v>
      </c>
      <c r="CM66" s="134">
        <f t="shared" si="442"/>
        <v>8010</v>
      </c>
      <c r="CN66" s="134">
        <f t="shared" si="443"/>
        <v>7320.25</v>
      </c>
      <c r="CO66" s="134">
        <f t="shared" si="444"/>
        <v>32556.199999999997</v>
      </c>
      <c r="CP66" s="134">
        <f t="shared" si="445"/>
        <v>-23104.399999999998</v>
      </c>
      <c r="CQ66" s="134">
        <f t="shared" si="446"/>
        <v>0</v>
      </c>
      <c r="CR66" s="134">
        <f t="shared" si="447"/>
        <v>0</v>
      </c>
      <c r="CS66" s="134">
        <f t="shared" si="448"/>
        <v>9451.7999999999993</v>
      </c>
      <c r="CT66" s="134" t="s">
        <v>296</v>
      </c>
      <c r="CU66" s="134" t="s">
        <v>296</v>
      </c>
      <c r="CV66" s="149" t="str">
        <f t="shared" si="449"/>
        <v>AAMCB5608A</v>
      </c>
      <c r="CW66" s="149" t="str">
        <f t="shared" si="450"/>
        <v>AAICN2675D</v>
      </c>
      <c r="CX66" s="149">
        <v>0</v>
      </c>
      <c r="CY66" s="149">
        <v>0</v>
      </c>
      <c r="CZ66" s="149">
        <v>0</v>
      </c>
      <c r="DA66" s="149">
        <v>0</v>
      </c>
      <c r="DB66" s="149">
        <v>0</v>
      </c>
    </row>
    <row r="67" spans="2:106" s="156" customFormat="1" ht="11.9" customHeight="1" x14ac:dyDescent="0.3">
      <c r="B67" s="127" t="str">
        <f t="shared" si="413"/>
        <v>Q1</v>
      </c>
      <c r="C67" s="128" t="str">
        <f t="shared" si="414"/>
        <v>Jun-26</v>
      </c>
      <c r="D67" s="294">
        <v>46188</v>
      </c>
      <c r="E67" s="130" t="s">
        <v>617</v>
      </c>
      <c r="F67" s="130" t="s">
        <v>197</v>
      </c>
      <c r="G67" s="130" t="s">
        <v>373</v>
      </c>
      <c r="H67" s="131" t="s">
        <v>618</v>
      </c>
      <c r="I67" s="129">
        <v>46188</v>
      </c>
      <c r="J67" s="130" t="s">
        <v>619</v>
      </c>
      <c r="K67" s="129">
        <v>46188</v>
      </c>
      <c r="L67" s="130" t="s">
        <v>376</v>
      </c>
      <c r="M67" s="130" t="s">
        <v>620</v>
      </c>
      <c r="N67" s="131" t="s">
        <v>378</v>
      </c>
      <c r="O67" s="130">
        <v>9225</v>
      </c>
      <c r="P67" s="289">
        <v>44</v>
      </c>
      <c r="Q67" s="132">
        <f t="shared" si="415"/>
        <v>405900</v>
      </c>
      <c r="R67" s="133">
        <v>0</v>
      </c>
      <c r="S67" s="132">
        <f t="shared" si="416"/>
        <v>9225</v>
      </c>
      <c r="T67" s="133">
        <v>0</v>
      </c>
      <c r="U67" s="134">
        <v>0</v>
      </c>
      <c r="V67" s="135">
        <v>0</v>
      </c>
      <c r="W67" s="134">
        <v>0</v>
      </c>
      <c r="X67" s="136">
        <v>0</v>
      </c>
      <c r="Y67" s="134">
        <v>0</v>
      </c>
      <c r="Z67" s="134">
        <v>0</v>
      </c>
      <c r="AA67" s="133">
        <v>0</v>
      </c>
      <c r="AB67" s="137">
        <f t="shared" si="417"/>
        <v>0</v>
      </c>
      <c r="AC67" s="136">
        <v>0</v>
      </c>
      <c r="AD67" s="337">
        <f t="shared" si="418"/>
        <v>44</v>
      </c>
      <c r="AE67" s="151">
        <v>0</v>
      </c>
      <c r="AF67" s="134">
        <v>0</v>
      </c>
      <c r="AG67" s="134">
        <v>0</v>
      </c>
      <c r="AH67" s="134">
        <v>0</v>
      </c>
      <c r="AI67" s="135">
        <v>0</v>
      </c>
      <c r="AJ67" s="134">
        <v>0</v>
      </c>
      <c r="AK67" s="134">
        <v>0</v>
      </c>
      <c r="AL67" s="134">
        <v>0</v>
      </c>
      <c r="AM67" s="139">
        <f t="shared" si="419"/>
        <v>405900</v>
      </c>
      <c r="AN67" s="140">
        <v>46188</v>
      </c>
      <c r="AO67" s="141" t="s">
        <v>635</v>
      </c>
      <c r="AP67" s="142" t="s">
        <v>390</v>
      </c>
      <c r="AQ67" s="143" t="s">
        <v>391</v>
      </c>
      <c r="AR67" s="143" t="s">
        <v>392</v>
      </c>
      <c r="AS67" s="130" t="s">
        <v>534</v>
      </c>
      <c r="AT67" s="144" t="s">
        <v>394</v>
      </c>
      <c r="AU67" s="144" t="s">
        <v>395</v>
      </c>
      <c r="AV67" s="145" t="s">
        <v>297</v>
      </c>
      <c r="AW67" s="143">
        <v>9225</v>
      </c>
      <c r="AX67" s="316">
        <v>57</v>
      </c>
      <c r="AY67" s="143">
        <f t="shared" si="420"/>
        <v>525825</v>
      </c>
      <c r="AZ67" s="146" t="b">
        <f t="shared" si="421"/>
        <v>1</v>
      </c>
      <c r="BA67" s="132">
        <v>0</v>
      </c>
      <c r="BB67" s="147">
        <f t="shared" si="422"/>
        <v>9225</v>
      </c>
      <c r="BC67" s="148">
        <v>0</v>
      </c>
      <c r="BD67" s="147" t="s">
        <v>116</v>
      </c>
      <c r="BE67" s="148">
        <v>0</v>
      </c>
      <c r="BF67" s="147">
        <v>0</v>
      </c>
      <c r="BG67" s="148">
        <v>0</v>
      </c>
      <c r="BH67" s="134">
        <v>0</v>
      </c>
      <c r="BI67" s="134">
        <v>0</v>
      </c>
      <c r="BJ67" s="135">
        <v>0</v>
      </c>
      <c r="BK67" s="132">
        <v>0</v>
      </c>
      <c r="BL67" s="143">
        <v>0</v>
      </c>
      <c r="BM67" s="134">
        <v>0</v>
      </c>
      <c r="BN67" s="149">
        <f t="shared" si="423"/>
        <v>-13145.625</v>
      </c>
      <c r="BO67" s="133">
        <f t="shared" si="424"/>
        <v>512679.375</v>
      </c>
      <c r="BP67" s="139">
        <f t="shared" si="425"/>
        <v>106779.375</v>
      </c>
      <c r="BQ67" s="148" t="str">
        <f t="shared" si="426"/>
        <v>Positive Margin</v>
      </c>
      <c r="BR67" s="150" t="s">
        <v>108</v>
      </c>
      <c r="BS67" s="132">
        <f t="shared" si="427"/>
        <v>119925</v>
      </c>
      <c r="BT67" s="151" t="str">
        <f t="shared" si="428"/>
        <v>Positive Margin at Inception</v>
      </c>
      <c r="BU67" s="152">
        <f t="shared" si="429"/>
        <v>0.20827710301394511</v>
      </c>
      <c r="BV67" s="151" t="str">
        <f t="shared" si="430"/>
        <v>More than 2%</v>
      </c>
      <c r="BW67" s="132">
        <f t="shared" si="431"/>
        <v>-13145.625</v>
      </c>
      <c r="BX67" s="133">
        <f t="shared" si="432"/>
        <v>0</v>
      </c>
      <c r="BY67" s="132">
        <f t="shared" si="433"/>
        <v>-13145.625</v>
      </c>
      <c r="BZ67" s="153">
        <f t="shared" si="434"/>
        <v>0</v>
      </c>
      <c r="CA67" s="153">
        <f t="shared" si="435"/>
        <v>0</v>
      </c>
      <c r="CB67" s="134">
        <f t="shared" si="436"/>
        <v>0</v>
      </c>
      <c r="CC67" s="153" t="s">
        <v>369</v>
      </c>
      <c r="CD67" s="134">
        <v>0</v>
      </c>
      <c r="CE67" s="134" t="str">
        <f t="shared" si="437"/>
        <v>Jun-26</v>
      </c>
      <c r="CF67" s="134">
        <f t="shared" si="438"/>
        <v>405900</v>
      </c>
      <c r="CG67" s="134">
        <f t="shared" si="439"/>
        <v>525825</v>
      </c>
      <c r="CH67" s="134">
        <f t="shared" si="440"/>
        <v>11</v>
      </c>
      <c r="CI67" s="154" t="s">
        <v>252</v>
      </c>
      <c r="CJ67" s="134" t="s">
        <v>252</v>
      </c>
      <c r="CK67" s="134" t="str">
        <f>_xlfn.XLOOKUP(AR67,receivables!B:B,receivables!D:D)</f>
        <v>Neelesh Dixit</v>
      </c>
      <c r="CL67" s="134">
        <f t="shared" si="441"/>
        <v>119925</v>
      </c>
      <c r="CM67" s="134">
        <f t="shared" si="442"/>
        <v>119925</v>
      </c>
      <c r="CN67" s="134">
        <f t="shared" si="443"/>
        <v>106779.375</v>
      </c>
      <c r="CO67" s="134">
        <f t="shared" si="444"/>
        <v>620473.5</v>
      </c>
      <c r="CP67" s="134">
        <f t="shared" si="445"/>
        <v>-478962</v>
      </c>
      <c r="CQ67" s="134">
        <f t="shared" si="446"/>
        <v>0</v>
      </c>
      <c r="CR67" s="134">
        <f t="shared" si="447"/>
        <v>0</v>
      </c>
      <c r="CS67" s="134">
        <f t="shared" si="448"/>
        <v>141511.5</v>
      </c>
      <c r="CT67" s="134" t="s">
        <v>296</v>
      </c>
      <c r="CU67" s="134" t="s">
        <v>296</v>
      </c>
      <c r="CV67" s="149" t="str">
        <f t="shared" si="449"/>
        <v>AAMCB5608A</v>
      </c>
      <c r="CW67" s="149" t="str">
        <f t="shared" si="450"/>
        <v>AAACD5406E</v>
      </c>
      <c r="CX67" s="149">
        <v>0</v>
      </c>
      <c r="CY67" s="149">
        <v>0</v>
      </c>
      <c r="CZ67" s="149">
        <v>0</v>
      </c>
      <c r="DA67" s="149">
        <v>0</v>
      </c>
      <c r="DB67" s="149">
        <v>0</v>
      </c>
    </row>
    <row r="68" spans="2:106" s="156" customFormat="1" ht="11.9" customHeight="1" x14ac:dyDescent="0.3">
      <c r="B68" s="127" t="str">
        <f t="shared" si="413"/>
        <v>Q1</v>
      </c>
      <c r="C68" s="128" t="str">
        <f t="shared" si="414"/>
        <v>Jun-26</v>
      </c>
      <c r="D68" s="294">
        <v>46188</v>
      </c>
      <c r="E68" s="130" t="s">
        <v>617</v>
      </c>
      <c r="F68" s="130" t="s">
        <v>197</v>
      </c>
      <c r="G68" s="130" t="s">
        <v>373</v>
      </c>
      <c r="H68" s="131" t="s">
        <v>618</v>
      </c>
      <c r="I68" s="129">
        <v>46188</v>
      </c>
      <c r="J68" s="130" t="s">
        <v>619</v>
      </c>
      <c r="K68" s="129">
        <v>46188</v>
      </c>
      <c r="L68" s="130" t="s">
        <v>376</v>
      </c>
      <c r="M68" s="130" t="s">
        <v>620</v>
      </c>
      <c r="N68" s="131" t="s">
        <v>379</v>
      </c>
      <c r="O68" s="130">
        <v>660</v>
      </c>
      <c r="P68" s="289">
        <v>39</v>
      </c>
      <c r="Q68" s="132">
        <f t="shared" si="415"/>
        <v>25740</v>
      </c>
      <c r="R68" s="133">
        <v>0</v>
      </c>
      <c r="S68" s="132">
        <f t="shared" si="416"/>
        <v>660</v>
      </c>
      <c r="T68" s="133">
        <v>0</v>
      </c>
      <c r="U68" s="134">
        <v>0</v>
      </c>
      <c r="V68" s="135">
        <v>0</v>
      </c>
      <c r="W68" s="134">
        <v>0</v>
      </c>
      <c r="X68" s="136">
        <v>0</v>
      </c>
      <c r="Y68" s="134">
        <v>0</v>
      </c>
      <c r="Z68" s="134">
        <v>0</v>
      </c>
      <c r="AA68" s="133">
        <v>0</v>
      </c>
      <c r="AB68" s="137">
        <f t="shared" si="417"/>
        <v>0</v>
      </c>
      <c r="AC68" s="136">
        <v>0</v>
      </c>
      <c r="AD68" s="337">
        <f t="shared" si="418"/>
        <v>39</v>
      </c>
      <c r="AE68" s="151">
        <v>0</v>
      </c>
      <c r="AF68" s="134">
        <v>0</v>
      </c>
      <c r="AG68" s="134">
        <v>0</v>
      </c>
      <c r="AH68" s="134">
        <v>0</v>
      </c>
      <c r="AI68" s="135">
        <v>0</v>
      </c>
      <c r="AJ68" s="134">
        <v>0</v>
      </c>
      <c r="AK68" s="134">
        <v>0</v>
      </c>
      <c r="AL68" s="134">
        <v>0</v>
      </c>
      <c r="AM68" s="139">
        <f t="shared" si="419"/>
        <v>25740</v>
      </c>
      <c r="AN68" s="140">
        <v>46188</v>
      </c>
      <c r="AO68" s="141" t="s">
        <v>635</v>
      </c>
      <c r="AP68" s="142" t="s">
        <v>390</v>
      </c>
      <c r="AQ68" s="143" t="s">
        <v>391</v>
      </c>
      <c r="AR68" s="143" t="s">
        <v>392</v>
      </c>
      <c r="AS68" s="130" t="s">
        <v>534</v>
      </c>
      <c r="AT68" s="144" t="s">
        <v>394</v>
      </c>
      <c r="AU68" s="144" t="s">
        <v>395</v>
      </c>
      <c r="AV68" s="145" t="s">
        <v>297</v>
      </c>
      <c r="AW68" s="143">
        <v>660</v>
      </c>
      <c r="AX68" s="316">
        <v>47</v>
      </c>
      <c r="AY68" s="143">
        <f t="shared" si="420"/>
        <v>31020</v>
      </c>
      <c r="AZ68" s="146" t="b">
        <f t="shared" si="421"/>
        <v>1</v>
      </c>
      <c r="BA68" s="132">
        <v>0</v>
      </c>
      <c r="BB68" s="147">
        <f t="shared" si="422"/>
        <v>660</v>
      </c>
      <c r="BC68" s="148">
        <v>0</v>
      </c>
      <c r="BD68" s="147" t="s">
        <v>116</v>
      </c>
      <c r="BE68" s="148">
        <v>0</v>
      </c>
      <c r="BF68" s="147">
        <v>0</v>
      </c>
      <c r="BG68" s="148">
        <v>0</v>
      </c>
      <c r="BH68" s="134">
        <v>0</v>
      </c>
      <c r="BI68" s="134">
        <v>0</v>
      </c>
      <c r="BJ68" s="135">
        <v>0</v>
      </c>
      <c r="BK68" s="132">
        <v>0</v>
      </c>
      <c r="BL68" s="143">
        <v>0</v>
      </c>
      <c r="BM68" s="134">
        <v>0</v>
      </c>
      <c r="BN68" s="149">
        <f t="shared" si="423"/>
        <v>-775.5</v>
      </c>
      <c r="BO68" s="133">
        <f t="shared" si="424"/>
        <v>30244.5</v>
      </c>
      <c r="BP68" s="139">
        <f t="shared" si="425"/>
        <v>4504.5</v>
      </c>
      <c r="BQ68" s="148" t="str">
        <f t="shared" si="426"/>
        <v>Positive Margin</v>
      </c>
      <c r="BR68" s="150" t="s">
        <v>108</v>
      </c>
      <c r="BS68" s="132">
        <f t="shared" si="427"/>
        <v>5280</v>
      </c>
      <c r="BT68" s="151" t="str">
        <f t="shared" si="428"/>
        <v>Positive Margin at Inception</v>
      </c>
      <c r="BU68" s="152">
        <f t="shared" si="429"/>
        <v>0.14893617021276595</v>
      </c>
      <c r="BV68" s="151" t="str">
        <f t="shared" si="430"/>
        <v>More than 2%</v>
      </c>
      <c r="BW68" s="132">
        <f t="shared" si="431"/>
        <v>-775.5</v>
      </c>
      <c r="BX68" s="133">
        <f t="shared" si="432"/>
        <v>0</v>
      </c>
      <c r="BY68" s="132">
        <f t="shared" si="433"/>
        <v>-775.5</v>
      </c>
      <c r="BZ68" s="153">
        <f t="shared" si="434"/>
        <v>0</v>
      </c>
      <c r="CA68" s="153">
        <f t="shared" si="435"/>
        <v>0</v>
      </c>
      <c r="CB68" s="134">
        <f t="shared" si="436"/>
        <v>0</v>
      </c>
      <c r="CC68" s="153" t="s">
        <v>369</v>
      </c>
      <c r="CD68" s="134">
        <v>0</v>
      </c>
      <c r="CE68" s="134" t="str">
        <f t="shared" si="437"/>
        <v>Jun-26</v>
      </c>
      <c r="CF68" s="134">
        <f t="shared" si="438"/>
        <v>25740</v>
      </c>
      <c r="CG68" s="134">
        <f t="shared" si="439"/>
        <v>31020</v>
      </c>
      <c r="CH68" s="134">
        <f t="shared" si="440"/>
        <v>11</v>
      </c>
      <c r="CI68" s="154" t="s">
        <v>252</v>
      </c>
      <c r="CJ68" s="134" t="s">
        <v>252</v>
      </c>
      <c r="CK68" s="134" t="str">
        <f>_xlfn.XLOOKUP(AR68,receivables!B:B,receivables!D:D)</f>
        <v>Neelesh Dixit</v>
      </c>
      <c r="CL68" s="134">
        <f t="shared" si="441"/>
        <v>5280</v>
      </c>
      <c r="CM68" s="134">
        <f t="shared" si="442"/>
        <v>5280</v>
      </c>
      <c r="CN68" s="134">
        <f t="shared" si="443"/>
        <v>4504.5</v>
      </c>
      <c r="CO68" s="134">
        <f t="shared" si="444"/>
        <v>36603.599999999999</v>
      </c>
      <c r="CP68" s="134">
        <f t="shared" si="445"/>
        <v>-30373.199999999997</v>
      </c>
      <c r="CQ68" s="134">
        <f t="shared" si="446"/>
        <v>0</v>
      </c>
      <c r="CR68" s="134">
        <f t="shared" si="447"/>
        <v>0</v>
      </c>
      <c r="CS68" s="134">
        <f t="shared" si="448"/>
        <v>6230.4000000000015</v>
      </c>
      <c r="CT68" s="134" t="s">
        <v>296</v>
      </c>
      <c r="CU68" s="134" t="s">
        <v>296</v>
      </c>
      <c r="CV68" s="149" t="str">
        <f t="shared" si="449"/>
        <v>AAMCB5608A</v>
      </c>
      <c r="CW68" s="149" t="str">
        <f t="shared" si="450"/>
        <v>AAACD5406E</v>
      </c>
      <c r="CX68" s="149">
        <v>0</v>
      </c>
      <c r="CY68" s="149">
        <v>0</v>
      </c>
      <c r="CZ68" s="149">
        <v>0</v>
      </c>
      <c r="DA68" s="149">
        <v>0</v>
      </c>
      <c r="DB68" s="149">
        <v>0</v>
      </c>
    </row>
    <row r="69" spans="2:106" s="156" customFormat="1" ht="11.9" customHeight="1" x14ac:dyDescent="0.3">
      <c r="B69" s="127" t="str">
        <f t="shared" si="413"/>
        <v>Q1</v>
      </c>
      <c r="C69" s="128" t="str">
        <f t="shared" si="414"/>
        <v>Jun-26</v>
      </c>
      <c r="D69" s="294">
        <v>46188</v>
      </c>
      <c r="E69" s="130" t="s">
        <v>617</v>
      </c>
      <c r="F69" s="130" t="s">
        <v>197</v>
      </c>
      <c r="G69" s="130" t="s">
        <v>373</v>
      </c>
      <c r="H69" s="131" t="s">
        <v>618</v>
      </c>
      <c r="I69" s="129">
        <v>46188</v>
      </c>
      <c r="J69" s="130" t="s">
        <v>619</v>
      </c>
      <c r="K69" s="129">
        <v>46188</v>
      </c>
      <c r="L69" s="130" t="s">
        <v>376</v>
      </c>
      <c r="M69" s="130" t="s">
        <v>620</v>
      </c>
      <c r="N69" s="131" t="s">
        <v>384</v>
      </c>
      <c r="O69" s="130">
        <v>590</v>
      </c>
      <c r="P69" s="289">
        <v>44</v>
      </c>
      <c r="Q69" s="132">
        <f t="shared" si="415"/>
        <v>25960</v>
      </c>
      <c r="R69" s="133">
        <v>0</v>
      </c>
      <c r="S69" s="132">
        <f t="shared" si="416"/>
        <v>590</v>
      </c>
      <c r="T69" s="133">
        <v>0</v>
      </c>
      <c r="U69" s="134">
        <v>0</v>
      </c>
      <c r="V69" s="135">
        <v>0</v>
      </c>
      <c r="W69" s="134">
        <v>0</v>
      </c>
      <c r="X69" s="136">
        <v>0</v>
      </c>
      <c r="Y69" s="134">
        <v>0</v>
      </c>
      <c r="Z69" s="134">
        <v>0</v>
      </c>
      <c r="AA69" s="133">
        <v>0</v>
      </c>
      <c r="AB69" s="137">
        <f t="shared" si="417"/>
        <v>0</v>
      </c>
      <c r="AC69" s="136">
        <v>0</v>
      </c>
      <c r="AD69" s="337">
        <f t="shared" si="418"/>
        <v>44</v>
      </c>
      <c r="AE69" s="151">
        <v>0</v>
      </c>
      <c r="AF69" s="134">
        <v>0</v>
      </c>
      <c r="AG69" s="134">
        <v>0</v>
      </c>
      <c r="AH69" s="134">
        <v>0</v>
      </c>
      <c r="AI69" s="135">
        <v>0</v>
      </c>
      <c r="AJ69" s="134">
        <v>0</v>
      </c>
      <c r="AK69" s="134">
        <v>0</v>
      </c>
      <c r="AL69" s="134">
        <v>0</v>
      </c>
      <c r="AM69" s="139">
        <f t="shared" si="419"/>
        <v>25960</v>
      </c>
      <c r="AN69" s="140">
        <v>46188</v>
      </c>
      <c r="AO69" s="141" t="s">
        <v>635</v>
      </c>
      <c r="AP69" s="142" t="s">
        <v>390</v>
      </c>
      <c r="AQ69" s="143" t="s">
        <v>391</v>
      </c>
      <c r="AR69" s="143" t="s">
        <v>392</v>
      </c>
      <c r="AS69" s="130" t="s">
        <v>534</v>
      </c>
      <c r="AT69" s="144" t="s">
        <v>394</v>
      </c>
      <c r="AU69" s="144" t="s">
        <v>395</v>
      </c>
      <c r="AV69" s="145" t="s">
        <v>297</v>
      </c>
      <c r="AW69" s="143">
        <v>590</v>
      </c>
      <c r="AX69" s="316">
        <v>62</v>
      </c>
      <c r="AY69" s="143">
        <f t="shared" si="420"/>
        <v>36580</v>
      </c>
      <c r="AZ69" s="146" t="b">
        <f t="shared" si="421"/>
        <v>1</v>
      </c>
      <c r="BA69" s="132">
        <v>0</v>
      </c>
      <c r="BB69" s="147">
        <f t="shared" si="422"/>
        <v>590</v>
      </c>
      <c r="BC69" s="148">
        <v>0</v>
      </c>
      <c r="BD69" s="147" t="s">
        <v>116</v>
      </c>
      <c r="BE69" s="148">
        <v>0</v>
      </c>
      <c r="BF69" s="147">
        <v>0</v>
      </c>
      <c r="BG69" s="148">
        <v>0</v>
      </c>
      <c r="BH69" s="134">
        <v>0</v>
      </c>
      <c r="BI69" s="134">
        <v>0</v>
      </c>
      <c r="BJ69" s="135">
        <v>0</v>
      </c>
      <c r="BK69" s="132">
        <v>0</v>
      </c>
      <c r="BL69" s="143">
        <v>0</v>
      </c>
      <c r="BM69" s="134">
        <v>0</v>
      </c>
      <c r="BN69" s="149">
        <f t="shared" si="423"/>
        <v>-914.5</v>
      </c>
      <c r="BO69" s="133">
        <f t="shared" si="424"/>
        <v>35665.5</v>
      </c>
      <c r="BP69" s="139">
        <f t="shared" si="425"/>
        <v>9705.5</v>
      </c>
      <c r="BQ69" s="148" t="str">
        <f t="shared" si="426"/>
        <v>Positive Margin</v>
      </c>
      <c r="BR69" s="150" t="s">
        <v>108</v>
      </c>
      <c r="BS69" s="132">
        <f t="shared" si="427"/>
        <v>10620</v>
      </c>
      <c r="BT69" s="151" t="str">
        <f t="shared" si="428"/>
        <v>Positive Margin at Inception</v>
      </c>
      <c r="BU69" s="152">
        <f t="shared" si="429"/>
        <v>0.27212572373862698</v>
      </c>
      <c r="BV69" s="151" t="str">
        <f t="shared" si="430"/>
        <v>More than 2%</v>
      </c>
      <c r="BW69" s="132">
        <f t="shared" si="431"/>
        <v>-914.5</v>
      </c>
      <c r="BX69" s="133">
        <f t="shared" si="432"/>
        <v>0</v>
      </c>
      <c r="BY69" s="132">
        <f t="shared" si="433"/>
        <v>-914.5</v>
      </c>
      <c r="BZ69" s="153">
        <f t="shared" si="434"/>
        <v>0</v>
      </c>
      <c r="CA69" s="153">
        <f t="shared" si="435"/>
        <v>0</v>
      </c>
      <c r="CB69" s="134">
        <f t="shared" si="436"/>
        <v>0</v>
      </c>
      <c r="CC69" s="153" t="s">
        <v>369</v>
      </c>
      <c r="CD69" s="134">
        <v>0</v>
      </c>
      <c r="CE69" s="134" t="str">
        <f t="shared" si="437"/>
        <v>Jun-26</v>
      </c>
      <c r="CF69" s="134">
        <f t="shared" si="438"/>
        <v>25960</v>
      </c>
      <c r="CG69" s="134">
        <f t="shared" si="439"/>
        <v>36580</v>
      </c>
      <c r="CH69" s="134">
        <f t="shared" si="440"/>
        <v>11</v>
      </c>
      <c r="CI69" s="154" t="s">
        <v>252</v>
      </c>
      <c r="CJ69" s="134" t="s">
        <v>252</v>
      </c>
      <c r="CK69" s="134" t="str">
        <f>_xlfn.XLOOKUP(AR69,receivables!B:B,receivables!D:D)</f>
        <v>Neelesh Dixit</v>
      </c>
      <c r="CL69" s="134">
        <f t="shared" si="441"/>
        <v>10620</v>
      </c>
      <c r="CM69" s="134">
        <f t="shared" si="442"/>
        <v>10620</v>
      </c>
      <c r="CN69" s="134">
        <f t="shared" si="443"/>
        <v>9705.5</v>
      </c>
      <c r="CO69" s="134">
        <f t="shared" si="444"/>
        <v>43164.399999999994</v>
      </c>
      <c r="CP69" s="134">
        <f t="shared" si="445"/>
        <v>-30632.799999999999</v>
      </c>
      <c r="CQ69" s="134">
        <f t="shared" si="446"/>
        <v>0</v>
      </c>
      <c r="CR69" s="134">
        <f t="shared" si="447"/>
        <v>0</v>
      </c>
      <c r="CS69" s="134">
        <f t="shared" si="448"/>
        <v>12531.599999999995</v>
      </c>
      <c r="CT69" s="134" t="s">
        <v>296</v>
      </c>
      <c r="CU69" s="134" t="s">
        <v>296</v>
      </c>
      <c r="CV69" s="149" t="str">
        <f t="shared" si="449"/>
        <v>AAMCB5608A</v>
      </c>
      <c r="CW69" s="149" t="str">
        <f t="shared" si="450"/>
        <v>AAACD5406E</v>
      </c>
      <c r="CX69" s="149">
        <v>0</v>
      </c>
      <c r="CY69" s="149">
        <v>0</v>
      </c>
      <c r="CZ69" s="149">
        <v>0</v>
      </c>
      <c r="DA69" s="149">
        <v>0</v>
      </c>
      <c r="DB69" s="149">
        <v>0</v>
      </c>
    </row>
    <row r="70" spans="2:106" s="156" customFormat="1" ht="11.9" customHeight="1" x14ac:dyDescent="0.3">
      <c r="B70" s="127" t="str">
        <f t="shared" si="413"/>
        <v>Q1</v>
      </c>
      <c r="C70" s="128" t="str">
        <f t="shared" si="414"/>
        <v>Jun-26</v>
      </c>
      <c r="D70" s="294">
        <v>46192</v>
      </c>
      <c r="E70" s="130" t="s">
        <v>621</v>
      </c>
      <c r="F70" s="130" t="s">
        <v>197</v>
      </c>
      <c r="G70" s="130" t="s">
        <v>373</v>
      </c>
      <c r="H70" s="131" t="s">
        <v>622</v>
      </c>
      <c r="I70" s="129">
        <v>46192</v>
      </c>
      <c r="J70" s="130" t="s">
        <v>623</v>
      </c>
      <c r="K70" s="129">
        <v>46192</v>
      </c>
      <c r="L70" s="130" t="s">
        <v>376</v>
      </c>
      <c r="M70" s="130" t="s">
        <v>624</v>
      </c>
      <c r="N70" s="131" t="s">
        <v>378</v>
      </c>
      <c r="O70" s="130">
        <v>8564</v>
      </c>
      <c r="P70" s="289">
        <v>43</v>
      </c>
      <c r="Q70" s="132">
        <f t="shared" si="415"/>
        <v>368252</v>
      </c>
      <c r="R70" s="133">
        <v>0</v>
      </c>
      <c r="S70" s="132">
        <f t="shared" si="416"/>
        <v>8564</v>
      </c>
      <c r="T70" s="133">
        <v>0</v>
      </c>
      <c r="U70" s="134">
        <v>0</v>
      </c>
      <c r="V70" s="135">
        <v>0</v>
      </c>
      <c r="W70" s="134">
        <v>0</v>
      </c>
      <c r="X70" s="136">
        <v>0</v>
      </c>
      <c r="Y70" s="134">
        <v>0</v>
      </c>
      <c r="Z70" s="134">
        <v>0</v>
      </c>
      <c r="AA70" s="133">
        <v>0</v>
      </c>
      <c r="AB70" s="137">
        <f t="shared" si="417"/>
        <v>0</v>
      </c>
      <c r="AC70" s="136">
        <v>0</v>
      </c>
      <c r="AD70" s="337">
        <f t="shared" si="418"/>
        <v>43</v>
      </c>
      <c r="AE70" s="151">
        <v>0</v>
      </c>
      <c r="AF70" s="134">
        <v>0</v>
      </c>
      <c r="AG70" s="134">
        <v>0</v>
      </c>
      <c r="AH70" s="134">
        <v>0</v>
      </c>
      <c r="AI70" s="135">
        <v>0</v>
      </c>
      <c r="AJ70" s="134">
        <v>0</v>
      </c>
      <c r="AK70" s="134">
        <v>0</v>
      </c>
      <c r="AL70" s="134">
        <v>0</v>
      </c>
      <c r="AM70" s="139">
        <f t="shared" si="419"/>
        <v>368252</v>
      </c>
      <c r="AN70" s="140">
        <v>46192</v>
      </c>
      <c r="AO70" s="141" t="s">
        <v>636</v>
      </c>
      <c r="AP70" s="142" t="s">
        <v>629</v>
      </c>
      <c r="AQ70" s="143" t="s">
        <v>630</v>
      </c>
      <c r="AR70" s="143" t="s">
        <v>631</v>
      </c>
      <c r="AS70" s="130" t="s">
        <v>496</v>
      </c>
      <c r="AT70" s="144" t="s">
        <v>632</v>
      </c>
      <c r="AU70" s="144" t="s">
        <v>633</v>
      </c>
      <c r="AV70" s="145" t="s">
        <v>637</v>
      </c>
      <c r="AW70" s="143">
        <v>8564</v>
      </c>
      <c r="AX70" s="316">
        <v>57</v>
      </c>
      <c r="AY70" s="143">
        <f t="shared" si="420"/>
        <v>488148</v>
      </c>
      <c r="AZ70" s="146" t="b">
        <f t="shared" si="421"/>
        <v>1</v>
      </c>
      <c r="BA70" s="132">
        <v>0</v>
      </c>
      <c r="BB70" s="147">
        <f t="shared" si="422"/>
        <v>8564</v>
      </c>
      <c r="BC70" s="148">
        <v>0</v>
      </c>
      <c r="BD70" s="147" t="s">
        <v>116</v>
      </c>
      <c r="BE70" s="148">
        <v>0</v>
      </c>
      <c r="BF70" s="147">
        <v>0</v>
      </c>
      <c r="BG70" s="148">
        <v>0</v>
      </c>
      <c r="BH70" s="134">
        <v>0</v>
      </c>
      <c r="BI70" s="134">
        <v>0</v>
      </c>
      <c r="BJ70" s="135">
        <v>0</v>
      </c>
      <c r="BK70" s="132">
        <v>0</v>
      </c>
      <c r="BL70" s="143">
        <v>0</v>
      </c>
      <c r="BM70" s="134">
        <v>0</v>
      </c>
      <c r="BN70" s="149">
        <f t="shared" si="423"/>
        <v>-12203.7</v>
      </c>
      <c r="BO70" s="133">
        <f t="shared" si="424"/>
        <v>475944.3</v>
      </c>
      <c r="BP70" s="139">
        <f t="shared" si="425"/>
        <v>107692.29999999999</v>
      </c>
      <c r="BQ70" s="148" t="str">
        <f t="shared" si="426"/>
        <v>Positive Margin</v>
      </c>
      <c r="BR70" s="150" t="s">
        <v>108</v>
      </c>
      <c r="BS70" s="132">
        <f t="shared" si="427"/>
        <v>119896</v>
      </c>
      <c r="BT70" s="151" t="str">
        <f t="shared" si="428"/>
        <v>Positive Margin at Inception</v>
      </c>
      <c r="BU70" s="152">
        <f t="shared" si="429"/>
        <v>0.22627080521817361</v>
      </c>
      <c r="BV70" s="151" t="str">
        <f t="shared" si="430"/>
        <v>More than 2%</v>
      </c>
      <c r="BW70" s="132">
        <f t="shared" si="431"/>
        <v>-12203.7</v>
      </c>
      <c r="BX70" s="133">
        <f t="shared" si="432"/>
        <v>0</v>
      </c>
      <c r="BY70" s="132">
        <f t="shared" si="433"/>
        <v>-12203.7</v>
      </c>
      <c r="BZ70" s="153">
        <f t="shared" si="434"/>
        <v>0</v>
      </c>
      <c r="CA70" s="153">
        <f t="shared" si="435"/>
        <v>0</v>
      </c>
      <c r="CB70" s="134">
        <f t="shared" si="436"/>
        <v>0</v>
      </c>
      <c r="CC70" s="153" t="s">
        <v>369</v>
      </c>
      <c r="CD70" s="134">
        <v>0</v>
      </c>
      <c r="CE70" s="134" t="str">
        <f t="shared" si="437"/>
        <v>Jun-26</v>
      </c>
      <c r="CF70" s="134">
        <f t="shared" si="438"/>
        <v>368252</v>
      </c>
      <c r="CG70" s="134">
        <f t="shared" si="439"/>
        <v>488148</v>
      </c>
      <c r="CH70" s="134">
        <f t="shared" si="440"/>
        <v>12</v>
      </c>
      <c r="CI70" s="154" t="s">
        <v>252</v>
      </c>
      <c r="CJ70" s="134" t="s">
        <v>252</v>
      </c>
      <c r="CK70" s="134">
        <f>_xlfn.XLOOKUP(AR70,receivables!B:B,receivables!D:D)</f>
        <v>0</v>
      </c>
      <c r="CL70" s="134">
        <f t="shared" si="441"/>
        <v>119896</v>
      </c>
      <c r="CM70" s="134">
        <f t="shared" si="442"/>
        <v>119896</v>
      </c>
      <c r="CN70" s="134">
        <f t="shared" si="443"/>
        <v>107692.29999999999</v>
      </c>
      <c r="CO70" s="134">
        <f t="shared" si="444"/>
        <v>576014.64</v>
      </c>
      <c r="CP70" s="134">
        <f t="shared" si="445"/>
        <v>-434537.36</v>
      </c>
      <c r="CQ70" s="134">
        <f t="shared" si="446"/>
        <v>0</v>
      </c>
      <c r="CR70" s="134">
        <f t="shared" si="447"/>
        <v>0</v>
      </c>
      <c r="CS70" s="134">
        <f t="shared" si="448"/>
        <v>141477.28000000003</v>
      </c>
      <c r="CT70" s="134" t="s">
        <v>296</v>
      </c>
      <c r="CU70" s="134" t="s">
        <v>296</v>
      </c>
      <c r="CV70" s="149" t="str">
        <f t="shared" si="449"/>
        <v>AAMCB5608A</v>
      </c>
      <c r="CW70" s="149" t="str">
        <f t="shared" si="450"/>
        <v>AAICN2675D</v>
      </c>
      <c r="CX70" s="149">
        <v>0</v>
      </c>
      <c r="CY70" s="149">
        <v>0</v>
      </c>
      <c r="CZ70" s="149">
        <v>0</v>
      </c>
      <c r="DA70" s="149">
        <v>0</v>
      </c>
      <c r="DB70" s="149">
        <v>0</v>
      </c>
    </row>
    <row r="71" spans="2:106" s="156" customFormat="1" ht="11.9" customHeight="1" x14ac:dyDescent="0.3">
      <c r="B71" s="127" t="str">
        <f t="shared" si="413"/>
        <v>Q1</v>
      </c>
      <c r="C71" s="128" t="str">
        <f t="shared" si="414"/>
        <v>Jun-26</v>
      </c>
      <c r="D71" s="294">
        <v>46192</v>
      </c>
      <c r="E71" s="130" t="s">
        <v>621</v>
      </c>
      <c r="F71" s="130" t="s">
        <v>197</v>
      </c>
      <c r="G71" s="130" t="s">
        <v>373</v>
      </c>
      <c r="H71" s="131" t="s">
        <v>622</v>
      </c>
      <c r="I71" s="129">
        <v>46192</v>
      </c>
      <c r="J71" s="130" t="s">
        <v>623</v>
      </c>
      <c r="K71" s="129">
        <v>46192</v>
      </c>
      <c r="L71" s="130" t="s">
        <v>376</v>
      </c>
      <c r="M71" s="130" t="s">
        <v>624</v>
      </c>
      <c r="N71" s="131" t="s">
        <v>379</v>
      </c>
      <c r="O71" s="130">
        <v>859</v>
      </c>
      <c r="P71" s="289">
        <v>38</v>
      </c>
      <c r="Q71" s="132">
        <f t="shared" si="415"/>
        <v>32642</v>
      </c>
      <c r="R71" s="133">
        <v>0</v>
      </c>
      <c r="S71" s="132">
        <f t="shared" si="416"/>
        <v>859</v>
      </c>
      <c r="T71" s="133">
        <v>0</v>
      </c>
      <c r="U71" s="134">
        <v>0</v>
      </c>
      <c r="V71" s="135">
        <v>0</v>
      </c>
      <c r="W71" s="134">
        <v>0</v>
      </c>
      <c r="X71" s="136">
        <v>0</v>
      </c>
      <c r="Y71" s="134">
        <v>0</v>
      </c>
      <c r="Z71" s="134">
        <v>0</v>
      </c>
      <c r="AA71" s="133">
        <v>0</v>
      </c>
      <c r="AB71" s="137">
        <f t="shared" si="417"/>
        <v>0</v>
      </c>
      <c r="AC71" s="136">
        <v>0</v>
      </c>
      <c r="AD71" s="337">
        <f t="shared" si="418"/>
        <v>38</v>
      </c>
      <c r="AE71" s="151">
        <v>0</v>
      </c>
      <c r="AF71" s="134">
        <v>0</v>
      </c>
      <c r="AG71" s="134">
        <v>0</v>
      </c>
      <c r="AH71" s="134">
        <v>0</v>
      </c>
      <c r="AI71" s="135">
        <v>0</v>
      </c>
      <c r="AJ71" s="134">
        <v>0</v>
      </c>
      <c r="AK71" s="134">
        <v>0</v>
      </c>
      <c r="AL71" s="134">
        <v>0</v>
      </c>
      <c r="AM71" s="139">
        <f t="shared" si="419"/>
        <v>32642</v>
      </c>
      <c r="AN71" s="140">
        <v>46192</v>
      </c>
      <c r="AO71" s="141" t="s">
        <v>636</v>
      </c>
      <c r="AP71" s="142" t="s">
        <v>629</v>
      </c>
      <c r="AQ71" s="143" t="s">
        <v>630</v>
      </c>
      <c r="AR71" s="143" t="s">
        <v>631</v>
      </c>
      <c r="AS71" s="130" t="s">
        <v>496</v>
      </c>
      <c r="AT71" s="144" t="s">
        <v>632</v>
      </c>
      <c r="AU71" s="144" t="s">
        <v>633</v>
      </c>
      <c r="AV71" s="145" t="s">
        <v>637</v>
      </c>
      <c r="AW71" s="143">
        <v>859</v>
      </c>
      <c r="AX71" s="316">
        <v>47</v>
      </c>
      <c r="AY71" s="143">
        <f t="shared" si="420"/>
        <v>40373</v>
      </c>
      <c r="AZ71" s="146" t="b">
        <f t="shared" si="421"/>
        <v>1</v>
      </c>
      <c r="BA71" s="132">
        <v>0</v>
      </c>
      <c r="BB71" s="147">
        <f t="shared" si="422"/>
        <v>859</v>
      </c>
      <c r="BC71" s="148">
        <v>0</v>
      </c>
      <c r="BD71" s="147" t="s">
        <v>116</v>
      </c>
      <c r="BE71" s="148">
        <v>0</v>
      </c>
      <c r="BF71" s="147">
        <v>0</v>
      </c>
      <c r="BG71" s="148">
        <v>0</v>
      </c>
      <c r="BH71" s="134">
        <v>0</v>
      </c>
      <c r="BI71" s="134">
        <v>0</v>
      </c>
      <c r="BJ71" s="135">
        <v>0</v>
      </c>
      <c r="BK71" s="132">
        <v>0</v>
      </c>
      <c r="BL71" s="143">
        <v>0</v>
      </c>
      <c r="BM71" s="134">
        <v>0</v>
      </c>
      <c r="BN71" s="149">
        <f t="shared" si="423"/>
        <v>-1009.325</v>
      </c>
      <c r="BO71" s="133">
        <f t="shared" si="424"/>
        <v>39363.675000000003</v>
      </c>
      <c r="BP71" s="139">
        <f t="shared" si="425"/>
        <v>6721.6750000000029</v>
      </c>
      <c r="BQ71" s="148" t="str">
        <f t="shared" si="426"/>
        <v>Positive Margin</v>
      </c>
      <c r="BR71" s="150" t="s">
        <v>108</v>
      </c>
      <c r="BS71" s="132">
        <f t="shared" si="427"/>
        <v>7731</v>
      </c>
      <c r="BT71" s="151" t="str">
        <f t="shared" si="428"/>
        <v>Positive Margin at Inception</v>
      </c>
      <c r="BU71" s="152">
        <f t="shared" si="429"/>
        <v>0.17075831969448996</v>
      </c>
      <c r="BV71" s="151" t="str">
        <f t="shared" si="430"/>
        <v>More than 2%</v>
      </c>
      <c r="BW71" s="132">
        <f t="shared" si="431"/>
        <v>-1009.325</v>
      </c>
      <c r="BX71" s="133">
        <f t="shared" si="432"/>
        <v>0</v>
      </c>
      <c r="BY71" s="132">
        <f t="shared" si="433"/>
        <v>-1009.325</v>
      </c>
      <c r="BZ71" s="153">
        <f t="shared" si="434"/>
        <v>0</v>
      </c>
      <c r="CA71" s="153">
        <f t="shared" si="435"/>
        <v>0</v>
      </c>
      <c r="CB71" s="134">
        <f t="shared" si="436"/>
        <v>0</v>
      </c>
      <c r="CC71" s="153" t="s">
        <v>369</v>
      </c>
      <c r="CD71" s="134">
        <v>0</v>
      </c>
      <c r="CE71" s="134" t="str">
        <f t="shared" si="437"/>
        <v>Jun-26</v>
      </c>
      <c r="CF71" s="134">
        <f t="shared" si="438"/>
        <v>32642</v>
      </c>
      <c r="CG71" s="134">
        <f t="shared" si="439"/>
        <v>40373</v>
      </c>
      <c r="CH71" s="134">
        <f t="shared" si="440"/>
        <v>12</v>
      </c>
      <c r="CI71" s="154" t="s">
        <v>252</v>
      </c>
      <c r="CJ71" s="134" t="s">
        <v>252</v>
      </c>
      <c r="CK71" s="134">
        <f>_xlfn.XLOOKUP(AR71,receivables!B:B,receivables!D:D)</f>
        <v>0</v>
      </c>
      <c r="CL71" s="134">
        <f t="shared" si="441"/>
        <v>7731</v>
      </c>
      <c r="CM71" s="134">
        <f t="shared" si="442"/>
        <v>7731</v>
      </c>
      <c r="CN71" s="134">
        <f t="shared" si="443"/>
        <v>6721.6750000000029</v>
      </c>
      <c r="CO71" s="134">
        <f t="shared" si="444"/>
        <v>47640.14</v>
      </c>
      <c r="CP71" s="134">
        <f t="shared" si="445"/>
        <v>-38517.56</v>
      </c>
      <c r="CQ71" s="134">
        <f t="shared" si="446"/>
        <v>0</v>
      </c>
      <c r="CR71" s="134">
        <f t="shared" si="447"/>
        <v>0</v>
      </c>
      <c r="CS71" s="134">
        <f t="shared" si="448"/>
        <v>9122.5800000000017</v>
      </c>
      <c r="CT71" s="134" t="s">
        <v>296</v>
      </c>
      <c r="CU71" s="134" t="s">
        <v>296</v>
      </c>
      <c r="CV71" s="149" t="str">
        <f t="shared" si="449"/>
        <v>AAMCB5608A</v>
      </c>
      <c r="CW71" s="149" t="str">
        <f t="shared" si="450"/>
        <v>AAICN2675D</v>
      </c>
      <c r="CX71" s="149">
        <v>0</v>
      </c>
      <c r="CY71" s="149">
        <v>0</v>
      </c>
      <c r="CZ71" s="149">
        <v>0</v>
      </c>
      <c r="DA71" s="149">
        <v>0</v>
      </c>
      <c r="DB71" s="149">
        <v>0</v>
      </c>
    </row>
    <row r="72" spans="2:106" s="156" customFormat="1" ht="11.9" customHeight="1" x14ac:dyDescent="0.3">
      <c r="B72" s="127" t="str">
        <f t="shared" si="413"/>
        <v>Q1</v>
      </c>
      <c r="C72" s="128" t="str">
        <f t="shared" si="414"/>
        <v>Jun-26</v>
      </c>
      <c r="D72" s="294">
        <v>46192</v>
      </c>
      <c r="E72" s="130" t="s">
        <v>621</v>
      </c>
      <c r="F72" s="130" t="s">
        <v>197</v>
      </c>
      <c r="G72" s="130" t="s">
        <v>373</v>
      </c>
      <c r="H72" s="131" t="s">
        <v>622</v>
      </c>
      <c r="I72" s="129">
        <v>46192</v>
      </c>
      <c r="J72" s="130" t="s">
        <v>623</v>
      </c>
      <c r="K72" s="129">
        <v>46192</v>
      </c>
      <c r="L72" s="130" t="s">
        <v>376</v>
      </c>
      <c r="M72" s="130" t="s">
        <v>624</v>
      </c>
      <c r="N72" s="131" t="s">
        <v>384</v>
      </c>
      <c r="O72" s="130">
        <v>752</v>
      </c>
      <c r="P72" s="289">
        <v>43</v>
      </c>
      <c r="Q72" s="132">
        <f t="shared" si="415"/>
        <v>32336</v>
      </c>
      <c r="R72" s="133">
        <v>0</v>
      </c>
      <c r="S72" s="132">
        <f t="shared" si="416"/>
        <v>752</v>
      </c>
      <c r="T72" s="133">
        <v>0</v>
      </c>
      <c r="U72" s="134">
        <v>0</v>
      </c>
      <c r="V72" s="135">
        <v>0</v>
      </c>
      <c r="W72" s="134">
        <v>0</v>
      </c>
      <c r="X72" s="136">
        <v>0</v>
      </c>
      <c r="Y72" s="134">
        <v>0</v>
      </c>
      <c r="Z72" s="134">
        <v>0</v>
      </c>
      <c r="AA72" s="133">
        <v>0</v>
      </c>
      <c r="AB72" s="137">
        <f t="shared" si="417"/>
        <v>0</v>
      </c>
      <c r="AC72" s="136">
        <v>0</v>
      </c>
      <c r="AD72" s="337">
        <f t="shared" si="418"/>
        <v>43</v>
      </c>
      <c r="AE72" s="151">
        <v>0</v>
      </c>
      <c r="AF72" s="134">
        <v>0</v>
      </c>
      <c r="AG72" s="134">
        <v>0</v>
      </c>
      <c r="AH72" s="134">
        <v>0</v>
      </c>
      <c r="AI72" s="135">
        <v>0</v>
      </c>
      <c r="AJ72" s="134">
        <v>0</v>
      </c>
      <c r="AK72" s="134">
        <v>0</v>
      </c>
      <c r="AL72" s="134">
        <v>0</v>
      </c>
      <c r="AM72" s="139">
        <f t="shared" si="419"/>
        <v>32336</v>
      </c>
      <c r="AN72" s="140">
        <v>46192</v>
      </c>
      <c r="AO72" s="141" t="s">
        <v>636</v>
      </c>
      <c r="AP72" s="142" t="s">
        <v>629</v>
      </c>
      <c r="AQ72" s="143" t="s">
        <v>630</v>
      </c>
      <c r="AR72" s="143" t="s">
        <v>631</v>
      </c>
      <c r="AS72" s="130" t="s">
        <v>496</v>
      </c>
      <c r="AT72" s="144" t="s">
        <v>632</v>
      </c>
      <c r="AU72" s="144" t="s">
        <v>633</v>
      </c>
      <c r="AV72" s="145" t="s">
        <v>637</v>
      </c>
      <c r="AW72" s="143">
        <v>752</v>
      </c>
      <c r="AX72" s="316">
        <v>62</v>
      </c>
      <c r="AY72" s="143">
        <f t="shared" si="420"/>
        <v>46624</v>
      </c>
      <c r="AZ72" s="146" t="b">
        <f t="shared" si="421"/>
        <v>1</v>
      </c>
      <c r="BA72" s="132">
        <v>0</v>
      </c>
      <c r="BB72" s="147">
        <f t="shared" si="422"/>
        <v>752</v>
      </c>
      <c r="BC72" s="148">
        <v>0</v>
      </c>
      <c r="BD72" s="147" t="s">
        <v>116</v>
      </c>
      <c r="BE72" s="148">
        <v>0</v>
      </c>
      <c r="BF72" s="147">
        <v>0</v>
      </c>
      <c r="BG72" s="148">
        <v>0</v>
      </c>
      <c r="BH72" s="134">
        <v>0</v>
      </c>
      <c r="BI72" s="134">
        <v>0</v>
      </c>
      <c r="BJ72" s="135">
        <v>0</v>
      </c>
      <c r="BK72" s="132">
        <v>0</v>
      </c>
      <c r="BL72" s="143">
        <v>0</v>
      </c>
      <c r="BM72" s="134">
        <v>0</v>
      </c>
      <c r="BN72" s="149">
        <f t="shared" si="423"/>
        <v>-1165.6000000000001</v>
      </c>
      <c r="BO72" s="133">
        <f t="shared" si="424"/>
        <v>45458.400000000001</v>
      </c>
      <c r="BP72" s="139">
        <f t="shared" si="425"/>
        <v>13122.400000000001</v>
      </c>
      <c r="BQ72" s="148" t="str">
        <f t="shared" si="426"/>
        <v>Positive Margin</v>
      </c>
      <c r="BR72" s="150" t="s">
        <v>108</v>
      </c>
      <c r="BS72" s="132">
        <f t="shared" si="427"/>
        <v>14288</v>
      </c>
      <c r="BT72" s="151" t="str">
        <f t="shared" si="428"/>
        <v>Positive Margin at Inception</v>
      </c>
      <c r="BU72" s="152">
        <f t="shared" si="429"/>
        <v>0.28866832092638545</v>
      </c>
      <c r="BV72" s="151" t="str">
        <f t="shared" si="430"/>
        <v>More than 2%</v>
      </c>
      <c r="BW72" s="132">
        <f t="shared" si="431"/>
        <v>-1165.6000000000001</v>
      </c>
      <c r="BX72" s="133">
        <f t="shared" si="432"/>
        <v>0</v>
      </c>
      <c r="BY72" s="132">
        <f t="shared" si="433"/>
        <v>-1165.6000000000001</v>
      </c>
      <c r="BZ72" s="153">
        <f t="shared" si="434"/>
        <v>0</v>
      </c>
      <c r="CA72" s="153">
        <f t="shared" si="435"/>
        <v>0</v>
      </c>
      <c r="CB72" s="134">
        <f t="shared" si="436"/>
        <v>0</v>
      </c>
      <c r="CC72" s="153" t="s">
        <v>369</v>
      </c>
      <c r="CD72" s="134">
        <v>0</v>
      </c>
      <c r="CE72" s="134" t="str">
        <f t="shared" si="437"/>
        <v>Jun-26</v>
      </c>
      <c r="CF72" s="134">
        <f t="shared" si="438"/>
        <v>32336</v>
      </c>
      <c r="CG72" s="134">
        <f t="shared" si="439"/>
        <v>46624</v>
      </c>
      <c r="CH72" s="134">
        <f t="shared" si="440"/>
        <v>12</v>
      </c>
      <c r="CI72" s="154" t="s">
        <v>252</v>
      </c>
      <c r="CJ72" s="134" t="s">
        <v>252</v>
      </c>
      <c r="CK72" s="134">
        <f>_xlfn.XLOOKUP(AR72,receivables!B:B,receivables!D:D)</f>
        <v>0</v>
      </c>
      <c r="CL72" s="134">
        <f t="shared" si="441"/>
        <v>14288</v>
      </c>
      <c r="CM72" s="134">
        <f t="shared" si="442"/>
        <v>14288</v>
      </c>
      <c r="CN72" s="134">
        <f t="shared" si="443"/>
        <v>13122.400000000001</v>
      </c>
      <c r="CO72" s="134">
        <f t="shared" si="444"/>
        <v>55016.32</v>
      </c>
      <c r="CP72" s="134">
        <f t="shared" si="445"/>
        <v>-38156.479999999996</v>
      </c>
      <c r="CQ72" s="134">
        <f t="shared" si="446"/>
        <v>0</v>
      </c>
      <c r="CR72" s="134">
        <f t="shared" si="447"/>
        <v>0</v>
      </c>
      <c r="CS72" s="134">
        <f t="shared" si="448"/>
        <v>16859.840000000004</v>
      </c>
      <c r="CT72" s="134" t="s">
        <v>296</v>
      </c>
      <c r="CU72" s="134" t="s">
        <v>296</v>
      </c>
      <c r="CV72" s="149" t="str">
        <f t="shared" si="449"/>
        <v>AAMCB5608A</v>
      </c>
      <c r="CW72" s="149" t="str">
        <f t="shared" si="450"/>
        <v>AAICN2675D</v>
      </c>
      <c r="CX72" s="149">
        <v>0</v>
      </c>
      <c r="CY72" s="149">
        <v>0</v>
      </c>
      <c r="CZ72" s="149">
        <v>0</v>
      </c>
      <c r="DA72" s="149">
        <v>0</v>
      </c>
      <c r="DB72" s="149">
        <v>0</v>
      </c>
    </row>
    <row r="73" spans="2:106" s="156" customFormat="1" ht="11.9" customHeight="1" x14ac:dyDescent="0.3">
      <c r="B73" s="127" t="str">
        <f t="shared" si="413"/>
        <v>Q1</v>
      </c>
      <c r="C73" s="128" t="str">
        <f t="shared" si="414"/>
        <v>Jun-26</v>
      </c>
      <c r="D73" s="294">
        <v>46194</v>
      </c>
      <c r="E73" s="130" t="s">
        <v>625</v>
      </c>
      <c r="F73" s="130" t="s">
        <v>197</v>
      </c>
      <c r="G73" s="130" t="s">
        <v>373</v>
      </c>
      <c r="H73" s="131" t="s">
        <v>626</v>
      </c>
      <c r="I73" s="129">
        <v>46194</v>
      </c>
      <c r="J73" s="130" t="s">
        <v>627</v>
      </c>
      <c r="K73" s="129">
        <v>46194</v>
      </c>
      <c r="L73" s="130" t="s">
        <v>376</v>
      </c>
      <c r="M73" s="130" t="s">
        <v>620</v>
      </c>
      <c r="N73" s="131" t="s">
        <v>378</v>
      </c>
      <c r="O73" s="130">
        <v>9158</v>
      </c>
      <c r="P73" s="289">
        <v>43</v>
      </c>
      <c r="Q73" s="132">
        <f t="shared" si="415"/>
        <v>393794</v>
      </c>
      <c r="R73" s="133">
        <v>0</v>
      </c>
      <c r="S73" s="132">
        <f t="shared" si="416"/>
        <v>9158</v>
      </c>
      <c r="T73" s="133">
        <v>0</v>
      </c>
      <c r="U73" s="134">
        <v>0</v>
      </c>
      <c r="V73" s="135">
        <v>0</v>
      </c>
      <c r="W73" s="134">
        <v>0</v>
      </c>
      <c r="X73" s="136">
        <v>0</v>
      </c>
      <c r="Y73" s="134">
        <v>0</v>
      </c>
      <c r="Z73" s="134">
        <v>0</v>
      </c>
      <c r="AA73" s="133">
        <v>0</v>
      </c>
      <c r="AB73" s="137">
        <f t="shared" si="417"/>
        <v>0</v>
      </c>
      <c r="AC73" s="136">
        <v>0</v>
      </c>
      <c r="AD73" s="337">
        <f t="shared" si="418"/>
        <v>43</v>
      </c>
      <c r="AE73" s="151">
        <v>0</v>
      </c>
      <c r="AF73" s="134">
        <v>0</v>
      </c>
      <c r="AG73" s="134">
        <v>0</v>
      </c>
      <c r="AH73" s="134">
        <v>0</v>
      </c>
      <c r="AI73" s="135">
        <v>0</v>
      </c>
      <c r="AJ73" s="134">
        <v>0</v>
      </c>
      <c r="AK73" s="134">
        <v>0</v>
      </c>
      <c r="AL73" s="134">
        <v>0</v>
      </c>
      <c r="AM73" s="139">
        <f t="shared" si="419"/>
        <v>393794</v>
      </c>
      <c r="AN73" s="140">
        <v>46194</v>
      </c>
      <c r="AO73" s="141" t="s">
        <v>638</v>
      </c>
      <c r="AP73" s="142" t="s">
        <v>390</v>
      </c>
      <c r="AQ73" s="143" t="s">
        <v>391</v>
      </c>
      <c r="AR73" s="143" t="s">
        <v>392</v>
      </c>
      <c r="AS73" s="130" t="s">
        <v>534</v>
      </c>
      <c r="AT73" s="144" t="s">
        <v>394</v>
      </c>
      <c r="AU73" s="144" t="s">
        <v>395</v>
      </c>
      <c r="AV73" s="145" t="s">
        <v>297</v>
      </c>
      <c r="AW73" s="143">
        <v>9158</v>
      </c>
      <c r="AX73" s="316">
        <v>55</v>
      </c>
      <c r="AY73" s="143">
        <f t="shared" si="420"/>
        <v>503690</v>
      </c>
      <c r="AZ73" s="146" t="b">
        <f t="shared" si="421"/>
        <v>1</v>
      </c>
      <c r="BA73" s="132">
        <v>0</v>
      </c>
      <c r="BB73" s="147">
        <f t="shared" si="422"/>
        <v>9158</v>
      </c>
      <c r="BC73" s="148">
        <v>0</v>
      </c>
      <c r="BD73" s="147" t="s">
        <v>116</v>
      </c>
      <c r="BE73" s="148">
        <v>0</v>
      </c>
      <c r="BF73" s="147">
        <v>0</v>
      </c>
      <c r="BG73" s="148">
        <v>0</v>
      </c>
      <c r="BH73" s="134">
        <v>0</v>
      </c>
      <c r="BI73" s="134">
        <v>0</v>
      </c>
      <c r="BJ73" s="135">
        <v>0</v>
      </c>
      <c r="BK73" s="132">
        <v>0</v>
      </c>
      <c r="BL73" s="143">
        <v>0</v>
      </c>
      <c r="BM73" s="134">
        <v>0</v>
      </c>
      <c r="BN73" s="149">
        <f t="shared" si="423"/>
        <v>-12592.25</v>
      </c>
      <c r="BO73" s="133">
        <f t="shared" si="424"/>
        <v>491097.75</v>
      </c>
      <c r="BP73" s="139">
        <f t="shared" si="425"/>
        <v>97303.75</v>
      </c>
      <c r="BQ73" s="148" t="str">
        <f t="shared" si="426"/>
        <v>Positive Margin</v>
      </c>
      <c r="BR73" s="150" t="s">
        <v>108</v>
      </c>
      <c r="BS73" s="132">
        <f t="shared" si="427"/>
        <v>109896</v>
      </c>
      <c r="BT73" s="151" t="str">
        <f t="shared" si="428"/>
        <v>Positive Margin at Inception</v>
      </c>
      <c r="BU73" s="152">
        <f t="shared" si="429"/>
        <v>0.19813519813519814</v>
      </c>
      <c r="BV73" s="151" t="str">
        <f t="shared" si="430"/>
        <v>More than 2%</v>
      </c>
      <c r="BW73" s="132">
        <f t="shared" si="431"/>
        <v>-12592.25</v>
      </c>
      <c r="BX73" s="133">
        <f t="shared" si="432"/>
        <v>0</v>
      </c>
      <c r="BY73" s="132">
        <f t="shared" si="433"/>
        <v>-12592.25</v>
      </c>
      <c r="BZ73" s="153">
        <f t="shared" si="434"/>
        <v>0</v>
      </c>
      <c r="CA73" s="153">
        <f t="shared" si="435"/>
        <v>0</v>
      </c>
      <c r="CB73" s="134">
        <f t="shared" si="436"/>
        <v>0</v>
      </c>
      <c r="CC73" s="153" t="s">
        <v>369</v>
      </c>
      <c r="CD73" s="134">
        <v>0</v>
      </c>
      <c r="CE73" s="134" t="str">
        <f t="shared" si="437"/>
        <v>Jun-26</v>
      </c>
      <c r="CF73" s="134">
        <f t="shared" si="438"/>
        <v>393794</v>
      </c>
      <c r="CG73" s="134">
        <f t="shared" si="439"/>
        <v>503690</v>
      </c>
      <c r="CH73" s="134">
        <f t="shared" si="440"/>
        <v>12</v>
      </c>
      <c r="CI73" s="154" t="s">
        <v>252</v>
      </c>
      <c r="CJ73" s="134" t="s">
        <v>252</v>
      </c>
      <c r="CK73" s="134" t="str">
        <f>_xlfn.XLOOKUP(AR73,receivables!B:B,receivables!D:D)</f>
        <v>Neelesh Dixit</v>
      </c>
      <c r="CL73" s="134">
        <f t="shared" si="441"/>
        <v>109896</v>
      </c>
      <c r="CM73" s="134">
        <f t="shared" si="442"/>
        <v>109896</v>
      </c>
      <c r="CN73" s="134">
        <f t="shared" si="443"/>
        <v>97303.75</v>
      </c>
      <c r="CO73" s="134">
        <f t="shared" si="444"/>
        <v>594354.19999999995</v>
      </c>
      <c r="CP73" s="134">
        <f t="shared" si="445"/>
        <v>-464676.92</v>
      </c>
      <c r="CQ73" s="134">
        <f t="shared" si="446"/>
        <v>0</v>
      </c>
      <c r="CR73" s="134">
        <f t="shared" si="447"/>
        <v>0</v>
      </c>
      <c r="CS73" s="134">
        <f t="shared" si="448"/>
        <v>129677.27999999997</v>
      </c>
      <c r="CT73" s="134" t="s">
        <v>296</v>
      </c>
      <c r="CU73" s="134" t="s">
        <v>296</v>
      </c>
      <c r="CV73" s="149" t="str">
        <f t="shared" si="449"/>
        <v>AAMCB5608A</v>
      </c>
      <c r="CW73" s="149" t="str">
        <f t="shared" si="450"/>
        <v>AAACD5406E</v>
      </c>
      <c r="CX73" s="149">
        <v>0</v>
      </c>
      <c r="CY73" s="149">
        <v>0</v>
      </c>
      <c r="CZ73" s="149">
        <v>0</v>
      </c>
      <c r="DA73" s="149">
        <v>0</v>
      </c>
      <c r="DB73" s="149">
        <v>0</v>
      </c>
    </row>
    <row r="74" spans="2:106" s="156" customFormat="1" ht="11.9" customHeight="1" x14ac:dyDescent="0.3">
      <c r="B74" s="127" t="str">
        <f t="shared" si="413"/>
        <v>Q1</v>
      </c>
      <c r="C74" s="128" t="str">
        <f t="shared" si="414"/>
        <v>Jun-26</v>
      </c>
      <c r="D74" s="294">
        <v>46194</v>
      </c>
      <c r="E74" s="130" t="s">
        <v>625</v>
      </c>
      <c r="F74" s="130" t="s">
        <v>197</v>
      </c>
      <c r="G74" s="130" t="s">
        <v>373</v>
      </c>
      <c r="H74" s="131" t="s">
        <v>626</v>
      </c>
      <c r="I74" s="129">
        <v>46194</v>
      </c>
      <c r="J74" s="130" t="s">
        <v>627</v>
      </c>
      <c r="K74" s="129">
        <v>46194</v>
      </c>
      <c r="L74" s="130" t="s">
        <v>376</v>
      </c>
      <c r="M74" s="130" t="s">
        <v>620</v>
      </c>
      <c r="N74" s="131" t="s">
        <v>379</v>
      </c>
      <c r="O74" s="130">
        <v>556</v>
      </c>
      <c r="P74" s="289">
        <v>38</v>
      </c>
      <c r="Q74" s="132">
        <f t="shared" si="415"/>
        <v>21128</v>
      </c>
      <c r="R74" s="133">
        <v>0</v>
      </c>
      <c r="S74" s="132">
        <f t="shared" si="416"/>
        <v>556</v>
      </c>
      <c r="T74" s="133">
        <v>0</v>
      </c>
      <c r="U74" s="134">
        <v>0</v>
      </c>
      <c r="V74" s="135">
        <v>0</v>
      </c>
      <c r="W74" s="134">
        <v>0</v>
      </c>
      <c r="X74" s="136">
        <v>0</v>
      </c>
      <c r="Y74" s="134">
        <v>0</v>
      </c>
      <c r="Z74" s="134">
        <v>0</v>
      </c>
      <c r="AA74" s="133">
        <v>0</v>
      </c>
      <c r="AB74" s="137">
        <f t="shared" si="417"/>
        <v>0</v>
      </c>
      <c r="AC74" s="136">
        <v>0</v>
      </c>
      <c r="AD74" s="337">
        <f t="shared" si="418"/>
        <v>38</v>
      </c>
      <c r="AE74" s="151">
        <v>0</v>
      </c>
      <c r="AF74" s="134">
        <v>0</v>
      </c>
      <c r="AG74" s="134">
        <v>0</v>
      </c>
      <c r="AH74" s="134">
        <v>0</v>
      </c>
      <c r="AI74" s="135">
        <v>0</v>
      </c>
      <c r="AJ74" s="134">
        <v>0</v>
      </c>
      <c r="AK74" s="134">
        <v>0</v>
      </c>
      <c r="AL74" s="134">
        <v>0</v>
      </c>
      <c r="AM74" s="139">
        <f t="shared" si="419"/>
        <v>21128</v>
      </c>
      <c r="AN74" s="140">
        <v>46194</v>
      </c>
      <c r="AO74" s="141" t="s">
        <v>638</v>
      </c>
      <c r="AP74" s="142" t="s">
        <v>390</v>
      </c>
      <c r="AQ74" s="143" t="s">
        <v>391</v>
      </c>
      <c r="AR74" s="143" t="s">
        <v>392</v>
      </c>
      <c r="AS74" s="130" t="s">
        <v>534</v>
      </c>
      <c r="AT74" s="144" t="s">
        <v>394</v>
      </c>
      <c r="AU74" s="144" t="s">
        <v>395</v>
      </c>
      <c r="AV74" s="145" t="s">
        <v>297</v>
      </c>
      <c r="AW74" s="143">
        <v>556</v>
      </c>
      <c r="AX74" s="316">
        <v>45</v>
      </c>
      <c r="AY74" s="143">
        <f t="shared" si="420"/>
        <v>25020</v>
      </c>
      <c r="AZ74" s="146" t="b">
        <f t="shared" si="421"/>
        <v>1</v>
      </c>
      <c r="BA74" s="132">
        <v>0</v>
      </c>
      <c r="BB74" s="147">
        <f t="shared" si="422"/>
        <v>556</v>
      </c>
      <c r="BC74" s="148">
        <v>0</v>
      </c>
      <c r="BD74" s="147" t="s">
        <v>116</v>
      </c>
      <c r="BE74" s="148">
        <v>0</v>
      </c>
      <c r="BF74" s="147">
        <v>0</v>
      </c>
      <c r="BG74" s="148">
        <v>0</v>
      </c>
      <c r="BH74" s="134">
        <v>0</v>
      </c>
      <c r="BI74" s="134">
        <v>0</v>
      </c>
      <c r="BJ74" s="135">
        <v>0</v>
      </c>
      <c r="BK74" s="132">
        <v>0</v>
      </c>
      <c r="BL74" s="143">
        <v>0</v>
      </c>
      <c r="BM74" s="134">
        <v>0</v>
      </c>
      <c r="BN74" s="149">
        <f t="shared" si="423"/>
        <v>-625.5</v>
      </c>
      <c r="BO74" s="133">
        <f t="shared" si="424"/>
        <v>24394.5</v>
      </c>
      <c r="BP74" s="139">
        <f t="shared" si="425"/>
        <v>3266.5</v>
      </c>
      <c r="BQ74" s="148" t="str">
        <f t="shared" si="426"/>
        <v>Positive Margin</v>
      </c>
      <c r="BR74" s="150" t="s">
        <v>108</v>
      </c>
      <c r="BS74" s="132">
        <f t="shared" si="427"/>
        <v>3892</v>
      </c>
      <c r="BT74" s="151" t="str">
        <f t="shared" si="428"/>
        <v>Positive Margin at Inception</v>
      </c>
      <c r="BU74" s="152">
        <f t="shared" si="429"/>
        <v>0.13390313390313391</v>
      </c>
      <c r="BV74" s="151" t="str">
        <f t="shared" si="430"/>
        <v>More than 2%</v>
      </c>
      <c r="BW74" s="132">
        <f t="shared" si="431"/>
        <v>-625.5</v>
      </c>
      <c r="BX74" s="133">
        <f t="shared" si="432"/>
        <v>0</v>
      </c>
      <c r="BY74" s="132">
        <f t="shared" si="433"/>
        <v>-625.5</v>
      </c>
      <c r="BZ74" s="153">
        <f t="shared" si="434"/>
        <v>0</v>
      </c>
      <c r="CA74" s="153">
        <f t="shared" si="435"/>
        <v>0</v>
      </c>
      <c r="CB74" s="134">
        <f t="shared" si="436"/>
        <v>0</v>
      </c>
      <c r="CC74" s="153" t="s">
        <v>369</v>
      </c>
      <c r="CD74" s="134">
        <v>0</v>
      </c>
      <c r="CE74" s="134" t="str">
        <f t="shared" si="437"/>
        <v>Jun-26</v>
      </c>
      <c r="CF74" s="134">
        <f t="shared" si="438"/>
        <v>21128</v>
      </c>
      <c r="CG74" s="134">
        <f t="shared" si="439"/>
        <v>25020</v>
      </c>
      <c r="CH74" s="134">
        <f t="shared" si="440"/>
        <v>12</v>
      </c>
      <c r="CI74" s="154" t="s">
        <v>252</v>
      </c>
      <c r="CJ74" s="134" t="s">
        <v>252</v>
      </c>
      <c r="CK74" s="134" t="str">
        <f>_xlfn.XLOOKUP(AR74,receivables!B:B,receivables!D:D)</f>
        <v>Neelesh Dixit</v>
      </c>
      <c r="CL74" s="134">
        <f t="shared" si="441"/>
        <v>3892</v>
      </c>
      <c r="CM74" s="134">
        <f t="shared" si="442"/>
        <v>3892</v>
      </c>
      <c r="CN74" s="134">
        <f t="shared" si="443"/>
        <v>3266.5</v>
      </c>
      <c r="CO74" s="134">
        <f t="shared" si="444"/>
        <v>29523.599999999999</v>
      </c>
      <c r="CP74" s="134">
        <f t="shared" si="445"/>
        <v>-24931.039999999997</v>
      </c>
      <c r="CQ74" s="134">
        <f t="shared" si="446"/>
        <v>0</v>
      </c>
      <c r="CR74" s="134">
        <f t="shared" si="447"/>
        <v>0</v>
      </c>
      <c r="CS74" s="134">
        <f t="shared" si="448"/>
        <v>4592.5600000000013</v>
      </c>
      <c r="CT74" s="134" t="s">
        <v>296</v>
      </c>
      <c r="CU74" s="134" t="s">
        <v>296</v>
      </c>
      <c r="CV74" s="149" t="str">
        <f t="shared" si="449"/>
        <v>AAMCB5608A</v>
      </c>
      <c r="CW74" s="149" t="str">
        <f t="shared" si="450"/>
        <v>AAACD5406E</v>
      </c>
      <c r="CX74" s="149">
        <v>0</v>
      </c>
      <c r="CY74" s="149">
        <v>0</v>
      </c>
      <c r="CZ74" s="149">
        <v>0</v>
      </c>
      <c r="DA74" s="149">
        <v>0</v>
      </c>
      <c r="DB74" s="149">
        <v>0</v>
      </c>
    </row>
    <row r="75" spans="2:106" s="156" customFormat="1" ht="11.9" customHeight="1" x14ac:dyDescent="0.3">
      <c r="B75" s="127" t="str">
        <f t="shared" si="413"/>
        <v>Q1</v>
      </c>
      <c r="C75" s="128" t="str">
        <f t="shared" si="414"/>
        <v>Jun-26</v>
      </c>
      <c r="D75" s="294">
        <v>46194</v>
      </c>
      <c r="E75" s="130" t="s">
        <v>625</v>
      </c>
      <c r="F75" s="130" t="s">
        <v>197</v>
      </c>
      <c r="G75" s="130" t="s">
        <v>373</v>
      </c>
      <c r="H75" s="131" t="s">
        <v>626</v>
      </c>
      <c r="I75" s="129">
        <v>46194</v>
      </c>
      <c r="J75" s="130" t="s">
        <v>627</v>
      </c>
      <c r="K75" s="129">
        <v>46194</v>
      </c>
      <c r="L75" s="130" t="s">
        <v>376</v>
      </c>
      <c r="M75" s="130" t="s">
        <v>620</v>
      </c>
      <c r="N75" s="131" t="s">
        <v>384</v>
      </c>
      <c r="O75" s="130">
        <v>641</v>
      </c>
      <c r="P75" s="289">
        <v>43</v>
      </c>
      <c r="Q75" s="132">
        <f t="shared" si="415"/>
        <v>27563</v>
      </c>
      <c r="R75" s="133">
        <v>0</v>
      </c>
      <c r="S75" s="132">
        <f t="shared" si="416"/>
        <v>641</v>
      </c>
      <c r="T75" s="133">
        <v>0</v>
      </c>
      <c r="U75" s="134">
        <v>0</v>
      </c>
      <c r="V75" s="135">
        <v>0</v>
      </c>
      <c r="W75" s="134">
        <v>0</v>
      </c>
      <c r="X75" s="136">
        <v>0</v>
      </c>
      <c r="Y75" s="134">
        <v>0</v>
      </c>
      <c r="Z75" s="134">
        <v>0</v>
      </c>
      <c r="AA75" s="133">
        <v>0</v>
      </c>
      <c r="AB75" s="137">
        <f t="shared" si="417"/>
        <v>0</v>
      </c>
      <c r="AC75" s="136">
        <v>0</v>
      </c>
      <c r="AD75" s="337">
        <f t="shared" si="418"/>
        <v>43</v>
      </c>
      <c r="AE75" s="151">
        <v>0</v>
      </c>
      <c r="AF75" s="134">
        <v>0</v>
      </c>
      <c r="AG75" s="134">
        <v>0</v>
      </c>
      <c r="AH75" s="134">
        <v>0</v>
      </c>
      <c r="AI75" s="135">
        <v>0</v>
      </c>
      <c r="AJ75" s="134">
        <v>0</v>
      </c>
      <c r="AK75" s="134">
        <v>0</v>
      </c>
      <c r="AL75" s="134">
        <v>0</v>
      </c>
      <c r="AM75" s="139">
        <f t="shared" si="419"/>
        <v>27563</v>
      </c>
      <c r="AN75" s="140">
        <v>46194</v>
      </c>
      <c r="AO75" s="141" t="s">
        <v>638</v>
      </c>
      <c r="AP75" s="142" t="s">
        <v>390</v>
      </c>
      <c r="AQ75" s="143" t="s">
        <v>391</v>
      </c>
      <c r="AR75" s="143" t="s">
        <v>392</v>
      </c>
      <c r="AS75" s="130" t="s">
        <v>534</v>
      </c>
      <c r="AT75" s="144" t="s">
        <v>394</v>
      </c>
      <c r="AU75" s="144" t="s">
        <v>395</v>
      </c>
      <c r="AV75" s="145" t="s">
        <v>297</v>
      </c>
      <c r="AW75" s="143">
        <v>641</v>
      </c>
      <c r="AX75" s="316">
        <v>60</v>
      </c>
      <c r="AY75" s="143">
        <f t="shared" si="420"/>
        <v>38460</v>
      </c>
      <c r="AZ75" s="146" t="b">
        <f t="shared" si="421"/>
        <v>1</v>
      </c>
      <c r="BA75" s="132">
        <v>0</v>
      </c>
      <c r="BB75" s="147">
        <f t="shared" si="422"/>
        <v>641</v>
      </c>
      <c r="BC75" s="148">
        <v>0</v>
      </c>
      <c r="BD75" s="147" t="s">
        <v>116</v>
      </c>
      <c r="BE75" s="148">
        <v>0</v>
      </c>
      <c r="BF75" s="147">
        <v>0</v>
      </c>
      <c r="BG75" s="148">
        <v>0</v>
      </c>
      <c r="BH75" s="134">
        <v>0</v>
      </c>
      <c r="BI75" s="134">
        <v>0</v>
      </c>
      <c r="BJ75" s="135">
        <v>0</v>
      </c>
      <c r="BK75" s="132">
        <v>0</v>
      </c>
      <c r="BL75" s="143">
        <v>0</v>
      </c>
      <c r="BM75" s="134">
        <v>0</v>
      </c>
      <c r="BN75" s="149">
        <f t="shared" si="423"/>
        <v>-961.5</v>
      </c>
      <c r="BO75" s="133">
        <f t="shared" si="424"/>
        <v>37498.5</v>
      </c>
      <c r="BP75" s="139">
        <f t="shared" si="425"/>
        <v>9935.5</v>
      </c>
      <c r="BQ75" s="148" t="str">
        <f t="shared" si="426"/>
        <v>Positive Margin</v>
      </c>
      <c r="BR75" s="150" t="s">
        <v>108</v>
      </c>
      <c r="BS75" s="132">
        <f t="shared" si="427"/>
        <v>10897</v>
      </c>
      <c r="BT75" s="151" t="str">
        <f t="shared" si="428"/>
        <v>Positive Margin at Inception</v>
      </c>
      <c r="BU75" s="152">
        <f t="shared" si="429"/>
        <v>0.26495726495726496</v>
      </c>
      <c r="BV75" s="151" t="str">
        <f t="shared" si="430"/>
        <v>More than 2%</v>
      </c>
      <c r="BW75" s="132">
        <f t="shared" si="431"/>
        <v>-961.5</v>
      </c>
      <c r="BX75" s="133">
        <f t="shared" si="432"/>
        <v>0</v>
      </c>
      <c r="BY75" s="132">
        <f t="shared" si="433"/>
        <v>-961.5</v>
      </c>
      <c r="BZ75" s="153">
        <f t="shared" si="434"/>
        <v>0</v>
      </c>
      <c r="CA75" s="153">
        <f t="shared" si="435"/>
        <v>0</v>
      </c>
      <c r="CB75" s="134">
        <f t="shared" si="436"/>
        <v>0</v>
      </c>
      <c r="CC75" s="153" t="s">
        <v>369</v>
      </c>
      <c r="CD75" s="134">
        <v>0</v>
      </c>
      <c r="CE75" s="134" t="str">
        <f t="shared" si="437"/>
        <v>Jun-26</v>
      </c>
      <c r="CF75" s="134">
        <f t="shared" si="438"/>
        <v>27563</v>
      </c>
      <c r="CG75" s="134">
        <f t="shared" si="439"/>
        <v>38460</v>
      </c>
      <c r="CH75" s="134">
        <f t="shared" si="440"/>
        <v>12</v>
      </c>
      <c r="CI75" s="154" t="s">
        <v>252</v>
      </c>
      <c r="CJ75" s="134" t="s">
        <v>252</v>
      </c>
      <c r="CK75" s="134" t="str">
        <f>_xlfn.XLOOKUP(AR75,receivables!B:B,receivables!D:D)</f>
        <v>Neelesh Dixit</v>
      </c>
      <c r="CL75" s="134">
        <f t="shared" si="441"/>
        <v>10897</v>
      </c>
      <c r="CM75" s="134">
        <f t="shared" si="442"/>
        <v>10897</v>
      </c>
      <c r="CN75" s="134">
        <f t="shared" si="443"/>
        <v>9935.5</v>
      </c>
      <c r="CO75" s="134">
        <f t="shared" si="444"/>
        <v>45382.799999999996</v>
      </c>
      <c r="CP75" s="134">
        <f t="shared" si="445"/>
        <v>-32524.339999999997</v>
      </c>
      <c r="CQ75" s="134">
        <f t="shared" si="446"/>
        <v>0</v>
      </c>
      <c r="CR75" s="134">
        <f t="shared" si="447"/>
        <v>0</v>
      </c>
      <c r="CS75" s="134">
        <f t="shared" si="448"/>
        <v>12858.46</v>
      </c>
      <c r="CT75" s="134" t="s">
        <v>296</v>
      </c>
      <c r="CU75" s="134" t="s">
        <v>296</v>
      </c>
      <c r="CV75" s="149" t="str">
        <f t="shared" si="449"/>
        <v>AAMCB5608A</v>
      </c>
      <c r="CW75" s="149" t="str">
        <f t="shared" si="450"/>
        <v>AAACD5406E</v>
      </c>
      <c r="CX75" s="149">
        <v>0</v>
      </c>
      <c r="CY75" s="149">
        <v>0</v>
      </c>
      <c r="CZ75" s="149">
        <v>0</v>
      </c>
      <c r="DA75" s="149">
        <v>0</v>
      </c>
      <c r="DB75" s="149">
        <v>0</v>
      </c>
    </row>
    <row r="76" spans="2:106" s="156" customFormat="1" ht="11.9" customHeight="1" x14ac:dyDescent="0.3">
      <c r="B76" s="127" t="str">
        <f t="shared" ref="B76:B77" si="451">"Q" &amp; IF(ROUNDUP(MONTH(D76)/3,0)-1=0,4,ROUNDUP(MONTH(D76)/3,0)-1)</f>
        <v>Q1</v>
      </c>
      <c r="C76" s="128" t="str">
        <f t="shared" ref="C76:C77" si="452">TEXT(AN76,"mmm-yy")</f>
        <v>Jun-26</v>
      </c>
      <c r="D76" s="294">
        <v>46187</v>
      </c>
      <c r="E76" s="130" t="s">
        <v>658</v>
      </c>
      <c r="F76" s="130" t="s">
        <v>197</v>
      </c>
      <c r="G76" s="130" t="s">
        <v>373</v>
      </c>
      <c r="H76" s="131" t="s">
        <v>659</v>
      </c>
      <c r="I76" s="129">
        <v>46187</v>
      </c>
      <c r="J76" s="130" t="s">
        <v>660</v>
      </c>
      <c r="K76" s="129">
        <v>46188</v>
      </c>
      <c r="L76" s="130" t="s">
        <v>376</v>
      </c>
      <c r="M76" s="130" t="s">
        <v>661</v>
      </c>
      <c r="N76" s="131" t="s">
        <v>662</v>
      </c>
      <c r="O76" s="130">
        <v>6560</v>
      </c>
      <c r="P76" s="289">
        <v>180</v>
      </c>
      <c r="Q76" s="132">
        <f t="shared" ref="Q76:Q77" si="453">O76*P76</f>
        <v>1180800</v>
      </c>
      <c r="R76" s="133">
        <v>0</v>
      </c>
      <c r="S76" s="132">
        <f t="shared" ref="S76:S77" si="454">O76-R76</f>
        <v>6560</v>
      </c>
      <c r="T76" s="133">
        <v>0</v>
      </c>
      <c r="U76" s="134">
        <v>0</v>
      </c>
      <c r="V76" s="135">
        <v>0</v>
      </c>
      <c r="W76" s="134">
        <v>0</v>
      </c>
      <c r="X76" s="136">
        <v>0</v>
      </c>
      <c r="Y76" s="134">
        <v>0</v>
      </c>
      <c r="Z76" s="134">
        <v>0</v>
      </c>
      <c r="AA76" s="133">
        <v>0</v>
      </c>
      <c r="AB76" s="137">
        <f t="shared" ref="AB76:AB77" si="455">Y76+AA76+Z76</f>
        <v>0</v>
      </c>
      <c r="AC76" s="136">
        <v>0</v>
      </c>
      <c r="AD76" s="337">
        <f t="shared" ref="AD76:AD77" si="456">IFERROR((Q76+AB76)/S76,0)</f>
        <v>180</v>
      </c>
      <c r="AE76" s="151">
        <v>0</v>
      </c>
      <c r="AF76" s="134">
        <v>0</v>
      </c>
      <c r="AG76" s="134">
        <v>0</v>
      </c>
      <c r="AH76" s="134">
        <v>0</v>
      </c>
      <c r="AI76" s="135">
        <v>0</v>
      </c>
      <c r="AJ76" s="134">
        <v>0</v>
      </c>
      <c r="AK76" s="134">
        <v>0</v>
      </c>
      <c r="AL76" s="134">
        <v>0</v>
      </c>
      <c r="AM76" s="139">
        <f t="shared" ref="AM76:AM77" si="457">Q76+AB76+AL76+AK76+AJ76+T76+AE76</f>
        <v>1180800</v>
      </c>
      <c r="AN76" s="140">
        <v>46188</v>
      </c>
      <c r="AO76" s="141" t="s">
        <v>664</v>
      </c>
      <c r="AP76" s="142" t="s">
        <v>665</v>
      </c>
      <c r="AQ76" s="143" t="s">
        <v>666</v>
      </c>
      <c r="AR76" s="143" t="s">
        <v>667</v>
      </c>
      <c r="AS76" s="130" t="s">
        <v>496</v>
      </c>
      <c r="AT76" s="144" t="s">
        <v>668</v>
      </c>
      <c r="AU76" s="144" t="s">
        <v>669</v>
      </c>
      <c r="AV76" s="145" t="s">
        <v>297</v>
      </c>
      <c r="AW76" s="143">
        <v>6560</v>
      </c>
      <c r="AX76" s="316">
        <v>262</v>
      </c>
      <c r="AY76" s="143">
        <f t="shared" ref="AY76:AY77" si="458">AW76*AX76</f>
        <v>1718720</v>
      </c>
      <c r="AZ76" s="146" t="b">
        <f t="shared" ref="AZ76:AZ77" si="459">AW76=O76</f>
        <v>1</v>
      </c>
      <c r="BA76" s="132">
        <v>0</v>
      </c>
      <c r="BB76" s="147">
        <f t="shared" ref="BB76:BB77" si="460">AW76-BA76</f>
        <v>6560</v>
      </c>
      <c r="BC76" s="148">
        <v>0</v>
      </c>
      <c r="BD76" s="147" t="s">
        <v>116</v>
      </c>
      <c r="BE76" s="148">
        <v>0</v>
      </c>
      <c r="BF76" s="147">
        <v>0</v>
      </c>
      <c r="BG76" s="148">
        <v>0</v>
      </c>
      <c r="BH76" s="134">
        <v>0</v>
      </c>
      <c r="BI76" s="134">
        <v>0</v>
      </c>
      <c r="BJ76" s="135">
        <v>0</v>
      </c>
      <c r="BK76" s="132">
        <v>0</v>
      </c>
      <c r="BL76" s="143">
        <v>0</v>
      </c>
      <c r="BM76" s="134">
        <v>0</v>
      </c>
      <c r="BN76" s="149">
        <f t="shared" ref="BN76:BN77" si="461">AY76*$BM$3</f>
        <v>-42968</v>
      </c>
      <c r="BO76" s="133">
        <f t="shared" ref="BO76:BO77" si="462">AY76+BL76+BM76+BN76+BC76+BG76</f>
        <v>1675752</v>
      </c>
      <c r="BP76" s="139">
        <f t="shared" ref="BP76:BP77" si="463">BO76-AM76</f>
        <v>494952</v>
      </c>
      <c r="BQ76" s="148" t="str">
        <f t="shared" ref="BQ76:BQ77" si="464">IF(BP76&gt;=0,"Positive Margin","Negative Margin")</f>
        <v>Positive Margin</v>
      </c>
      <c r="BR76" s="150" t="s">
        <v>108</v>
      </c>
      <c r="BS76" s="132">
        <f t="shared" ref="BS76:BS77" si="465">AY76-Y76-Q76-AA76-T76+BC76</f>
        <v>537920</v>
      </c>
      <c r="BT76" s="151" t="str">
        <f t="shared" ref="BT76:BT77" si="466">IF(BS76&lt;0, "Negative Margin at Inception", "Positive Margin at Inception")</f>
        <v>Positive Margin at Inception</v>
      </c>
      <c r="BU76" s="152">
        <f t="shared" ref="BU76:BU77" si="467">IFERROR(BP76/BO76,"0")</f>
        <v>0.29536112742219611</v>
      </c>
      <c r="BV76" s="151" t="str">
        <f t="shared" ref="BV76:BV77" si="468">IF(BU76&lt;1%,"Less Than 1%",IF(BU76&gt;2%,"More than 2%",IF(BU76&gt;=1%,"1% - 2%")))</f>
        <v>More than 2%</v>
      </c>
      <c r="BW76" s="132">
        <f t="shared" ref="BW76:BW77" si="469">BM76+BN76</f>
        <v>-42968</v>
      </c>
      <c r="BX76" s="133">
        <f t="shared" ref="BX76:BX77" si="470">AL76+AK76</f>
        <v>0</v>
      </c>
      <c r="BY76" s="132">
        <f t="shared" ref="BY76:BY77" si="471">BW76-BX76</f>
        <v>-42968</v>
      </c>
      <c r="BZ76" s="153">
        <f t="shared" ref="BZ76:BZ77" si="472">BM76</f>
        <v>0</v>
      </c>
      <c r="CA76" s="153">
        <f t="shared" ref="CA76:CA77" si="473">AK76</f>
        <v>0</v>
      </c>
      <c r="CB76" s="134">
        <f t="shared" ref="CB76:CB77" si="474">BZ76-CA76</f>
        <v>0</v>
      </c>
      <c r="CC76" s="153" t="s">
        <v>369</v>
      </c>
      <c r="CD76" s="134">
        <v>0</v>
      </c>
      <c r="CE76" s="134" t="str">
        <f t="shared" ref="CE76:CE77" si="475">TEXT(AN76,"mmm-yy")</f>
        <v>Jun-26</v>
      </c>
      <c r="CF76" s="134">
        <f t="shared" ref="CF76:CF77" si="476">AM76-AL76-AA76</f>
        <v>1180800</v>
      </c>
      <c r="CG76" s="134">
        <f t="shared" ref="CG76:CG77" si="477">BO76-BN76</f>
        <v>1718720</v>
      </c>
      <c r="CH76" s="134">
        <f t="shared" ref="CH76:CH77" si="478">INT((D76- IF(MONTH(D76) &gt;= 4, DATE(YEAR(D76), 4, 1), DATE(YEAR(D76)-1, 4, 1))) / 7) + 1</f>
        <v>11</v>
      </c>
      <c r="CI76" s="154" t="s">
        <v>252</v>
      </c>
      <c r="CJ76" s="134" t="s">
        <v>252</v>
      </c>
      <c r="CK76" s="134">
        <f>_xlfn.XLOOKUP(AR76,receivables!B:B,receivables!D:D)</f>
        <v>0</v>
      </c>
      <c r="CL76" s="134">
        <f t="shared" ref="CL76:CL77" si="479">AY76-Q76</f>
        <v>537920</v>
      </c>
      <c r="CM76" s="134">
        <f t="shared" ref="CM76:CM77" si="480">CL76-Y76+Z76</f>
        <v>537920</v>
      </c>
      <c r="CN76" s="134">
        <f t="shared" ref="CN76:CN77" si="481">BO76-AM76</f>
        <v>494952</v>
      </c>
      <c r="CO76" s="134">
        <f t="shared" ref="CO76:CO77" si="482">AY76*118%</f>
        <v>2028089.5999999999</v>
      </c>
      <c r="CP76" s="134">
        <f t="shared" ref="CP76:CP77" si="483">-Q76*118%</f>
        <v>-1393344</v>
      </c>
      <c r="CQ76" s="134">
        <f t="shared" ref="CQ76:CQ77" si="484">-BZ76*118%</f>
        <v>0</v>
      </c>
      <c r="CR76" s="134">
        <f t="shared" ref="CR76:CR77" si="485">-CA76*118%</f>
        <v>0</v>
      </c>
      <c r="CS76" s="134">
        <f t="shared" ref="CS76:CS77" si="486">SUM(CO76:CR76)</f>
        <v>634745.59999999986</v>
      </c>
      <c r="CT76" s="134" t="s">
        <v>296</v>
      </c>
      <c r="CU76" s="134" t="s">
        <v>296</v>
      </c>
      <c r="CV76" s="149" t="str">
        <f t="shared" ref="CV76:CV77" si="487">MID(G76,3,10)</f>
        <v>AAMCB5608A</v>
      </c>
      <c r="CW76" s="149" t="str">
        <f t="shared" ref="CW76:CW77" si="488">MID(AR76,3,10)</f>
        <v>AAGCV9303A</v>
      </c>
      <c r="CX76" s="149">
        <v>0</v>
      </c>
      <c r="CY76" s="149">
        <v>0</v>
      </c>
      <c r="CZ76" s="149">
        <v>0</v>
      </c>
      <c r="DA76" s="149">
        <v>0</v>
      </c>
      <c r="DB76" s="149">
        <v>0</v>
      </c>
    </row>
    <row r="77" spans="2:106" s="156" customFormat="1" ht="11.9" customHeight="1" x14ac:dyDescent="0.3">
      <c r="B77" s="127" t="str">
        <f t="shared" si="451"/>
        <v>Q1</v>
      </c>
      <c r="C77" s="128" t="str">
        <f t="shared" si="452"/>
        <v>Jun-26</v>
      </c>
      <c r="D77" s="294">
        <v>46187</v>
      </c>
      <c r="E77" s="130" t="s">
        <v>658</v>
      </c>
      <c r="F77" s="130" t="s">
        <v>197</v>
      </c>
      <c r="G77" s="130" t="s">
        <v>373</v>
      </c>
      <c r="H77" s="131" t="s">
        <v>659</v>
      </c>
      <c r="I77" s="129">
        <v>46187</v>
      </c>
      <c r="J77" s="130" t="s">
        <v>660</v>
      </c>
      <c r="K77" s="129">
        <v>46188</v>
      </c>
      <c r="L77" s="130" t="s">
        <v>376</v>
      </c>
      <c r="M77" s="130" t="s">
        <v>661</v>
      </c>
      <c r="N77" s="131" t="s">
        <v>663</v>
      </c>
      <c r="O77" s="130">
        <v>830</v>
      </c>
      <c r="P77" s="289">
        <v>180</v>
      </c>
      <c r="Q77" s="132">
        <f t="shared" si="453"/>
        <v>149400</v>
      </c>
      <c r="R77" s="133">
        <v>0</v>
      </c>
      <c r="S77" s="132">
        <f t="shared" si="454"/>
        <v>830</v>
      </c>
      <c r="T77" s="133">
        <v>0</v>
      </c>
      <c r="U77" s="134">
        <v>0</v>
      </c>
      <c r="V77" s="135">
        <v>0</v>
      </c>
      <c r="W77" s="134">
        <v>0</v>
      </c>
      <c r="X77" s="136">
        <v>0</v>
      </c>
      <c r="Y77" s="134">
        <v>0</v>
      </c>
      <c r="Z77" s="134">
        <v>0</v>
      </c>
      <c r="AA77" s="133">
        <v>0</v>
      </c>
      <c r="AB77" s="137">
        <f t="shared" si="455"/>
        <v>0</v>
      </c>
      <c r="AC77" s="136">
        <v>0</v>
      </c>
      <c r="AD77" s="337">
        <f t="shared" si="456"/>
        <v>180</v>
      </c>
      <c r="AE77" s="151">
        <v>0</v>
      </c>
      <c r="AF77" s="134">
        <v>0</v>
      </c>
      <c r="AG77" s="134">
        <v>0</v>
      </c>
      <c r="AH77" s="134">
        <v>0</v>
      </c>
      <c r="AI77" s="135">
        <v>0</v>
      </c>
      <c r="AJ77" s="134">
        <v>0</v>
      </c>
      <c r="AK77" s="134">
        <v>0</v>
      </c>
      <c r="AL77" s="134">
        <v>0</v>
      </c>
      <c r="AM77" s="139">
        <f t="shared" si="457"/>
        <v>149400</v>
      </c>
      <c r="AN77" s="140">
        <v>46188</v>
      </c>
      <c r="AO77" s="141" t="s">
        <v>664</v>
      </c>
      <c r="AP77" s="142" t="s">
        <v>665</v>
      </c>
      <c r="AQ77" s="143" t="s">
        <v>666</v>
      </c>
      <c r="AR77" s="143" t="s">
        <v>667</v>
      </c>
      <c r="AS77" s="130" t="s">
        <v>496</v>
      </c>
      <c r="AT77" s="144" t="s">
        <v>668</v>
      </c>
      <c r="AU77" s="144" t="s">
        <v>669</v>
      </c>
      <c r="AV77" s="145" t="s">
        <v>297</v>
      </c>
      <c r="AW77" s="143">
        <v>830</v>
      </c>
      <c r="AX77" s="316">
        <v>235</v>
      </c>
      <c r="AY77" s="143">
        <f t="shared" si="458"/>
        <v>195050</v>
      </c>
      <c r="AZ77" s="146" t="b">
        <f t="shared" si="459"/>
        <v>1</v>
      </c>
      <c r="BA77" s="132">
        <v>0</v>
      </c>
      <c r="BB77" s="147">
        <f t="shared" si="460"/>
        <v>830</v>
      </c>
      <c r="BC77" s="148">
        <v>0</v>
      </c>
      <c r="BD77" s="147" t="s">
        <v>116</v>
      </c>
      <c r="BE77" s="148">
        <v>0</v>
      </c>
      <c r="BF77" s="147">
        <v>0</v>
      </c>
      <c r="BG77" s="148">
        <v>0</v>
      </c>
      <c r="BH77" s="134">
        <v>0</v>
      </c>
      <c r="BI77" s="134">
        <v>0</v>
      </c>
      <c r="BJ77" s="135">
        <v>0</v>
      </c>
      <c r="BK77" s="132">
        <v>0</v>
      </c>
      <c r="BL77" s="143">
        <v>0</v>
      </c>
      <c r="BM77" s="134">
        <v>0</v>
      </c>
      <c r="BN77" s="149">
        <f t="shared" si="461"/>
        <v>-4876.25</v>
      </c>
      <c r="BO77" s="133">
        <f t="shared" si="462"/>
        <v>190173.75</v>
      </c>
      <c r="BP77" s="139">
        <f t="shared" si="463"/>
        <v>40773.75</v>
      </c>
      <c r="BQ77" s="148" t="str">
        <f t="shared" si="464"/>
        <v>Positive Margin</v>
      </c>
      <c r="BR77" s="150" t="s">
        <v>108</v>
      </c>
      <c r="BS77" s="132">
        <f t="shared" si="465"/>
        <v>45650</v>
      </c>
      <c r="BT77" s="151" t="str">
        <f t="shared" si="466"/>
        <v>Positive Margin at Inception</v>
      </c>
      <c r="BU77" s="152">
        <f t="shared" si="467"/>
        <v>0.2144026186579378</v>
      </c>
      <c r="BV77" s="151" t="str">
        <f t="shared" si="468"/>
        <v>More than 2%</v>
      </c>
      <c r="BW77" s="132">
        <f t="shared" si="469"/>
        <v>-4876.25</v>
      </c>
      <c r="BX77" s="133">
        <f t="shared" si="470"/>
        <v>0</v>
      </c>
      <c r="BY77" s="132">
        <f t="shared" si="471"/>
        <v>-4876.25</v>
      </c>
      <c r="BZ77" s="153">
        <f t="shared" si="472"/>
        <v>0</v>
      </c>
      <c r="CA77" s="153">
        <f t="shared" si="473"/>
        <v>0</v>
      </c>
      <c r="CB77" s="134">
        <f t="shared" si="474"/>
        <v>0</v>
      </c>
      <c r="CC77" s="153" t="s">
        <v>369</v>
      </c>
      <c r="CD77" s="134">
        <v>0</v>
      </c>
      <c r="CE77" s="134" t="str">
        <f t="shared" si="475"/>
        <v>Jun-26</v>
      </c>
      <c r="CF77" s="134">
        <f t="shared" si="476"/>
        <v>149400</v>
      </c>
      <c r="CG77" s="134">
        <f t="shared" si="477"/>
        <v>195050</v>
      </c>
      <c r="CH77" s="134">
        <f t="shared" si="478"/>
        <v>11</v>
      </c>
      <c r="CI77" s="154" t="s">
        <v>252</v>
      </c>
      <c r="CJ77" s="134" t="s">
        <v>252</v>
      </c>
      <c r="CK77" s="134">
        <f>_xlfn.XLOOKUP(AR77,receivables!B:B,receivables!D:D)</f>
        <v>0</v>
      </c>
      <c r="CL77" s="134">
        <f t="shared" si="479"/>
        <v>45650</v>
      </c>
      <c r="CM77" s="134">
        <f t="shared" si="480"/>
        <v>45650</v>
      </c>
      <c r="CN77" s="134">
        <f t="shared" si="481"/>
        <v>40773.75</v>
      </c>
      <c r="CO77" s="134">
        <f t="shared" si="482"/>
        <v>230159</v>
      </c>
      <c r="CP77" s="134">
        <f t="shared" si="483"/>
        <v>-176292</v>
      </c>
      <c r="CQ77" s="134">
        <f t="shared" si="484"/>
        <v>0</v>
      </c>
      <c r="CR77" s="134">
        <f t="shared" si="485"/>
        <v>0</v>
      </c>
      <c r="CS77" s="134">
        <f t="shared" si="486"/>
        <v>53867</v>
      </c>
      <c r="CT77" s="134" t="s">
        <v>296</v>
      </c>
      <c r="CU77" s="134" t="s">
        <v>296</v>
      </c>
      <c r="CV77" s="149" t="str">
        <f t="shared" si="487"/>
        <v>AAMCB5608A</v>
      </c>
      <c r="CW77" s="149" t="str">
        <f t="shared" si="488"/>
        <v>AAGCV9303A</v>
      </c>
      <c r="CX77" s="149">
        <v>0</v>
      </c>
      <c r="CY77" s="149">
        <v>0</v>
      </c>
      <c r="CZ77" s="149">
        <v>0</v>
      </c>
      <c r="DA77" s="149">
        <v>0</v>
      </c>
      <c r="DB77" s="149">
        <v>0</v>
      </c>
    </row>
    <row r="78" spans="2:106" s="156" customFormat="1" ht="12.5" thickBot="1" x14ac:dyDescent="0.35">
      <c r="B78" s="127"/>
      <c r="C78" s="128"/>
      <c r="D78" s="294"/>
      <c r="E78" s="130"/>
      <c r="F78" s="130"/>
      <c r="G78" s="130"/>
      <c r="H78" s="131"/>
      <c r="I78" s="129"/>
      <c r="J78" s="130"/>
      <c r="K78" s="129"/>
      <c r="L78" s="130"/>
      <c r="M78" s="130"/>
      <c r="N78" s="131"/>
      <c r="O78" s="130"/>
      <c r="P78" s="289"/>
      <c r="Q78" s="132"/>
      <c r="R78" s="133"/>
      <c r="S78" s="132"/>
      <c r="T78" s="133"/>
      <c r="U78" s="134"/>
      <c r="V78" s="135"/>
      <c r="W78" s="134"/>
      <c r="X78" s="136"/>
      <c r="Y78" s="134"/>
      <c r="Z78" s="134"/>
      <c r="AA78" s="133"/>
      <c r="AB78" s="137"/>
      <c r="AC78" s="136"/>
      <c r="AD78" s="338"/>
      <c r="AE78" s="151"/>
      <c r="AF78" s="134"/>
      <c r="AG78" s="138"/>
      <c r="AH78" s="134"/>
      <c r="AI78" s="135"/>
      <c r="AJ78" s="134"/>
      <c r="AK78" s="134"/>
      <c r="AL78" s="134"/>
      <c r="AM78" s="139"/>
      <c r="AN78" s="140"/>
      <c r="AO78" s="141"/>
      <c r="AP78" s="142"/>
      <c r="AQ78" s="143"/>
      <c r="AR78" s="143"/>
      <c r="AS78" s="130"/>
      <c r="AT78" s="144"/>
      <c r="AU78" s="144"/>
      <c r="AV78" s="145"/>
      <c r="AW78" s="143"/>
      <c r="AX78" s="316"/>
      <c r="AY78" s="143"/>
      <c r="AZ78" s="146"/>
      <c r="BA78" s="132"/>
      <c r="BB78" s="147"/>
      <c r="BC78" s="148"/>
      <c r="BD78" s="147"/>
      <c r="BE78" s="148"/>
      <c r="BF78" s="147"/>
      <c r="BG78" s="148"/>
      <c r="BH78" s="134"/>
      <c r="BI78" s="134"/>
      <c r="BJ78" s="135"/>
      <c r="BK78" s="132"/>
      <c r="BL78" s="143"/>
      <c r="BM78" s="143"/>
      <c r="BN78" s="157"/>
      <c r="BO78" s="133"/>
      <c r="BP78" s="139"/>
      <c r="BQ78" s="148"/>
      <c r="BR78" s="150"/>
      <c r="BS78" s="132"/>
      <c r="BT78" s="151"/>
      <c r="BU78" s="152"/>
      <c r="BV78" s="151"/>
      <c r="BW78" s="132"/>
      <c r="BX78" s="133"/>
      <c r="BY78" s="132"/>
      <c r="BZ78" s="153"/>
      <c r="CA78" s="153"/>
      <c r="CB78" s="134"/>
      <c r="CC78" s="153"/>
      <c r="CD78" s="134"/>
      <c r="CE78" s="134"/>
      <c r="CF78" s="134"/>
      <c r="CG78" s="134"/>
      <c r="CH78" s="134"/>
      <c r="CI78" s="154"/>
      <c r="CJ78" s="134"/>
      <c r="CK78" s="134"/>
      <c r="CL78" s="134"/>
      <c r="CM78" s="134"/>
      <c r="CN78" s="134"/>
      <c r="CO78" s="134"/>
      <c r="CP78" s="134"/>
      <c r="CQ78" s="134"/>
      <c r="CR78" s="134"/>
      <c r="CS78" s="134"/>
      <c r="CT78" s="134"/>
      <c r="CU78" s="134"/>
      <c r="CV78" s="149"/>
      <c r="CW78" s="149"/>
      <c r="CX78" s="149"/>
      <c r="CY78" s="149"/>
      <c r="CZ78" s="149"/>
      <c r="DA78" s="149"/>
      <c r="DB78" s="149"/>
    </row>
    <row r="79" spans="2:106" s="171" customFormat="1" ht="12.5" thickBot="1" x14ac:dyDescent="0.35">
      <c r="B79" s="158"/>
      <c r="C79" s="159"/>
      <c r="D79" s="159"/>
      <c r="E79" s="159"/>
      <c r="F79" s="160" t="s">
        <v>62</v>
      </c>
      <c r="G79" s="159"/>
      <c r="H79" s="159"/>
      <c r="I79" s="161"/>
      <c r="J79" s="159"/>
      <c r="K79" s="161"/>
      <c r="L79" s="160"/>
      <c r="M79" s="162"/>
      <c r="N79" s="163"/>
      <c r="O79" s="164">
        <f>SUBTOTAL(9,O5:O78)</f>
        <v>250350</v>
      </c>
      <c r="P79" s="165"/>
      <c r="Q79" s="164">
        <f>SUBTOTAL(9,Q5:Q78)</f>
        <v>11824275</v>
      </c>
      <c r="R79" s="164"/>
      <c r="S79" s="164">
        <f>SUBTOTAL(9,S5:S78)</f>
        <v>250350</v>
      </c>
      <c r="T79" s="164">
        <f>SUBTOTAL(9,T5:T78)</f>
        <v>0</v>
      </c>
      <c r="U79" s="166"/>
      <c r="V79" s="166"/>
      <c r="W79" s="167"/>
      <c r="X79" s="167"/>
      <c r="Y79" s="164">
        <f>SUBTOTAL(9,Y5:Y78)</f>
        <v>0</v>
      </c>
      <c r="Z79" s="164">
        <f>SUBTOTAL(9,Z5:Z78)</f>
        <v>0</v>
      </c>
      <c r="AA79" s="164">
        <f>SUBTOTAL(9,AA5:AA78)</f>
        <v>0</v>
      </c>
      <c r="AB79" s="164">
        <f>SUBTOTAL(9,AB5:AB78)</f>
        <v>0</v>
      </c>
      <c r="AC79" s="164">
        <f>SUBTOTAL(9,AC5:AC78)</f>
        <v>0</v>
      </c>
      <c r="AD79" s="164">
        <f>SUBTOTAL(1,AD5:AD78)</f>
        <v>45.643835616438359</v>
      </c>
      <c r="AE79" s="164">
        <f>SUBTOTAL(9,AE5:AE78)</f>
        <v>0</v>
      </c>
      <c r="AF79" s="159"/>
      <c r="AG79" s="159"/>
      <c r="AH79" s="168"/>
      <c r="AI79" s="168"/>
      <c r="AJ79" s="164">
        <f>SUBTOTAL(9,AJ5:AJ78)</f>
        <v>0</v>
      </c>
      <c r="AK79" s="164">
        <f>SUBTOTAL(9,AK5:AK78)</f>
        <v>0</v>
      </c>
      <c r="AL79" s="164">
        <f>SUBTOTAL(9,AL5:AL78)</f>
        <v>0</v>
      </c>
      <c r="AM79" s="164">
        <f>SUBTOTAL(9,AM5:AM78)</f>
        <v>11824275</v>
      </c>
      <c r="AN79" s="165"/>
      <c r="AO79" s="165"/>
      <c r="AP79" s="165"/>
      <c r="AQ79" s="164"/>
      <c r="AR79" s="164"/>
      <c r="AS79" s="162"/>
      <c r="AT79" s="164"/>
      <c r="AU79" s="164"/>
      <c r="AV79" s="165"/>
      <c r="AW79" s="164">
        <f>SUBTOTAL(9,AW5:AW78)</f>
        <v>250350</v>
      </c>
      <c r="AX79" s="317">
        <f>SUBTOTAL(101,AX5:AX78)</f>
        <v>59.013698630136986</v>
      </c>
      <c r="AY79" s="164">
        <f>SUBTOTAL(9,AY5:AY78)</f>
        <v>15310125</v>
      </c>
      <c r="AZ79" s="164"/>
      <c r="BA79" s="164">
        <f>SUBTOTAL(9,BA5:BA78)</f>
        <v>0</v>
      </c>
      <c r="BB79" s="164">
        <f>SUBTOTAL(9,BB5:BB78)</f>
        <v>250350</v>
      </c>
      <c r="BC79" s="164">
        <f>SUBTOTAL(9,BC5:BC78)</f>
        <v>0</v>
      </c>
      <c r="BD79" s="164"/>
      <c r="BE79" s="164"/>
      <c r="BF79" s="164"/>
      <c r="BG79" s="164">
        <f>SUBTOTAL(9,BG5:BG78)</f>
        <v>0</v>
      </c>
      <c r="BH79" s="165"/>
      <c r="BI79" s="329"/>
      <c r="BJ79" s="165"/>
      <c r="BK79" s="165"/>
      <c r="BL79" s="164">
        <f>SUBTOTAL(9,BL5:BL78)</f>
        <v>0</v>
      </c>
      <c r="BM79" s="164">
        <f>SUBTOTAL(9,BM5:BM78)</f>
        <v>-46411.94</v>
      </c>
      <c r="BN79" s="164">
        <f>SUBTOTAL(9,BN5:BN78)</f>
        <v>-299279.875</v>
      </c>
      <c r="BO79" s="164">
        <f>SUBTOTAL(9,BO5:BO78)</f>
        <v>14964433.185000002</v>
      </c>
      <c r="BP79" s="164">
        <f>SUBTOTAL(9,BP5:BP78)</f>
        <v>3140158.1849999996</v>
      </c>
      <c r="BQ79" s="164"/>
      <c r="BR79" s="164"/>
      <c r="BS79" s="164">
        <f>SUBTOTAL(9,BS5:BS78)</f>
        <v>3485850</v>
      </c>
      <c r="BT79" s="164"/>
      <c r="BU79" s="164"/>
      <c r="BV79" s="159"/>
      <c r="BW79" s="164">
        <f t="shared" ref="BW79:CB79" si="489">SUBTOTAL(9,BW5:BW78)</f>
        <v>-345691.815</v>
      </c>
      <c r="BX79" s="164">
        <f t="shared" si="489"/>
        <v>0</v>
      </c>
      <c r="BY79" s="164">
        <f t="shared" si="489"/>
        <v>-345691.815</v>
      </c>
      <c r="BZ79" s="164">
        <f t="shared" si="489"/>
        <v>-46411.94</v>
      </c>
      <c r="CA79" s="164">
        <f t="shared" si="489"/>
        <v>0</v>
      </c>
      <c r="CB79" s="164">
        <f t="shared" si="489"/>
        <v>-46411.94</v>
      </c>
      <c r="CC79" s="160"/>
      <c r="CD79" s="169"/>
      <c r="CE79" s="169"/>
      <c r="CF79" s="164">
        <f>SUBTOTAL(9,CF5:CF78)</f>
        <v>11824275</v>
      </c>
      <c r="CG79" s="164">
        <f>SUBTOTAL(9,CG5:CG78)</f>
        <v>15263713.060000001</v>
      </c>
      <c r="CH79" s="169"/>
      <c r="CI79" s="170"/>
      <c r="CJ79" s="169"/>
      <c r="CK79" s="169"/>
      <c r="CL79" s="164">
        <f t="shared" ref="CL79:CS79" si="490">SUBTOTAL(9,CL5:CL78)</f>
        <v>3485850</v>
      </c>
      <c r="CM79" s="164">
        <f t="shared" si="490"/>
        <v>3485850</v>
      </c>
      <c r="CN79" s="164">
        <f t="shared" si="490"/>
        <v>3140158.1849999996</v>
      </c>
      <c r="CO79" s="164">
        <f t="shared" si="490"/>
        <v>18065947.5</v>
      </c>
      <c r="CP79" s="164">
        <f t="shared" si="490"/>
        <v>-13952644.499999994</v>
      </c>
      <c r="CQ79" s="164">
        <f t="shared" si="490"/>
        <v>54766.089199999995</v>
      </c>
      <c r="CR79" s="164">
        <f t="shared" si="490"/>
        <v>0</v>
      </c>
      <c r="CS79" s="164">
        <f t="shared" si="490"/>
        <v>4168069.0891999993</v>
      </c>
      <c r="CT79" s="169"/>
      <c r="CU79" s="169"/>
      <c r="CV79" s="169"/>
      <c r="CW79" s="169"/>
      <c r="CX79" s="169"/>
      <c r="CY79" s="169"/>
      <c r="CZ79" s="169"/>
      <c r="DA79" s="169"/>
      <c r="DB79" s="169"/>
    </row>
    <row r="80" spans="2:106" s="172" customFormat="1" ht="12.5" thickBot="1" x14ac:dyDescent="0.35">
      <c r="D80" s="156"/>
      <c r="E80" s="173"/>
      <c r="F80" s="174"/>
      <c r="G80" s="173"/>
      <c r="H80" s="173"/>
      <c r="I80" s="175"/>
      <c r="J80" s="156"/>
      <c r="K80" s="175"/>
      <c r="L80" s="176"/>
      <c r="M80" s="176"/>
      <c r="N80" s="177">
        <f>O79-AW79+'Recon Items'!R31</f>
        <v>0</v>
      </c>
      <c r="O80" s="178"/>
      <c r="P80" s="179">
        <f>Q79+AK79+AJ79+AL79+T79+AE79</f>
        <v>11824275</v>
      </c>
      <c r="Q80" s="180">
        <f>Q79*18%</f>
        <v>2128369.5</v>
      </c>
      <c r="R80" s="180">
        <f>Q80*25%</f>
        <v>532092.375</v>
      </c>
      <c r="S80" s="180"/>
      <c r="T80" s="180"/>
      <c r="U80" s="176"/>
      <c r="V80" s="155"/>
      <c r="W80" s="155"/>
      <c r="X80" s="174"/>
      <c r="Y80" s="180"/>
      <c r="Z80" s="180"/>
      <c r="AA80" s="180">
        <f>AB79/AY79</f>
        <v>0</v>
      </c>
      <c r="AB80" s="180"/>
      <c r="AC80" s="188">
        <f>+AL79+AK79</f>
        <v>0</v>
      </c>
      <c r="AD80" s="181"/>
      <c r="AE80" s="181"/>
      <c r="AF80" s="182"/>
      <c r="AG80" s="182"/>
      <c r="AH80" s="174"/>
      <c r="AI80" s="187" t="s">
        <v>288</v>
      </c>
      <c r="AJ80" s="156">
        <f>AK79+AJ79+AE79</f>
        <v>0</v>
      </c>
      <c r="AK80" s="180"/>
      <c r="AL80" s="156"/>
      <c r="AM80" s="181">
        <f>AM79*18%</f>
        <v>2128369.5</v>
      </c>
      <c r="AN80" s="156"/>
      <c r="AO80" s="156"/>
      <c r="AP80" s="156"/>
      <c r="AQ80" s="156"/>
      <c r="AR80" s="183"/>
      <c r="AS80" s="156"/>
      <c r="AT80" s="156"/>
      <c r="AU80" s="156"/>
      <c r="AV80" s="156"/>
      <c r="AW80" s="318"/>
      <c r="AX80" s="156"/>
      <c r="AY80" s="156"/>
      <c r="AZ80" s="156"/>
      <c r="BA80" s="156"/>
      <c r="BB80" s="156"/>
      <c r="BC80" s="156"/>
      <c r="BD80" s="156"/>
      <c r="BE80" s="156"/>
      <c r="BF80" s="156"/>
      <c r="BG80" s="156"/>
      <c r="BH80" s="187" t="s">
        <v>190</v>
      </c>
      <c r="BI80" s="187">
        <f>BL79+BM79+BC79+BM87</f>
        <v>-46411.94</v>
      </c>
      <c r="BJ80" s="156"/>
      <c r="BK80" s="184">
        <f>BI80/AY79</f>
        <v>-3.0314540214400601E-3</v>
      </c>
      <c r="BL80" s="184"/>
      <c r="BM80" s="156"/>
      <c r="BN80" s="185">
        <f>BP79/BO79</f>
        <v>0.20984143844135844</v>
      </c>
      <c r="BO80" s="180"/>
      <c r="BP80" s="156"/>
      <c r="BQ80" s="174"/>
      <c r="BR80" s="186">
        <f>BS79/AY79</f>
        <v>0.22768266098415266</v>
      </c>
      <c r="BS80" s="180"/>
      <c r="BV80" s="156"/>
      <c r="BW80" s="180"/>
      <c r="BX80" s="218">
        <f>BX79/BW79</f>
        <v>0</v>
      </c>
      <c r="BY80" s="156"/>
      <c r="BZ80" s="156"/>
      <c r="CA80" s="219">
        <f>IFERROR(CA79/BZ79,0)</f>
        <v>0</v>
      </c>
      <c r="CB80" s="173"/>
      <c r="CC80" s="187"/>
      <c r="CD80" s="187" t="s">
        <v>163</v>
      </c>
      <c r="CE80" s="220">
        <f>CF79*118%</f>
        <v>13952644.5</v>
      </c>
      <c r="CF80" s="220">
        <f>CG79*118%</f>
        <v>18011181.410799999</v>
      </c>
      <c r="CH80" s="174"/>
    </row>
    <row r="81" spans="2:106" s="172" customFormat="1" ht="12.5" thickBot="1" x14ac:dyDescent="0.35">
      <c r="D81" s="173"/>
      <c r="E81" s="173"/>
      <c r="F81" s="174"/>
      <c r="G81" s="173"/>
      <c r="H81" s="173"/>
      <c r="I81" s="175"/>
      <c r="J81" s="156"/>
      <c r="K81" s="175"/>
      <c r="L81" s="176"/>
      <c r="M81" s="174"/>
      <c r="N81" s="178"/>
      <c r="O81" s="178"/>
      <c r="P81" s="179"/>
      <c r="Q81" s="180"/>
      <c r="R81" s="180"/>
      <c r="S81" s="180"/>
      <c r="T81" s="180"/>
      <c r="U81" s="176"/>
      <c r="V81" s="155"/>
      <c r="W81" s="155"/>
      <c r="X81" s="174"/>
      <c r="Y81" s="180"/>
      <c r="Z81" s="180"/>
      <c r="AA81" s="156"/>
      <c r="AB81" s="156"/>
      <c r="AD81" s="181"/>
      <c r="AE81" s="181"/>
      <c r="AF81" s="182"/>
      <c r="AG81" s="182"/>
      <c r="AH81" s="174"/>
      <c r="AI81" s="187" t="s">
        <v>289</v>
      </c>
      <c r="AJ81" s="181" t="e">
        <f>-'Last year''s'!#REF!</f>
        <v>#REF!</v>
      </c>
      <c r="AK81" s="189"/>
      <c r="AL81" s="156"/>
      <c r="AM81" s="181"/>
      <c r="AN81" s="156"/>
      <c r="AO81" s="156"/>
      <c r="AP81" s="156"/>
      <c r="AQ81" s="156"/>
      <c r="AR81" s="190"/>
      <c r="AS81" s="156"/>
      <c r="AT81" s="156"/>
      <c r="AU81" s="156"/>
      <c r="AV81" s="156"/>
      <c r="AW81" s="318"/>
      <c r="AX81" s="156"/>
      <c r="AY81" s="156"/>
      <c r="AZ81" s="156"/>
      <c r="BA81" s="156"/>
      <c r="BB81" s="156"/>
      <c r="BC81" s="156"/>
      <c r="BD81" s="156"/>
      <c r="BE81" s="156"/>
      <c r="BF81" s="156"/>
      <c r="BG81" s="156"/>
      <c r="BH81" s="187" t="s">
        <v>191</v>
      </c>
      <c r="BI81" s="156">
        <f>'Last year''s'!L8</f>
        <v>105923.5</v>
      </c>
      <c r="BL81" s="191"/>
      <c r="BM81" s="192"/>
      <c r="BN81" s="180"/>
      <c r="BO81" s="180"/>
      <c r="BP81" s="156"/>
      <c r="BQ81" s="174"/>
      <c r="BR81" s="193"/>
      <c r="BS81" s="180"/>
      <c r="BV81" s="156"/>
      <c r="BW81" s="180"/>
      <c r="BX81" s="174"/>
      <c r="BY81" s="156"/>
      <c r="BZ81" s="156"/>
      <c r="CA81" s="156"/>
      <c r="CB81" s="173"/>
      <c r="CC81" s="156"/>
      <c r="CD81" s="156"/>
      <c r="CH81" s="174"/>
    </row>
    <row r="82" spans="2:106" s="172" customFormat="1" ht="13.5" thickBot="1" x14ac:dyDescent="0.35">
      <c r="B82" s="119" t="s">
        <v>20</v>
      </c>
      <c r="C82" s="120" t="s">
        <v>19</v>
      </c>
      <c r="D82" s="119" t="s">
        <v>18</v>
      </c>
      <c r="E82" s="120" t="s">
        <v>167</v>
      </c>
      <c r="F82" s="120" t="s">
        <v>30</v>
      </c>
      <c r="G82" s="120" t="s">
        <v>21</v>
      </c>
      <c r="H82" s="121" t="s">
        <v>24</v>
      </c>
      <c r="I82" s="122" t="s">
        <v>25</v>
      </c>
      <c r="J82" s="120" t="s">
        <v>22</v>
      </c>
      <c r="K82" s="122" t="s">
        <v>23</v>
      </c>
      <c r="L82" s="120" t="s">
        <v>32</v>
      </c>
      <c r="M82" s="120" t="s">
        <v>34</v>
      </c>
      <c r="N82" s="121" t="s">
        <v>38</v>
      </c>
      <c r="O82" s="120" t="s">
        <v>40</v>
      </c>
      <c r="P82" s="121" t="s">
        <v>41</v>
      </c>
      <c r="Q82" s="120" t="s">
        <v>42</v>
      </c>
      <c r="R82" s="121" t="s">
        <v>112</v>
      </c>
      <c r="S82" s="120" t="s">
        <v>113</v>
      </c>
      <c r="T82" s="121" t="s">
        <v>106</v>
      </c>
      <c r="U82" s="120" t="s">
        <v>33</v>
      </c>
      <c r="V82" s="121" t="s">
        <v>35</v>
      </c>
      <c r="W82" s="120" t="s">
        <v>36</v>
      </c>
      <c r="X82" s="121" t="s">
        <v>37</v>
      </c>
      <c r="Y82" s="120" t="s">
        <v>43</v>
      </c>
      <c r="Z82" s="120" t="s">
        <v>69</v>
      </c>
      <c r="AA82" s="121" t="s">
        <v>44</v>
      </c>
      <c r="AB82" s="120" t="s">
        <v>45</v>
      </c>
      <c r="AC82" s="339" t="s">
        <v>300</v>
      </c>
      <c r="AD82" s="120" t="s">
        <v>46</v>
      </c>
      <c r="AE82" s="121" t="s">
        <v>114</v>
      </c>
      <c r="AF82" s="120" t="s">
        <v>26</v>
      </c>
      <c r="AG82" s="121" t="s">
        <v>27</v>
      </c>
      <c r="AH82" s="120" t="s">
        <v>28</v>
      </c>
      <c r="AI82" s="121" t="s">
        <v>29</v>
      </c>
      <c r="AJ82" s="120" t="s">
        <v>47</v>
      </c>
      <c r="AK82" s="120" t="s">
        <v>187</v>
      </c>
      <c r="AL82" s="120" t="s">
        <v>189</v>
      </c>
      <c r="AM82" s="120" t="s">
        <v>48</v>
      </c>
      <c r="AN82" s="121" t="s">
        <v>50</v>
      </c>
      <c r="AO82" s="120" t="s">
        <v>49</v>
      </c>
      <c r="AP82" s="121" t="s">
        <v>177</v>
      </c>
      <c r="AQ82" s="121" t="s">
        <v>51</v>
      </c>
      <c r="AR82" s="120" t="s">
        <v>148</v>
      </c>
      <c r="AS82" s="120" t="s">
        <v>31</v>
      </c>
      <c r="AT82" s="120" t="s">
        <v>52</v>
      </c>
      <c r="AU82" s="121" t="s">
        <v>53</v>
      </c>
      <c r="AV82" s="121" t="s">
        <v>371</v>
      </c>
      <c r="AW82" s="120" t="s">
        <v>54</v>
      </c>
      <c r="AX82" s="315" t="s">
        <v>55</v>
      </c>
      <c r="AY82" s="120" t="s">
        <v>56</v>
      </c>
      <c r="AZ82" s="121" t="s">
        <v>57</v>
      </c>
      <c r="BA82" s="120" t="s">
        <v>112</v>
      </c>
      <c r="BB82" s="121" t="s">
        <v>113</v>
      </c>
      <c r="BC82" s="120" t="s">
        <v>114</v>
      </c>
      <c r="BD82" s="121" t="s">
        <v>115</v>
      </c>
      <c r="BE82" s="120" t="s">
        <v>137</v>
      </c>
      <c r="BF82" s="121" t="s">
        <v>138</v>
      </c>
      <c r="BG82" s="120" t="s">
        <v>56</v>
      </c>
      <c r="BH82" s="120" t="s">
        <v>127</v>
      </c>
      <c r="BI82" s="122" t="s">
        <v>128</v>
      </c>
      <c r="BJ82" s="120" t="s">
        <v>129</v>
      </c>
      <c r="BK82" s="120" t="s">
        <v>130</v>
      </c>
      <c r="BL82" s="120" t="s">
        <v>132</v>
      </c>
      <c r="BM82" s="120" t="s">
        <v>186</v>
      </c>
      <c r="BN82" s="120" t="s">
        <v>188</v>
      </c>
      <c r="BO82" s="121" t="s">
        <v>58</v>
      </c>
      <c r="BP82" s="120" t="s">
        <v>59</v>
      </c>
      <c r="BQ82" s="120" t="s">
        <v>71</v>
      </c>
      <c r="BR82" s="121" t="s">
        <v>61</v>
      </c>
      <c r="BS82" s="120" t="s">
        <v>181</v>
      </c>
      <c r="BT82" s="123" t="s">
        <v>131</v>
      </c>
      <c r="BU82" s="120" t="s">
        <v>104</v>
      </c>
      <c r="BV82" s="120" t="s">
        <v>105</v>
      </c>
      <c r="BW82" s="120" t="s">
        <v>179</v>
      </c>
      <c r="BX82" s="120" t="s">
        <v>180</v>
      </c>
      <c r="BY82" s="120" t="s">
        <v>60</v>
      </c>
      <c r="BZ82" s="120" t="s">
        <v>125</v>
      </c>
      <c r="CA82" s="120" t="s">
        <v>126</v>
      </c>
      <c r="CB82" s="120" t="s">
        <v>60</v>
      </c>
      <c r="CC82" s="120" t="s">
        <v>39</v>
      </c>
      <c r="CD82" s="120" t="s">
        <v>157</v>
      </c>
      <c r="CE82" s="120" t="s">
        <v>19</v>
      </c>
      <c r="CF82" s="120" t="s">
        <v>161</v>
      </c>
      <c r="CG82" s="120" t="s">
        <v>149</v>
      </c>
      <c r="CH82" s="120" t="s">
        <v>172</v>
      </c>
      <c r="CI82" s="120" t="s">
        <v>155</v>
      </c>
      <c r="CJ82" s="120" t="s">
        <v>173</v>
      </c>
      <c r="CK82" s="124" t="s">
        <v>174</v>
      </c>
      <c r="CL82" s="125" t="s">
        <v>182</v>
      </c>
      <c r="CM82" s="124" t="s">
        <v>183</v>
      </c>
      <c r="CN82" s="124" t="s">
        <v>184</v>
      </c>
      <c r="CO82" s="124" t="s">
        <v>193</v>
      </c>
      <c r="CP82" s="124" t="s">
        <v>2</v>
      </c>
      <c r="CQ82" s="124" t="s">
        <v>194</v>
      </c>
      <c r="CR82" s="124" t="s">
        <v>195</v>
      </c>
      <c r="CS82" s="124" t="s">
        <v>59</v>
      </c>
      <c r="CT82" s="124" t="s">
        <v>294</v>
      </c>
      <c r="CU82" s="124" t="s">
        <v>295</v>
      </c>
      <c r="CV82" s="124" t="s">
        <v>164</v>
      </c>
      <c r="CW82" s="124" t="s">
        <v>165</v>
      </c>
      <c r="CX82" s="124" t="s">
        <v>315</v>
      </c>
      <c r="CY82" s="124" t="s">
        <v>318</v>
      </c>
      <c r="CZ82" s="124" t="s">
        <v>319</v>
      </c>
      <c r="DA82" s="124" t="s">
        <v>316</v>
      </c>
      <c r="DB82" s="124" t="s">
        <v>317</v>
      </c>
    </row>
    <row r="83" spans="2:106" s="172" customFormat="1" ht="12" x14ac:dyDescent="0.3">
      <c r="B83" s="127" t="s">
        <v>476</v>
      </c>
      <c r="C83" s="128" t="str">
        <f>TEXT(AN83,"mmm-yy")</f>
        <v>Apr-26</v>
      </c>
      <c r="D83" s="294">
        <v>46142</v>
      </c>
      <c r="E83" s="130" t="s">
        <v>501</v>
      </c>
      <c r="F83" s="130" t="s">
        <v>197</v>
      </c>
      <c r="G83" s="130" t="s">
        <v>373</v>
      </c>
      <c r="H83" s="131">
        <v>0</v>
      </c>
      <c r="I83" s="292">
        <v>0</v>
      </c>
      <c r="J83" s="293">
        <v>0</v>
      </c>
      <c r="K83" s="292">
        <v>0</v>
      </c>
      <c r="L83" s="130" t="s">
        <v>376</v>
      </c>
      <c r="M83" s="130" t="s">
        <v>297</v>
      </c>
      <c r="N83" s="130" t="s">
        <v>501</v>
      </c>
      <c r="O83" s="130">
        <v>1</v>
      </c>
      <c r="P83" s="289">
        <v>0</v>
      </c>
      <c r="Q83" s="132">
        <v>0</v>
      </c>
      <c r="R83" s="133">
        <v>0</v>
      </c>
      <c r="S83" s="132">
        <v>1</v>
      </c>
      <c r="T83" s="133">
        <v>0</v>
      </c>
      <c r="U83" s="134">
        <v>0</v>
      </c>
      <c r="V83" s="135">
        <v>0</v>
      </c>
      <c r="W83" s="134">
        <v>0</v>
      </c>
      <c r="X83" s="136">
        <v>0</v>
      </c>
      <c r="Y83" s="134">
        <v>0</v>
      </c>
      <c r="Z83" s="134">
        <v>0</v>
      </c>
      <c r="AA83" s="133">
        <v>0</v>
      </c>
      <c r="AB83" s="137">
        <v>0</v>
      </c>
      <c r="AC83" s="136">
        <f>1581099*Summary!D5/123</f>
        <v>857135.62048780499</v>
      </c>
      <c r="AD83" s="132">
        <v>0</v>
      </c>
      <c r="AE83" s="151">
        <v>0</v>
      </c>
      <c r="AF83" s="134">
        <v>0</v>
      </c>
      <c r="AG83" s="138">
        <v>0</v>
      </c>
      <c r="AH83" s="134">
        <v>0</v>
      </c>
      <c r="AI83" s="135">
        <v>0</v>
      </c>
      <c r="AJ83" s="134">
        <v>0</v>
      </c>
      <c r="AK83" s="134">
        <v>0</v>
      </c>
      <c r="AL83" s="134">
        <v>0</v>
      </c>
      <c r="AM83" s="139">
        <v>0</v>
      </c>
      <c r="AN83" s="140">
        <v>46142</v>
      </c>
      <c r="AO83" s="141">
        <v>0</v>
      </c>
      <c r="AP83" s="142">
        <v>0</v>
      </c>
      <c r="AQ83" s="141">
        <v>0</v>
      </c>
      <c r="AR83" s="141">
        <v>0</v>
      </c>
      <c r="AS83" s="141">
        <v>0</v>
      </c>
      <c r="AT83" s="141">
        <v>0</v>
      </c>
      <c r="AU83" s="142">
        <v>0</v>
      </c>
      <c r="AV83" s="143">
        <v>1</v>
      </c>
      <c r="AW83" s="316">
        <v>0</v>
      </c>
      <c r="AX83" s="143">
        <v>0</v>
      </c>
      <c r="AY83" s="146" t="b">
        <v>1</v>
      </c>
      <c r="AZ83" s="132">
        <v>0</v>
      </c>
      <c r="BA83" s="147">
        <v>1</v>
      </c>
      <c r="BB83" s="148">
        <v>0</v>
      </c>
      <c r="BC83" s="147" t="s">
        <v>116</v>
      </c>
      <c r="BD83" s="148">
        <v>0</v>
      </c>
      <c r="BE83" s="147">
        <v>0</v>
      </c>
      <c r="BF83" s="148">
        <v>0</v>
      </c>
      <c r="BG83" s="135">
        <v>0</v>
      </c>
      <c r="BH83" s="137">
        <v>0</v>
      </c>
      <c r="BI83" s="135">
        <v>0</v>
      </c>
      <c r="BJ83" s="132">
        <v>0</v>
      </c>
      <c r="BK83" s="143">
        <v>0</v>
      </c>
      <c r="BL83" s="134">
        <v>0</v>
      </c>
      <c r="BM83" s="149">
        <v>0</v>
      </c>
      <c r="BN83" s="133">
        <v>0</v>
      </c>
      <c r="BO83" s="139">
        <v>0</v>
      </c>
      <c r="BP83" s="148" t="s">
        <v>477</v>
      </c>
      <c r="BQ83" s="130" t="s">
        <v>508</v>
      </c>
      <c r="BR83" s="132">
        <v>0</v>
      </c>
      <c r="BS83" s="151" t="s">
        <v>478</v>
      </c>
      <c r="BT83" s="152" t="s">
        <v>479</v>
      </c>
      <c r="BU83" s="151" t="s">
        <v>480</v>
      </c>
      <c r="BV83" s="132">
        <v>0</v>
      </c>
      <c r="BW83" s="133">
        <v>0</v>
      </c>
      <c r="BX83" s="132">
        <v>0</v>
      </c>
      <c r="BY83" s="153">
        <v>0</v>
      </c>
      <c r="BZ83" s="153">
        <v>0</v>
      </c>
      <c r="CA83" s="134">
        <v>0</v>
      </c>
      <c r="CB83" s="153" t="s">
        <v>481</v>
      </c>
      <c r="CC83" s="134">
        <v>0</v>
      </c>
      <c r="CD83" s="134" t="s">
        <v>321</v>
      </c>
      <c r="CE83" s="134">
        <v>0</v>
      </c>
      <c r="CF83" s="134">
        <v>0</v>
      </c>
      <c r="CG83" s="134">
        <v>4</v>
      </c>
      <c r="CH83" s="154" t="s">
        <v>482</v>
      </c>
      <c r="CI83" s="134" t="s">
        <v>482</v>
      </c>
      <c r="CJ83" s="134" t="s">
        <v>483</v>
      </c>
      <c r="CK83" s="134">
        <v>0</v>
      </c>
      <c r="CL83" s="134">
        <v>0</v>
      </c>
      <c r="CM83" s="134">
        <v>0</v>
      </c>
      <c r="CN83" s="134">
        <v>0</v>
      </c>
      <c r="CO83" s="134">
        <v>0</v>
      </c>
      <c r="CP83" s="134">
        <v>0</v>
      </c>
      <c r="CQ83" s="134">
        <v>0</v>
      </c>
      <c r="CR83" s="134">
        <v>0</v>
      </c>
      <c r="CS83" s="134" t="s">
        <v>296</v>
      </c>
      <c r="CT83" s="134" t="s">
        <v>296</v>
      </c>
      <c r="CU83" s="149" t="s">
        <v>484</v>
      </c>
      <c r="CV83" s="149" t="s">
        <v>297</v>
      </c>
      <c r="CW83" s="149" t="str">
        <f t="shared" ref="CW83" si="491">MID(AR83,3,10)</f>
        <v/>
      </c>
      <c r="CX83" s="149">
        <v>0</v>
      </c>
      <c r="CY83" s="149">
        <v>0</v>
      </c>
      <c r="CZ83" s="149">
        <v>0</v>
      </c>
      <c r="DA83" s="149">
        <v>0</v>
      </c>
      <c r="DB83" s="149">
        <v>0</v>
      </c>
    </row>
    <row r="84" spans="2:106" s="172" customFormat="1" ht="12" x14ac:dyDescent="0.3">
      <c r="B84" s="127" t="s">
        <v>476</v>
      </c>
      <c r="C84" s="128" t="str">
        <f t="shared" ref="C84" si="492">TEXT(AN84,"mmm-yy")</f>
        <v>May-26</v>
      </c>
      <c r="D84" s="294">
        <v>46173</v>
      </c>
      <c r="E84" s="130" t="s">
        <v>507</v>
      </c>
      <c r="F84" s="130" t="s">
        <v>197</v>
      </c>
      <c r="G84" s="130" t="s">
        <v>373</v>
      </c>
      <c r="H84" s="131">
        <v>0</v>
      </c>
      <c r="I84" s="292">
        <v>0</v>
      </c>
      <c r="J84" s="293">
        <v>0</v>
      </c>
      <c r="K84" s="292">
        <v>0</v>
      </c>
      <c r="L84" s="130" t="s">
        <v>376</v>
      </c>
      <c r="M84" s="130" t="s">
        <v>297</v>
      </c>
      <c r="N84" s="131" t="s">
        <v>507</v>
      </c>
      <c r="O84" s="130">
        <v>1</v>
      </c>
      <c r="P84" s="289">
        <v>0</v>
      </c>
      <c r="Q84" s="132">
        <v>0</v>
      </c>
      <c r="R84" s="133">
        <v>0</v>
      </c>
      <c r="S84" s="132">
        <v>1</v>
      </c>
      <c r="T84" s="133">
        <v>0</v>
      </c>
      <c r="U84" s="134">
        <v>0</v>
      </c>
      <c r="V84" s="135">
        <v>0</v>
      </c>
      <c r="W84" s="134">
        <v>0</v>
      </c>
      <c r="X84" s="136">
        <v>0</v>
      </c>
      <c r="Y84" s="134">
        <v>0</v>
      </c>
      <c r="Z84" s="134">
        <v>0</v>
      </c>
      <c r="AA84" s="133">
        <v>0</v>
      </c>
      <c r="AB84" s="137">
        <v>0</v>
      </c>
      <c r="AC84" s="136">
        <f>1581099*Summary!E5/123</f>
        <v>1348111.8506097561</v>
      </c>
      <c r="AD84" s="132">
        <v>0</v>
      </c>
      <c r="AE84" s="151">
        <v>0</v>
      </c>
      <c r="AF84" s="134">
        <v>0</v>
      </c>
      <c r="AG84" s="138">
        <v>0</v>
      </c>
      <c r="AH84" s="134">
        <v>0</v>
      </c>
      <c r="AI84" s="135">
        <v>0</v>
      </c>
      <c r="AJ84" s="134">
        <v>0</v>
      </c>
      <c r="AK84" s="134">
        <v>0</v>
      </c>
      <c r="AL84" s="134">
        <v>0</v>
      </c>
      <c r="AM84" s="139">
        <v>0</v>
      </c>
      <c r="AN84" s="140">
        <v>46173</v>
      </c>
      <c r="AO84" s="141">
        <v>0</v>
      </c>
      <c r="AP84" s="142">
        <v>0</v>
      </c>
      <c r="AQ84" s="141">
        <v>0</v>
      </c>
      <c r="AR84" s="141">
        <v>0</v>
      </c>
      <c r="AS84" s="141">
        <v>0</v>
      </c>
      <c r="AT84" s="141">
        <v>0</v>
      </c>
      <c r="AU84" s="142">
        <v>0</v>
      </c>
      <c r="AV84" s="143">
        <v>1</v>
      </c>
      <c r="AW84" s="316">
        <v>0</v>
      </c>
      <c r="AX84" s="143">
        <v>0</v>
      </c>
      <c r="AY84" s="146" t="b">
        <v>1</v>
      </c>
      <c r="AZ84" s="132">
        <v>0</v>
      </c>
      <c r="BA84" s="147">
        <v>1</v>
      </c>
      <c r="BB84" s="148">
        <v>0</v>
      </c>
      <c r="BC84" s="147" t="s">
        <v>116</v>
      </c>
      <c r="BD84" s="148">
        <v>0</v>
      </c>
      <c r="BE84" s="147">
        <v>0</v>
      </c>
      <c r="BF84" s="148">
        <v>0</v>
      </c>
      <c r="BG84" s="135">
        <v>0</v>
      </c>
      <c r="BH84" s="137">
        <v>0</v>
      </c>
      <c r="BI84" s="135">
        <v>0</v>
      </c>
      <c r="BJ84" s="132">
        <v>0</v>
      </c>
      <c r="BK84" s="143">
        <v>0</v>
      </c>
      <c r="BL84" s="134">
        <v>0</v>
      </c>
      <c r="BM84" s="149">
        <v>0</v>
      </c>
      <c r="BN84" s="133">
        <v>0</v>
      </c>
      <c r="BO84" s="139">
        <v>0</v>
      </c>
      <c r="BP84" s="148" t="s">
        <v>477</v>
      </c>
      <c r="BQ84" s="130" t="s">
        <v>507</v>
      </c>
      <c r="BR84" s="132">
        <v>0</v>
      </c>
      <c r="BS84" s="151" t="s">
        <v>478</v>
      </c>
      <c r="BT84" s="152" t="s">
        <v>479</v>
      </c>
      <c r="BU84" s="151" t="s">
        <v>480</v>
      </c>
      <c r="BV84" s="132">
        <v>0</v>
      </c>
      <c r="BW84" s="133">
        <v>0</v>
      </c>
      <c r="BX84" s="132">
        <v>0</v>
      </c>
      <c r="BY84" s="153">
        <v>0</v>
      </c>
      <c r="BZ84" s="153">
        <v>0</v>
      </c>
      <c r="CA84" s="134">
        <v>0</v>
      </c>
      <c r="CB84" s="153" t="s">
        <v>481</v>
      </c>
      <c r="CC84" s="134">
        <v>0</v>
      </c>
      <c r="CD84" s="134" t="s">
        <v>321</v>
      </c>
      <c r="CE84" s="134">
        <v>0</v>
      </c>
      <c r="CF84" s="134">
        <v>0</v>
      </c>
      <c r="CG84" s="134">
        <v>4</v>
      </c>
      <c r="CH84" s="154" t="s">
        <v>482</v>
      </c>
      <c r="CI84" s="134" t="s">
        <v>482</v>
      </c>
      <c r="CJ84" s="134" t="s">
        <v>483</v>
      </c>
      <c r="CK84" s="134">
        <v>0</v>
      </c>
      <c r="CL84" s="134">
        <v>0</v>
      </c>
      <c r="CM84" s="134">
        <v>0</v>
      </c>
      <c r="CN84" s="134">
        <v>0</v>
      </c>
      <c r="CO84" s="134">
        <v>0</v>
      </c>
      <c r="CP84" s="134">
        <v>0</v>
      </c>
      <c r="CQ84" s="134">
        <v>0</v>
      </c>
      <c r="CR84" s="134">
        <v>0</v>
      </c>
      <c r="CS84" s="134" t="s">
        <v>296</v>
      </c>
      <c r="CT84" s="134" t="s">
        <v>296</v>
      </c>
      <c r="CU84" s="149" t="s">
        <v>484</v>
      </c>
      <c r="CV84" s="149" t="s">
        <v>297</v>
      </c>
      <c r="CW84" s="149" t="str">
        <f t="shared" ref="CW84" si="493">MID(AR84,3,10)</f>
        <v/>
      </c>
      <c r="CX84" s="149">
        <v>0</v>
      </c>
      <c r="CY84" s="149">
        <v>0</v>
      </c>
      <c r="CZ84" s="149">
        <v>0</v>
      </c>
      <c r="DA84" s="149">
        <v>0</v>
      </c>
      <c r="DB84" s="149">
        <v>0</v>
      </c>
    </row>
    <row r="85" spans="2:106" s="172" customFormat="1" ht="12" x14ac:dyDescent="0.3">
      <c r="B85" s="127" t="s">
        <v>476</v>
      </c>
      <c r="C85" s="128" t="str">
        <f t="shared" ref="C85" si="494">TEXT(AN85,"mmm-yy")</f>
        <v>Jun-26</v>
      </c>
      <c r="D85" s="294">
        <v>46203</v>
      </c>
      <c r="E85" s="130" t="s">
        <v>590</v>
      </c>
      <c r="F85" s="130" t="s">
        <v>197</v>
      </c>
      <c r="G85" s="130" t="s">
        <v>373</v>
      </c>
      <c r="H85" s="131">
        <v>0</v>
      </c>
      <c r="I85" s="292">
        <v>0</v>
      </c>
      <c r="J85" s="293">
        <v>0</v>
      </c>
      <c r="K85" s="292">
        <v>0</v>
      </c>
      <c r="L85" s="130" t="s">
        <v>376</v>
      </c>
      <c r="M85" s="130" t="s">
        <v>297</v>
      </c>
      <c r="N85" s="131" t="s">
        <v>591</v>
      </c>
      <c r="O85" s="130">
        <v>1</v>
      </c>
      <c r="P85" s="289">
        <v>0</v>
      </c>
      <c r="Q85" s="132">
        <v>0</v>
      </c>
      <c r="R85" s="133">
        <v>0</v>
      </c>
      <c r="S85" s="132">
        <v>1</v>
      </c>
      <c r="T85" s="133">
        <v>0</v>
      </c>
      <c r="U85" s="134">
        <v>0</v>
      </c>
      <c r="V85" s="135">
        <v>0</v>
      </c>
      <c r="W85" s="134">
        <v>0</v>
      </c>
      <c r="X85" s="136">
        <v>0</v>
      </c>
      <c r="Y85" s="134">
        <v>0</v>
      </c>
      <c r="Z85" s="134">
        <v>0</v>
      </c>
      <c r="AA85" s="133">
        <v>0</v>
      </c>
      <c r="AB85" s="137">
        <v>0</v>
      </c>
      <c r="AC85" s="136">
        <f>1581099*Summary!F5/123+100000</f>
        <v>1112867.4447560976</v>
      </c>
      <c r="AD85" s="132">
        <v>0</v>
      </c>
      <c r="AE85" s="151">
        <v>0</v>
      </c>
      <c r="AF85" s="134">
        <v>0</v>
      </c>
      <c r="AG85" s="138">
        <v>0</v>
      </c>
      <c r="AH85" s="134">
        <v>0</v>
      </c>
      <c r="AI85" s="135">
        <v>0</v>
      </c>
      <c r="AJ85" s="134">
        <v>0</v>
      </c>
      <c r="AK85" s="134">
        <v>0</v>
      </c>
      <c r="AL85" s="134">
        <v>0</v>
      </c>
      <c r="AM85" s="139">
        <v>0</v>
      </c>
      <c r="AN85" s="140">
        <v>46203</v>
      </c>
      <c r="AO85" s="141">
        <v>0</v>
      </c>
      <c r="AP85" s="142">
        <v>0</v>
      </c>
      <c r="AQ85" s="141">
        <v>0</v>
      </c>
      <c r="AR85" s="141">
        <v>0</v>
      </c>
      <c r="AS85" s="141">
        <v>0</v>
      </c>
      <c r="AT85" s="141">
        <v>0</v>
      </c>
      <c r="AU85" s="142">
        <v>0</v>
      </c>
      <c r="AV85" s="143">
        <v>1</v>
      </c>
      <c r="AW85" s="316">
        <v>0</v>
      </c>
      <c r="AX85" s="143">
        <v>0</v>
      </c>
      <c r="AY85" s="146" t="b">
        <v>1</v>
      </c>
      <c r="AZ85" s="132">
        <v>0</v>
      </c>
      <c r="BA85" s="147">
        <v>1</v>
      </c>
      <c r="BB85" s="148">
        <v>0</v>
      </c>
      <c r="BC85" s="147" t="s">
        <v>116</v>
      </c>
      <c r="BD85" s="148">
        <v>0</v>
      </c>
      <c r="BE85" s="147">
        <v>0</v>
      </c>
      <c r="BF85" s="148">
        <v>0</v>
      </c>
      <c r="BG85" s="135">
        <v>0</v>
      </c>
      <c r="BH85" s="137">
        <v>0</v>
      </c>
      <c r="BI85" s="135">
        <v>0</v>
      </c>
      <c r="BJ85" s="132">
        <v>0</v>
      </c>
      <c r="BK85" s="143">
        <v>0</v>
      </c>
      <c r="BL85" s="134">
        <v>0</v>
      </c>
      <c r="BM85" s="149">
        <v>0</v>
      </c>
      <c r="BN85" s="133">
        <v>0</v>
      </c>
      <c r="BO85" s="139">
        <v>0</v>
      </c>
      <c r="BP85" s="148" t="s">
        <v>477</v>
      </c>
      <c r="BQ85" s="130" t="s">
        <v>591</v>
      </c>
      <c r="BR85" s="132">
        <v>0</v>
      </c>
      <c r="BS85" s="151" t="s">
        <v>478</v>
      </c>
      <c r="BT85" s="152" t="s">
        <v>479</v>
      </c>
      <c r="BU85" s="151" t="s">
        <v>480</v>
      </c>
      <c r="BV85" s="132">
        <v>0</v>
      </c>
      <c r="BW85" s="133">
        <v>0</v>
      </c>
      <c r="BX85" s="132">
        <v>0</v>
      </c>
      <c r="BY85" s="153">
        <v>0</v>
      </c>
      <c r="BZ85" s="153">
        <v>0</v>
      </c>
      <c r="CA85" s="134">
        <v>0</v>
      </c>
      <c r="CB85" s="153" t="s">
        <v>481</v>
      </c>
      <c r="CC85" s="134">
        <v>0</v>
      </c>
      <c r="CD85" s="134" t="s">
        <v>321</v>
      </c>
      <c r="CE85" s="134">
        <v>0</v>
      </c>
      <c r="CF85" s="134">
        <v>0</v>
      </c>
      <c r="CG85" s="134">
        <v>4</v>
      </c>
      <c r="CH85" s="154" t="s">
        <v>482</v>
      </c>
      <c r="CI85" s="134" t="s">
        <v>482</v>
      </c>
      <c r="CJ85" s="134" t="s">
        <v>483</v>
      </c>
      <c r="CK85" s="134">
        <v>0</v>
      </c>
      <c r="CL85" s="134">
        <v>0</v>
      </c>
      <c r="CM85" s="134">
        <v>0</v>
      </c>
      <c r="CN85" s="134">
        <v>0</v>
      </c>
      <c r="CO85" s="134">
        <v>0</v>
      </c>
      <c r="CP85" s="134">
        <v>0</v>
      </c>
      <c r="CQ85" s="134">
        <v>0</v>
      </c>
      <c r="CR85" s="134">
        <v>0</v>
      </c>
      <c r="CS85" s="134" t="s">
        <v>296</v>
      </c>
      <c r="CT85" s="134" t="s">
        <v>296</v>
      </c>
      <c r="CU85" s="149" t="s">
        <v>484</v>
      </c>
      <c r="CV85" s="149" t="s">
        <v>297</v>
      </c>
      <c r="CW85" s="149" t="str">
        <f t="shared" ref="CW85" si="495">MID(AR85,3,10)</f>
        <v/>
      </c>
      <c r="CX85" s="149">
        <v>0</v>
      </c>
      <c r="CY85" s="149">
        <v>0</v>
      </c>
      <c r="CZ85" s="149">
        <v>0</v>
      </c>
      <c r="DA85" s="149">
        <v>0</v>
      </c>
      <c r="DB85" s="149">
        <v>0</v>
      </c>
    </row>
    <row r="86" spans="2:106" s="172" customFormat="1" ht="12.5" thickBot="1" x14ac:dyDescent="0.35">
      <c r="B86" s="127"/>
      <c r="C86" s="128"/>
      <c r="D86" s="294"/>
      <c r="E86" s="130"/>
      <c r="F86" s="130"/>
      <c r="G86" s="130"/>
      <c r="H86" s="131"/>
      <c r="I86" s="292"/>
      <c r="J86" s="293"/>
      <c r="K86" s="292"/>
      <c r="L86" s="130"/>
      <c r="M86" s="130"/>
      <c r="N86" s="131"/>
      <c r="O86" s="130"/>
      <c r="P86" s="289"/>
      <c r="Q86" s="132"/>
      <c r="R86" s="133"/>
      <c r="S86" s="132"/>
      <c r="T86" s="133"/>
      <c r="U86" s="134"/>
      <c r="V86" s="135"/>
      <c r="W86" s="134"/>
      <c r="X86" s="136"/>
      <c r="Y86" s="134"/>
      <c r="Z86" s="134"/>
      <c r="AA86" s="133"/>
      <c r="AB86" s="137"/>
      <c r="AC86" s="136"/>
      <c r="AD86" s="368"/>
      <c r="AE86" s="151"/>
      <c r="AF86" s="134"/>
      <c r="AG86" s="138"/>
      <c r="AH86" s="134"/>
      <c r="AI86" s="135"/>
      <c r="AJ86" s="134"/>
      <c r="AK86" s="134"/>
      <c r="AL86" s="134"/>
      <c r="AM86" s="139"/>
      <c r="AN86" s="140"/>
      <c r="AO86" s="141"/>
      <c r="AP86" s="142"/>
      <c r="AQ86" s="141"/>
      <c r="AR86" s="141"/>
      <c r="AS86" s="141"/>
      <c r="AT86" s="141"/>
      <c r="AU86" s="142"/>
      <c r="AV86" s="142"/>
      <c r="AW86" s="141"/>
      <c r="AX86" s="142"/>
      <c r="AY86" s="143"/>
      <c r="AZ86" s="146"/>
      <c r="BA86" s="132"/>
      <c r="BB86" s="147"/>
      <c r="BC86" s="148"/>
      <c r="BD86" s="147"/>
      <c r="BE86" s="148"/>
      <c r="BF86" s="147"/>
      <c r="BG86" s="148"/>
      <c r="BH86" s="134"/>
      <c r="BI86" s="137"/>
      <c r="BJ86" s="135"/>
      <c r="BK86" s="132"/>
      <c r="BL86" s="143"/>
      <c r="BM86" s="143"/>
      <c r="BN86" s="157"/>
      <c r="BO86" s="133"/>
      <c r="BP86" s="139"/>
      <c r="BQ86" s="148"/>
      <c r="BR86" s="150"/>
      <c r="BS86" s="132"/>
      <c r="BT86" s="151"/>
      <c r="BU86" s="152"/>
      <c r="BV86" s="151"/>
      <c r="BW86" s="132"/>
      <c r="BX86" s="133"/>
      <c r="BY86" s="132"/>
      <c r="BZ86" s="153"/>
      <c r="CA86" s="153"/>
      <c r="CB86" s="134"/>
      <c r="CC86" s="153"/>
      <c r="CD86" s="134"/>
      <c r="CE86" s="134"/>
      <c r="CF86" s="134"/>
      <c r="CG86" s="134"/>
      <c r="CH86" s="134"/>
      <c r="CI86" s="154"/>
      <c r="CJ86" s="134"/>
      <c r="CK86" s="134"/>
      <c r="CL86" s="134"/>
      <c r="CM86" s="134"/>
      <c r="CN86" s="134"/>
      <c r="CO86" s="134"/>
      <c r="CP86" s="134"/>
      <c r="CQ86" s="134"/>
      <c r="CR86" s="134"/>
      <c r="CS86" s="134"/>
      <c r="CT86" s="134"/>
      <c r="CU86" s="134"/>
      <c r="CV86" s="149"/>
      <c r="CW86" s="149"/>
      <c r="CX86" s="149"/>
      <c r="CY86" s="149"/>
      <c r="CZ86" s="149"/>
      <c r="DA86" s="149"/>
      <c r="DB86" s="149"/>
    </row>
    <row r="87" spans="2:106" s="172" customFormat="1" ht="12.5" thickBot="1" x14ac:dyDescent="0.35">
      <c r="B87" s="158"/>
      <c r="C87" s="159"/>
      <c r="D87" s="159"/>
      <c r="E87" s="159"/>
      <c r="F87" s="160" t="s">
        <v>62</v>
      </c>
      <c r="G87" s="159"/>
      <c r="H87" s="159"/>
      <c r="I87" s="161"/>
      <c r="J87" s="159"/>
      <c r="K87" s="161"/>
      <c r="L87" s="160"/>
      <c r="M87" s="162"/>
      <c r="N87" s="163"/>
      <c r="O87" s="164">
        <f>SUBTOTAL(9,O83:O86)</f>
        <v>3</v>
      </c>
      <c r="P87" s="165"/>
      <c r="Q87" s="164">
        <f>SUBTOTAL(9,Q83:Q86)</f>
        <v>0</v>
      </c>
      <c r="R87" s="164">
        <f>SUBTOTAL(9,R83:R86)</f>
        <v>0</v>
      </c>
      <c r="S87" s="164">
        <f>SUBTOTAL(9,S83:S86)</f>
        <v>3</v>
      </c>
      <c r="T87" s="164">
        <f>SUBTOTAL(9,T83:T86)</f>
        <v>0</v>
      </c>
      <c r="U87" s="166"/>
      <c r="V87" s="166"/>
      <c r="W87" s="167"/>
      <c r="X87" s="167"/>
      <c r="Y87" s="164">
        <f t="shared" ref="Y87:AG87" si="496">SUBTOTAL(9,Y83:Y86)</f>
        <v>0</v>
      </c>
      <c r="Z87" s="164">
        <f t="shared" si="496"/>
        <v>0</v>
      </c>
      <c r="AA87" s="164">
        <f t="shared" si="496"/>
        <v>0</v>
      </c>
      <c r="AB87" s="164">
        <f t="shared" si="496"/>
        <v>0</v>
      </c>
      <c r="AC87" s="164">
        <f t="shared" si="496"/>
        <v>3318114.9158536587</v>
      </c>
      <c r="AD87" s="164">
        <f t="shared" si="496"/>
        <v>0</v>
      </c>
      <c r="AE87" s="164">
        <f t="shared" si="496"/>
        <v>0</v>
      </c>
      <c r="AF87" s="164">
        <f t="shared" si="496"/>
        <v>0</v>
      </c>
      <c r="AG87" s="164">
        <f t="shared" si="496"/>
        <v>0</v>
      </c>
      <c r="AH87" s="168"/>
      <c r="AI87" s="168"/>
      <c r="AJ87" s="164">
        <f>SUBTOTAL(9,AJ83:AJ86)</f>
        <v>0</v>
      </c>
      <c r="AK87" s="164">
        <f>SUBTOTAL(9,AK83:AK86)</f>
        <v>0</v>
      </c>
      <c r="AL87" s="164">
        <f>SUBTOTAL(9,AL83:AL86)</f>
        <v>0</v>
      </c>
      <c r="AM87" s="164">
        <f>SUBTOTAL(9,AM83:AM86)</f>
        <v>0</v>
      </c>
      <c r="AN87" s="165"/>
      <c r="AO87" s="165"/>
      <c r="AP87" s="165"/>
      <c r="AQ87" s="164"/>
      <c r="AR87" s="164"/>
      <c r="AS87" s="162"/>
      <c r="AT87" s="164"/>
      <c r="AU87" s="165"/>
      <c r="AV87" s="165"/>
      <c r="AW87" s="164">
        <f>SUBTOTAL(9,AW83:AW86)</f>
        <v>0</v>
      </c>
      <c r="AX87" s="317"/>
      <c r="AY87" s="164">
        <f>SUBTOTAL(9,AY83:AY86)</f>
        <v>0</v>
      </c>
      <c r="AZ87" s="164"/>
      <c r="BA87" s="164">
        <f>SUBTOTAL(9,BA83:BA86)</f>
        <v>3</v>
      </c>
      <c r="BB87" s="164">
        <f>SUBTOTAL(9,BB83:BB86)</f>
        <v>0</v>
      </c>
      <c r="BC87" s="164">
        <f>SUBTOTAL(9,BC83:BC86)</f>
        <v>0</v>
      </c>
      <c r="BD87" s="164"/>
      <c r="BE87" s="164"/>
      <c r="BF87" s="164"/>
      <c r="BG87" s="164">
        <f>SUBTOTAL(9,BG83:BG86)</f>
        <v>0</v>
      </c>
      <c r="BH87" s="165"/>
      <c r="BI87" s="329"/>
      <c r="BJ87" s="165"/>
      <c r="BK87" s="165"/>
      <c r="BL87" s="164">
        <f>SUBTOTAL(9,BL83:BL86)</f>
        <v>0</v>
      </c>
      <c r="BM87" s="164">
        <f>SUBTOTAL(9,BM83:BM86)</f>
        <v>0</v>
      </c>
      <c r="BN87" s="164">
        <f>SUBTOTAL(9,BN83:BN86)</f>
        <v>0</v>
      </c>
      <c r="BO87" s="164">
        <f>SUBTOTAL(9,BO83:BO86)</f>
        <v>0</v>
      </c>
      <c r="BP87" s="164">
        <f>SUBTOTAL(9,BP83:BP86)</f>
        <v>0</v>
      </c>
      <c r="BQ87" s="164"/>
      <c r="BR87" s="164"/>
      <c r="BS87" s="164">
        <f>SUBTOTAL(9,BS83:BS86)</f>
        <v>0</v>
      </c>
      <c r="BT87" s="164"/>
      <c r="BU87" s="164"/>
      <c r="BV87" s="159"/>
      <c r="BW87" s="164">
        <f t="shared" ref="BW87:CB87" si="497">SUBTOTAL(9,BW83:BW86)</f>
        <v>0</v>
      </c>
      <c r="BX87" s="164">
        <f t="shared" si="497"/>
        <v>0</v>
      </c>
      <c r="BY87" s="164">
        <f t="shared" si="497"/>
        <v>0</v>
      </c>
      <c r="BZ87" s="164">
        <f t="shared" si="497"/>
        <v>0</v>
      </c>
      <c r="CA87" s="164">
        <f t="shared" si="497"/>
        <v>0</v>
      </c>
      <c r="CB87" s="164">
        <f t="shared" si="497"/>
        <v>0</v>
      </c>
      <c r="CC87" s="160"/>
      <c r="CD87" s="169"/>
      <c r="CE87" s="169"/>
      <c r="CF87" s="164">
        <f>SUBTOTAL(9,CF83:CF86)</f>
        <v>0</v>
      </c>
      <c r="CG87" s="164">
        <f>SUBTOTAL(9,CG83:CG86)</f>
        <v>12</v>
      </c>
      <c r="CH87" s="169"/>
      <c r="CI87" s="170"/>
      <c r="CJ87" s="169"/>
      <c r="CK87" s="169"/>
      <c r="CL87" s="164">
        <f t="shared" ref="CL87:CS87" si="498">SUBTOTAL(9,CL83:CL86)</f>
        <v>0</v>
      </c>
      <c r="CM87" s="164">
        <f t="shared" si="498"/>
        <v>0</v>
      </c>
      <c r="CN87" s="164">
        <f t="shared" si="498"/>
        <v>0</v>
      </c>
      <c r="CO87" s="164">
        <f t="shared" si="498"/>
        <v>0</v>
      </c>
      <c r="CP87" s="164">
        <f t="shared" si="498"/>
        <v>0</v>
      </c>
      <c r="CQ87" s="164">
        <f t="shared" si="498"/>
        <v>0</v>
      </c>
      <c r="CR87" s="164">
        <f t="shared" si="498"/>
        <v>0</v>
      </c>
      <c r="CS87" s="164">
        <f t="shared" si="498"/>
        <v>0</v>
      </c>
      <c r="CT87" s="164"/>
      <c r="CU87" s="169"/>
      <c r="CV87" s="169"/>
      <c r="CW87" s="169"/>
      <c r="CX87" s="169"/>
      <c r="CY87" s="169"/>
      <c r="CZ87" s="169"/>
      <c r="DA87" s="169"/>
      <c r="DB87" s="169"/>
    </row>
    <row r="88" spans="2:106" s="156" customFormat="1" ht="12.5" thickBot="1" x14ac:dyDescent="0.35">
      <c r="E88" s="173"/>
      <c r="F88" s="174"/>
      <c r="H88" s="174"/>
      <c r="I88" s="194"/>
      <c r="J88" s="181"/>
      <c r="K88" s="194"/>
      <c r="L88" s="176"/>
      <c r="M88" s="174"/>
      <c r="N88" s="182"/>
      <c r="O88" s="182"/>
      <c r="P88" s="181"/>
      <c r="Q88" s="180"/>
      <c r="R88" s="180"/>
      <c r="S88" s="180"/>
      <c r="T88" s="180"/>
      <c r="U88" s="176"/>
      <c r="V88" s="155"/>
      <c r="W88" s="155"/>
      <c r="X88" s="174"/>
      <c r="AD88" s="181"/>
      <c r="AE88" s="181"/>
      <c r="AF88" s="182"/>
      <c r="AG88" s="182"/>
      <c r="AH88" s="174"/>
      <c r="AM88" s="181"/>
      <c r="AR88" s="190"/>
      <c r="AW88" s="318"/>
      <c r="BH88" s="330"/>
      <c r="BL88" s="182"/>
      <c r="BO88" s="184"/>
      <c r="BQ88" s="174"/>
      <c r="BR88" s="193"/>
      <c r="BX88" s="174"/>
      <c r="CB88" s="173"/>
      <c r="CH88" s="174"/>
    </row>
    <row r="89" spans="2:106" s="172" customFormat="1" ht="12.5" thickBot="1" x14ac:dyDescent="0.35">
      <c r="N89" s="195" t="s">
        <v>90</v>
      </c>
      <c r="O89" s="196" t="s">
        <v>56</v>
      </c>
      <c r="P89" s="197"/>
      <c r="Q89" s="180"/>
      <c r="R89" s="180"/>
      <c r="S89" s="180"/>
      <c r="T89" s="180"/>
      <c r="U89" s="176"/>
      <c r="V89" s="155"/>
      <c r="W89" s="155"/>
      <c r="AA89" s="392" t="s">
        <v>90</v>
      </c>
      <c r="AB89" s="393"/>
      <c r="AC89" s="198" t="s">
        <v>56</v>
      </c>
      <c r="AD89" s="156"/>
      <c r="AE89" s="156"/>
      <c r="AF89" s="182"/>
      <c r="AG89" s="182"/>
      <c r="AH89" s="174"/>
      <c r="AI89" s="156"/>
      <c r="AL89" s="156"/>
      <c r="AM89" s="156"/>
      <c r="AN89" s="156"/>
      <c r="AO89" s="156"/>
      <c r="AP89" s="156"/>
      <c r="AQ89" s="156"/>
      <c r="AX89" s="321" t="s">
        <v>90</v>
      </c>
      <c r="AY89" s="199" t="s">
        <v>56</v>
      </c>
      <c r="AZ89" s="200"/>
      <c r="BH89" s="331"/>
      <c r="BM89" s="156"/>
    </row>
    <row r="90" spans="2:106" s="172" customFormat="1" ht="12" x14ac:dyDescent="0.3">
      <c r="N90" s="201" t="s">
        <v>64</v>
      </c>
      <c r="O90" s="323">
        <f>Q79+AJ79+AK79+AE79+Q87+AK87</f>
        <v>11824275</v>
      </c>
      <c r="P90" s="156"/>
      <c r="Q90" s="180"/>
      <c r="R90" s="180"/>
      <c r="S90" s="180"/>
      <c r="T90" s="180"/>
      <c r="U90" s="176"/>
      <c r="V90" s="155"/>
      <c r="W90" s="155"/>
      <c r="AA90" s="394" t="s">
        <v>89</v>
      </c>
      <c r="AB90" s="395"/>
      <c r="AC90" s="203">
        <f>Y79+Z79</f>
        <v>0</v>
      </c>
      <c r="AD90" s="197"/>
      <c r="AE90" s="197"/>
      <c r="AF90" s="182"/>
      <c r="AG90" s="182"/>
      <c r="AH90" s="174"/>
      <c r="AI90" s="156"/>
      <c r="AJ90" s="181"/>
      <c r="AK90" s="189"/>
      <c r="AL90" s="156"/>
      <c r="AM90" s="156"/>
      <c r="AN90" s="156"/>
      <c r="AO90" s="156"/>
      <c r="AP90" s="156"/>
      <c r="AQ90" s="156"/>
      <c r="AX90" s="221" t="s">
        <v>63</v>
      </c>
      <c r="AY90" s="204">
        <f>+AY79+BL79+BM79+BC79+BG79+AY87+BM87+BL87+BG87+BC87</f>
        <v>15263713.060000001</v>
      </c>
      <c r="AZ90" s="205"/>
      <c r="BH90" s="331"/>
      <c r="BM90" s="156"/>
    </row>
    <row r="91" spans="2:106" s="172" customFormat="1" ht="12" x14ac:dyDescent="0.3">
      <c r="N91" s="201" t="s">
        <v>91</v>
      </c>
      <c r="O91" s="202">
        <v>10645655.32</v>
      </c>
      <c r="P91" s="206">
        <v>46194</v>
      </c>
      <c r="Q91" s="180"/>
      <c r="S91" s="180"/>
      <c r="T91" s="180"/>
      <c r="U91" s="176"/>
      <c r="V91" s="155"/>
      <c r="W91" s="155"/>
      <c r="AA91" s="394" t="s">
        <v>65</v>
      </c>
      <c r="AB91" s="395"/>
      <c r="AC91" s="207">
        <v>0</v>
      </c>
      <c r="AD91" s="206">
        <f>P91</f>
        <v>46194</v>
      </c>
      <c r="AF91" s="182"/>
      <c r="AG91" s="182"/>
      <c r="AH91" s="174"/>
      <c r="AI91" s="156"/>
      <c r="AJ91" s="181"/>
      <c r="AK91" s="189"/>
      <c r="AL91" s="156"/>
      <c r="AM91" s="156"/>
      <c r="AN91" s="156"/>
      <c r="AO91" s="156"/>
      <c r="AP91" s="156"/>
      <c r="AQ91" s="156"/>
      <c r="AX91" s="221" t="s">
        <v>65</v>
      </c>
      <c r="AY91" s="208">
        <v>13655264.65</v>
      </c>
      <c r="AZ91" s="206">
        <f>P91</f>
        <v>46194</v>
      </c>
      <c r="BH91" s="331"/>
    </row>
    <row r="92" spans="2:106" s="172" customFormat="1" ht="12" x14ac:dyDescent="0.3">
      <c r="N92" s="201" t="s">
        <v>66</v>
      </c>
      <c r="O92" s="209">
        <f>O91-O90</f>
        <v>-1178619.6799999997</v>
      </c>
      <c r="P92" s="156"/>
      <c r="Q92" s="180"/>
      <c r="S92" s="180"/>
      <c r="T92" s="180"/>
      <c r="U92" s="176"/>
      <c r="V92" s="155"/>
      <c r="W92" s="155"/>
      <c r="AA92" s="394" t="s">
        <v>66</v>
      </c>
      <c r="AB92" s="395"/>
      <c r="AC92" s="210">
        <f>-(AC91-AC90)</f>
        <v>0</v>
      </c>
      <c r="AD92" s="197"/>
      <c r="AE92" s="197"/>
      <c r="AF92" s="182"/>
      <c r="AG92" s="182"/>
      <c r="AH92" s="174"/>
      <c r="AI92" s="156"/>
      <c r="AJ92" s="181"/>
      <c r="AK92" s="156"/>
      <c r="AL92" s="156"/>
      <c r="AM92" s="156"/>
      <c r="AN92" s="156"/>
      <c r="AO92" s="156"/>
      <c r="AP92" s="156"/>
      <c r="AQ92" s="156"/>
      <c r="AX92" s="221" t="s">
        <v>66</v>
      </c>
      <c r="AY92" s="209">
        <f>AY90-AY91</f>
        <v>1608448.4100000001</v>
      </c>
      <c r="AZ92" s="191"/>
      <c r="BH92" s="331"/>
    </row>
    <row r="93" spans="2:106" s="172" customFormat="1" ht="12" x14ac:dyDescent="0.3">
      <c r="N93" s="201" t="s">
        <v>398</v>
      </c>
      <c r="O93" s="204">
        <v>0</v>
      </c>
      <c r="P93" s="156"/>
      <c r="Q93" s="180"/>
      <c r="S93" s="180"/>
      <c r="T93" s="180"/>
      <c r="U93" s="176"/>
      <c r="V93" s="155"/>
      <c r="W93" s="155"/>
      <c r="AA93" s="394" t="s">
        <v>399</v>
      </c>
      <c r="AB93" s="395"/>
      <c r="AC93" s="211">
        <v>0</v>
      </c>
      <c r="AD93" s="197"/>
      <c r="AE93" s="197"/>
      <c r="AF93" s="182"/>
      <c r="AG93" s="182"/>
      <c r="AH93" s="174"/>
      <c r="AI93" s="156"/>
      <c r="AJ93" s="181"/>
      <c r="AK93" s="156"/>
      <c r="AL93" s="156"/>
      <c r="AM93" s="156"/>
      <c r="AN93" s="156"/>
      <c r="AO93" s="156"/>
      <c r="AP93" s="156"/>
      <c r="AQ93" s="156"/>
      <c r="AX93" s="221" t="s">
        <v>359</v>
      </c>
      <c r="AY93" s="204">
        <f>'Last year''s'!L3</f>
        <v>411245</v>
      </c>
      <c r="AZ93" s="191"/>
      <c r="BH93" s="331"/>
    </row>
    <row r="94" spans="2:106" s="172" customFormat="1" ht="12" x14ac:dyDescent="0.3">
      <c r="N94" s="201" t="s">
        <v>168</v>
      </c>
      <c r="O94" s="324">
        <v>0</v>
      </c>
      <c r="P94" s="212"/>
      <c r="Q94" s="180"/>
      <c r="S94" s="180"/>
      <c r="T94" s="180"/>
      <c r="U94" s="176"/>
      <c r="V94" s="155"/>
      <c r="W94" s="155"/>
      <c r="AA94" s="394" t="s">
        <v>357</v>
      </c>
      <c r="AB94" s="395"/>
      <c r="AC94" s="211">
        <v>0</v>
      </c>
      <c r="AD94" s="197"/>
      <c r="AE94" s="197"/>
      <c r="AF94" s="182"/>
      <c r="AG94" s="182"/>
      <c r="AH94" s="156"/>
      <c r="AI94" s="156"/>
      <c r="AJ94" s="213"/>
      <c r="AK94" s="156"/>
      <c r="AL94" s="156"/>
      <c r="AM94" s="156"/>
      <c r="AN94" s="156"/>
      <c r="AO94" s="156"/>
      <c r="AP94" s="156"/>
      <c r="AQ94" s="156"/>
      <c r="AX94" s="221" t="s">
        <v>360</v>
      </c>
      <c r="AY94" s="204">
        <f>-'Last year''s'!L8</f>
        <v>-105923.5</v>
      </c>
      <c r="AZ94" s="205"/>
      <c r="BH94" s="331"/>
    </row>
    <row r="95" spans="2:106" s="172" customFormat="1" ht="12" x14ac:dyDescent="0.3">
      <c r="N95" s="201" t="s">
        <v>356</v>
      </c>
      <c r="O95" s="204">
        <f>'Last year''s'!F6</f>
        <v>-151580.30000000005</v>
      </c>
      <c r="P95" s="187"/>
      <c r="Q95" s="180"/>
      <c r="S95" s="180"/>
      <c r="T95" s="180"/>
      <c r="U95" s="176"/>
      <c r="V95" s="155"/>
      <c r="W95" s="155"/>
      <c r="AA95" s="394" t="s">
        <v>358</v>
      </c>
      <c r="AB95" s="395"/>
      <c r="AC95" s="211">
        <v>0</v>
      </c>
      <c r="AD95" s="205"/>
      <c r="AE95" s="205"/>
      <c r="AF95" s="182"/>
      <c r="AG95" s="182"/>
      <c r="AH95" s="156"/>
      <c r="AI95" s="156"/>
      <c r="AJ95" s="213"/>
      <c r="AK95" s="156"/>
      <c r="AL95" s="156"/>
      <c r="AM95" s="156"/>
      <c r="AN95" s="156"/>
      <c r="AO95" s="156"/>
      <c r="AP95" s="156"/>
      <c r="AQ95" s="156"/>
      <c r="AX95" s="221" t="s">
        <v>361</v>
      </c>
      <c r="AY95" s="204">
        <v>0</v>
      </c>
      <c r="AZ95" s="205"/>
      <c r="BH95" s="331"/>
    </row>
    <row r="96" spans="2:106" s="172" customFormat="1" ht="12" x14ac:dyDescent="0.3">
      <c r="N96" s="201" t="s">
        <v>328</v>
      </c>
      <c r="O96" s="204">
        <f>-'Recon Items'!C46</f>
        <v>0</v>
      </c>
      <c r="P96" s="187"/>
      <c r="Q96" s="180"/>
      <c r="S96" s="180"/>
      <c r="T96" s="180"/>
      <c r="U96" s="176"/>
      <c r="V96" s="155"/>
      <c r="W96" s="155"/>
      <c r="AA96" s="394" t="s">
        <v>328</v>
      </c>
      <c r="AB96" s="395"/>
      <c r="AC96" s="211">
        <f>-'Recon Items'!K56</f>
        <v>0</v>
      </c>
      <c r="AD96" s="205"/>
      <c r="AE96" s="205"/>
      <c r="AF96" s="182"/>
      <c r="AG96" s="182"/>
      <c r="AH96" s="156"/>
      <c r="AI96" s="156"/>
      <c r="AJ96" s="213"/>
      <c r="AK96" s="156"/>
      <c r="AL96" s="156"/>
      <c r="AM96" s="156"/>
      <c r="AN96" s="156"/>
      <c r="AO96" s="156"/>
      <c r="AP96" s="156"/>
      <c r="AQ96" s="156"/>
      <c r="AX96" s="221" t="s">
        <v>328</v>
      </c>
      <c r="AY96" s="204">
        <f>'Recon Items'!G46</f>
        <v>0</v>
      </c>
      <c r="AZ96" s="205"/>
      <c r="BH96" s="331"/>
    </row>
    <row r="97" spans="5:86" s="172" customFormat="1" ht="12.5" thickBot="1" x14ac:dyDescent="0.35">
      <c r="N97" s="201" t="s">
        <v>86</v>
      </c>
      <c r="O97" s="204">
        <f>'Recon Items'!G18-'Recon Items'!C18-'Recon Items'!N18+'Recon Items'!C43</f>
        <v>-1330200</v>
      </c>
      <c r="P97" s="192"/>
      <c r="Q97" s="180"/>
      <c r="S97" s="180"/>
      <c r="T97" s="180"/>
      <c r="U97" s="176"/>
      <c r="V97" s="155"/>
      <c r="W97" s="155"/>
      <c r="AA97" s="390" t="s">
        <v>86</v>
      </c>
      <c r="AB97" s="391"/>
      <c r="AC97" s="214">
        <f>'Recon Items'!K42</f>
        <v>0</v>
      </c>
      <c r="AD97" s="180"/>
      <c r="AE97" s="180"/>
      <c r="AF97" s="182"/>
      <c r="AG97" s="182"/>
      <c r="AH97" s="156"/>
      <c r="AI97" s="156"/>
      <c r="AJ97" s="213"/>
      <c r="AK97" s="156"/>
      <c r="AL97" s="156"/>
      <c r="AM97" s="156"/>
      <c r="AN97" s="156"/>
      <c r="AO97" s="156"/>
      <c r="AP97" s="156"/>
      <c r="AQ97" s="156"/>
      <c r="AX97" s="221" t="s">
        <v>86</v>
      </c>
      <c r="AY97" s="204">
        <f>-'Recon Items'!C29+'Recon Items'!G29+'Recon Items'!R24+'Recon Items'!H43</f>
        <v>-1913770</v>
      </c>
      <c r="AZ97" s="191"/>
      <c r="BH97" s="331"/>
    </row>
    <row r="98" spans="5:86" s="172" customFormat="1" ht="12.5" thickBot="1" x14ac:dyDescent="0.35">
      <c r="N98" s="215" t="s">
        <v>66</v>
      </c>
      <c r="O98" s="216">
        <f>O92+O95-O97-O94-O93-O96</f>
        <v>2.0000000251457095E-2</v>
      </c>
      <c r="Q98" s="180"/>
      <c r="S98" s="180"/>
      <c r="T98" s="180"/>
      <c r="U98" s="176"/>
      <c r="V98" s="155"/>
      <c r="W98" s="155"/>
      <c r="AA98" s="215" t="s">
        <v>66</v>
      </c>
      <c r="AB98" s="160"/>
      <c r="AC98" s="216">
        <f>SUM(AC92:AC97)</f>
        <v>0</v>
      </c>
      <c r="AD98" s="192"/>
      <c r="AE98" s="192"/>
      <c r="AF98" s="182"/>
      <c r="AG98" s="182"/>
      <c r="AH98" s="156"/>
      <c r="AI98" s="156"/>
      <c r="AJ98" s="179"/>
      <c r="AK98" s="156"/>
      <c r="AL98" s="156"/>
      <c r="AM98" s="156"/>
      <c r="AN98" s="156"/>
      <c r="AO98" s="156"/>
      <c r="AP98" s="156"/>
      <c r="AQ98" s="156"/>
      <c r="AX98" s="215" t="s">
        <v>80</v>
      </c>
      <c r="AY98" s="217">
        <f>AY92+AY94+AY97+AY93-AY95-AY96</f>
        <v>-8.9999999850988388E-2</v>
      </c>
      <c r="AZ98" s="156"/>
      <c r="BH98" s="331"/>
    </row>
    <row r="99" spans="5:86" s="156" customFormat="1" ht="12" x14ac:dyDescent="0.3">
      <c r="E99" s="173"/>
      <c r="F99" s="174"/>
      <c r="H99" s="174"/>
      <c r="I99" s="194"/>
      <c r="J99" s="181"/>
      <c r="K99" s="194"/>
      <c r="L99" s="176"/>
      <c r="M99" s="174"/>
      <c r="N99" s="182"/>
      <c r="O99" s="182"/>
      <c r="P99" s="181"/>
      <c r="Q99" s="180"/>
      <c r="U99" s="176"/>
      <c r="V99" s="155"/>
      <c r="W99" s="155"/>
      <c r="X99" s="174"/>
      <c r="AD99" s="181"/>
      <c r="AE99" s="181"/>
      <c r="AF99" s="182"/>
      <c r="AG99" s="182"/>
      <c r="AH99" s="174"/>
      <c r="AM99" s="181"/>
      <c r="AW99" s="318"/>
      <c r="BH99" s="330"/>
      <c r="BL99" s="182"/>
      <c r="BQ99" s="174"/>
      <c r="BR99" s="193"/>
      <c r="BX99" s="174"/>
      <c r="CB99" s="173"/>
      <c r="CH99" s="174"/>
    </row>
    <row r="100" spans="5:86" s="156" customFormat="1" ht="12" x14ac:dyDescent="0.3">
      <c r="E100" s="173"/>
      <c r="F100" s="174"/>
      <c r="H100" s="174"/>
      <c r="I100" s="194"/>
      <c r="J100" s="181"/>
      <c r="K100" s="194"/>
      <c r="L100" s="176"/>
      <c r="M100" s="174"/>
      <c r="N100" s="182"/>
      <c r="O100" s="182"/>
      <c r="P100" s="181"/>
      <c r="Q100" s="180"/>
      <c r="U100" s="176"/>
      <c r="V100" s="155"/>
      <c r="W100" s="155"/>
      <c r="X100" s="174"/>
      <c r="AD100" s="181"/>
      <c r="AE100" s="181"/>
      <c r="AF100" s="182"/>
      <c r="AG100" s="182"/>
      <c r="AH100" s="174"/>
      <c r="AM100" s="181"/>
      <c r="AR100" s="190"/>
      <c r="AW100" s="318"/>
      <c r="BH100" s="330"/>
      <c r="BL100" s="182"/>
      <c r="BQ100" s="174"/>
      <c r="BR100" s="193"/>
      <c r="BX100" s="174"/>
      <c r="CB100" s="173"/>
      <c r="CH100" s="174"/>
    </row>
    <row r="101" spans="5:86" s="156" customFormat="1" ht="12" x14ac:dyDescent="0.3">
      <c r="E101" s="173"/>
      <c r="F101" s="174"/>
      <c r="H101" s="174"/>
      <c r="I101" s="194"/>
      <c r="J101" s="181"/>
      <c r="K101" s="194"/>
      <c r="L101" s="176"/>
      <c r="M101" s="174"/>
      <c r="N101" s="182"/>
      <c r="O101" s="182"/>
      <c r="P101" s="181"/>
      <c r="Q101" s="180"/>
      <c r="U101" s="176"/>
      <c r="V101" s="155"/>
      <c r="W101" s="155"/>
      <c r="X101" s="174"/>
      <c r="AD101" s="181"/>
      <c r="AE101" s="181"/>
      <c r="AF101" s="182"/>
      <c r="AG101" s="182"/>
      <c r="AH101" s="174"/>
      <c r="AM101" s="181"/>
      <c r="AR101" s="190"/>
      <c r="AW101" s="318"/>
      <c r="BH101" s="330"/>
      <c r="BL101" s="182"/>
      <c r="BQ101" s="174"/>
      <c r="BR101" s="193"/>
      <c r="BX101" s="174"/>
      <c r="CB101" s="173"/>
      <c r="CH101" s="174"/>
    </row>
    <row r="102" spans="5:86" s="156" customFormat="1" ht="12" x14ac:dyDescent="0.3">
      <c r="E102" s="173"/>
      <c r="F102" s="174"/>
      <c r="H102" s="174"/>
      <c r="I102" s="194"/>
      <c r="J102" s="181"/>
      <c r="K102" s="194"/>
      <c r="L102" s="176"/>
      <c r="M102" s="174"/>
      <c r="N102" s="182"/>
      <c r="O102" s="182"/>
      <c r="P102" s="181"/>
      <c r="Q102" s="180"/>
      <c r="U102" s="176"/>
      <c r="V102" s="155"/>
      <c r="W102" s="155"/>
      <c r="X102" s="174"/>
      <c r="AD102" s="181"/>
      <c r="AE102" s="181"/>
      <c r="AF102" s="182"/>
      <c r="AG102" s="182"/>
      <c r="AH102" s="174"/>
      <c r="AM102" s="181"/>
      <c r="AR102" s="190"/>
      <c r="AW102" s="318"/>
      <c r="BH102" s="330"/>
      <c r="BL102" s="182"/>
      <c r="BQ102" s="174"/>
      <c r="BR102" s="193"/>
      <c r="BX102" s="174"/>
      <c r="CB102" s="173"/>
      <c r="CH102" s="174"/>
    </row>
    <row r="103" spans="5:86" s="156" customFormat="1" ht="12" x14ac:dyDescent="0.3">
      <c r="E103" s="173"/>
      <c r="F103" s="174"/>
      <c r="H103" s="174"/>
      <c r="I103" s="194"/>
      <c r="J103" s="181"/>
      <c r="K103" s="194"/>
      <c r="L103" s="176"/>
      <c r="M103" s="174"/>
      <c r="N103" s="182"/>
      <c r="O103" s="182"/>
      <c r="P103" s="181"/>
      <c r="Q103" s="180"/>
      <c r="U103" s="176"/>
      <c r="V103" s="155"/>
      <c r="W103" s="155"/>
      <c r="X103" s="174"/>
      <c r="AD103" s="181"/>
      <c r="AE103" s="181"/>
      <c r="AF103" s="182"/>
      <c r="AG103" s="182"/>
      <c r="AH103" s="174"/>
      <c r="AM103" s="181"/>
      <c r="AR103" s="190"/>
      <c r="AW103" s="318"/>
      <c r="BH103" s="330"/>
      <c r="BL103" s="182"/>
      <c r="BQ103" s="174"/>
      <c r="BR103" s="193"/>
      <c r="BX103" s="174"/>
      <c r="CB103" s="173"/>
      <c r="CH103" s="174"/>
    </row>
    <row r="104" spans="5:86" s="156" customFormat="1" ht="12" x14ac:dyDescent="0.3">
      <c r="E104" s="173"/>
      <c r="F104" s="174"/>
      <c r="H104" s="174"/>
      <c r="I104" s="194"/>
      <c r="J104" s="181"/>
      <c r="K104" s="194"/>
      <c r="L104" s="176"/>
      <c r="M104" s="174"/>
      <c r="N104" s="182"/>
      <c r="O104" s="182"/>
      <c r="P104" s="181"/>
      <c r="Q104" s="180"/>
      <c r="U104" s="176"/>
      <c r="V104" s="155"/>
      <c r="W104" s="155"/>
      <c r="X104" s="174"/>
      <c r="AD104" s="181"/>
      <c r="AE104" s="181"/>
      <c r="AF104" s="182"/>
      <c r="AG104" s="182"/>
      <c r="AH104" s="174"/>
      <c r="AM104" s="181"/>
      <c r="AR104" s="190"/>
      <c r="AW104" s="318"/>
      <c r="BH104" s="330"/>
      <c r="BL104" s="182"/>
      <c r="BQ104" s="174"/>
      <c r="BR104" s="193"/>
      <c r="BX104" s="174"/>
      <c r="CB104" s="173"/>
      <c r="CH104" s="174"/>
    </row>
    <row r="105" spans="5:86" s="156" customFormat="1" ht="12" x14ac:dyDescent="0.3">
      <c r="E105" s="173"/>
      <c r="F105" s="174"/>
      <c r="H105" s="174"/>
      <c r="I105" s="194"/>
      <c r="J105" s="181"/>
      <c r="K105" s="194"/>
      <c r="L105" s="176"/>
      <c r="M105" s="174"/>
      <c r="N105" s="109"/>
      <c r="O105" s="109"/>
      <c r="P105" s="181"/>
      <c r="Q105" s="180"/>
      <c r="U105" s="176"/>
      <c r="V105" s="155"/>
      <c r="W105" s="155"/>
      <c r="X105" s="174"/>
      <c r="AD105" s="181"/>
      <c r="AE105" s="181"/>
      <c r="AF105" s="182"/>
      <c r="AG105" s="182"/>
      <c r="AH105" s="174"/>
      <c r="AM105" s="181"/>
      <c r="AR105" s="190"/>
      <c r="AU105" s="86"/>
      <c r="AV105" s="86"/>
      <c r="AW105" s="319"/>
      <c r="BH105" s="330"/>
      <c r="BL105" s="182"/>
      <c r="BQ105" s="174"/>
      <c r="BR105" s="193"/>
      <c r="BX105" s="174"/>
      <c r="CB105" s="173"/>
      <c r="CH105" s="174"/>
    </row>
    <row r="106" spans="5:86" ht="12" x14ac:dyDescent="0.3">
      <c r="Q106" s="108"/>
      <c r="AR106" s="190"/>
      <c r="AS106" s="156"/>
    </row>
    <row r="107" spans="5:86" x14ac:dyDescent="0.25">
      <c r="Q107" s="108"/>
    </row>
    <row r="108" spans="5:86" x14ac:dyDescent="0.25">
      <c r="Q108" s="108"/>
    </row>
    <row r="109" spans="5:86" x14ac:dyDescent="0.25">
      <c r="Q109" s="108"/>
    </row>
    <row r="110" spans="5:86" x14ac:dyDescent="0.25">
      <c r="Q110" s="108"/>
    </row>
    <row r="111" spans="5:86" s="94" customFormat="1" ht="14.5" x14ac:dyDescent="0.35">
      <c r="Q111" s="108"/>
      <c r="R111" s="86"/>
      <c r="S111" s="86"/>
      <c r="T111" s="86"/>
      <c r="U111" s="106"/>
      <c r="V111" s="92"/>
      <c r="W111" s="115"/>
      <c r="X111" s="107"/>
      <c r="Y111" s="86"/>
      <c r="Z111" s="116"/>
      <c r="AD111" s="101"/>
      <c r="AE111" s="101"/>
      <c r="AF111" s="109"/>
      <c r="AG111" s="109"/>
      <c r="AH111" s="116"/>
      <c r="AI111" s="86"/>
      <c r="AJ111" s="111"/>
      <c r="AK111" s="86"/>
      <c r="AL111" s="86"/>
      <c r="AM111" s="117"/>
      <c r="AN111" s="116"/>
      <c r="AO111" s="116"/>
      <c r="AP111" s="86"/>
      <c r="AQ111" s="86"/>
      <c r="AR111" s="112"/>
      <c r="AS111" s="86"/>
      <c r="AT111" s="86"/>
      <c r="AU111" s="86"/>
      <c r="AV111" s="86"/>
      <c r="AW111" s="319"/>
      <c r="AX111" s="86"/>
      <c r="AY111" s="86"/>
      <c r="AZ111" s="86"/>
      <c r="BA111" s="86"/>
      <c r="BB111" s="86"/>
      <c r="BC111" s="86"/>
      <c r="BD111" s="86"/>
      <c r="BE111" s="86"/>
      <c r="BF111" s="86"/>
      <c r="BG111" s="116"/>
      <c r="BH111" s="332"/>
      <c r="BI111" s="111"/>
      <c r="BJ111" s="110">
        <f>SUM(BJ105:BJ110)</f>
        <v>0</v>
      </c>
    </row>
    <row r="112" spans="5:86" s="94" customFormat="1" ht="14.5" x14ac:dyDescent="0.35">
      <c r="Q112" s="108"/>
      <c r="R112" s="86"/>
      <c r="S112" s="86"/>
      <c r="T112" s="86"/>
      <c r="U112" s="106"/>
      <c r="V112" s="92"/>
      <c r="W112" s="115"/>
      <c r="X112" s="107"/>
      <c r="Y112" s="86"/>
      <c r="Z112" s="108"/>
      <c r="AA112" s="108"/>
      <c r="AB112" s="108"/>
      <c r="AD112" s="101"/>
      <c r="AE112" s="101"/>
      <c r="AF112" s="109"/>
      <c r="AG112" s="109"/>
      <c r="AH112" s="116"/>
      <c r="AI112" s="86"/>
      <c r="AJ112" s="86"/>
      <c r="AK112" s="86"/>
      <c r="AL112" s="86"/>
      <c r="AM112" s="117"/>
      <c r="AN112" s="116"/>
      <c r="AO112" s="116"/>
      <c r="AP112" s="86"/>
      <c r="AQ112" s="86"/>
      <c r="AR112" s="112"/>
      <c r="AS112" s="86"/>
      <c r="AT112" s="86"/>
      <c r="AU112" s="86"/>
      <c r="AV112" s="86"/>
      <c r="AW112" s="319"/>
      <c r="AX112" s="86"/>
      <c r="AY112" s="86"/>
      <c r="AZ112" s="86"/>
      <c r="BA112" s="86"/>
      <c r="BB112" s="86"/>
      <c r="BC112" s="86"/>
      <c r="BD112" s="86"/>
      <c r="BE112" s="86"/>
      <c r="BF112" s="86"/>
      <c r="BG112" s="116"/>
      <c r="BH112" s="333"/>
      <c r="BI112" s="113"/>
      <c r="BJ112" s="113">
        <f>BJ104-BJ111</f>
        <v>0</v>
      </c>
    </row>
    <row r="113" spans="17:62" s="94" customFormat="1" ht="14.5" x14ac:dyDescent="0.35">
      <c r="Q113" s="108"/>
      <c r="R113" s="86"/>
      <c r="S113" s="86"/>
      <c r="T113" s="86"/>
      <c r="U113" s="106"/>
      <c r="V113" s="92"/>
      <c r="W113" s="115"/>
      <c r="X113" s="107"/>
      <c r="Y113" s="86"/>
      <c r="Z113" s="86"/>
      <c r="AA113" s="108"/>
      <c r="AB113" s="108"/>
      <c r="AC113" s="108"/>
      <c r="AD113" s="101"/>
      <c r="AE113" s="101"/>
      <c r="AF113" s="109"/>
      <c r="AG113" s="109"/>
      <c r="AH113" s="116"/>
      <c r="AI113" s="86"/>
      <c r="AJ113" s="86"/>
      <c r="AK113" s="86"/>
      <c r="AL113" s="86"/>
      <c r="AM113" s="117"/>
      <c r="AN113" s="116"/>
      <c r="AO113" s="116"/>
      <c r="AP113" s="86"/>
      <c r="AQ113" s="86"/>
      <c r="AR113" s="112"/>
      <c r="AS113" s="86"/>
      <c r="AT113" s="86"/>
      <c r="AU113" s="86"/>
      <c r="AV113" s="86"/>
      <c r="AW113" s="319"/>
      <c r="AX113" s="86"/>
      <c r="AY113" s="86"/>
      <c r="AZ113" s="86"/>
      <c r="BA113" s="86"/>
      <c r="BB113" s="86"/>
      <c r="BC113" s="86"/>
      <c r="BD113" s="86"/>
      <c r="BE113" s="86"/>
      <c r="BF113" s="86"/>
      <c r="BG113" s="116"/>
      <c r="BH113" s="326"/>
      <c r="BI113" s="86"/>
      <c r="BJ113" s="86"/>
    </row>
    <row r="114" spans="17:62" s="94" customFormat="1" ht="14.5" x14ac:dyDescent="0.35">
      <c r="Q114" s="108"/>
      <c r="R114" s="86"/>
      <c r="S114" s="86"/>
      <c r="T114" s="86"/>
      <c r="U114" s="106"/>
      <c r="V114" s="92"/>
      <c r="W114" s="115"/>
      <c r="X114" s="107"/>
      <c r="Y114" s="86"/>
      <c r="Z114" s="86"/>
      <c r="AA114" s="108"/>
      <c r="AB114" s="86"/>
      <c r="AC114" s="108"/>
      <c r="AD114" s="101"/>
      <c r="AE114" s="101"/>
      <c r="AF114" s="109"/>
      <c r="AG114" s="109"/>
      <c r="AH114" s="116"/>
      <c r="AI114" s="86"/>
      <c r="AJ114" s="86"/>
      <c r="AK114" s="86"/>
      <c r="AL114" s="86"/>
      <c r="AM114" s="101"/>
      <c r="AN114" s="116"/>
      <c r="AO114" s="116"/>
      <c r="AP114" s="86"/>
      <c r="AQ114" s="86"/>
      <c r="AR114" s="112"/>
      <c r="AS114" s="86"/>
      <c r="AT114" s="86"/>
      <c r="AU114" s="86"/>
      <c r="AV114" s="86"/>
      <c r="AW114" s="319"/>
      <c r="AX114" s="86"/>
      <c r="AY114" s="86"/>
      <c r="AZ114" s="86"/>
      <c r="BA114" s="86"/>
      <c r="BB114" s="86"/>
      <c r="BC114" s="86"/>
      <c r="BD114" s="86"/>
      <c r="BE114" s="86"/>
      <c r="BF114" s="86"/>
      <c r="BG114" s="116"/>
      <c r="BH114" s="334"/>
      <c r="BI114" s="101"/>
      <c r="BJ114" s="86"/>
    </row>
    <row r="115" spans="17:62" s="94" customFormat="1" ht="14.5" x14ac:dyDescent="0.35">
      <c r="Q115" s="108"/>
      <c r="R115" s="86"/>
      <c r="S115" s="86"/>
      <c r="T115" s="86"/>
      <c r="U115" s="106"/>
      <c r="V115" s="92"/>
      <c r="W115" s="115"/>
      <c r="X115" s="107"/>
      <c r="Y115" s="86"/>
      <c r="Z115" s="86"/>
      <c r="AA115" s="108"/>
      <c r="AB115" s="86"/>
      <c r="AD115" s="101"/>
      <c r="AE115" s="101"/>
      <c r="AF115" s="109"/>
      <c r="AG115" s="109"/>
      <c r="AH115" s="116"/>
      <c r="AI115" s="86"/>
      <c r="AJ115" s="86"/>
      <c r="AK115" s="86"/>
      <c r="AL115" s="86"/>
      <c r="AM115" s="101"/>
      <c r="AN115" s="116"/>
      <c r="AO115" s="116"/>
      <c r="AP115" s="86"/>
      <c r="AQ115" s="86"/>
      <c r="AR115" s="112"/>
      <c r="AS115" s="86"/>
      <c r="AT115" s="86"/>
      <c r="AU115" s="86"/>
      <c r="AV115" s="86"/>
      <c r="AW115" s="319"/>
      <c r="AX115" s="86"/>
      <c r="AY115" s="86"/>
      <c r="AZ115" s="86"/>
      <c r="BA115" s="86"/>
      <c r="BB115" s="86"/>
      <c r="BC115" s="86"/>
      <c r="BD115" s="86"/>
      <c r="BE115" s="86"/>
      <c r="BF115" s="86"/>
      <c r="BG115" s="116"/>
      <c r="BH115" s="334"/>
      <c r="BI115" s="101"/>
      <c r="BJ115" s="86"/>
    </row>
    <row r="116" spans="17:62" s="94" customFormat="1" ht="14.5" x14ac:dyDescent="0.35">
      <c r="Q116" s="108"/>
      <c r="R116" s="86"/>
      <c r="S116" s="86"/>
      <c r="T116" s="86"/>
      <c r="U116" s="106"/>
      <c r="V116" s="92"/>
      <c r="W116" s="115"/>
      <c r="X116" s="107"/>
      <c r="Y116" s="86"/>
      <c r="Z116" s="86"/>
      <c r="AA116" s="108"/>
      <c r="AB116" s="86"/>
      <c r="AD116" s="101"/>
      <c r="AE116" s="101"/>
      <c r="AF116" s="109"/>
      <c r="AG116" s="109"/>
      <c r="AH116" s="116"/>
      <c r="AI116" s="86"/>
      <c r="AJ116" s="86"/>
      <c r="AK116" s="86"/>
      <c r="AL116" s="86"/>
      <c r="AM116" s="101"/>
      <c r="AN116" s="116"/>
      <c r="AO116" s="116"/>
      <c r="AP116" s="86"/>
      <c r="AQ116" s="86"/>
      <c r="AR116" s="112"/>
      <c r="AS116" s="86"/>
      <c r="AT116" s="86"/>
      <c r="AU116" s="86"/>
      <c r="AV116" s="86"/>
      <c r="AW116" s="319"/>
      <c r="AX116" s="86"/>
      <c r="AY116" s="86"/>
      <c r="AZ116" s="86"/>
      <c r="BA116" s="86"/>
      <c r="BB116" s="86"/>
      <c r="BC116" s="86"/>
      <c r="BD116" s="86"/>
      <c r="BE116" s="86"/>
      <c r="BF116" s="86"/>
      <c r="BG116" s="116"/>
      <c r="BH116" s="326"/>
      <c r="BI116" s="86"/>
      <c r="BJ116" s="86"/>
    </row>
    <row r="117" spans="17:62" s="94" customFormat="1" ht="14.5" x14ac:dyDescent="0.35">
      <c r="Q117" s="108"/>
      <c r="R117" s="86"/>
      <c r="S117" s="86"/>
      <c r="T117" s="86"/>
      <c r="U117" s="106"/>
      <c r="V117" s="92"/>
      <c r="W117" s="115"/>
      <c r="X117" s="107"/>
      <c r="Y117" s="86"/>
      <c r="Z117" s="86"/>
      <c r="AA117" s="108"/>
      <c r="AB117" s="86"/>
      <c r="AD117" s="101"/>
      <c r="AE117" s="101"/>
      <c r="AF117" s="109"/>
      <c r="AG117" s="109"/>
      <c r="AH117" s="116"/>
      <c r="AI117" s="86"/>
      <c r="AJ117" s="86"/>
      <c r="AK117" s="86"/>
      <c r="AL117" s="86"/>
      <c r="AM117" s="117"/>
      <c r="AN117" s="116"/>
      <c r="AO117" s="116"/>
      <c r="AP117" s="86"/>
      <c r="AQ117" s="86"/>
      <c r="AR117" s="112"/>
      <c r="AS117" s="86"/>
      <c r="AT117" s="86"/>
      <c r="AU117" s="86"/>
      <c r="AV117" s="86"/>
      <c r="AW117" s="319"/>
      <c r="AX117" s="86"/>
      <c r="AY117" s="86"/>
      <c r="AZ117" s="86"/>
      <c r="BA117" s="86"/>
      <c r="BB117" s="86"/>
      <c r="BC117" s="86"/>
      <c r="BD117" s="86"/>
      <c r="BE117" s="86"/>
      <c r="BF117" s="86"/>
      <c r="BG117" s="116"/>
      <c r="BH117" s="326"/>
      <c r="BI117" s="86"/>
      <c r="BJ117" s="86"/>
    </row>
    <row r="118" spans="17:62" s="94" customFormat="1" ht="14.5" x14ac:dyDescent="0.35">
      <c r="Q118" s="108"/>
      <c r="R118" s="86"/>
      <c r="S118" s="86"/>
      <c r="T118" s="86"/>
      <c r="U118" s="106"/>
      <c r="V118" s="92"/>
      <c r="W118" s="115"/>
      <c r="X118" s="107"/>
      <c r="Y118" s="86"/>
      <c r="Z118" s="86"/>
      <c r="AA118" s="108"/>
      <c r="AB118" s="86"/>
      <c r="AD118" s="101"/>
      <c r="AE118" s="101"/>
      <c r="AF118" s="109"/>
      <c r="AG118" s="109"/>
      <c r="AH118" s="116"/>
      <c r="AI118" s="86"/>
      <c r="AJ118" s="86"/>
      <c r="AK118" s="86">
        <f>AK119-AK120</f>
        <v>0</v>
      </c>
      <c r="AL118" s="86"/>
      <c r="AM118" s="101"/>
      <c r="AN118" s="116"/>
      <c r="AO118" s="116"/>
      <c r="AP118" s="86"/>
      <c r="AQ118" s="86"/>
      <c r="AR118" s="112"/>
      <c r="AS118" s="86"/>
      <c r="AT118" s="86"/>
      <c r="AU118" s="86"/>
      <c r="AV118" s="86"/>
      <c r="AW118" s="319"/>
      <c r="AX118" s="86"/>
      <c r="AY118" s="86"/>
      <c r="AZ118" s="86"/>
      <c r="BA118" s="86"/>
      <c r="BB118" s="86"/>
      <c r="BC118" s="86"/>
      <c r="BD118" s="86"/>
      <c r="BE118" s="86"/>
      <c r="BF118" s="86"/>
      <c r="BG118" s="116"/>
      <c r="BH118" s="326"/>
      <c r="BI118" s="86"/>
      <c r="BJ118" s="86"/>
    </row>
    <row r="119" spans="17:62" s="94" customFormat="1" ht="14.5" x14ac:dyDescent="0.35">
      <c r="Q119" s="108"/>
      <c r="R119" s="86"/>
      <c r="S119" s="86"/>
      <c r="T119" s="86"/>
      <c r="U119" s="106"/>
      <c r="V119" s="92"/>
      <c r="W119" s="115"/>
      <c r="X119" s="107"/>
      <c r="Y119" s="86"/>
      <c r="Z119" s="86"/>
      <c r="AA119" s="108"/>
      <c r="AB119" s="86"/>
      <c r="AD119" s="101"/>
      <c r="AE119" s="101"/>
      <c r="AF119" s="109"/>
      <c r="AG119" s="109"/>
      <c r="AH119" s="116"/>
      <c r="AJ119" s="86"/>
      <c r="AK119" s="86"/>
      <c r="AL119" s="86"/>
      <c r="AM119" s="101"/>
      <c r="AN119" s="116"/>
      <c r="AO119" s="116"/>
      <c r="AP119" s="86"/>
      <c r="AQ119" s="86"/>
      <c r="AR119" s="112"/>
      <c r="AS119" s="86"/>
      <c r="AT119" s="86"/>
      <c r="AU119" s="86"/>
      <c r="AV119" s="86"/>
      <c r="AW119" s="319"/>
      <c r="AX119" s="86"/>
      <c r="AY119" s="86"/>
      <c r="AZ119" s="86"/>
      <c r="BA119" s="86"/>
      <c r="BB119" s="86"/>
      <c r="BC119" s="86"/>
      <c r="BD119" s="86"/>
      <c r="BE119" s="86"/>
      <c r="BF119" s="86"/>
      <c r="BG119" s="118"/>
      <c r="BH119" s="326"/>
      <c r="BI119" s="86"/>
      <c r="BJ119" s="86"/>
    </row>
    <row r="120" spans="17:62" s="94" customFormat="1" ht="14.5" x14ac:dyDescent="0.35">
      <c r="Q120" s="108"/>
      <c r="R120" s="86"/>
      <c r="S120" s="86"/>
      <c r="T120" s="86"/>
      <c r="U120" s="106"/>
      <c r="V120" s="92"/>
      <c r="W120" s="115"/>
      <c r="X120" s="107"/>
      <c r="Y120" s="111"/>
      <c r="Z120" s="86"/>
      <c r="AA120" s="86"/>
      <c r="AB120" s="86"/>
      <c r="AC120" s="86"/>
      <c r="AD120" s="101"/>
      <c r="AE120" s="101"/>
      <c r="AF120" s="109"/>
      <c r="AG120" s="109"/>
      <c r="AH120" s="116"/>
      <c r="AI120" s="86"/>
      <c r="AJ120" s="86"/>
      <c r="AK120" s="86"/>
      <c r="AL120" s="86"/>
      <c r="AM120" s="101"/>
      <c r="AN120" s="116"/>
      <c r="AO120" s="116"/>
      <c r="AP120" s="86"/>
      <c r="AQ120" s="86"/>
      <c r="AR120" s="112"/>
      <c r="AS120" s="86"/>
      <c r="AT120" s="86"/>
      <c r="AU120" s="86"/>
      <c r="AV120" s="86"/>
      <c r="AW120" s="319"/>
      <c r="AX120" s="86"/>
      <c r="AY120" s="86"/>
      <c r="AZ120" s="86"/>
      <c r="BA120" s="86"/>
      <c r="BB120" s="86"/>
      <c r="BC120" s="86"/>
      <c r="BD120" s="86"/>
      <c r="BE120" s="86"/>
      <c r="BF120" s="86"/>
      <c r="BG120" s="116"/>
      <c r="BH120" s="326"/>
      <c r="BI120" s="86"/>
      <c r="BJ120" s="86"/>
    </row>
  </sheetData>
  <dataConsolidate link="1">
    <dataRefs count="1">
      <dataRef name="s"/>
    </dataRefs>
  </dataConsolidate>
  <mergeCells count="15">
    <mergeCell ref="B3:D3"/>
    <mergeCell ref="BV3:CA3"/>
    <mergeCell ref="BV2:CA2"/>
    <mergeCell ref="CN3:CR3"/>
    <mergeCell ref="AA97:AB97"/>
    <mergeCell ref="AA89:AB89"/>
    <mergeCell ref="AA90:AB90"/>
    <mergeCell ref="AA91:AB91"/>
    <mergeCell ref="AA92:AB92"/>
    <mergeCell ref="AA93:AB93"/>
    <mergeCell ref="AA94:AB94"/>
    <mergeCell ref="AA95:AB95"/>
    <mergeCell ref="CK3:CM3"/>
    <mergeCell ref="CE3:CF3"/>
    <mergeCell ref="AA96:AB96"/>
  </mergeCells>
  <conditionalFormatting sqref="E3">
    <cfRule type="duplicateValues" dxfId="101" priority="15902"/>
  </conditionalFormatting>
  <conditionalFormatting sqref="E4">
    <cfRule type="duplicateValues" dxfId="100" priority="15636"/>
  </conditionalFormatting>
  <conditionalFormatting sqref="E4:E78">
    <cfRule type="duplicateValues" dxfId="99" priority="24297"/>
  </conditionalFormatting>
  <conditionalFormatting sqref="E82">
    <cfRule type="duplicateValues" dxfId="98" priority="10"/>
    <cfRule type="duplicateValues" dxfId="97" priority="11"/>
    <cfRule type="duplicateValues" dxfId="96" priority="12"/>
    <cfRule type="duplicateValues" dxfId="95" priority="13"/>
    <cfRule type="duplicateValues" dxfId="94" priority="14"/>
    <cfRule type="duplicateValues" dxfId="93" priority="15"/>
    <cfRule type="duplicateValues" dxfId="92" priority="16"/>
    <cfRule type="duplicateValues" dxfId="91" priority="17"/>
  </conditionalFormatting>
  <conditionalFormatting sqref="E83:E85">
    <cfRule type="duplicateValues" dxfId="90" priority="24443"/>
  </conditionalFormatting>
  <conditionalFormatting sqref="E86">
    <cfRule type="duplicateValues" dxfId="89" priority="24228"/>
  </conditionalFormatting>
  <conditionalFormatting sqref="I88:I1048576 CH2 I80:I81 E4 I1 E2:AY2 CB2">
    <cfRule type="duplicateValues" dxfId="88" priority="19833"/>
    <cfRule type="duplicateValues" dxfId="87" priority="19832"/>
    <cfRule type="duplicateValues" dxfId="86" priority="19831"/>
    <cfRule type="duplicateValues" dxfId="85" priority="19830"/>
    <cfRule type="duplicateValues" dxfId="84" priority="19834"/>
  </conditionalFormatting>
  <conditionalFormatting sqref="I102:I1048576 CH2 E95:E101 I1 E4 I80:I81 E2:AY2 CB2 I88:I94">
    <cfRule type="duplicateValues" dxfId="83" priority="19860"/>
  </conditionalFormatting>
  <conditionalFormatting sqref="N83:N85">
    <cfRule type="duplicateValues" dxfId="82" priority="24445"/>
  </conditionalFormatting>
  <conditionalFormatting sqref="AM99:AM1048576 AO79:AP79 AJ98 AM80:AM81 AM1 AO4:AP4 AM3 AJ90:AJ93 AJ81 AM88">
    <cfRule type="duplicateValues" dxfId="81" priority="22297"/>
  </conditionalFormatting>
  <conditionalFormatting sqref="AM111">
    <cfRule type="duplicateValues" dxfId="80" priority="165"/>
  </conditionalFormatting>
  <conditionalFormatting sqref="AN119:AO119">
    <cfRule type="duplicateValues" dxfId="79" priority="176"/>
  </conditionalFormatting>
  <conditionalFormatting sqref="AO82:AP82">
    <cfRule type="duplicateValues" dxfId="78" priority="18"/>
  </conditionalFormatting>
  <conditionalFormatting sqref="AO87:AP87">
    <cfRule type="duplicateValues" dxfId="77" priority="8"/>
  </conditionalFormatting>
  <conditionalFormatting sqref="AZ5:AZ78 BB5:BK78 AY83:AY85 BA83:BJ85">
    <cfRule type="containsText" dxfId="76" priority="2" operator="containsText" text="FALSE">
      <formula>NOT(ISERROR(SEARCH("FALSE",AY5)))</formula>
    </cfRule>
  </conditionalFormatting>
  <conditionalFormatting sqref="AZ86 BB86:BK86">
    <cfRule type="containsText" dxfId="75" priority="6" operator="containsText" text="FALSE">
      <formula>NOT(ISERROR(SEARCH("FALSE",AZ86)))</formula>
    </cfRule>
  </conditionalFormatting>
  <conditionalFormatting sqref="AZ4:BK4">
    <cfRule type="containsText" dxfId="74" priority="70" operator="containsText" text="FALSE">
      <formula>NOT(ISERROR(SEARCH("FALSE",AZ4)))</formula>
    </cfRule>
  </conditionalFormatting>
  <conditionalFormatting sqref="AZ82:BK82">
    <cfRule type="containsText" dxfId="73" priority="9" operator="containsText" text="FALSE">
      <formula>NOT(ISERROR(SEARCH("FALSE",AZ82)))</formula>
    </cfRule>
  </conditionalFormatting>
  <conditionalFormatting sqref="BO111">
    <cfRule type="duplicateValues" dxfId="72" priority="160"/>
    <cfRule type="duplicateValues" dxfId="71" priority="161"/>
  </conditionalFormatting>
  <conditionalFormatting sqref="BO112">
    <cfRule type="duplicateValues" dxfId="70" priority="157"/>
    <cfRule type="duplicateValues" dxfId="69" priority="156"/>
  </conditionalFormatting>
  <conditionalFormatting sqref="BV104">
    <cfRule type="duplicateValues" dxfId="68" priority="171"/>
    <cfRule type="duplicateValues" dxfId="67" priority="172"/>
  </conditionalFormatting>
  <conditionalFormatting sqref="BV109">
    <cfRule type="duplicateValues" dxfId="66" priority="168"/>
    <cfRule type="duplicateValues" dxfId="65" priority="167"/>
  </conditionalFormatting>
  <conditionalFormatting sqref="BW106">
    <cfRule type="duplicateValues" dxfId="64" priority="173"/>
    <cfRule type="duplicateValues" dxfId="63" priority="174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3:AB701"/>
  <sheetViews>
    <sheetView showGridLines="0" zoomScale="90" zoomScaleNormal="90" workbookViewId="0">
      <selection activeCell="K9" sqref="K9"/>
    </sheetView>
  </sheetViews>
  <sheetFormatPr defaultRowHeight="14.5" x14ac:dyDescent="0.35"/>
  <cols>
    <col min="1" max="1" width="4.36328125" customWidth="1"/>
    <col min="2" max="2" width="23.36328125" bestFit="1" customWidth="1"/>
    <col min="3" max="3" width="11.54296875" style="4" bestFit="1" customWidth="1"/>
    <col min="4" max="4" width="6.453125" style="4" bestFit="1" customWidth="1"/>
    <col min="5" max="5" width="4.08984375" customWidth="1"/>
    <col min="6" max="6" width="34.1796875" bestFit="1" customWidth="1"/>
    <col min="7" max="7" width="11.54296875" style="4" bestFit="1" customWidth="1"/>
    <col min="8" max="8" width="12.08984375" bestFit="1" customWidth="1"/>
    <col min="9" max="9" width="6.453125" bestFit="1" customWidth="1"/>
    <col min="10" max="10" width="36.453125" bestFit="1" customWidth="1"/>
    <col min="11" max="11" width="12.08984375" bestFit="1" customWidth="1"/>
    <col min="12" max="12" width="10.453125" bestFit="1" customWidth="1"/>
    <col min="13" max="13" width="31.54296875" bestFit="1" customWidth="1"/>
    <col min="14" max="14" width="7.81640625" bestFit="1" customWidth="1"/>
    <col min="15" max="15" width="3.90625" bestFit="1" customWidth="1"/>
    <col min="17" max="17" width="24.08984375" bestFit="1" customWidth="1"/>
    <col min="18" max="18" width="8" bestFit="1" customWidth="1"/>
    <col min="28" max="28" width="7.54296875" bestFit="1" customWidth="1"/>
  </cols>
  <sheetData>
    <row r="3" spans="2:18" ht="15" thickBot="1" x14ac:dyDescent="0.4">
      <c r="J3" s="50" t="s">
        <v>134</v>
      </c>
      <c r="M3" s="50" t="s">
        <v>176</v>
      </c>
      <c r="Q3" s="50" t="s">
        <v>135</v>
      </c>
    </row>
    <row r="4" spans="2:18" ht="15" thickBot="1" x14ac:dyDescent="0.4">
      <c r="B4" s="30" t="s">
        <v>72</v>
      </c>
      <c r="C4" s="31" t="s">
        <v>56</v>
      </c>
      <c r="F4" s="30" t="s">
        <v>73</v>
      </c>
      <c r="G4" s="31" t="s">
        <v>56</v>
      </c>
      <c r="H4" s="40" t="s">
        <v>85</v>
      </c>
      <c r="J4" s="30" t="s">
        <v>57</v>
      </c>
      <c r="K4" s="34">
        <f>Details!AD91</f>
        <v>46194</v>
      </c>
      <c r="M4" s="30" t="s">
        <v>72</v>
      </c>
      <c r="N4" s="31" t="s">
        <v>56</v>
      </c>
      <c r="O4" s="31" t="s">
        <v>85</v>
      </c>
      <c r="Q4" s="30" t="s">
        <v>142</v>
      </c>
      <c r="R4" s="31" t="s">
        <v>56</v>
      </c>
    </row>
    <row r="5" spans="2:18" x14ac:dyDescent="0.35">
      <c r="B5" s="7" t="s">
        <v>658</v>
      </c>
      <c r="C5" s="14">
        <v>1330200</v>
      </c>
      <c r="D5" s="377"/>
      <c r="F5" s="7"/>
      <c r="G5" s="14"/>
      <c r="H5" s="19"/>
      <c r="J5" s="7"/>
      <c r="K5" s="11"/>
      <c r="M5" s="7"/>
      <c r="N5" s="14"/>
      <c r="O5" s="16"/>
      <c r="Q5" s="7"/>
      <c r="R5" s="16"/>
    </row>
    <row r="6" spans="2:18" x14ac:dyDescent="0.35">
      <c r="B6" s="7"/>
      <c r="C6" s="14"/>
      <c r="F6" s="7"/>
      <c r="G6" s="14"/>
      <c r="H6" s="19"/>
      <c r="J6" s="7" t="s">
        <v>82</v>
      </c>
      <c r="K6" s="12">
        <f>-Details!AW79</f>
        <v>-250350</v>
      </c>
      <c r="M6" s="7"/>
      <c r="N6" s="14"/>
      <c r="O6" s="16"/>
      <c r="Q6" s="7"/>
      <c r="R6" s="16"/>
    </row>
    <row r="7" spans="2:18" x14ac:dyDescent="0.35">
      <c r="B7" s="7"/>
      <c r="C7" s="14"/>
      <c r="F7" s="7"/>
      <c r="G7" s="14"/>
      <c r="H7" s="19"/>
      <c r="J7" s="7" t="s">
        <v>592</v>
      </c>
      <c r="K7" s="12">
        <v>171555</v>
      </c>
      <c r="M7" s="7"/>
      <c r="N7" s="14"/>
      <c r="O7" s="16"/>
      <c r="Q7" s="7"/>
      <c r="R7" s="16"/>
    </row>
    <row r="8" spans="2:18" x14ac:dyDescent="0.35">
      <c r="B8" s="7"/>
      <c r="C8" s="14"/>
      <c r="F8" s="7"/>
      <c r="G8" s="14"/>
      <c r="H8" s="19"/>
      <c r="I8" s="21"/>
      <c r="J8" s="7" t="s">
        <v>367</v>
      </c>
      <c r="K8" s="12">
        <v>71405</v>
      </c>
      <c r="L8">
        <f>Details!O76+Details!O77</f>
        <v>7390</v>
      </c>
      <c r="M8" s="7"/>
      <c r="N8" s="14"/>
      <c r="O8" s="16"/>
      <c r="Q8" s="7"/>
      <c r="R8" s="16"/>
    </row>
    <row r="9" spans="2:18" ht="15" thickBot="1" x14ac:dyDescent="0.4">
      <c r="B9" s="7"/>
      <c r="C9" s="14"/>
      <c r="F9" s="7"/>
      <c r="G9" s="14"/>
      <c r="H9" s="19"/>
      <c r="I9" s="21"/>
      <c r="J9" s="7" t="s">
        <v>272</v>
      </c>
      <c r="K9" s="12">
        <f>R31+I42</f>
        <v>0</v>
      </c>
      <c r="L9" s="1"/>
      <c r="M9" s="7"/>
      <c r="N9" s="14"/>
      <c r="O9" s="16"/>
      <c r="Q9" s="7"/>
      <c r="R9" s="16"/>
    </row>
    <row r="10" spans="2:18" ht="15" thickBot="1" x14ac:dyDescent="0.4">
      <c r="B10" s="7"/>
      <c r="C10" s="14"/>
      <c r="F10" s="7"/>
      <c r="G10" s="14"/>
      <c r="H10" s="19"/>
      <c r="I10" s="21"/>
      <c r="J10" s="8" t="s">
        <v>66</v>
      </c>
      <c r="K10" s="13">
        <f>SUM(K6:K9)-H18</f>
        <v>-7390</v>
      </c>
      <c r="M10" s="7"/>
      <c r="N10" s="14"/>
      <c r="O10" s="16"/>
      <c r="Q10" s="7"/>
      <c r="R10" s="16"/>
    </row>
    <row r="11" spans="2:18" x14ac:dyDescent="0.35">
      <c r="B11" s="7"/>
      <c r="C11" s="14"/>
      <c r="F11" s="7"/>
      <c r="G11" s="14"/>
      <c r="H11" s="19"/>
      <c r="I11" s="21"/>
      <c r="J11" s="2"/>
      <c r="K11" s="15"/>
      <c r="M11" s="7"/>
      <c r="N11" s="14"/>
      <c r="O11" s="16"/>
      <c r="Q11" s="7"/>
      <c r="R11" s="16"/>
    </row>
    <row r="12" spans="2:18" x14ac:dyDescent="0.35">
      <c r="B12" s="7"/>
      <c r="C12" s="14"/>
      <c r="F12" s="7"/>
      <c r="G12" s="14"/>
      <c r="H12" s="19"/>
      <c r="I12" s="21"/>
      <c r="J12" s="2"/>
      <c r="K12" s="15"/>
      <c r="M12" s="7"/>
      <c r="N12" s="14"/>
      <c r="O12" s="16"/>
      <c r="Q12" s="7"/>
      <c r="R12" s="16"/>
    </row>
    <row r="13" spans="2:18" ht="15" thickBot="1" x14ac:dyDescent="0.4">
      <c r="B13" s="7"/>
      <c r="C13" s="14"/>
      <c r="F13" s="7"/>
      <c r="G13" s="14"/>
      <c r="H13" s="19"/>
      <c r="I13" s="21"/>
      <c r="J13" s="2"/>
      <c r="K13" s="15"/>
      <c r="M13" s="7"/>
      <c r="N13" s="14"/>
      <c r="O13" s="16"/>
      <c r="Q13" s="7"/>
      <c r="R13" s="16"/>
    </row>
    <row r="14" spans="2:18" ht="15" thickBot="1" x14ac:dyDescent="0.4">
      <c r="B14" s="7"/>
      <c r="C14" s="14"/>
      <c r="F14" s="7"/>
      <c r="G14" s="14"/>
      <c r="H14" s="19"/>
      <c r="I14" s="21"/>
      <c r="J14" s="30" t="s">
        <v>117</v>
      </c>
      <c r="K14" s="31" t="s">
        <v>56</v>
      </c>
      <c r="M14" s="7"/>
      <c r="N14" s="14"/>
      <c r="O14" s="16"/>
      <c r="Q14" s="7"/>
      <c r="R14" s="16"/>
    </row>
    <row r="15" spans="2:18" x14ac:dyDescent="0.35">
      <c r="B15" s="7"/>
      <c r="C15" s="14"/>
      <c r="F15" s="7"/>
      <c r="G15" s="14"/>
      <c r="H15" s="19"/>
      <c r="I15" s="21"/>
      <c r="J15" s="7"/>
      <c r="K15" s="14"/>
      <c r="M15" s="7"/>
      <c r="N15" s="14"/>
      <c r="O15" s="16"/>
      <c r="Q15" s="7"/>
      <c r="R15" s="16"/>
    </row>
    <row r="16" spans="2:18" x14ac:dyDescent="0.35">
      <c r="B16" s="7"/>
      <c r="C16" s="14"/>
      <c r="F16" s="7"/>
      <c r="G16" s="14"/>
      <c r="H16" s="19"/>
      <c r="I16" s="21"/>
      <c r="J16" s="7"/>
      <c r="K16" s="14"/>
      <c r="M16" s="7"/>
      <c r="N16" s="14"/>
      <c r="O16" s="16"/>
      <c r="Q16" s="7"/>
      <c r="R16" s="16"/>
    </row>
    <row r="17" spans="2:18" ht="15" thickBot="1" x14ac:dyDescent="0.4">
      <c r="B17" s="10"/>
      <c r="C17" s="14"/>
      <c r="F17" s="7"/>
      <c r="G17" s="14"/>
      <c r="H17" s="19"/>
      <c r="I17" s="21"/>
      <c r="J17" s="41"/>
      <c r="K17" s="42"/>
      <c r="M17" s="7"/>
      <c r="N17" s="14"/>
      <c r="O17" s="16"/>
      <c r="Q17" s="7"/>
      <c r="R17" s="16"/>
    </row>
    <row r="18" spans="2:18" ht="15" thickBot="1" x14ac:dyDescent="0.4">
      <c r="B18" s="8" t="s">
        <v>81</v>
      </c>
      <c r="C18" s="43">
        <f>SUM(C5:C17)</f>
        <v>1330200</v>
      </c>
      <c r="F18" s="46" t="s">
        <v>81</v>
      </c>
      <c r="G18" s="62">
        <f>SUBTOTAL(9,G5:G17)</f>
        <v>0</v>
      </c>
      <c r="H18" s="48">
        <f>SUBTOTAL(9,H5:H17)</f>
        <v>0</v>
      </c>
      <c r="I18" s="21"/>
      <c r="J18" s="8"/>
      <c r="K18" s="43">
        <f>SUM(K15:K17)</f>
        <v>0</v>
      </c>
      <c r="M18" s="46" t="s">
        <v>81</v>
      </c>
      <c r="N18" s="62">
        <f>SUM(N5:N17)</f>
        <v>0</v>
      </c>
      <c r="O18" s="48">
        <f>SUM(O5:O17)</f>
        <v>0</v>
      </c>
      <c r="Q18" s="7"/>
      <c r="R18" s="16"/>
    </row>
    <row r="19" spans="2:18" x14ac:dyDescent="0.35">
      <c r="B19" s="2"/>
      <c r="C19" s="37"/>
      <c r="F19" s="2"/>
      <c r="G19" s="5"/>
      <c r="J19" s="2"/>
      <c r="K19" s="15"/>
      <c r="M19" s="21"/>
      <c r="Q19" s="7"/>
      <c r="R19" s="16"/>
    </row>
    <row r="20" spans="2:18" ht="15" thickBot="1" x14ac:dyDescent="0.4">
      <c r="B20" s="2"/>
      <c r="C20" s="37"/>
      <c r="F20" s="2"/>
      <c r="G20" s="5"/>
      <c r="J20" s="2"/>
      <c r="K20" s="15"/>
      <c r="M20" s="21"/>
      <c r="Q20" s="7"/>
      <c r="R20" s="16"/>
    </row>
    <row r="21" spans="2:18" ht="15" thickBot="1" x14ac:dyDescent="0.4">
      <c r="B21" s="30" t="s">
        <v>74</v>
      </c>
      <c r="C21" s="35" t="s">
        <v>56</v>
      </c>
      <c r="F21" s="30" t="s">
        <v>75</v>
      </c>
      <c r="G21" s="31" t="s">
        <v>56</v>
      </c>
      <c r="H21" s="31" t="s">
        <v>85</v>
      </c>
      <c r="J21" s="31" t="s">
        <v>84</v>
      </c>
      <c r="K21" s="15"/>
      <c r="M21" s="21"/>
      <c r="Q21" s="7"/>
      <c r="R21" s="16"/>
    </row>
    <row r="22" spans="2:18" x14ac:dyDescent="0.35">
      <c r="B22" s="7" t="s">
        <v>658</v>
      </c>
      <c r="C22" s="36">
        <v>1913770</v>
      </c>
      <c r="F22" s="7"/>
      <c r="G22" s="354"/>
      <c r="H22" s="11"/>
      <c r="J22" s="11"/>
      <c r="K22" s="15"/>
      <c r="M22" s="21"/>
      <c r="Q22" s="7"/>
      <c r="R22" s="16"/>
    </row>
    <row r="23" spans="2:18" ht="15" thickBot="1" x14ac:dyDescent="0.4">
      <c r="B23" s="7"/>
      <c r="C23" s="16"/>
      <c r="F23" s="7"/>
      <c r="G23" s="351"/>
      <c r="H23" s="11"/>
      <c r="J23" s="11"/>
      <c r="K23" s="15"/>
      <c r="Q23" s="10"/>
      <c r="R23" s="20"/>
    </row>
    <row r="24" spans="2:18" ht="15" thickBot="1" x14ac:dyDescent="0.4">
      <c r="B24" s="7"/>
      <c r="C24" s="16"/>
      <c r="E24" s="6"/>
      <c r="F24" s="7"/>
      <c r="G24" s="25"/>
      <c r="H24" s="11"/>
      <c r="J24" s="11"/>
      <c r="K24" s="15"/>
      <c r="L24" s="21"/>
      <c r="M24" s="21"/>
      <c r="Q24" s="299" t="s">
        <v>81</v>
      </c>
      <c r="R24" s="38">
        <f>SUM(R5:R23)</f>
        <v>0</v>
      </c>
    </row>
    <row r="25" spans="2:18" ht="15" thickBot="1" x14ac:dyDescent="0.4">
      <c r="B25" s="7"/>
      <c r="C25" s="16"/>
      <c r="D25" s="21"/>
      <c r="F25" s="7"/>
      <c r="G25" s="25"/>
      <c r="H25" s="11"/>
      <c r="J25" s="11"/>
      <c r="K25" s="15"/>
      <c r="L25" s="21"/>
      <c r="M25" s="21"/>
      <c r="Q25" s="50" t="s">
        <v>314</v>
      </c>
      <c r="R25" s="21"/>
    </row>
    <row r="26" spans="2:18" ht="15" thickBot="1" x14ac:dyDescent="0.4">
      <c r="B26" s="7"/>
      <c r="C26" s="16"/>
      <c r="D26" s="21"/>
      <c r="E26" s="6"/>
      <c r="F26" s="7"/>
      <c r="G26" s="25"/>
      <c r="H26" s="11"/>
      <c r="J26" s="11"/>
      <c r="K26" s="15"/>
      <c r="M26" s="21"/>
      <c r="Q26" s="30" t="s">
        <v>83</v>
      </c>
      <c r="R26" s="63" t="s">
        <v>85</v>
      </c>
    </row>
    <row r="27" spans="2:18" x14ac:dyDescent="0.35">
      <c r="B27" s="7"/>
      <c r="C27" s="16"/>
      <c r="D27" s="21"/>
      <c r="F27" s="7"/>
      <c r="G27" s="25"/>
      <c r="H27" s="11"/>
      <c r="J27" s="11"/>
      <c r="K27" s="15"/>
      <c r="M27" s="21"/>
      <c r="Q27" s="7"/>
      <c r="R27" s="11"/>
    </row>
    <row r="28" spans="2:18" ht="15" thickBot="1" x14ac:dyDescent="0.4">
      <c r="B28" s="7"/>
      <c r="C28" s="16"/>
      <c r="D28" s="21"/>
      <c r="F28" s="7"/>
      <c r="G28" s="25"/>
      <c r="H28" s="11"/>
      <c r="J28" s="11"/>
      <c r="K28" s="15"/>
      <c r="M28" s="21"/>
      <c r="Q28" s="7"/>
      <c r="R28" s="11"/>
    </row>
    <row r="29" spans="2:18" ht="15" thickBot="1" x14ac:dyDescent="0.4">
      <c r="B29" s="8" t="s">
        <v>81</v>
      </c>
      <c r="C29" s="33">
        <f>SUM(C22:C28)</f>
        <v>1913770</v>
      </c>
      <c r="D29" s="358"/>
      <c r="F29" s="8" t="s">
        <v>81</v>
      </c>
      <c r="G29" s="38">
        <f>SUBTOTAL(9,G22:G28)</f>
        <v>0</v>
      </c>
      <c r="H29" s="38">
        <v>0</v>
      </c>
      <c r="J29" s="39" t="s">
        <v>81</v>
      </c>
      <c r="K29" s="15"/>
      <c r="M29" s="21"/>
      <c r="Q29" s="7"/>
      <c r="R29" s="11"/>
    </row>
    <row r="30" spans="2:18" ht="15" thickBot="1" x14ac:dyDescent="0.4">
      <c r="Q30" s="7"/>
      <c r="R30" s="11"/>
    </row>
    <row r="31" spans="2:18" ht="15" thickBot="1" x14ac:dyDescent="0.4">
      <c r="B31" t="s">
        <v>307</v>
      </c>
      <c r="Q31" s="46" t="s">
        <v>81</v>
      </c>
      <c r="R31" s="33">
        <f>SUM(R27:R30)</f>
        <v>0</v>
      </c>
    </row>
    <row r="32" spans="2:18" ht="15" thickBot="1" x14ac:dyDescent="0.4">
      <c r="B32" s="30" t="s">
        <v>308</v>
      </c>
      <c r="C32" s="35" t="s">
        <v>56</v>
      </c>
      <c r="D32" s="35" t="s">
        <v>327</v>
      </c>
      <c r="F32" s="30" t="s">
        <v>309</v>
      </c>
      <c r="G32" s="31" t="s">
        <v>56</v>
      </c>
      <c r="H32" s="31" t="s">
        <v>311</v>
      </c>
      <c r="I32" s="31" t="s">
        <v>85</v>
      </c>
      <c r="J32" s="31" t="s">
        <v>310</v>
      </c>
      <c r="K32" s="31" t="s">
        <v>56</v>
      </c>
    </row>
    <row r="33" spans="2:11" x14ac:dyDescent="0.35">
      <c r="B33" s="7"/>
      <c r="C33" s="36"/>
      <c r="D33" s="36"/>
      <c r="F33" s="7"/>
      <c r="G33" s="66"/>
      <c r="H33" s="12"/>
      <c r="I33" s="12"/>
      <c r="J33" s="7"/>
      <c r="K33" s="12"/>
    </row>
    <row r="34" spans="2:11" x14ac:dyDescent="0.35">
      <c r="B34" s="7"/>
      <c r="C34" s="16"/>
      <c r="D34" s="16"/>
      <c r="F34" s="7"/>
      <c r="G34" s="350"/>
      <c r="H34" s="12"/>
      <c r="I34" s="12"/>
      <c r="J34" s="7"/>
      <c r="K34" s="12"/>
    </row>
    <row r="35" spans="2:11" x14ac:dyDescent="0.35">
      <c r="B35" s="7"/>
      <c r="C35" s="16"/>
      <c r="D35" s="16"/>
      <c r="E35" s="6"/>
      <c r="F35" s="7"/>
      <c r="G35" s="350"/>
      <c r="H35" s="12"/>
      <c r="I35" s="12"/>
      <c r="J35" s="11"/>
      <c r="K35" s="12"/>
    </row>
    <row r="36" spans="2:11" x14ac:dyDescent="0.35">
      <c r="B36" s="7"/>
      <c r="C36" s="16"/>
      <c r="D36" s="16"/>
      <c r="F36" s="7"/>
      <c r="G36" s="350"/>
      <c r="H36" s="12"/>
      <c r="I36" s="12"/>
      <c r="J36" s="11"/>
      <c r="K36" s="351"/>
    </row>
    <row r="37" spans="2:11" x14ac:dyDescent="0.35">
      <c r="B37" s="7"/>
      <c r="C37" s="16"/>
      <c r="D37" s="16"/>
      <c r="E37" s="6"/>
      <c r="F37" s="7"/>
      <c r="G37" s="351"/>
      <c r="H37" s="11"/>
      <c r="I37" s="11"/>
      <c r="J37" s="11"/>
      <c r="K37" s="351"/>
    </row>
    <row r="38" spans="2:11" x14ac:dyDescent="0.35">
      <c r="B38" s="7"/>
      <c r="C38" s="16"/>
      <c r="D38" s="16"/>
      <c r="E38" s="6"/>
      <c r="F38" s="7"/>
      <c r="G38" s="14"/>
      <c r="H38" s="11"/>
      <c r="I38" s="16"/>
      <c r="J38" s="11"/>
      <c r="K38" s="351"/>
    </row>
    <row r="39" spans="2:11" x14ac:dyDescent="0.35">
      <c r="B39" s="7"/>
      <c r="C39" s="16"/>
      <c r="D39" s="16"/>
      <c r="E39" s="6"/>
      <c r="F39" s="7"/>
      <c r="G39" s="25"/>
      <c r="H39" s="12"/>
      <c r="I39" s="11"/>
      <c r="J39" s="11"/>
      <c r="K39" s="351"/>
    </row>
    <row r="40" spans="2:11" x14ac:dyDescent="0.35">
      <c r="B40" s="7"/>
      <c r="C40" s="16"/>
      <c r="D40" s="16"/>
      <c r="F40" s="7"/>
      <c r="G40" s="25"/>
      <c r="H40" s="12"/>
      <c r="I40" s="11"/>
      <c r="J40" s="11"/>
      <c r="K40" s="25"/>
    </row>
    <row r="41" spans="2:11" ht="15" thickBot="1" x14ac:dyDescent="0.4">
      <c r="B41" s="7"/>
      <c r="C41" s="16"/>
      <c r="D41" s="16"/>
      <c r="F41" s="7"/>
      <c r="G41" s="25"/>
      <c r="H41" s="12"/>
      <c r="I41" s="11"/>
      <c r="J41" s="11"/>
      <c r="K41" s="25"/>
    </row>
    <row r="42" spans="2:11" ht="15" thickBot="1" x14ac:dyDescent="0.4">
      <c r="B42" s="8" t="s">
        <v>81</v>
      </c>
      <c r="C42" s="33">
        <f>SUM(C33:C41)</f>
        <v>0</v>
      </c>
      <c r="D42" s="33">
        <f>SUM(D33:D41)</f>
        <v>0</v>
      </c>
      <c r="F42" s="8" t="s">
        <v>81</v>
      </c>
      <c r="G42" s="38">
        <f>SUBTOTAL(9,G33:G41)</f>
        <v>0</v>
      </c>
      <c r="H42" s="38">
        <f>SUBTOTAL(9,H33:H41)</f>
        <v>0</v>
      </c>
      <c r="I42" s="38">
        <f>SUBTOTAL(9,I33:I41)</f>
        <v>0</v>
      </c>
      <c r="J42" s="39" t="s">
        <v>81</v>
      </c>
      <c r="K42" s="38">
        <f>SUBTOTAL(9,K33:K41)</f>
        <v>0</v>
      </c>
    </row>
    <row r="43" spans="2:11" x14ac:dyDescent="0.35">
      <c r="C43" s="344">
        <f>C42-D42</f>
        <v>0</v>
      </c>
      <c r="D43" s="344"/>
      <c r="F43" s="21"/>
      <c r="H43" s="21">
        <f>G42+H42</f>
        <v>0</v>
      </c>
    </row>
    <row r="44" spans="2:11" s="355" customFormat="1" x14ac:dyDescent="0.35">
      <c r="B44"/>
      <c r="C44" s="4"/>
      <c r="D44" s="4"/>
      <c r="E44"/>
      <c r="F44" s="21"/>
      <c r="G44" s="4"/>
      <c r="H44"/>
      <c r="I44"/>
      <c r="J44"/>
      <c r="K44"/>
    </row>
    <row r="45" spans="2:11" x14ac:dyDescent="0.35">
      <c r="C45" s="344"/>
      <c r="D45" s="344"/>
    </row>
    <row r="46" spans="2:11" ht="15" thickBot="1" x14ac:dyDescent="0.4">
      <c r="B46" s="356" t="s">
        <v>328</v>
      </c>
      <c r="C46" s="360">
        <f>C56-D56</f>
        <v>0</v>
      </c>
      <c r="D46" s="359"/>
      <c r="E46" s="355"/>
      <c r="F46" s="355"/>
      <c r="G46" s="360">
        <f>G56-H56</f>
        <v>0</v>
      </c>
      <c r="H46" s="355"/>
      <c r="I46" s="355"/>
      <c r="J46" s="355"/>
      <c r="K46" s="355"/>
    </row>
    <row r="47" spans="2:11" ht="15" thickBot="1" x14ac:dyDescent="0.4">
      <c r="B47" s="30" t="s">
        <v>308</v>
      </c>
      <c r="C47" s="35" t="s">
        <v>56</v>
      </c>
      <c r="D47" s="35" t="s">
        <v>327</v>
      </c>
      <c r="F47" s="30" t="s">
        <v>309</v>
      </c>
      <c r="G47" s="31" t="s">
        <v>56</v>
      </c>
      <c r="H47" s="31" t="s">
        <v>311</v>
      </c>
      <c r="I47" s="31" t="s">
        <v>85</v>
      </c>
      <c r="J47" s="31" t="s">
        <v>310</v>
      </c>
      <c r="K47" s="31" t="s">
        <v>56</v>
      </c>
    </row>
    <row r="48" spans="2:11" x14ac:dyDescent="0.35">
      <c r="B48" s="7"/>
      <c r="C48" s="36"/>
      <c r="D48" s="36"/>
      <c r="F48" s="7"/>
      <c r="G48" s="66"/>
      <c r="H48" s="12"/>
      <c r="I48" s="12"/>
      <c r="J48" s="7"/>
      <c r="K48" s="12"/>
    </row>
    <row r="49" spans="2:11" x14ac:dyDescent="0.35">
      <c r="B49" s="7"/>
      <c r="C49" s="36"/>
      <c r="D49" s="36"/>
      <c r="F49" s="7"/>
      <c r="G49" s="66"/>
      <c r="H49" s="12"/>
      <c r="I49" s="12"/>
      <c r="J49" s="7"/>
      <c r="K49" s="12"/>
    </row>
    <row r="50" spans="2:11" x14ac:dyDescent="0.35">
      <c r="B50" s="7"/>
      <c r="C50" s="16"/>
      <c r="D50" s="16"/>
      <c r="F50" s="7"/>
      <c r="G50" s="350"/>
      <c r="H50" s="12"/>
      <c r="I50" s="12"/>
      <c r="J50" s="7"/>
      <c r="K50" s="12"/>
    </row>
    <row r="51" spans="2:11" x14ac:dyDescent="0.35">
      <c r="B51" s="7"/>
      <c r="C51" s="16"/>
      <c r="D51" s="16"/>
      <c r="E51" s="6"/>
      <c r="F51" s="7"/>
      <c r="G51" s="350"/>
      <c r="H51" s="12"/>
      <c r="I51" s="12"/>
      <c r="J51" s="11"/>
      <c r="K51" s="12"/>
    </row>
    <row r="52" spans="2:11" x14ac:dyDescent="0.35">
      <c r="B52" s="7"/>
      <c r="C52" s="16"/>
      <c r="D52" s="16"/>
      <c r="F52" s="7"/>
      <c r="G52" s="350"/>
      <c r="H52" s="12"/>
      <c r="I52" s="12"/>
      <c r="J52" s="11"/>
      <c r="K52" s="351"/>
    </row>
    <row r="53" spans="2:11" x14ac:dyDescent="0.35">
      <c r="B53" s="7"/>
      <c r="C53" s="16"/>
      <c r="D53" s="16"/>
      <c r="E53" s="6"/>
      <c r="F53" s="7"/>
      <c r="G53" s="362"/>
      <c r="H53" s="11"/>
      <c r="I53" s="11"/>
      <c r="J53" s="11"/>
      <c r="K53" s="351"/>
    </row>
    <row r="54" spans="2:11" x14ac:dyDescent="0.35">
      <c r="B54" s="7"/>
      <c r="C54" s="16"/>
      <c r="D54" s="16"/>
      <c r="F54" s="7"/>
      <c r="G54" s="25"/>
      <c r="H54" s="11"/>
      <c r="I54" s="11"/>
      <c r="J54" s="11"/>
      <c r="K54" s="25"/>
    </row>
    <row r="55" spans="2:11" ht="15" thickBot="1" x14ac:dyDescent="0.4">
      <c r="B55" s="7"/>
      <c r="C55" s="16"/>
      <c r="D55" s="16"/>
      <c r="F55" s="7"/>
      <c r="G55" s="25"/>
      <c r="H55" s="11"/>
      <c r="I55" s="11"/>
      <c r="J55" s="11"/>
      <c r="K55" s="25"/>
    </row>
    <row r="56" spans="2:11" ht="15" thickBot="1" x14ac:dyDescent="0.4">
      <c r="B56" s="8" t="s">
        <v>81</v>
      </c>
      <c r="C56" s="33">
        <f>SUM(C48:C55)</f>
        <v>0</v>
      </c>
      <c r="D56" s="33">
        <f>SUM(D48:D55)</f>
        <v>0</v>
      </c>
      <c r="F56" s="8" t="s">
        <v>81</v>
      </c>
      <c r="G56" s="38">
        <f>SUBTOTAL(9,G48:G55)</f>
        <v>0</v>
      </c>
      <c r="H56" s="38">
        <f>SUBTOTAL(9,H48:H55)</f>
        <v>0</v>
      </c>
      <c r="I56" s="38">
        <f>SUBTOTAL(9,I48:I55)</f>
        <v>0</v>
      </c>
      <c r="J56" s="39" t="s">
        <v>81</v>
      </c>
      <c r="K56" s="38">
        <f>SUBTOTAL(9,K48:K55)</f>
        <v>0</v>
      </c>
    </row>
    <row r="57" spans="2:11" s="3" customFormat="1" x14ac:dyDescent="0.35">
      <c r="C57" s="361"/>
      <c r="D57" s="361"/>
      <c r="G57" s="361"/>
    </row>
    <row r="58" spans="2:11" s="3" customFormat="1" x14ac:dyDescent="0.35">
      <c r="C58" s="361"/>
      <c r="D58" s="361"/>
      <c r="G58" s="361"/>
    </row>
    <row r="59" spans="2:11" x14ac:dyDescent="0.35">
      <c r="C59" s="361"/>
      <c r="G59" s="361"/>
    </row>
    <row r="696" spans="28:28" x14ac:dyDescent="0.35">
      <c r="AB696">
        <v>-568957</v>
      </c>
    </row>
    <row r="701" spans="28:28" x14ac:dyDescent="0.35">
      <c r="AB701">
        <f>-AB697+AB698-AB699</f>
        <v>0</v>
      </c>
    </row>
  </sheetData>
  <conditionalFormatting sqref="F5:F16 B5:B13">
    <cfRule type="duplicateValues" dxfId="62" priority="17812"/>
  </conditionalFormatting>
  <conditionalFormatting sqref="F5:F16">
    <cfRule type="duplicateValues" dxfId="61" priority="17814"/>
  </conditionalFormatting>
  <conditionalFormatting sqref="F5:F17 B5:B17">
    <cfRule type="duplicateValues" dxfId="60" priority="17815"/>
  </conditionalFormatting>
  <conditionalFormatting sqref="F17">
    <cfRule type="duplicateValues" dxfId="59" priority="45"/>
  </conditionalFormatting>
  <conditionalFormatting sqref="F22">
    <cfRule type="duplicateValues" dxfId="58" priority="37"/>
    <cfRule type="duplicateValues" dxfId="57" priority="36"/>
    <cfRule type="duplicateValues" dxfId="56" priority="35"/>
    <cfRule type="duplicateValues" dxfId="55" priority="34"/>
  </conditionalFormatting>
  <conditionalFormatting sqref="F33">
    <cfRule type="duplicateValues" dxfId="54" priority="27"/>
    <cfRule type="duplicateValues" dxfId="53" priority="28"/>
    <cfRule type="duplicateValues" dxfId="52" priority="25"/>
    <cfRule type="duplicateValues" dxfId="51" priority="26"/>
  </conditionalFormatting>
  <conditionalFormatting sqref="F41">
    <cfRule type="duplicateValues" dxfId="50" priority="1"/>
    <cfRule type="duplicateValues" dxfId="49" priority="2"/>
    <cfRule type="duplicateValues" dxfId="48" priority="3"/>
    <cfRule type="duplicateValues" dxfId="47" priority="4"/>
  </conditionalFormatting>
  <conditionalFormatting sqref="F48:F49">
    <cfRule type="duplicateValues" dxfId="46" priority="10"/>
    <cfRule type="duplicateValues" dxfId="45" priority="11"/>
    <cfRule type="duplicateValues" dxfId="44" priority="12"/>
    <cfRule type="duplicateValues" dxfId="43" priority="13"/>
  </conditionalFormatting>
  <conditionalFormatting sqref="G22">
    <cfRule type="duplicateValues" dxfId="42" priority="47"/>
    <cfRule type="duplicateValues" dxfId="41" priority="46"/>
    <cfRule type="duplicateValues" dxfId="40" priority="50"/>
    <cfRule type="duplicateValues" dxfId="39" priority="48"/>
    <cfRule type="duplicateValues" dxfId="38" priority="49"/>
  </conditionalFormatting>
  <conditionalFormatting sqref="G33">
    <cfRule type="duplicateValues" dxfId="37" priority="29"/>
    <cfRule type="duplicateValues" dxfId="36" priority="30"/>
    <cfRule type="duplicateValues" dxfId="35" priority="33"/>
    <cfRule type="duplicateValues" dxfId="34" priority="32"/>
    <cfRule type="duplicateValues" dxfId="33" priority="31"/>
  </conditionalFormatting>
  <conditionalFormatting sqref="G48:G49">
    <cfRule type="duplicateValues" dxfId="32" priority="14"/>
    <cfRule type="duplicateValues" dxfId="31" priority="16"/>
    <cfRule type="duplicateValues" dxfId="30" priority="17"/>
    <cfRule type="duplicateValues" dxfId="29" priority="18"/>
    <cfRule type="duplicateValues" dxfId="28" priority="15"/>
  </conditionalFormatting>
  <conditionalFormatting sqref="J15:J16">
    <cfRule type="duplicateValues" dxfId="27" priority="17819"/>
    <cfRule type="duplicateValues" dxfId="26" priority="17820"/>
    <cfRule type="duplicateValues" dxfId="25" priority="17821"/>
    <cfRule type="duplicateValues" dxfId="24" priority="17822"/>
    <cfRule type="duplicateValues" dxfId="23" priority="17823"/>
  </conditionalFormatting>
  <conditionalFormatting sqref="K33:K35">
    <cfRule type="duplicateValues" dxfId="22" priority="23"/>
    <cfRule type="duplicateValues" dxfId="21" priority="22"/>
    <cfRule type="duplicateValues" dxfId="20" priority="21"/>
    <cfRule type="duplicateValues" dxfId="19" priority="20"/>
    <cfRule type="duplicateValues" dxfId="18" priority="24"/>
  </conditionalFormatting>
  <conditionalFormatting sqref="K48:K51">
    <cfRule type="duplicateValues" dxfId="17" priority="9"/>
    <cfRule type="duplicateValues" dxfId="16" priority="7"/>
    <cfRule type="duplicateValues" dxfId="15" priority="6"/>
    <cfRule type="duplicateValues" dxfId="14" priority="5"/>
    <cfRule type="duplicateValues" dxfId="13" priority="8"/>
  </conditionalFormatting>
  <conditionalFormatting sqref="M5">
    <cfRule type="duplicateValues" dxfId="12" priority="58"/>
    <cfRule type="duplicateValues" dxfId="11" priority="59"/>
    <cfRule type="duplicateValues" dxfId="10" priority="60"/>
  </conditionalFormatting>
  <conditionalFormatting sqref="M5:M13">
    <cfRule type="duplicateValues" dxfId="9" priority="61"/>
  </conditionalFormatting>
  <conditionalFormatting sqref="M5:M17 F5:F17 B5:B17">
    <cfRule type="duplicateValues" dxfId="8" priority="17824"/>
  </conditionalFormatting>
  <conditionalFormatting sqref="M5:M17">
    <cfRule type="duplicateValues" dxfId="7" priority="17830"/>
  </conditionalFormatting>
  <conditionalFormatting sqref="M14">
    <cfRule type="duplicateValues" dxfId="6" priority="43"/>
    <cfRule type="duplicateValues" dxfId="5" priority="44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H9"/>
  <sheetViews>
    <sheetView showGridLines="0" zoomScale="86" zoomScaleNormal="80" workbookViewId="0">
      <selection activeCell="D11" sqref="D11"/>
    </sheetView>
  </sheetViews>
  <sheetFormatPr defaultColWidth="8.90625" defaultRowHeight="14.5" x14ac:dyDescent="0.35"/>
  <cols>
    <col min="1" max="1" width="2.6328125" style="3" customWidth="1"/>
    <col min="2" max="2" width="57.08984375" style="3" bestFit="1" customWidth="1"/>
    <col min="3" max="3" width="19.1796875" style="3" bestFit="1" customWidth="1"/>
    <col min="4" max="4" width="18.1796875" style="3" bestFit="1" customWidth="1"/>
    <col min="5" max="5" width="21" style="3" bestFit="1" customWidth="1"/>
    <col min="6" max="6" width="31.36328125" style="3" customWidth="1"/>
    <col min="7" max="7" width="8.90625" style="3"/>
    <col min="8" max="8" width="31.36328125" style="3" customWidth="1"/>
    <col min="9" max="16384" width="8.90625" style="3"/>
  </cols>
  <sheetData>
    <row r="1" spans="1:8" x14ac:dyDescent="0.35">
      <c r="D1" s="3">
        <f>D2-Summary!Q7</f>
        <v>0</v>
      </c>
    </row>
    <row r="2" spans="1:8" ht="16" thickBot="1" x14ac:dyDescent="0.4">
      <c r="A2" s="80"/>
      <c r="B2" s="80"/>
      <c r="C2" s="80"/>
      <c r="D2" s="322">
        <f>SUBTOTAL(9,D4:D25)</f>
        <v>11824275</v>
      </c>
      <c r="E2" s="68">
        <f>COUNTA(_xlfn.ANCHORARRAY(E4))</f>
        <v>1</v>
      </c>
    </row>
    <row r="3" spans="1:8" s="80" customFormat="1" ht="16.25" customHeight="1" thickBot="1" x14ac:dyDescent="0.4">
      <c r="A3" s="3"/>
      <c r="B3" s="79" t="s">
        <v>30</v>
      </c>
      <c r="C3" s="73" t="s">
        <v>21</v>
      </c>
      <c r="D3" s="295" t="s">
        <v>2</v>
      </c>
      <c r="E3" s="77" t="s">
        <v>171</v>
      </c>
    </row>
    <row r="4" spans="1:8" s="80" customFormat="1" ht="15.5" x14ac:dyDescent="0.35">
      <c r="A4" s="3"/>
      <c r="B4" s="66" t="str">
        <f>_xlfn.XLOOKUP(C4,Details!$G$5:$G$78,Details!$F$5:$F$78)</f>
        <v>BLACK GOLD RECYCLING PRIVATE LIMITED</v>
      </c>
      <c r="C4" s="12" t="str" cm="1">
        <f t="array" ref="C4">_xlfn.UNIQUE(_xlfn._TRO_TRAILING(Details!G5:G78))</f>
        <v>27AAMCB5608A1ZX</v>
      </c>
      <c r="D4" s="12">
        <f>SUMIFS(Details!$AM$5:$AM$78,Details!$G$5:$G$78,'Supplier Metrics'!C4)-SUMIFS(Details!$AB$5:$AB$78,Details!$G$5:$G$78,'Supplier Metrics'!C4)</f>
        <v>11824275</v>
      </c>
      <c r="E4" s="18" t="str" cm="1">
        <f t="array" ref="E4">_xlfn.UNIQUE(MID(_xlfn._TRO_TRAILING(Details!G5:G78),3,10))</f>
        <v>AAMCB5608A</v>
      </c>
    </row>
    <row r="5" spans="1:8" ht="15.5" x14ac:dyDescent="0.35">
      <c r="F5" s="80"/>
      <c r="H5" s="80"/>
    </row>
    <row r="6" spans="1:8" ht="15.5" x14ac:dyDescent="0.35">
      <c r="F6" s="80"/>
      <c r="H6" s="80"/>
    </row>
    <row r="7" spans="1:8" x14ac:dyDescent="0.35">
      <c r="F7" s="67"/>
      <c r="H7" s="67"/>
    </row>
    <row r="8" spans="1:8" x14ac:dyDescent="0.35">
      <c r="F8" s="67"/>
      <c r="H8" s="67"/>
    </row>
    <row r="9" spans="1:8" x14ac:dyDescent="0.35">
      <c r="F9" s="67"/>
      <c r="H9" s="67"/>
    </row>
  </sheetData>
  <conditionalFormatting sqref="B1:B1048576">
    <cfRule type="duplicateValues" dxfId="4" priority="19838"/>
  </conditionalFormatting>
  <conditionalFormatting sqref="C4">
    <cfRule type="duplicateValues" dxfId="3" priority="24237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B2:AM8"/>
  <sheetViews>
    <sheetView showGridLines="0" showRowColHeaders="0" topLeftCell="C1" zoomScale="75" zoomScaleNormal="94" workbookViewId="0">
      <selection activeCell="F6" sqref="F6"/>
    </sheetView>
  </sheetViews>
  <sheetFormatPr defaultColWidth="8.90625" defaultRowHeight="14.5" x14ac:dyDescent="0.35"/>
  <cols>
    <col min="1" max="1" width="8.90625" style="3"/>
    <col min="2" max="2" width="15.453125" style="3" bestFit="1" customWidth="1"/>
    <col min="3" max="3" width="19.81640625" style="3" bestFit="1" customWidth="1"/>
    <col min="4" max="4" width="50" style="3" bestFit="1" customWidth="1"/>
    <col min="5" max="5" width="11.90625" style="67" bestFit="1" customWidth="1"/>
    <col min="6" max="6" width="14.6328125" style="3" bestFit="1" customWidth="1"/>
    <col min="7" max="7" width="12.36328125" style="3" bestFit="1" customWidth="1"/>
    <col min="8" max="8" width="10" style="74" bestFit="1" customWidth="1"/>
    <col min="9" max="9" width="12.54296875" style="3" bestFit="1" customWidth="1"/>
    <col min="10" max="10" width="13.54296875" style="74" bestFit="1" customWidth="1"/>
    <col min="11" max="11" width="17.1796875" style="3" bestFit="1" customWidth="1"/>
    <col min="12" max="12" width="14.6328125" style="3" bestFit="1" customWidth="1"/>
    <col min="13" max="13" width="12.81640625" style="3" bestFit="1" customWidth="1"/>
    <col min="14" max="14" width="13" style="3" bestFit="1" customWidth="1"/>
    <col min="15" max="15" width="12.6328125" style="3" bestFit="1" customWidth="1"/>
    <col min="16" max="16" width="8.90625" style="3"/>
    <col min="17" max="17" width="15.453125" style="3" bestFit="1" customWidth="1"/>
    <col min="18" max="18" width="50" style="3" bestFit="1" customWidth="1"/>
    <col min="19" max="19" width="11.90625" style="3" bestFit="1" customWidth="1"/>
    <col min="20" max="22" width="13" style="3" bestFit="1" customWidth="1"/>
    <col min="23" max="23" width="11.90625" style="3" bestFit="1" customWidth="1"/>
    <col min="24" max="27" width="13" style="3" bestFit="1" customWidth="1"/>
    <col min="28" max="28" width="13" style="3" customWidth="1"/>
    <col min="29" max="29" width="11.90625" style="3" customWidth="1"/>
    <col min="30" max="39" width="10.36328125" style="3" bestFit="1" customWidth="1"/>
    <col min="40" max="46" width="8.90625" style="3"/>
    <col min="47" max="47" width="10.1796875" style="3" bestFit="1" customWidth="1"/>
    <col min="48" max="16384" width="8.90625" style="3"/>
  </cols>
  <sheetData>
    <row r="2" spans="2:39" s="65" customFormat="1" x14ac:dyDescent="0.35">
      <c r="E2" s="82"/>
      <c r="F2" s="3">
        <f>F3-Summary!P6-Details!BO87</f>
        <v>-1836623.629999999</v>
      </c>
      <c r="G2" s="65">
        <f>G3-Summary!P12-Summary!P79-Details!BP87</f>
        <v>2811691.2858536593</v>
      </c>
      <c r="H2" s="65">
        <f>H3-Summary!P13</f>
        <v>0.21271156100150285</v>
      </c>
      <c r="I2" s="65">
        <f>I3-Details!BZ79</f>
        <v>0</v>
      </c>
      <c r="J2" s="76"/>
      <c r="K2" s="65">
        <f>K3-Summary!P19</f>
        <v>0</v>
      </c>
      <c r="N2" s="3"/>
      <c r="S2" s="348" t="s">
        <v>149</v>
      </c>
      <c r="AD2" s="348" t="s">
        <v>85</v>
      </c>
    </row>
    <row r="3" spans="2:39" s="68" customFormat="1" ht="15" thickBot="1" x14ac:dyDescent="0.4">
      <c r="B3" s="68">
        <f>COUNTA(_xlfn.ANCHORARRAY(B5))</f>
        <v>3</v>
      </c>
      <c r="C3" s="68">
        <f>COUNTA(_xlfn.ANCHORARRAY(C5))</f>
        <v>3</v>
      </c>
      <c r="E3" s="84">
        <f>SUM(E$5:E5)</f>
        <v>223845</v>
      </c>
      <c r="F3" s="68">
        <f>SUM(F$5:F83)</f>
        <v>13098507.435000001</v>
      </c>
      <c r="G3" s="68">
        <f>SUM(G$5:G83)</f>
        <v>2604432.4350000001</v>
      </c>
      <c r="H3" s="69">
        <f>G3/F3</f>
        <v>0.19883429069489245</v>
      </c>
      <c r="I3" s="68">
        <f>SUM(I$5:I83)</f>
        <v>-46411.94</v>
      </c>
      <c r="J3" s="69">
        <f>I3/F3</f>
        <v>-3.5432998935424126E-3</v>
      </c>
      <c r="K3" s="68">
        <f>SUM(K$5:K83)</f>
        <v>25</v>
      </c>
      <c r="L3" s="68">
        <f>SUBTOTAL(1,L5:L83)</f>
        <v>525898.92521739134</v>
      </c>
      <c r="M3" s="300">
        <f>F3/E3</f>
        <v>58.515970582322595</v>
      </c>
      <c r="N3" s="68">
        <f>SUM(N$5:N83)</f>
        <v>0</v>
      </c>
      <c r="S3" s="68">
        <f t="shared" ref="S3:AB3" si="0">SUBTOTAL(9,S5:S5)</f>
        <v>0</v>
      </c>
      <c r="T3" s="68">
        <f t="shared" si="0"/>
        <v>0</v>
      </c>
      <c r="U3" s="68">
        <f t="shared" si="0"/>
        <v>0</v>
      </c>
      <c r="V3" s="68">
        <f t="shared" si="0"/>
        <v>0</v>
      </c>
      <c r="W3" s="68">
        <f t="shared" si="0"/>
        <v>0</v>
      </c>
      <c r="X3" s="68">
        <f t="shared" si="0"/>
        <v>0</v>
      </c>
      <c r="Y3" s="68">
        <f t="shared" si="0"/>
        <v>0</v>
      </c>
      <c r="Z3" s="68">
        <f t="shared" si="0"/>
        <v>0</v>
      </c>
      <c r="AA3" s="68">
        <f t="shared" si="0"/>
        <v>0</v>
      </c>
      <c r="AB3" s="68">
        <f t="shared" si="0"/>
        <v>0</v>
      </c>
      <c r="AD3" s="68">
        <f t="shared" ref="AD3:AM3" si="1">SUBTOTAL(9,AD5:AD5)</f>
        <v>0</v>
      </c>
      <c r="AE3" s="68">
        <f t="shared" si="1"/>
        <v>0</v>
      </c>
      <c r="AF3" s="68">
        <f t="shared" si="1"/>
        <v>0</v>
      </c>
      <c r="AG3" s="68">
        <f t="shared" si="1"/>
        <v>0</v>
      </c>
      <c r="AH3" s="68">
        <f t="shared" si="1"/>
        <v>0</v>
      </c>
      <c r="AI3" s="68">
        <f t="shared" si="1"/>
        <v>0</v>
      </c>
      <c r="AJ3" s="68">
        <f t="shared" si="1"/>
        <v>0</v>
      </c>
      <c r="AK3" s="68">
        <f t="shared" si="1"/>
        <v>0</v>
      </c>
      <c r="AL3" s="68">
        <f t="shared" si="1"/>
        <v>0</v>
      </c>
      <c r="AM3" s="68">
        <f t="shared" si="1"/>
        <v>0</v>
      </c>
    </row>
    <row r="4" spans="2:39" ht="15" thickBot="1" x14ac:dyDescent="0.4">
      <c r="B4" s="72" t="s">
        <v>170</v>
      </c>
      <c r="C4" s="72" t="s">
        <v>177</v>
      </c>
      <c r="D4" s="72" t="s">
        <v>78</v>
      </c>
      <c r="E4" s="81" t="s">
        <v>85</v>
      </c>
      <c r="F4" s="75" t="s">
        <v>149</v>
      </c>
      <c r="G4" s="75" t="s">
        <v>59</v>
      </c>
      <c r="H4" s="75" t="s">
        <v>150</v>
      </c>
      <c r="I4" s="75" t="s">
        <v>151</v>
      </c>
      <c r="J4" s="75" t="s">
        <v>152</v>
      </c>
      <c r="K4" s="75" t="s">
        <v>153</v>
      </c>
      <c r="L4" s="73" t="s">
        <v>154</v>
      </c>
      <c r="M4" s="77" t="s">
        <v>156</v>
      </c>
      <c r="N4" s="77" t="s">
        <v>291</v>
      </c>
      <c r="Q4" s="295" t="s">
        <v>170</v>
      </c>
      <c r="R4" s="77" t="s">
        <v>320</v>
      </c>
      <c r="S4" s="77" t="s">
        <v>321</v>
      </c>
      <c r="T4" s="77" t="s">
        <v>322</v>
      </c>
      <c r="U4" s="77" t="s">
        <v>323</v>
      </c>
      <c r="V4" s="77" t="s">
        <v>324</v>
      </c>
      <c r="W4" s="77" t="s">
        <v>325</v>
      </c>
      <c r="X4" s="357" t="s">
        <v>329</v>
      </c>
      <c r="Y4" s="357" t="s">
        <v>330</v>
      </c>
      <c r="Z4" s="357" t="s">
        <v>331</v>
      </c>
      <c r="AA4" s="357" t="s">
        <v>332</v>
      </c>
      <c r="AB4" s="357" t="s">
        <v>334</v>
      </c>
      <c r="AC4" s="68"/>
      <c r="AD4" s="295" t="s">
        <v>321</v>
      </c>
      <c r="AE4" s="77" t="s">
        <v>322</v>
      </c>
      <c r="AF4" s="77" t="s">
        <v>323</v>
      </c>
      <c r="AG4" s="77" t="s">
        <v>324</v>
      </c>
      <c r="AH4" s="77" t="s">
        <v>325</v>
      </c>
      <c r="AI4" s="357" t="s">
        <v>329</v>
      </c>
      <c r="AJ4" s="357" t="s">
        <v>330</v>
      </c>
      <c r="AK4" s="357" t="s">
        <v>331</v>
      </c>
      <c r="AL4" s="357" t="s">
        <v>332</v>
      </c>
      <c r="AM4" s="357" t="s">
        <v>334</v>
      </c>
    </row>
    <row r="5" spans="2:39" x14ac:dyDescent="0.35">
      <c r="B5" s="66" t="str" cm="1">
        <f t="array" ref="B5:B7">_xlfn.UNIQUE(MID(_xlfn._TRO_TRAILING(Details!AR5:AR78),3,10))</f>
        <v>AAACD5406E</v>
      </c>
      <c r="C5" s="66" t="str" cm="1">
        <f t="array" ref="C5:C7">_xlfn.UNIQUE(_xlfn._TRO_TRAILING(Details!AR5:AR78))</f>
        <v>27AAACD5406E1Z3</v>
      </c>
      <c r="D5" s="67" t="str">
        <f>(_xlfn.XLOOKUP(C5,Details!$AR$5:$AR$78,Details!$AQ$5:$AQ$78))</f>
        <v>DALMIA POLYPRO INDUSTRIES PRIVATE LIMITED (27)</v>
      </c>
      <c r="E5" s="67">
        <f>SUMIFS(Details!BB:BB,Details!AR:AR,'Buyer Metrics'!$C5)</f>
        <v>223845</v>
      </c>
      <c r="F5" s="67">
        <f>SUMIFS(Details!BO:BO,Details!AR:AR,'Buyer Metrics'!$C5)</f>
        <v>12042046.185000001</v>
      </c>
      <c r="G5" s="67">
        <f>SUMIFS(Details!BP:BP,Details!AR:AR,'Buyer Metrics'!$C5)</f>
        <v>2372861.1850000001</v>
      </c>
      <c r="H5" s="70">
        <f>G5/F5</f>
        <v>0.19704800567495914</v>
      </c>
      <c r="I5" s="67">
        <f>SUMIFS(Details!BZ:BZ,Details!AR:AR,'Buyer Metrics'!C5)</f>
        <v>-46411.94</v>
      </c>
      <c r="J5" s="71">
        <f>-(I5/F5)</f>
        <v>3.8541572824901103E-3</v>
      </c>
      <c r="K5" s="67" cm="1">
        <f t="array" ref="K5">COUNTA(_xlfn.UNIQUE(_xlfn._xlws.FILTER(Details!AO5:AO78,Details!AR5:AR78='Buyer Metrics'!$C5)))</f>
        <v>23</v>
      </c>
      <c r="L5" s="12">
        <f>F5/K5</f>
        <v>523567.22543478262</v>
      </c>
      <c r="M5" s="78">
        <f>F5/E5</f>
        <v>53.796359914226365</v>
      </c>
      <c r="N5" s="18">
        <f>IFERROR(_xlfn.XLOOKUP(C5,receivables!#REF!,receivables!#REF!),0)</f>
        <v>0</v>
      </c>
      <c r="Q5" s="66" t="str" cm="1">
        <f t="array" ref="Q5:Q8">_xlfn.UNIQUE(Details!CW5:CW78)</f>
        <v>AAACD5406E</v>
      </c>
      <c r="R5" s="67" t="str">
        <f>_xlfn.XLOOKUP(Q5,Details!CW:CW,Details!AQ:AQ)</f>
        <v>DALMIA POLYPRO INDUSTRIES PRIVATE LIMITED (27)</v>
      </c>
      <c r="S5" s="67">
        <f>SUMIFS(Details!$BO:$BO,Details!$CW:$CW,'Buyer Metrics'!$Q5,Details!$C:$C,'Buyer Metrics'!S$4)</f>
        <v>0</v>
      </c>
      <c r="T5" s="67">
        <f>SUMIFS(Details!$BO:$BO,Details!$CW:$CW,'Buyer Metrics'!$Q5,Details!$C:$C,'Buyer Metrics'!T$4)</f>
        <v>0</v>
      </c>
      <c r="U5" s="67">
        <f>SUMIFS(Details!$BO:$BO,Details!$CW:$CW,'Buyer Metrics'!$Q5,Details!$C:$C,'Buyer Metrics'!U$4)</f>
        <v>0</v>
      </c>
      <c r="V5" s="67">
        <f>SUMIFS(Details!$BO:$BO,Details!$CW:$CW,'Buyer Metrics'!$Q5,Details!$C:$C,'Buyer Metrics'!V$4)</f>
        <v>0</v>
      </c>
      <c r="W5" s="67">
        <f>SUMIFS(Details!$BO:$BO,Details!$CW:$CW,'Buyer Metrics'!$Q5,Details!$C:$C,'Buyer Metrics'!W$4)</f>
        <v>0</v>
      </c>
      <c r="X5" s="67">
        <f>SUMIFS(Details!$BO:$BO,Details!$CW:$CW,'Buyer Metrics'!$Q5,Details!$C:$C,'Buyer Metrics'!X$4)</f>
        <v>0</v>
      </c>
      <c r="Y5" s="67">
        <f>SUMIFS(Details!$BO:$BO,Details!$CW:$CW,'Buyer Metrics'!$Q5,Details!$C:$C,'Buyer Metrics'!Y$4)</f>
        <v>0</v>
      </c>
      <c r="Z5" s="67">
        <f>SUMIFS(Details!$BO:$BO,Details!$CW:$CW,'Buyer Metrics'!$Q5,Details!$C:$C,'Buyer Metrics'!Z$4)</f>
        <v>0</v>
      </c>
      <c r="AA5" s="67">
        <f>SUMIFS(Details!$BO:$BO,Details!$CW:$CW,'Buyer Metrics'!$Q5,Details!$C:$C,'Buyer Metrics'!AA$4)</f>
        <v>0</v>
      </c>
      <c r="AB5" s="67">
        <f>SUMIFS(Details!$BO:$BO,Details!$CW:$CW,'Buyer Metrics'!$Q5,Details!$C:$C,'Buyer Metrics'!AB$4)</f>
        <v>0</v>
      </c>
      <c r="AC5" s="67"/>
      <c r="AD5" s="66">
        <f>SUMIFS(Details!$BB:$BB,Details!$CW:$CW,'Buyer Metrics'!$Q5,Details!$C:$C,'Buyer Metrics'!AD$4)</f>
        <v>0</v>
      </c>
      <c r="AE5" s="67">
        <f>SUMIFS(Details!$BB:$BB,Details!$CW:$CW,'Buyer Metrics'!$Q5,Details!$C:$C,'Buyer Metrics'!AE$4)</f>
        <v>0</v>
      </c>
      <c r="AF5" s="67">
        <f>SUMIFS(Details!$BB:$BB,Details!$CW:$CW,'Buyer Metrics'!$Q5,Details!$C:$C,'Buyer Metrics'!AF$4)</f>
        <v>0</v>
      </c>
      <c r="AG5" s="67">
        <f>SUMIFS(Details!$BB:$BB,Details!$CW:$CW,'Buyer Metrics'!$Q5,Details!$C:$C,'Buyer Metrics'!AG$4)</f>
        <v>0</v>
      </c>
      <c r="AH5" s="67">
        <f>SUMIFS(Details!$BB:$BB,Details!$CW:$CW,'Buyer Metrics'!$Q5,Details!$C:$C,'Buyer Metrics'!AH$4)</f>
        <v>0</v>
      </c>
      <c r="AI5" s="67">
        <f>SUMIFS(Details!$BB:$BB,Details!$CW:$CW,'Buyer Metrics'!$Q5,Details!$C:$C,'Buyer Metrics'!AI$4)</f>
        <v>0</v>
      </c>
      <c r="AJ5" s="67">
        <f>SUMIFS(Details!$BB:$BB,Details!$CW:$CW,'Buyer Metrics'!$Q5,Details!$C:$C,'Buyer Metrics'!AJ$4)</f>
        <v>0</v>
      </c>
      <c r="AK5" s="67">
        <f>SUMIFS(Details!$BB:$BB,Details!$CW:$CW,'Buyer Metrics'!$Q5,Details!$C:$C,'Buyer Metrics'!AK$4)</f>
        <v>0</v>
      </c>
      <c r="AL5" s="67">
        <f>SUMIFS(Details!$BB:$BB,Details!$CW:$CW,'Buyer Metrics'!$Q5,Details!$C:$C,'Buyer Metrics'!AL$4)</f>
        <v>0</v>
      </c>
      <c r="AM5" s="67">
        <f>SUMIFS(Details!$BB:$BB,Details!$CW:$CW,'Buyer Metrics'!$Q5,Details!$C:$C,'Buyer Metrics'!AM$4)</f>
        <v>0</v>
      </c>
    </row>
    <row r="6" spans="2:39" x14ac:dyDescent="0.35">
      <c r="B6" s="3" t="str">
        <v>AAICN2675D</v>
      </c>
      <c r="C6" s="3" t="str">
        <v>26AAICN2675D1ZG</v>
      </c>
      <c r="D6" s="67" t="str">
        <f>(_xlfn.XLOOKUP(C6,Details!$AR$5:$AR$78,Details!$AQ$5:$AQ$78))</f>
        <v>NATIONAL FIBRES PRIVATE LIMITED</v>
      </c>
      <c r="E6" s="67">
        <f>SUMIFS(Details!BB:BB,Details!AR:AR,'Buyer Metrics'!$C6)</f>
        <v>19115</v>
      </c>
      <c r="F6" s="67">
        <f>SUMIFS(Details!BO:BO,Details!AR:AR,'Buyer Metrics'!$C6)</f>
        <v>1056461.25</v>
      </c>
      <c r="G6" s="67">
        <f>SUMIFS(Details!BP:BP,Details!AR:AR,'Buyer Metrics'!$C6)</f>
        <v>231571.24999999997</v>
      </c>
      <c r="H6" s="70">
        <f>G6/F6</f>
        <v>0.21919521421159552</v>
      </c>
      <c r="I6" s="67">
        <f>SUMIFS(Details!BZ:BZ,Details!AR:AR,'Buyer Metrics'!C6)</f>
        <v>0</v>
      </c>
      <c r="J6" s="71">
        <f>-(I6/F6)</f>
        <v>0</v>
      </c>
      <c r="K6" s="67" cm="1">
        <f t="array" ref="K6">COUNTA(_xlfn.UNIQUE(_xlfn._xlws.FILTER(Details!AO6:AO79,Details!AR6:AR79='Buyer Metrics'!$C6)))</f>
        <v>2</v>
      </c>
      <c r="L6" s="12">
        <f>F6/K6</f>
        <v>528230.625</v>
      </c>
      <c r="M6" s="78">
        <f>F6/E6</f>
        <v>55.268702589589324</v>
      </c>
      <c r="N6" s="18">
        <f>IFERROR(_xlfn.XLOOKUP(C6,receivables!#REF!,receivables!#REF!),0)</f>
        <v>0</v>
      </c>
      <c r="Q6" s="3" t="str">
        <v>AAICN2675D</v>
      </c>
    </row>
    <row r="7" spans="2:39" x14ac:dyDescent="0.35">
      <c r="B7" s="3" t="str">
        <v>AAGCV9303A</v>
      </c>
      <c r="C7" s="3" t="str">
        <v>36AAGCV9303A1ZK</v>
      </c>
      <c r="Q7" s="3" t="str">
        <v>AAGCV9303A</v>
      </c>
    </row>
    <row r="8" spans="2:39" x14ac:dyDescent="0.35">
      <c r="Q8" s="3"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42"/>
  <sheetViews>
    <sheetView showGridLines="0" showRowColHeaders="0" topLeftCell="A2" workbookViewId="0">
      <selection activeCell="H25" sqref="H25"/>
    </sheetView>
  </sheetViews>
  <sheetFormatPr defaultRowHeight="14.5" x14ac:dyDescent="0.35"/>
  <cols>
    <col min="2" max="2" width="40.36328125" bestFit="1" customWidth="1"/>
    <col min="3" max="4" width="10.453125" bestFit="1" customWidth="1"/>
  </cols>
  <sheetData>
    <row r="1" spans="2:4" ht="15" thickBot="1" x14ac:dyDescent="0.4"/>
    <row r="2" spans="2:4" ht="15" thickBot="1" x14ac:dyDescent="0.4">
      <c r="B2" s="121" t="s">
        <v>38</v>
      </c>
      <c r="C2" s="121" t="s">
        <v>276</v>
      </c>
      <c r="D2" s="121" t="s">
        <v>275</v>
      </c>
    </row>
    <row r="3" spans="2:4" x14ac:dyDescent="0.35">
      <c r="B3" t="str" cm="1">
        <f t="array" ref="B3:B7">_xlfn.UNIQUE(_xlfn._TRO_TRAILING(Details!N5:N78))</f>
        <v>PET Bottle Scrap Baled - Clear</v>
      </c>
      <c r="C3" t="s">
        <v>355</v>
      </c>
    </row>
    <row r="4" spans="2:4" x14ac:dyDescent="0.35">
      <c r="B4" t="str">
        <v>PET Bottle Scrap Baled - Green</v>
      </c>
    </row>
    <row r="5" spans="2:4" x14ac:dyDescent="0.35">
      <c r="B5" t="str">
        <v>PET Liquor Bottle Scrap Baled</v>
      </c>
    </row>
    <row r="6" spans="2:4" x14ac:dyDescent="0.35">
      <c r="B6" t="str">
        <v>Used Beverage Cans scrap (UBC)</v>
      </c>
    </row>
    <row r="7" spans="2:4" x14ac:dyDescent="0.35">
      <c r="B7" t="str">
        <v>Aluminum Scrap</v>
      </c>
    </row>
    <row r="41" spans="3:3" x14ac:dyDescent="0.35">
      <c r="C41" t="s">
        <v>299</v>
      </c>
    </row>
    <row r="42" spans="3:3" x14ac:dyDescent="0.35">
      <c r="C42" t="s">
        <v>299</v>
      </c>
    </row>
  </sheetData>
  <autoFilter ref="B2:D63" xr:uid="{00000000-0001-0000-05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E786"/>
  <sheetViews>
    <sheetView showGridLines="0" topLeftCell="I1" workbookViewId="0">
      <selection activeCell="I14" sqref="I14"/>
    </sheetView>
  </sheetViews>
  <sheetFormatPr defaultRowHeight="14.5" x14ac:dyDescent="0.35"/>
  <cols>
    <col min="2" max="2" width="17.81640625" bestFit="1" customWidth="1"/>
    <col min="3" max="3" width="48.36328125" bestFit="1" customWidth="1"/>
    <col min="4" max="4" width="19.6328125" bestFit="1" customWidth="1"/>
    <col min="5" max="5" width="13" style="3" bestFit="1" customWidth="1"/>
    <col min="8" max="8" width="19.6328125" bestFit="1" customWidth="1"/>
    <col min="9" max="9" width="48.36328125" bestFit="1" customWidth="1"/>
    <col min="11" max="11" width="10.08984375" bestFit="1" customWidth="1"/>
    <col min="12" max="12" width="12.1796875" bestFit="1" customWidth="1"/>
    <col min="13" max="13" width="10.1796875" bestFit="1" customWidth="1"/>
    <col min="14" max="14" width="8.1796875" bestFit="1" customWidth="1"/>
    <col min="15" max="15" width="13.36328125" bestFit="1" customWidth="1"/>
    <col min="16" max="16" width="22.81640625" bestFit="1" customWidth="1"/>
    <col min="17" max="17" width="50.08984375" bestFit="1" customWidth="1"/>
    <col min="18" max="19" width="12.36328125" bestFit="1" customWidth="1"/>
    <col min="20" max="20" width="18.1796875" bestFit="1" customWidth="1"/>
    <col min="21" max="21" width="10.36328125" bestFit="1" customWidth="1"/>
    <col min="22" max="22" width="31.1796875" bestFit="1" customWidth="1"/>
    <col min="23" max="24" width="24.08984375" bestFit="1" customWidth="1"/>
    <col min="25" max="25" width="49.1796875" bestFit="1" customWidth="1"/>
    <col min="26" max="26" width="51" bestFit="1" customWidth="1"/>
    <col min="27" max="27" width="31.1796875" bestFit="1" customWidth="1"/>
    <col min="28" max="28" width="12.36328125" customWidth="1"/>
    <col min="29" max="29" width="12.1796875" style="325" customWidth="1"/>
    <col min="30" max="30" width="30.36328125" bestFit="1" customWidth="1"/>
    <col min="31" max="31" width="15" style="3" bestFit="1" customWidth="1"/>
  </cols>
  <sheetData>
    <row r="1" spans="2:31" s="355" customFormat="1" ht="15" thickBot="1" x14ac:dyDescent="0.4">
      <c r="D1" s="229">
        <f>Details!P91</f>
        <v>46194</v>
      </c>
      <c r="E1" s="68" t="e">
        <f>SUBTOTAL(9,E3:E136)</f>
        <v>#N/A</v>
      </c>
      <c r="K1" s="325"/>
      <c r="L1" s="325"/>
      <c r="M1" s="325"/>
      <c r="N1" s="325"/>
      <c r="O1" s="325"/>
      <c r="P1" s="325"/>
      <c r="Q1" s="325"/>
      <c r="R1" s="325">
        <f>SUBTOTAL(9,R3:R1000)</f>
        <v>13788511.140000001</v>
      </c>
      <c r="S1" s="325">
        <f>SUBTOTAL(9,S3:S1000)</f>
        <v>24188963.340000004</v>
      </c>
      <c r="T1" s="325"/>
      <c r="U1" s="325"/>
      <c r="V1" s="325"/>
      <c r="W1" s="325">
        <f>SUBTOTAL(9,W3:W1000)</f>
        <v>5319.09</v>
      </c>
      <c r="X1" s="325"/>
      <c r="Y1" s="325"/>
      <c r="Z1" s="347"/>
      <c r="AA1" s="347">
        <f>SUM(AA3:AA14)</f>
        <v>5319.09</v>
      </c>
      <c r="AB1" s="325">
        <f>R1-AA1</f>
        <v>13783192.050000001</v>
      </c>
      <c r="AC1" s="325"/>
      <c r="AD1" s="355" t="s">
        <v>274</v>
      </c>
      <c r="AE1" s="68" t="e">
        <f>R1-#REF!-SUM(AE3:AE16)-AE18</f>
        <v>#REF!</v>
      </c>
    </row>
    <row r="2" spans="2:31" ht="15" thickBot="1" x14ac:dyDescent="0.4">
      <c r="B2" s="83" t="s">
        <v>177</v>
      </c>
      <c r="C2" s="83" t="s">
        <v>51</v>
      </c>
      <c r="D2" s="85" t="s">
        <v>174</v>
      </c>
      <c r="E2" s="228" t="s">
        <v>192</v>
      </c>
      <c r="H2" s="290" t="s">
        <v>174</v>
      </c>
      <c r="I2" s="291" t="s">
        <v>51</v>
      </c>
      <c r="K2" s="364" t="s">
        <v>335</v>
      </c>
      <c r="L2" s="364" t="s">
        <v>336</v>
      </c>
      <c r="M2" s="364" t="s">
        <v>337</v>
      </c>
      <c r="N2" s="364" t="s">
        <v>338</v>
      </c>
      <c r="O2" s="364" t="s">
        <v>339</v>
      </c>
      <c r="P2" s="364" t="s">
        <v>340</v>
      </c>
      <c r="Q2" s="364" t="s">
        <v>253</v>
      </c>
      <c r="R2" s="364" t="s">
        <v>341</v>
      </c>
      <c r="S2" s="364" t="s">
        <v>342</v>
      </c>
      <c r="T2" s="364" t="s">
        <v>348</v>
      </c>
      <c r="U2" s="364" t="s">
        <v>254</v>
      </c>
      <c r="V2" s="364" t="s">
        <v>349</v>
      </c>
      <c r="W2" s="364" t="s">
        <v>502</v>
      </c>
      <c r="X2" s="375" t="s">
        <v>350</v>
      </c>
      <c r="Y2" s="363" t="s">
        <v>60</v>
      </c>
      <c r="Z2" s="364" t="s">
        <v>253</v>
      </c>
      <c r="AA2" s="364" t="s">
        <v>502</v>
      </c>
      <c r="AB2" s="363"/>
      <c r="AD2" s="297" t="s">
        <v>78</v>
      </c>
      <c r="AE2" s="298" t="s">
        <v>273</v>
      </c>
    </row>
    <row r="3" spans="2:31" x14ac:dyDescent="0.35">
      <c r="B3" t="str" cm="1">
        <f t="array" ref="B3:B5">_xlfn.UNIQUE(_xlfn._TRO_TRAILING(Details!AR5:AR78))</f>
        <v>27AAACD5406E1Z3</v>
      </c>
      <c r="C3" t="str">
        <f>_xlfn.XLOOKUP(B3,Details!AR:AR,Details!AQ:AQ)</f>
        <v>DALMIA POLYPRO INDUSTRIES PRIVATE LIMITED (27)</v>
      </c>
      <c r="D3" t="s">
        <v>207</v>
      </c>
      <c r="E3" s="3" t="e">
        <f>_xlfn.XLOOKUP(C3,I:I,H:H)</f>
        <v>#N/A</v>
      </c>
      <c r="H3" t="s">
        <v>207</v>
      </c>
      <c r="I3" t="s">
        <v>208</v>
      </c>
      <c r="K3" s="366">
        <v>45881</v>
      </c>
      <c r="L3" s="365" t="s">
        <v>343</v>
      </c>
      <c r="M3" s="365" t="s">
        <v>344</v>
      </c>
      <c r="N3" s="365" t="s">
        <v>639</v>
      </c>
      <c r="O3" s="365" t="s">
        <v>419</v>
      </c>
      <c r="P3" s="365" t="s">
        <v>420</v>
      </c>
      <c r="Q3" s="365" t="s">
        <v>421</v>
      </c>
      <c r="R3" s="365">
        <v>10355.76</v>
      </c>
      <c r="S3" s="365">
        <v>541459.52</v>
      </c>
      <c r="T3" s="365" t="s">
        <v>351</v>
      </c>
      <c r="U3" s="365" t="s">
        <v>422</v>
      </c>
      <c r="V3" s="365">
        <v>643265</v>
      </c>
      <c r="W3" s="365">
        <v>0</v>
      </c>
      <c r="X3" s="365" t="s">
        <v>256</v>
      </c>
      <c r="Y3" s="347" t="s">
        <v>418</v>
      </c>
      <c r="Z3" s="347" t="str" cm="1">
        <f t="array" ref="Z3:Z10">_xlfn.UNIQUE(Q3:Q1048576)</f>
        <v>DALMIA POLYPRO INDUSTRIES PRIVATE LIMITED(24)</v>
      </c>
      <c r="AA3" s="347">
        <f>_xlfn.XLOOKUP(Z3,Q:Q,W:W)</f>
        <v>0</v>
      </c>
      <c r="AB3" s="347"/>
      <c r="AD3" s="66" t="s">
        <v>267</v>
      </c>
      <c r="AE3" s="12">
        <f t="shared" ref="AE3:AE16" si="0">SUMIFS(R:R,Q:Q,AD3)</f>
        <v>0</v>
      </c>
    </row>
    <row r="4" spans="2:31" x14ac:dyDescent="0.35">
      <c r="B4" t="str">
        <v>26AAICN2675D1ZG</v>
      </c>
      <c r="H4" t="s">
        <v>207</v>
      </c>
      <c r="I4" t="s">
        <v>209</v>
      </c>
      <c r="K4" s="366">
        <v>45925</v>
      </c>
      <c r="L4" s="365" t="s">
        <v>343</v>
      </c>
      <c r="M4" s="365" t="s">
        <v>344</v>
      </c>
      <c r="N4" s="365" t="s">
        <v>640</v>
      </c>
      <c r="O4" s="365" t="s">
        <v>423</v>
      </c>
      <c r="P4" s="365" t="s">
        <v>424</v>
      </c>
      <c r="Q4" s="365" t="s">
        <v>421</v>
      </c>
      <c r="R4" s="365">
        <v>21068.94</v>
      </c>
      <c r="S4" s="365">
        <v>577766.93999999994</v>
      </c>
      <c r="T4" s="365" t="s">
        <v>351</v>
      </c>
      <c r="U4" s="365" t="s">
        <v>422</v>
      </c>
      <c r="V4" s="365">
        <v>643265</v>
      </c>
      <c r="W4" s="365">
        <v>0</v>
      </c>
      <c r="X4" s="365" t="s">
        <v>256</v>
      </c>
      <c r="Y4" s="347" t="s">
        <v>418</v>
      </c>
      <c r="Z4" s="347" t="str">
        <v>EVER BLOOMING RECYCLING SOLUTIONS PRIVATE LIMITED</v>
      </c>
      <c r="AA4" s="347">
        <f t="shared" ref="AA4:AA9" si="1">_xlfn.XLOOKUP(Z4,Q:Q,W:W)</f>
        <v>0</v>
      </c>
      <c r="AB4" s="347"/>
      <c r="AD4" s="66" t="s">
        <v>258</v>
      </c>
      <c r="AE4" s="12">
        <f t="shared" si="0"/>
        <v>0</v>
      </c>
    </row>
    <row r="5" spans="2:31" x14ac:dyDescent="0.35">
      <c r="B5" t="str">
        <v>36AAGCV9303A1ZK</v>
      </c>
      <c r="H5" t="s">
        <v>207</v>
      </c>
      <c r="I5" t="s">
        <v>210</v>
      </c>
      <c r="K5" s="366">
        <v>45966</v>
      </c>
      <c r="L5" s="365" t="s">
        <v>343</v>
      </c>
      <c r="M5" s="365" t="s">
        <v>344</v>
      </c>
      <c r="N5" s="365" t="s">
        <v>641</v>
      </c>
      <c r="O5" s="365" t="s">
        <v>425</v>
      </c>
      <c r="P5" s="365" t="s">
        <v>426</v>
      </c>
      <c r="Q5" s="365" t="s">
        <v>427</v>
      </c>
      <c r="R5" s="365">
        <v>32971.24</v>
      </c>
      <c r="S5" s="365">
        <v>82971.240000000005</v>
      </c>
      <c r="T5" s="365" t="s">
        <v>428</v>
      </c>
      <c r="U5" s="365" t="s">
        <v>429</v>
      </c>
      <c r="V5" s="365">
        <v>500000</v>
      </c>
      <c r="W5" s="365">
        <v>0</v>
      </c>
      <c r="X5" s="365" t="s">
        <v>256</v>
      </c>
      <c r="Y5" s="347" t="s">
        <v>418</v>
      </c>
      <c r="Z5" s="347" t="str">
        <v>HINDALCO INDUSTRIES LIMITED</v>
      </c>
      <c r="AA5" s="347">
        <f t="shared" si="1"/>
        <v>0</v>
      </c>
      <c r="AB5" s="347"/>
      <c r="AD5" s="66" t="s">
        <v>268</v>
      </c>
      <c r="AE5" s="12">
        <f t="shared" si="0"/>
        <v>0</v>
      </c>
    </row>
    <row r="6" spans="2:31" x14ac:dyDescent="0.35">
      <c r="H6" t="s">
        <v>211</v>
      </c>
      <c r="I6" t="s">
        <v>212</v>
      </c>
      <c r="K6" s="366">
        <v>45997</v>
      </c>
      <c r="L6" s="365" t="s">
        <v>343</v>
      </c>
      <c r="M6" s="365" t="s">
        <v>344</v>
      </c>
      <c r="N6" s="365" t="s">
        <v>642</v>
      </c>
      <c r="O6" s="365" t="s">
        <v>430</v>
      </c>
      <c r="P6" s="365" t="s">
        <v>431</v>
      </c>
      <c r="Q6" s="365" t="s">
        <v>427</v>
      </c>
      <c r="R6" s="365">
        <v>53353.06</v>
      </c>
      <c r="S6" s="365">
        <v>53353.06</v>
      </c>
      <c r="T6" s="365" t="s">
        <v>428</v>
      </c>
      <c r="U6" s="365" t="s">
        <v>429</v>
      </c>
      <c r="V6" s="365">
        <v>500000</v>
      </c>
      <c r="W6" s="365">
        <v>0</v>
      </c>
      <c r="X6" s="365" t="s">
        <v>256</v>
      </c>
      <c r="Y6" s="347" t="s">
        <v>418</v>
      </c>
      <c r="Z6" s="347" t="str">
        <v>DALMIA POLYPRO INDUSTRIES PRIVATE LIMITED (27)</v>
      </c>
      <c r="AA6" s="347">
        <f t="shared" si="1"/>
        <v>0</v>
      </c>
      <c r="AB6" s="347"/>
      <c r="AD6" s="66" t="s">
        <v>257</v>
      </c>
      <c r="AE6" s="12">
        <f t="shared" si="0"/>
        <v>0</v>
      </c>
    </row>
    <row r="7" spans="2:31" x14ac:dyDescent="0.35">
      <c r="H7" t="s">
        <v>207</v>
      </c>
      <c r="I7" t="s">
        <v>201</v>
      </c>
      <c r="K7" s="366">
        <v>45999</v>
      </c>
      <c r="L7" s="365" t="s">
        <v>343</v>
      </c>
      <c r="M7" s="365" t="s">
        <v>344</v>
      </c>
      <c r="N7" s="365" t="s">
        <v>643</v>
      </c>
      <c r="O7" s="365" t="s">
        <v>432</v>
      </c>
      <c r="P7" s="365" t="s">
        <v>433</v>
      </c>
      <c r="Q7" s="365" t="s">
        <v>427</v>
      </c>
      <c r="R7" s="365">
        <v>17484.78</v>
      </c>
      <c r="S7" s="365">
        <v>17484.78</v>
      </c>
      <c r="T7" s="365" t="s">
        <v>428</v>
      </c>
      <c r="U7" s="365" t="s">
        <v>429</v>
      </c>
      <c r="V7" s="365">
        <v>500000</v>
      </c>
      <c r="W7" s="365">
        <v>0</v>
      </c>
      <c r="X7" s="365" t="s">
        <v>256</v>
      </c>
      <c r="Y7" s="347" t="s">
        <v>418</v>
      </c>
      <c r="Z7" s="347" t="str">
        <v>Sunway Paper Products</v>
      </c>
      <c r="AA7" s="347">
        <f t="shared" si="1"/>
        <v>0</v>
      </c>
      <c r="AB7" s="347"/>
      <c r="AD7" s="66" t="s">
        <v>263</v>
      </c>
      <c r="AE7" s="12">
        <f t="shared" si="0"/>
        <v>0</v>
      </c>
    </row>
    <row r="8" spans="2:31" x14ac:dyDescent="0.35">
      <c r="H8" t="s">
        <v>213</v>
      </c>
      <c r="I8" t="s">
        <v>214</v>
      </c>
      <c r="K8" s="366">
        <v>46018</v>
      </c>
      <c r="L8" s="365" t="s">
        <v>343</v>
      </c>
      <c r="M8" s="365" t="s">
        <v>344</v>
      </c>
      <c r="N8" s="365" t="s">
        <v>644</v>
      </c>
      <c r="O8" s="365" t="s">
        <v>345</v>
      </c>
      <c r="P8" s="365" t="s">
        <v>437</v>
      </c>
      <c r="Q8" s="365" t="s">
        <v>434</v>
      </c>
      <c r="R8" s="365">
        <v>4515.29</v>
      </c>
      <c r="S8" s="365">
        <v>1634913.6</v>
      </c>
      <c r="T8" s="365" t="s">
        <v>353</v>
      </c>
      <c r="U8" s="365" t="s">
        <v>435</v>
      </c>
      <c r="V8" s="365">
        <v>10000000</v>
      </c>
      <c r="W8" s="365">
        <v>0</v>
      </c>
      <c r="X8" s="365" t="s">
        <v>436</v>
      </c>
      <c r="Y8" s="347" t="s">
        <v>418</v>
      </c>
      <c r="Z8" s="347" t="str">
        <v>NATIONAL FIBRES PRIVATE LIMITED</v>
      </c>
      <c r="AA8" s="347">
        <f t="shared" si="1"/>
        <v>0</v>
      </c>
      <c r="AB8" s="347"/>
      <c r="AD8" s="66" t="s">
        <v>236</v>
      </c>
      <c r="AE8" s="12">
        <f t="shared" si="0"/>
        <v>0</v>
      </c>
    </row>
    <row r="9" spans="2:31" x14ac:dyDescent="0.35">
      <c r="H9" t="s">
        <v>215</v>
      </c>
      <c r="I9" t="s">
        <v>216</v>
      </c>
      <c r="K9" s="366">
        <v>46043</v>
      </c>
      <c r="L9" s="365" t="s">
        <v>343</v>
      </c>
      <c r="M9" s="365" t="s">
        <v>344</v>
      </c>
      <c r="N9" s="365" t="s">
        <v>645</v>
      </c>
      <c r="O9" s="365" t="s">
        <v>438</v>
      </c>
      <c r="P9" s="365" t="s">
        <v>439</v>
      </c>
      <c r="Q9" s="365" t="s">
        <v>434</v>
      </c>
      <c r="R9" s="365">
        <v>5968.64</v>
      </c>
      <c r="S9" s="365">
        <v>1579149.75</v>
      </c>
      <c r="T9" s="365" t="s">
        <v>353</v>
      </c>
      <c r="U9" s="365" t="s">
        <v>435</v>
      </c>
      <c r="V9" s="365">
        <v>10000000</v>
      </c>
      <c r="W9" s="365">
        <v>0</v>
      </c>
      <c r="X9" s="365" t="s">
        <v>436</v>
      </c>
      <c r="Y9" s="347" t="s">
        <v>418</v>
      </c>
      <c r="Z9" s="347" t="str">
        <v>VINAYAK METAL AND ALLOYS PRIVATE LIMITED</v>
      </c>
      <c r="AA9" s="347">
        <f t="shared" si="1"/>
        <v>5319.09</v>
      </c>
      <c r="AB9" s="347"/>
      <c r="AD9" s="66" t="s">
        <v>264</v>
      </c>
      <c r="AE9" s="12">
        <f t="shared" si="0"/>
        <v>0</v>
      </c>
    </row>
    <row r="10" spans="2:31" x14ac:dyDescent="0.35">
      <c r="H10" t="s">
        <v>207</v>
      </c>
      <c r="I10" t="s">
        <v>217</v>
      </c>
      <c r="K10" s="366">
        <v>46047</v>
      </c>
      <c r="L10" s="365" t="s">
        <v>343</v>
      </c>
      <c r="M10" s="365" t="s">
        <v>344</v>
      </c>
      <c r="N10" s="365" t="s">
        <v>646</v>
      </c>
      <c r="O10" s="365" t="s">
        <v>346</v>
      </c>
      <c r="P10" s="365" t="s">
        <v>440</v>
      </c>
      <c r="Q10" s="365" t="s">
        <v>434</v>
      </c>
      <c r="R10" s="365">
        <v>14451.18</v>
      </c>
      <c r="S10" s="365">
        <v>1555546.8</v>
      </c>
      <c r="T10" s="365" t="s">
        <v>353</v>
      </c>
      <c r="U10" s="365" t="s">
        <v>435</v>
      </c>
      <c r="V10" s="365">
        <v>10000000</v>
      </c>
      <c r="W10" s="365">
        <v>0</v>
      </c>
      <c r="X10" s="365" t="s">
        <v>436</v>
      </c>
      <c r="Y10" s="347" t="s">
        <v>418</v>
      </c>
      <c r="Z10" s="347">
        <v>0</v>
      </c>
      <c r="AA10" s="347"/>
      <c r="AB10" s="347"/>
      <c r="AD10" s="66" t="s">
        <v>265</v>
      </c>
      <c r="AE10" s="12">
        <f t="shared" si="0"/>
        <v>0</v>
      </c>
    </row>
    <row r="11" spans="2:31" x14ac:dyDescent="0.35">
      <c r="H11" t="s">
        <v>211</v>
      </c>
      <c r="I11" t="s">
        <v>218</v>
      </c>
      <c r="K11" s="366">
        <v>46050</v>
      </c>
      <c r="L11" s="365" t="s">
        <v>343</v>
      </c>
      <c r="M11" s="365" t="s">
        <v>344</v>
      </c>
      <c r="N11" s="365" t="s">
        <v>647</v>
      </c>
      <c r="O11" s="365" t="s">
        <v>347</v>
      </c>
      <c r="P11" s="365" t="s">
        <v>441</v>
      </c>
      <c r="Q11" s="365" t="s">
        <v>391</v>
      </c>
      <c r="R11" s="365">
        <v>7982.68</v>
      </c>
      <c r="S11" s="365">
        <v>356832</v>
      </c>
      <c r="T11" s="365" t="s">
        <v>352</v>
      </c>
      <c r="U11" s="365" t="s">
        <v>392</v>
      </c>
      <c r="V11" s="365">
        <v>16056735</v>
      </c>
      <c r="W11" s="365">
        <v>0</v>
      </c>
      <c r="X11" s="365" t="s">
        <v>256</v>
      </c>
      <c r="Y11" s="347" t="s">
        <v>418</v>
      </c>
      <c r="Z11" s="347"/>
      <c r="AA11" s="347"/>
      <c r="AB11" s="347"/>
      <c r="AD11" s="66" t="s">
        <v>261</v>
      </c>
      <c r="AE11" s="12">
        <f t="shared" si="0"/>
        <v>0</v>
      </c>
    </row>
    <row r="12" spans="2:31" x14ac:dyDescent="0.35">
      <c r="H12" t="s">
        <v>215</v>
      </c>
      <c r="I12" t="s">
        <v>219</v>
      </c>
      <c r="K12" s="366">
        <v>46065</v>
      </c>
      <c r="L12" s="365" t="s">
        <v>343</v>
      </c>
      <c r="M12" s="365" t="s">
        <v>344</v>
      </c>
      <c r="N12" s="365" t="s">
        <v>648</v>
      </c>
      <c r="O12" s="365" t="s">
        <v>354</v>
      </c>
      <c r="P12" s="365" t="s">
        <v>442</v>
      </c>
      <c r="Q12" s="365" t="s">
        <v>443</v>
      </c>
      <c r="R12" s="365">
        <v>175175.46</v>
      </c>
      <c r="S12" s="365">
        <v>1094262.8</v>
      </c>
      <c r="T12" s="365" t="s">
        <v>352</v>
      </c>
      <c r="U12" s="365" t="s">
        <v>444</v>
      </c>
      <c r="V12" s="365">
        <v>5000000</v>
      </c>
      <c r="W12" s="365">
        <v>0</v>
      </c>
      <c r="X12" s="365" t="s">
        <v>436</v>
      </c>
      <c r="Y12" s="347" t="s">
        <v>418</v>
      </c>
      <c r="Z12" s="347"/>
      <c r="AA12" s="347"/>
      <c r="AB12" s="347"/>
      <c r="AD12" s="66" t="s">
        <v>255</v>
      </c>
      <c r="AE12" s="12">
        <f t="shared" si="0"/>
        <v>0</v>
      </c>
    </row>
    <row r="13" spans="2:31" x14ac:dyDescent="0.35">
      <c r="H13" t="s">
        <v>213</v>
      </c>
      <c r="I13" t="s">
        <v>220</v>
      </c>
      <c r="K13" s="366">
        <v>46099</v>
      </c>
      <c r="L13" s="365" t="s">
        <v>343</v>
      </c>
      <c r="M13" s="365" t="s">
        <v>344</v>
      </c>
      <c r="N13" s="365" t="s">
        <v>649</v>
      </c>
      <c r="O13" s="365" t="s">
        <v>445</v>
      </c>
      <c r="P13" s="365" t="s">
        <v>446</v>
      </c>
      <c r="Q13" s="365" t="s">
        <v>391</v>
      </c>
      <c r="R13" s="365">
        <v>15817.57</v>
      </c>
      <c r="S13" s="365">
        <v>512217.35</v>
      </c>
      <c r="T13" s="365" t="s">
        <v>352</v>
      </c>
      <c r="U13" s="365" t="s">
        <v>392</v>
      </c>
      <c r="V13" s="365">
        <v>16056735</v>
      </c>
      <c r="W13" s="365">
        <v>0</v>
      </c>
      <c r="X13" s="365" t="s">
        <v>256</v>
      </c>
      <c r="Y13" s="347" t="s">
        <v>418</v>
      </c>
      <c r="Z13" s="347"/>
      <c r="AA13" s="347"/>
      <c r="AB13" s="347"/>
      <c r="AD13" s="66" t="s">
        <v>266</v>
      </c>
      <c r="AE13" s="12">
        <f t="shared" si="0"/>
        <v>0</v>
      </c>
    </row>
    <row r="14" spans="2:31" x14ac:dyDescent="0.35">
      <c r="H14" t="s">
        <v>211</v>
      </c>
      <c r="I14" t="s">
        <v>221</v>
      </c>
      <c r="K14" s="366">
        <v>46118</v>
      </c>
      <c r="L14" s="365" t="s">
        <v>343</v>
      </c>
      <c r="M14" s="365" t="s">
        <v>344</v>
      </c>
      <c r="N14" s="365" t="s">
        <v>650</v>
      </c>
      <c r="O14" s="365" t="s">
        <v>521</v>
      </c>
      <c r="P14" s="365" t="s">
        <v>389</v>
      </c>
      <c r="Q14" s="365" t="s">
        <v>391</v>
      </c>
      <c r="R14" s="365">
        <v>19414.439999999999</v>
      </c>
      <c r="S14" s="365">
        <v>532533</v>
      </c>
      <c r="T14" s="365" t="s">
        <v>352</v>
      </c>
      <c r="U14" s="365" t="s">
        <v>392</v>
      </c>
      <c r="V14" s="365">
        <v>16056735</v>
      </c>
      <c r="W14" s="365">
        <v>0</v>
      </c>
      <c r="X14" s="365" t="s">
        <v>256</v>
      </c>
      <c r="Y14" s="347" t="s">
        <v>418</v>
      </c>
      <c r="Z14" s="347"/>
      <c r="AA14" s="347"/>
      <c r="AB14" s="347"/>
      <c r="AD14" s="66" t="s">
        <v>260</v>
      </c>
      <c r="AE14" s="12">
        <f t="shared" si="0"/>
        <v>0</v>
      </c>
    </row>
    <row r="15" spans="2:31" x14ac:dyDescent="0.35">
      <c r="H15" t="s">
        <v>215</v>
      </c>
      <c r="I15" t="s">
        <v>222</v>
      </c>
      <c r="K15" s="366">
        <v>46134</v>
      </c>
      <c r="L15" s="365" t="s">
        <v>343</v>
      </c>
      <c r="M15" s="365" t="s">
        <v>344</v>
      </c>
      <c r="N15" s="365" t="s">
        <v>593</v>
      </c>
      <c r="O15" s="365" t="s">
        <v>523</v>
      </c>
      <c r="P15" s="365" t="s">
        <v>493</v>
      </c>
      <c r="Q15" s="365" t="s">
        <v>391</v>
      </c>
      <c r="R15" s="365">
        <v>604179.36</v>
      </c>
      <c r="S15" s="365">
        <v>610050.9</v>
      </c>
      <c r="T15" s="365" t="s">
        <v>352</v>
      </c>
      <c r="U15" s="365" t="s">
        <v>392</v>
      </c>
      <c r="V15" s="365">
        <v>16056735</v>
      </c>
      <c r="W15" s="365">
        <v>0</v>
      </c>
      <c r="X15" s="365" t="s">
        <v>256</v>
      </c>
      <c r="Y15" s="347" t="s">
        <v>418</v>
      </c>
      <c r="Z15" s="347"/>
      <c r="AA15" s="347"/>
      <c r="AB15" s="347"/>
      <c r="AD15" s="66" t="s">
        <v>259</v>
      </c>
      <c r="AE15" s="12">
        <f t="shared" si="0"/>
        <v>0</v>
      </c>
    </row>
    <row r="16" spans="2:31" ht="15" thickBot="1" x14ac:dyDescent="0.4">
      <c r="H16" t="s">
        <v>211</v>
      </c>
      <c r="I16" t="s">
        <v>223</v>
      </c>
      <c r="K16" s="366">
        <v>46137</v>
      </c>
      <c r="L16" s="365" t="s">
        <v>343</v>
      </c>
      <c r="M16" s="365" t="s">
        <v>344</v>
      </c>
      <c r="N16" s="365" t="s">
        <v>594</v>
      </c>
      <c r="O16" s="365" t="s">
        <v>524</v>
      </c>
      <c r="P16" s="365" t="s">
        <v>495</v>
      </c>
      <c r="Q16" s="365" t="s">
        <v>391</v>
      </c>
      <c r="R16" s="365">
        <v>595384.88</v>
      </c>
      <c r="S16" s="365">
        <v>604382.1</v>
      </c>
      <c r="T16" s="365" t="s">
        <v>352</v>
      </c>
      <c r="U16" s="365" t="s">
        <v>392</v>
      </c>
      <c r="V16" s="365">
        <v>16056735</v>
      </c>
      <c r="W16" s="365">
        <v>0</v>
      </c>
      <c r="X16" s="365" t="s">
        <v>256</v>
      </c>
      <c r="Y16" s="347" t="s">
        <v>418</v>
      </c>
      <c r="Z16" s="347"/>
      <c r="AA16" s="347"/>
      <c r="AB16" s="347"/>
      <c r="AD16" s="296" t="s">
        <v>262</v>
      </c>
      <c r="AE16" s="320">
        <f t="shared" si="0"/>
        <v>0</v>
      </c>
    </row>
    <row r="17" spans="8:30" x14ac:dyDescent="0.35">
      <c r="H17" t="s">
        <v>213</v>
      </c>
      <c r="I17" t="s">
        <v>198</v>
      </c>
      <c r="K17" s="366">
        <v>46145</v>
      </c>
      <c r="L17" s="365" t="s">
        <v>343</v>
      </c>
      <c r="M17" s="365" t="s">
        <v>344</v>
      </c>
      <c r="N17" s="365" t="s">
        <v>651</v>
      </c>
      <c r="O17" s="365" t="s">
        <v>525</v>
      </c>
      <c r="P17" s="365" t="s">
        <v>506</v>
      </c>
      <c r="Q17" s="365" t="s">
        <v>391</v>
      </c>
      <c r="R17" s="365">
        <v>599528.76</v>
      </c>
      <c r="S17" s="365">
        <v>605206.4</v>
      </c>
      <c r="T17" s="365" t="s">
        <v>352</v>
      </c>
      <c r="U17" s="365" t="s">
        <v>392</v>
      </c>
      <c r="V17" s="365">
        <v>16056735</v>
      </c>
      <c r="W17" s="365">
        <v>0</v>
      </c>
      <c r="X17" s="365" t="s">
        <v>256</v>
      </c>
      <c r="Y17" s="347" t="s">
        <v>418</v>
      </c>
      <c r="Z17" s="347"/>
      <c r="AA17" s="347"/>
      <c r="AB17" s="347"/>
    </row>
    <row r="18" spans="8:30" x14ac:dyDescent="0.35">
      <c r="H18" t="s">
        <v>224</v>
      </c>
      <c r="I18" t="s">
        <v>225</v>
      </c>
      <c r="K18" s="366">
        <v>46147</v>
      </c>
      <c r="L18" s="365" t="s">
        <v>343</v>
      </c>
      <c r="M18" s="365" t="s">
        <v>344</v>
      </c>
      <c r="N18" s="365" t="s">
        <v>652</v>
      </c>
      <c r="O18" s="365" t="s">
        <v>526</v>
      </c>
      <c r="P18" s="365" t="s">
        <v>513</v>
      </c>
      <c r="Q18" s="365" t="s">
        <v>391</v>
      </c>
      <c r="R18" s="365">
        <v>715835.1</v>
      </c>
      <c r="S18" s="365">
        <v>715835.1</v>
      </c>
      <c r="T18" s="365" t="s">
        <v>352</v>
      </c>
      <c r="U18" s="365" t="s">
        <v>392</v>
      </c>
      <c r="V18" s="365">
        <v>16056735</v>
      </c>
      <c r="W18" s="365">
        <v>0</v>
      </c>
      <c r="X18" s="365" t="s">
        <v>256</v>
      </c>
      <c r="Y18" s="347" t="s">
        <v>418</v>
      </c>
      <c r="Z18" s="347"/>
      <c r="AA18" s="347"/>
      <c r="AB18" s="347"/>
      <c r="AD18" s="336" t="s">
        <v>307</v>
      </c>
    </row>
    <row r="19" spans="8:30" x14ac:dyDescent="0.35">
      <c r="H19" t="s">
        <v>207</v>
      </c>
      <c r="I19" t="s">
        <v>226</v>
      </c>
      <c r="K19" s="366">
        <v>46151</v>
      </c>
      <c r="L19" s="365" t="s">
        <v>343</v>
      </c>
      <c r="M19" s="365" t="s">
        <v>344</v>
      </c>
      <c r="N19" s="365" t="s">
        <v>653</v>
      </c>
      <c r="O19" s="365" t="s">
        <v>527</v>
      </c>
      <c r="P19" s="365" t="s">
        <v>520</v>
      </c>
      <c r="Q19" s="365" t="s">
        <v>391</v>
      </c>
      <c r="R19" s="365">
        <v>740503.2</v>
      </c>
      <c r="S19" s="365">
        <v>740503.2</v>
      </c>
      <c r="T19" s="365" t="s">
        <v>352</v>
      </c>
      <c r="U19" s="365" t="s">
        <v>392</v>
      </c>
      <c r="V19" s="365">
        <v>16056735</v>
      </c>
      <c r="W19" s="365">
        <v>0</v>
      </c>
      <c r="X19" s="365" t="s">
        <v>256</v>
      </c>
      <c r="Y19" s="347" t="s">
        <v>418</v>
      </c>
      <c r="Z19" s="347"/>
      <c r="AA19" s="347"/>
      <c r="AB19" s="347"/>
    </row>
    <row r="20" spans="8:30" x14ac:dyDescent="0.35">
      <c r="H20" t="s">
        <v>207</v>
      </c>
      <c r="I20" t="s">
        <v>203</v>
      </c>
      <c r="K20" s="366">
        <v>46158</v>
      </c>
      <c r="L20" s="365" t="s">
        <v>343</v>
      </c>
      <c r="M20" s="365" t="s">
        <v>344</v>
      </c>
      <c r="N20" s="365" t="s">
        <v>611</v>
      </c>
      <c r="O20" s="365" t="s">
        <v>528</v>
      </c>
      <c r="P20" s="365" t="s">
        <v>529</v>
      </c>
      <c r="Q20" s="365" t="s">
        <v>391</v>
      </c>
      <c r="R20" s="365">
        <v>582560.69999999995</v>
      </c>
      <c r="S20" s="365">
        <v>582560.69999999995</v>
      </c>
      <c r="T20" s="365" t="s">
        <v>352</v>
      </c>
      <c r="U20" s="365" t="s">
        <v>392</v>
      </c>
      <c r="V20" s="365">
        <v>16056735</v>
      </c>
      <c r="W20" s="365">
        <v>0</v>
      </c>
      <c r="X20" s="365" t="s">
        <v>256</v>
      </c>
      <c r="Y20" s="347" t="s">
        <v>418</v>
      </c>
      <c r="Z20" s="347"/>
      <c r="AA20" s="347"/>
      <c r="AB20" s="347"/>
      <c r="AD20" s="347"/>
    </row>
    <row r="21" spans="8:30" x14ac:dyDescent="0.35">
      <c r="H21" t="s">
        <v>213</v>
      </c>
      <c r="I21" t="s">
        <v>227</v>
      </c>
      <c r="K21" s="366">
        <v>46164</v>
      </c>
      <c r="L21" s="365" t="s">
        <v>343</v>
      </c>
      <c r="M21" s="365" t="s">
        <v>344</v>
      </c>
      <c r="N21" s="365" t="s">
        <v>654</v>
      </c>
      <c r="O21" s="365" t="s">
        <v>563</v>
      </c>
      <c r="P21" s="365" t="s">
        <v>559</v>
      </c>
      <c r="Q21" s="365" t="s">
        <v>391</v>
      </c>
      <c r="R21" s="365">
        <v>645219.5</v>
      </c>
      <c r="S21" s="365">
        <v>645219.5</v>
      </c>
      <c r="T21" s="365" t="s">
        <v>352</v>
      </c>
      <c r="U21" s="365" t="s">
        <v>392</v>
      </c>
      <c r="V21" s="365">
        <v>16056735</v>
      </c>
      <c r="W21" s="365">
        <v>0</v>
      </c>
      <c r="X21" s="365" t="s">
        <v>256</v>
      </c>
      <c r="Y21" s="347" t="s">
        <v>418</v>
      </c>
      <c r="Z21" s="347"/>
      <c r="AA21" s="347"/>
      <c r="AB21" s="347"/>
      <c r="AD21" s="1"/>
    </row>
    <row r="22" spans="8:30" x14ac:dyDescent="0.35">
      <c r="H22" t="s">
        <v>224</v>
      </c>
      <c r="I22" t="s">
        <v>228</v>
      </c>
      <c r="K22" s="366">
        <v>46164</v>
      </c>
      <c r="L22" s="365" t="s">
        <v>343</v>
      </c>
      <c r="M22" s="365" t="s">
        <v>344</v>
      </c>
      <c r="N22" s="365" t="s">
        <v>654</v>
      </c>
      <c r="O22" s="365" t="s">
        <v>563</v>
      </c>
      <c r="P22" s="365" t="s">
        <v>558</v>
      </c>
      <c r="Q22" s="365" t="s">
        <v>391</v>
      </c>
      <c r="R22" s="365">
        <v>663382.69999999995</v>
      </c>
      <c r="S22" s="365">
        <v>663382.69999999995</v>
      </c>
      <c r="T22" s="365" t="s">
        <v>352</v>
      </c>
      <c r="U22" s="365" t="s">
        <v>392</v>
      </c>
      <c r="V22" s="365">
        <v>16056735</v>
      </c>
      <c r="W22" s="365">
        <v>0</v>
      </c>
      <c r="X22" s="365" t="s">
        <v>256</v>
      </c>
      <c r="Y22" s="347" t="s">
        <v>418</v>
      </c>
      <c r="Z22" s="347"/>
      <c r="AA22" s="347"/>
      <c r="AB22" s="347"/>
    </row>
    <row r="23" spans="8:30" x14ac:dyDescent="0.35">
      <c r="H23" t="s">
        <v>213</v>
      </c>
      <c r="I23" t="s">
        <v>202</v>
      </c>
      <c r="K23" s="366">
        <v>46165</v>
      </c>
      <c r="L23" s="365" t="s">
        <v>522</v>
      </c>
      <c r="M23" s="365" t="s">
        <v>344</v>
      </c>
      <c r="N23" s="365" t="s">
        <v>297</v>
      </c>
      <c r="O23" s="365" t="s">
        <v>564</v>
      </c>
      <c r="P23" s="365" t="s">
        <v>560</v>
      </c>
      <c r="Q23" s="365" t="s">
        <v>391</v>
      </c>
      <c r="R23" s="365">
        <v>575664.30000000005</v>
      </c>
      <c r="S23" s="365">
        <v>575664.30000000005</v>
      </c>
      <c r="T23" s="365" t="s">
        <v>352</v>
      </c>
      <c r="U23" s="365" t="s">
        <v>392</v>
      </c>
      <c r="V23" s="365">
        <v>16056735</v>
      </c>
      <c r="W23" s="365">
        <v>0</v>
      </c>
      <c r="X23" s="365" t="s">
        <v>256</v>
      </c>
      <c r="Y23" s="347" t="s">
        <v>418</v>
      </c>
      <c r="Z23" s="347"/>
      <c r="AA23" s="347"/>
      <c r="AB23" s="347"/>
    </row>
    <row r="24" spans="8:30" x14ac:dyDescent="0.35">
      <c r="H24" t="s">
        <v>207</v>
      </c>
      <c r="I24" t="s">
        <v>229</v>
      </c>
      <c r="K24" s="366">
        <v>46166</v>
      </c>
      <c r="L24" s="365" t="s">
        <v>522</v>
      </c>
      <c r="M24" s="365" t="s">
        <v>344</v>
      </c>
      <c r="N24" s="365" t="s">
        <v>297</v>
      </c>
      <c r="O24" s="365" t="s">
        <v>565</v>
      </c>
      <c r="P24" s="365" t="s">
        <v>562</v>
      </c>
      <c r="Q24" s="365" t="s">
        <v>391</v>
      </c>
      <c r="R24" s="365">
        <v>645809.69999999995</v>
      </c>
      <c r="S24" s="365">
        <v>645809.69999999995</v>
      </c>
      <c r="T24" s="365" t="s">
        <v>352</v>
      </c>
      <c r="U24" s="365" t="s">
        <v>392</v>
      </c>
      <c r="V24" s="365">
        <v>16056735</v>
      </c>
      <c r="W24" s="365">
        <v>0</v>
      </c>
      <c r="X24" s="365" t="s">
        <v>256</v>
      </c>
      <c r="Y24" s="347" t="s">
        <v>418</v>
      </c>
      <c r="Z24" s="347"/>
      <c r="AA24" s="347"/>
      <c r="AB24" s="347"/>
    </row>
    <row r="25" spans="8:30" x14ac:dyDescent="0.35">
      <c r="H25" t="s">
        <v>215</v>
      </c>
      <c r="I25" t="s">
        <v>200</v>
      </c>
      <c r="K25" s="366">
        <v>46166</v>
      </c>
      <c r="L25" s="365" t="s">
        <v>522</v>
      </c>
      <c r="M25" s="365" t="s">
        <v>344</v>
      </c>
      <c r="N25" s="365" t="s">
        <v>297</v>
      </c>
      <c r="O25" s="365" t="s">
        <v>565</v>
      </c>
      <c r="P25" s="365" t="s">
        <v>561</v>
      </c>
      <c r="Q25" s="365" t="s">
        <v>391</v>
      </c>
      <c r="R25" s="365">
        <v>739119.2</v>
      </c>
      <c r="S25" s="365">
        <v>739119.2</v>
      </c>
      <c r="T25" s="365" t="s">
        <v>352</v>
      </c>
      <c r="U25" s="365" t="s">
        <v>392</v>
      </c>
      <c r="V25" s="365">
        <v>16056735</v>
      </c>
      <c r="W25" s="365">
        <v>0</v>
      </c>
      <c r="X25" s="365" t="s">
        <v>256</v>
      </c>
      <c r="Y25" s="347" t="s">
        <v>418</v>
      </c>
      <c r="Z25" s="347"/>
      <c r="AA25" s="347"/>
      <c r="AB25" s="347"/>
    </row>
    <row r="26" spans="8:30" x14ac:dyDescent="0.35">
      <c r="H26" t="s">
        <v>207</v>
      </c>
      <c r="I26" t="s">
        <v>230</v>
      </c>
      <c r="K26" s="366">
        <v>46170</v>
      </c>
      <c r="L26" s="365" t="s">
        <v>522</v>
      </c>
      <c r="M26" s="365" t="s">
        <v>344</v>
      </c>
      <c r="N26" s="365" t="s">
        <v>297</v>
      </c>
      <c r="O26" s="365" t="s">
        <v>578</v>
      </c>
      <c r="P26" s="365" t="s">
        <v>576</v>
      </c>
      <c r="Q26" s="365" t="s">
        <v>391</v>
      </c>
      <c r="R26" s="365">
        <v>650726</v>
      </c>
      <c r="S26" s="365">
        <v>650726</v>
      </c>
      <c r="T26" s="365" t="s">
        <v>352</v>
      </c>
      <c r="U26" s="365" t="s">
        <v>392</v>
      </c>
      <c r="V26" s="365">
        <v>16056735</v>
      </c>
      <c r="W26" s="365">
        <v>0</v>
      </c>
      <c r="X26" s="365" t="s">
        <v>256</v>
      </c>
      <c r="Y26" s="347" t="s">
        <v>418</v>
      </c>
      <c r="Z26" s="347"/>
      <c r="AA26" s="347"/>
      <c r="AB26" s="347"/>
    </row>
    <row r="27" spans="8:30" x14ac:dyDescent="0.35">
      <c r="H27" t="s">
        <v>224</v>
      </c>
      <c r="I27" t="s">
        <v>231</v>
      </c>
      <c r="K27" s="366">
        <v>46172</v>
      </c>
      <c r="L27" s="365" t="s">
        <v>522</v>
      </c>
      <c r="M27" s="365" t="s">
        <v>344</v>
      </c>
      <c r="N27" s="365" t="s">
        <v>297</v>
      </c>
      <c r="O27" s="365" t="s">
        <v>579</v>
      </c>
      <c r="P27" s="365" t="s">
        <v>577</v>
      </c>
      <c r="Q27" s="365" t="s">
        <v>391</v>
      </c>
      <c r="R27" s="365">
        <v>731939.5</v>
      </c>
      <c r="S27" s="365">
        <v>731939.5</v>
      </c>
      <c r="T27" s="365" t="s">
        <v>352</v>
      </c>
      <c r="U27" s="365" t="s">
        <v>392</v>
      </c>
      <c r="V27" s="365">
        <v>16056735</v>
      </c>
      <c r="W27" s="365">
        <v>0</v>
      </c>
      <c r="X27" s="365" t="s">
        <v>256</v>
      </c>
      <c r="Y27" s="347" t="s">
        <v>418</v>
      </c>
      <c r="Z27" s="347"/>
      <c r="AA27" s="347"/>
      <c r="AB27" s="347"/>
    </row>
    <row r="28" spans="8:30" x14ac:dyDescent="0.35">
      <c r="H28" t="s">
        <v>207</v>
      </c>
      <c r="I28" t="s">
        <v>204</v>
      </c>
      <c r="K28" s="366">
        <v>46175</v>
      </c>
      <c r="L28" s="365" t="s">
        <v>522</v>
      </c>
      <c r="M28" s="365" t="s">
        <v>344</v>
      </c>
      <c r="N28" s="365" t="s">
        <v>297</v>
      </c>
      <c r="O28" s="365" t="s">
        <v>595</v>
      </c>
      <c r="P28" s="365" t="s">
        <v>588</v>
      </c>
      <c r="Q28" s="365" t="s">
        <v>391</v>
      </c>
      <c r="R28" s="365">
        <v>742675.1</v>
      </c>
      <c r="S28" s="365">
        <v>742675.1</v>
      </c>
      <c r="T28" s="365" t="s">
        <v>352</v>
      </c>
      <c r="U28" s="365" t="s">
        <v>392</v>
      </c>
      <c r="V28" s="365">
        <v>16056735</v>
      </c>
      <c r="W28" s="365">
        <v>0</v>
      </c>
      <c r="X28" s="365" t="s">
        <v>256</v>
      </c>
      <c r="Y28" s="347" t="s">
        <v>418</v>
      </c>
      <c r="Z28" s="347"/>
      <c r="AA28" s="347"/>
      <c r="AB28" s="347"/>
    </row>
    <row r="29" spans="8:30" x14ac:dyDescent="0.35">
      <c r="H29" t="s">
        <v>207</v>
      </c>
      <c r="I29" t="s">
        <v>232</v>
      </c>
      <c r="K29" s="366">
        <v>46179</v>
      </c>
      <c r="L29" s="365" t="s">
        <v>522</v>
      </c>
      <c r="M29" s="365" t="s">
        <v>344</v>
      </c>
      <c r="N29" s="365" t="s">
        <v>297</v>
      </c>
      <c r="O29" s="365" t="s">
        <v>596</v>
      </c>
      <c r="P29" s="365" t="s">
        <v>589</v>
      </c>
      <c r="Q29" s="365" t="s">
        <v>391</v>
      </c>
      <c r="R29" s="365">
        <v>729032.8</v>
      </c>
      <c r="S29" s="365">
        <v>729032.8</v>
      </c>
      <c r="T29" s="365" t="s">
        <v>352</v>
      </c>
      <c r="U29" s="365" t="s">
        <v>392</v>
      </c>
      <c r="V29" s="365">
        <v>16056735</v>
      </c>
      <c r="W29" s="365">
        <v>0</v>
      </c>
      <c r="X29" s="365" t="s">
        <v>256</v>
      </c>
      <c r="Y29" s="347" t="s">
        <v>418</v>
      </c>
      <c r="Z29" s="347"/>
      <c r="AA29" s="347"/>
      <c r="AB29" s="347"/>
    </row>
    <row r="30" spans="8:30" x14ac:dyDescent="0.35">
      <c r="H30" t="s">
        <v>213</v>
      </c>
      <c r="I30" t="s">
        <v>233</v>
      </c>
      <c r="K30" s="366">
        <v>46187</v>
      </c>
      <c r="L30" s="365" t="s">
        <v>522</v>
      </c>
      <c r="M30" s="365" t="s">
        <v>344</v>
      </c>
      <c r="N30" s="365" t="s">
        <v>297</v>
      </c>
      <c r="O30" s="365" t="s">
        <v>612</v>
      </c>
      <c r="P30" s="365" t="s">
        <v>600</v>
      </c>
      <c r="Q30" s="365" t="s">
        <v>391</v>
      </c>
      <c r="R30" s="365">
        <v>709064.6</v>
      </c>
      <c r="S30" s="365">
        <v>709064.6</v>
      </c>
      <c r="T30" s="365" t="s">
        <v>352</v>
      </c>
      <c r="U30" s="365" t="s">
        <v>392</v>
      </c>
      <c r="V30" s="365">
        <v>16056735</v>
      </c>
      <c r="W30" s="365">
        <v>0</v>
      </c>
      <c r="X30" s="365" t="s">
        <v>256</v>
      </c>
      <c r="Y30" s="347" t="s">
        <v>418</v>
      </c>
      <c r="Z30" s="347"/>
      <c r="AA30" s="347"/>
      <c r="AB30" s="347"/>
    </row>
    <row r="31" spans="8:30" x14ac:dyDescent="0.35">
      <c r="H31" t="s">
        <v>211</v>
      </c>
      <c r="I31" t="s">
        <v>234</v>
      </c>
      <c r="K31" s="366">
        <v>46188</v>
      </c>
      <c r="L31" s="365" t="s">
        <v>522</v>
      </c>
      <c r="M31" s="365" t="s">
        <v>344</v>
      </c>
      <c r="N31" s="365" t="s">
        <v>297</v>
      </c>
      <c r="O31" s="365" t="s">
        <v>655</v>
      </c>
      <c r="P31" s="365" t="s">
        <v>628</v>
      </c>
      <c r="Q31" s="365" t="s">
        <v>630</v>
      </c>
      <c r="R31" s="365">
        <v>611915.9</v>
      </c>
      <c r="S31" s="365">
        <v>611915.9</v>
      </c>
      <c r="T31" s="365" t="s">
        <v>352</v>
      </c>
      <c r="U31" s="365" t="s">
        <v>631</v>
      </c>
      <c r="V31" s="365">
        <v>5000000</v>
      </c>
      <c r="W31" s="365">
        <v>0</v>
      </c>
      <c r="X31" s="365" t="s">
        <v>256</v>
      </c>
      <c r="Y31" s="347" t="s">
        <v>418</v>
      </c>
      <c r="Z31" s="347"/>
      <c r="AA31" s="347"/>
      <c r="AB31" s="347"/>
    </row>
    <row r="32" spans="8:30" x14ac:dyDescent="0.35">
      <c r="H32" t="s">
        <v>211</v>
      </c>
      <c r="I32" t="s">
        <v>235</v>
      </c>
      <c r="K32" s="366">
        <v>46188</v>
      </c>
      <c r="L32" s="365" t="s">
        <v>522</v>
      </c>
      <c r="M32" s="365" t="s">
        <v>344</v>
      </c>
      <c r="N32" s="365" t="s">
        <v>297</v>
      </c>
      <c r="O32" s="365" t="s">
        <v>656</v>
      </c>
      <c r="P32" s="365" t="s">
        <v>635</v>
      </c>
      <c r="Q32" s="365" t="s">
        <v>391</v>
      </c>
      <c r="R32" s="365">
        <v>714246.5</v>
      </c>
      <c r="S32" s="365">
        <v>714246.5</v>
      </c>
      <c r="T32" s="365" t="s">
        <v>352</v>
      </c>
      <c r="U32" s="365" t="s">
        <v>392</v>
      </c>
      <c r="V32" s="365">
        <v>16056735</v>
      </c>
      <c r="W32" s="365">
        <v>0</v>
      </c>
      <c r="X32" s="365" t="s">
        <v>256</v>
      </c>
      <c r="Y32" s="347" t="s">
        <v>418</v>
      </c>
      <c r="Z32" s="347"/>
      <c r="AA32" s="347"/>
      <c r="AB32" s="347"/>
    </row>
    <row r="33" spans="8:28" x14ac:dyDescent="0.35">
      <c r="H33" t="s">
        <v>213</v>
      </c>
      <c r="I33" t="s">
        <v>236</v>
      </c>
      <c r="K33" s="366">
        <v>46192</v>
      </c>
      <c r="L33" s="365" t="s">
        <v>522</v>
      </c>
      <c r="M33" s="365" t="s">
        <v>344</v>
      </c>
      <c r="N33" s="365" t="s">
        <v>297</v>
      </c>
      <c r="O33" s="365" t="s">
        <v>612</v>
      </c>
      <c r="P33" s="365" t="s">
        <v>636</v>
      </c>
      <c r="Q33" s="365" t="s">
        <v>630</v>
      </c>
      <c r="R33" s="365">
        <v>692244.1</v>
      </c>
      <c r="S33" s="365">
        <v>692244.1</v>
      </c>
      <c r="T33" s="365" t="s">
        <v>352</v>
      </c>
      <c r="U33" s="365" t="s">
        <v>631</v>
      </c>
      <c r="V33" s="365">
        <v>5000000</v>
      </c>
      <c r="W33" s="365">
        <v>0</v>
      </c>
      <c r="X33" s="365" t="s">
        <v>256</v>
      </c>
      <c r="Y33" s="347" t="s">
        <v>418</v>
      </c>
      <c r="Z33" s="347"/>
      <c r="AA33" s="347"/>
      <c r="AB33" s="347"/>
    </row>
    <row r="34" spans="8:28" x14ac:dyDescent="0.35">
      <c r="H34" t="s">
        <v>224</v>
      </c>
      <c r="I34" t="s">
        <v>237</v>
      </c>
      <c r="K34" s="366">
        <v>46194</v>
      </c>
      <c r="L34" s="365" t="s">
        <v>522</v>
      </c>
      <c r="M34" s="365" t="s">
        <v>344</v>
      </c>
      <c r="N34" s="365" t="s">
        <v>297</v>
      </c>
      <c r="O34" s="365" t="s">
        <v>657</v>
      </c>
      <c r="P34" s="365" t="s">
        <v>638</v>
      </c>
      <c r="Q34" s="365" t="s">
        <v>391</v>
      </c>
      <c r="R34" s="365">
        <v>682645.6</v>
      </c>
      <c r="S34" s="365">
        <v>682645.6</v>
      </c>
      <c r="T34" s="365" t="s">
        <v>352</v>
      </c>
      <c r="U34" s="365" t="s">
        <v>392</v>
      </c>
      <c r="V34" s="365">
        <v>16056735</v>
      </c>
      <c r="W34" s="365">
        <v>0</v>
      </c>
      <c r="X34" s="365" t="s">
        <v>256</v>
      </c>
      <c r="Y34" s="347" t="s">
        <v>418</v>
      </c>
      <c r="Z34" s="347"/>
      <c r="AA34" s="347"/>
      <c r="AB34" s="347"/>
    </row>
    <row r="35" spans="8:28" x14ac:dyDescent="0.35">
      <c r="H35" t="s">
        <v>224</v>
      </c>
      <c r="I35" t="s">
        <v>238</v>
      </c>
      <c r="K35" s="366">
        <v>46188</v>
      </c>
      <c r="L35" s="365" t="s">
        <v>343</v>
      </c>
      <c r="M35" s="365" t="s">
        <v>344</v>
      </c>
      <c r="N35" s="365" t="s">
        <v>670</v>
      </c>
      <c r="O35" s="365" t="s">
        <v>671</v>
      </c>
      <c r="P35" s="365" t="s">
        <v>664</v>
      </c>
      <c r="Q35" s="365" t="s">
        <v>666</v>
      </c>
      <c r="R35" s="365">
        <v>38274.6</v>
      </c>
      <c r="S35" s="365">
        <v>2258248.6</v>
      </c>
      <c r="T35" s="365" t="s">
        <v>428</v>
      </c>
      <c r="U35" s="365" t="s">
        <v>667</v>
      </c>
      <c r="V35" s="365">
        <v>2300000</v>
      </c>
      <c r="W35" s="365">
        <v>5319.09</v>
      </c>
      <c r="X35" s="365" t="s">
        <v>436</v>
      </c>
      <c r="Y35" s="347" t="s">
        <v>672</v>
      </c>
      <c r="Z35" s="347"/>
      <c r="AA35" s="347"/>
      <c r="AB35" s="347"/>
    </row>
    <row r="36" spans="8:28" x14ac:dyDescent="0.35">
      <c r="H36" t="s">
        <v>211</v>
      </c>
      <c r="I36" t="s">
        <v>239</v>
      </c>
      <c r="K36" s="366"/>
      <c r="L36" s="365"/>
      <c r="M36" s="365"/>
      <c r="N36" s="365"/>
      <c r="O36" s="365"/>
      <c r="P36" s="365"/>
      <c r="Q36" s="365"/>
      <c r="R36" s="365"/>
      <c r="S36" s="365"/>
      <c r="T36" s="365"/>
      <c r="U36" s="365"/>
      <c r="V36" s="365"/>
      <c r="W36" s="365"/>
      <c r="X36" s="365"/>
      <c r="Y36" s="347"/>
      <c r="Z36" s="347"/>
      <c r="AA36" s="347"/>
      <c r="AB36" s="347"/>
    </row>
    <row r="37" spans="8:28" x14ac:dyDescent="0.35">
      <c r="H37" t="s">
        <v>213</v>
      </c>
      <c r="I37" t="s">
        <v>199</v>
      </c>
      <c r="K37" s="366"/>
      <c r="L37" s="365"/>
      <c r="M37" s="365"/>
      <c r="N37" s="365"/>
      <c r="O37" s="365"/>
      <c r="P37" s="365"/>
      <c r="Q37" s="365"/>
      <c r="R37" s="365"/>
      <c r="S37" s="365"/>
      <c r="T37" s="365"/>
      <c r="U37" s="365"/>
      <c r="V37" s="365"/>
      <c r="W37" s="365"/>
      <c r="X37" s="365"/>
      <c r="Y37" s="347"/>
      <c r="Z37" s="347"/>
      <c r="AA37" s="347"/>
      <c r="AB37" s="347"/>
    </row>
    <row r="38" spans="8:28" x14ac:dyDescent="0.35">
      <c r="H38" t="s">
        <v>211</v>
      </c>
      <c r="I38" t="s">
        <v>205</v>
      </c>
      <c r="K38" s="366"/>
      <c r="L38" s="365"/>
      <c r="M38" s="365"/>
      <c r="N38" s="365"/>
      <c r="O38" s="365"/>
      <c r="P38" s="365"/>
      <c r="Q38" s="365"/>
      <c r="R38" s="365"/>
      <c r="S38" s="365"/>
      <c r="T38" s="365"/>
      <c r="U38" s="365"/>
      <c r="V38" s="365"/>
      <c r="W38" s="365"/>
      <c r="X38" s="365"/>
      <c r="Y38" s="347"/>
      <c r="Z38" s="347"/>
      <c r="AA38" s="347"/>
      <c r="AB38" s="347"/>
    </row>
    <row r="39" spans="8:28" x14ac:dyDescent="0.35">
      <c r="H39" t="s">
        <v>224</v>
      </c>
      <c r="I39" t="s">
        <v>240</v>
      </c>
      <c r="K39" s="366"/>
      <c r="L39" s="365"/>
      <c r="M39" s="365"/>
      <c r="N39" s="365"/>
      <c r="O39" s="365"/>
      <c r="P39" s="365"/>
      <c r="Q39" s="365"/>
      <c r="R39" s="365"/>
      <c r="S39" s="365"/>
      <c r="T39" s="365"/>
      <c r="U39" s="365"/>
      <c r="V39" s="365"/>
      <c r="W39" s="365"/>
      <c r="X39" s="365"/>
      <c r="Y39" s="347"/>
      <c r="Z39" s="347"/>
      <c r="AA39" s="347"/>
      <c r="AB39" s="347"/>
    </row>
    <row r="40" spans="8:28" x14ac:dyDescent="0.35">
      <c r="H40" t="s">
        <v>213</v>
      </c>
      <c r="I40" t="s">
        <v>241</v>
      </c>
      <c r="K40" s="366"/>
      <c r="L40" s="365"/>
      <c r="M40" s="365"/>
      <c r="N40" s="365"/>
      <c r="O40" s="365"/>
      <c r="P40" s="365"/>
      <c r="Q40" s="365"/>
      <c r="R40" s="365"/>
      <c r="S40" s="365"/>
      <c r="T40" s="365"/>
      <c r="U40" s="365"/>
      <c r="V40" s="365"/>
      <c r="W40" s="365"/>
      <c r="X40" s="365"/>
      <c r="Y40" s="347"/>
      <c r="Z40" s="347"/>
      <c r="AA40" s="347"/>
      <c r="AB40" s="347"/>
    </row>
    <row r="41" spans="8:28" x14ac:dyDescent="0.35">
      <c r="H41" t="s">
        <v>224</v>
      </c>
      <c r="I41" t="s">
        <v>242</v>
      </c>
      <c r="K41" s="366"/>
      <c r="L41" s="365"/>
      <c r="M41" s="365"/>
      <c r="N41" s="365"/>
      <c r="O41" s="365"/>
      <c r="P41" s="365"/>
      <c r="Q41" s="365"/>
      <c r="R41" s="365"/>
      <c r="S41" s="365"/>
      <c r="T41" s="365"/>
      <c r="U41" s="365"/>
      <c r="V41" s="365"/>
      <c r="W41" s="365"/>
      <c r="X41" s="365"/>
      <c r="Y41" s="347"/>
      <c r="Z41" s="347"/>
      <c r="AA41" s="347"/>
      <c r="AB41" s="347"/>
    </row>
    <row r="42" spans="8:28" x14ac:dyDescent="0.35">
      <c r="H42" t="s">
        <v>211</v>
      </c>
      <c r="I42" t="s">
        <v>243</v>
      </c>
      <c r="K42" s="366"/>
      <c r="L42" s="365"/>
      <c r="M42" s="365"/>
      <c r="N42" s="365"/>
      <c r="O42" s="365"/>
      <c r="P42" s="365"/>
      <c r="Q42" s="365"/>
      <c r="R42" s="365"/>
      <c r="S42" s="365"/>
      <c r="T42" s="365"/>
      <c r="U42" s="365"/>
      <c r="V42" s="365"/>
      <c r="W42" s="365"/>
      <c r="X42" s="365"/>
      <c r="Y42" s="347"/>
      <c r="Z42" s="347"/>
      <c r="AA42" s="347"/>
      <c r="AB42" s="347"/>
    </row>
    <row r="43" spans="8:28" x14ac:dyDescent="0.35">
      <c r="H43" t="s">
        <v>211</v>
      </c>
      <c r="I43" t="s">
        <v>244</v>
      </c>
      <c r="K43" s="366"/>
      <c r="L43" s="365"/>
      <c r="M43" s="365"/>
      <c r="N43" s="365"/>
      <c r="O43" s="365"/>
      <c r="P43" s="365"/>
      <c r="Q43" s="365"/>
      <c r="R43" s="365"/>
      <c r="S43" s="365"/>
      <c r="T43" s="365"/>
      <c r="U43" s="365"/>
      <c r="V43" s="365"/>
      <c r="W43" s="365"/>
      <c r="X43" s="365"/>
      <c r="Y43" s="347"/>
      <c r="Z43" s="347"/>
      <c r="AA43" s="347"/>
      <c r="AB43" s="347"/>
    </row>
    <row r="44" spans="8:28" x14ac:dyDescent="0.35">
      <c r="H44" t="s">
        <v>207</v>
      </c>
      <c r="I44" t="s">
        <v>245</v>
      </c>
      <c r="K44" s="366"/>
      <c r="L44" s="365"/>
      <c r="M44" s="365"/>
      <c r="N44" s="365"/>
      <c r="O44" s="365"/>
      <c r="P44" s="365"/>
      <c r="Q44" s="365"/>
      <c r="R44" s="365"/>
      <c r="S44" s="365"/>
      <c r="T44" s="365"/>
      <c r="U44" s="365"/>
      <c r="V44" s="365"/>
      <c r="W44" s="365"/>
      <c r="X44" s="365"/>
      <c r="Y44" s="347"/>
      <c r="Z44" s="347"/>
      <c r="AA44" s="347"/>
      <c r="AB44" s="347"/>
    </row>
    <row r="45" spans="8:28" x14ac:dyDescent="0.35">
      <c r="H45" t="s">
        <v>246</v>
      </c>
      <c r="I45" t="s">
        <v>247</v>
      </c>
      <c r="K45" s="366"/>
      <c r="L45" s="365"/>
      <c r="M45" s="365"/>
      <c r="N45" s="365"/>
      <c r="O45" s="365"/>
      <c r="P45" s="365"/>
      <c r="Q45" s="365"/>
      <c r="R45" s="365"/>
      <c r="S45" s="365"/>
      <c r="T45" s="365"/>
      <c r="U45" s="365"/>
      <c r="V45" s="365"/>
      <c r="W45" s="365"/>
      <c r="X45" s="365"/>
      <c r="Y45" s="347"/>
      <c r="Z45" s="347"/>
      <c r="AA45" s="347"/>
      <c r="AB45" s="347"/>
    </row>
    <row r="46" spans="8:28" x14ac:dyDescent="0.35">
      <c r="H46" t="s">
        <v>224</v>
      </c>
      <c r="I46" t="s">
        <v>206</v>
      </c>
      <c r="K46" s="366"/>
      <c r="L46" s="365"/>
      <c r="M46" s="365"/>
      <c r="N46" s="365"/>
      <c r="O46" s="365"/>
      <c r="P46" s="365"/>
      <c r="Q46" s="365"/>
      <c r="R46" s="365"/>
      <c r="S46" s="365"/>
      <c r="T46" s="365"/>
      <c r="U46" s="365"/>
      <c r="V46" s="365"/>
      <c r="W46" s="365"/>
      <c r="X46" s="365"/>
      <c r="Y46" s="347"/>
      <c r="Z46" s="347"/>
      <c r="AA46" s="347"/>
      <c r="AB46" s="347"/>
    </row>
    <row r="47" spans="8:28" x14ac:dyDescent="0.35">
      <c r="H47" t="s">
        <v>224</v>
      </c>
      <c r="I47" t="s">
        <v>248</v>
      </c>
      <c r="K47" s="366"/>
      <c r="L47" s="365"/>
      <c r="M47" s="365"/>
      <c r="N47" s="365"/>
      <c r="O47" s="365"/>
      <c r="P47" s="365"/>
      <c r="Q47" s="365"/>
      <c r="R47" s="365"/>
      <c r="S47" s="365"/>
      <c r="T47" s="365"/>
      <c r="U47" s="365"/>
      <c r="V47" s="365"/>
      <c r="W47" s="365"/>
      <c r="X47" s="365"/>
      <c r="Y47" s="347"/>
      <c r="Z47" s="347"/>
      <c r="AA47" s="347"/>
      <c r="AB47" s="347"/>
    </row>
    <row r="48" spans="8:28" x14ac:dyDescent="0.35">
      <c r="H48" t="s">
        <v>211</v>
      </c>
      <c r="I48" t="s">
        <v>249</v>
      </c>
      <c r="K48" s="366"/>
      <c r="L48" s="365"/>
      <c r="M48" s="365"/>
      <c r="N48" s="365"/>
      <c r="O48" s="365"/>
      <c r="P48" s="365"/>
      <c r="Q48" s="365"/>
      <c r="R48" s="365"/>
      <c r="S48" s="365"/>
      <c r="T48" s="365"/>
      <c r="U48" s="365"/>
      <c r="V48" s="365"/>
      <c r="W48" s="365"/>
      <c r="X48" s="365"/>
      <c r="Y48" s="347"/>
      <c r="Z48" s="347"/>
      <c r="AA48" s="347"/>
      <c r="AB48" s="347"/>
    </row>
    <row r="49" spans="8:28" x14ac:dyDescent="0.35">
      <c r="H49" t="s">
        <v>224</v>
      </c>
      <c r="I49" t="s">
        <v>250</v>
      </c>
      <c r="K49" s="366"/>
      <c r="L49" s="365"/>
      <c r="M49" s="365"/>
      <c r="N49" s="365"/>
      <c r="O49" s="365"/>
      <c r="P49" s="365"/>
      <c r="Q49" s="365"/>
      <c r="R49" s="365"/>
      <c r="S49" s="365"/>
      <c r="T49" s="365"/>
      <c r="U49" s="365"/>
      <c r="V49" s="365"/>
      <c r="W49" s="365"/>
      <c r="X49" s="365"/>
      <c r="Y49" s="347"/>
      <c r="Z49" s="347"/>
      <c r="AA49" s="347"/>
      <c r="AB49" s="347"/>
    </row>
    <row r="50" spans="8:28" x14ac:dyDescent="0.35">
      <c r="H50" t="s">
        <v>211</v>
      </c>
      <c r="I50" t="s">
        <v>251</v>
      </c>
      <c r="K50" s="366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  <c r="X50" s="365"/>
      <c r="Y50" s="347"/>
      <c r="Z50" s="347"/>
      <c r="AA50" s="347"/>
      <c r="AB50" s="347"/>
    </row>
    <row r="51" spans="8:28" x14ac:dyDescent="0.35">
      <c r="H51" t="s">
        <v>224</v>
      </c>
      <c r="I51" t="s">
        <v>197</v>
      </c>
      <c r="K51" s="366"/>
      <c r="L51" s="365"/>
      <c r="M51" s="365"/>
      <c r="N51" s="365"/>
      <c r="O51" s="365"/>
      <c r="P51" s="365"/>
      <c r="Q51" s="365"/>
      <c r="R51" s="365"/>
      <c r="S51" s="365"/>
      <c r="T51" s="365"/>
      <c r="U51" s="365"/>
      <c r="V51" s="365"/>
      <c r="W51" s="365"/>
      <c r="X51" s="365"/>
      <c r="Y51" s="347"/>
      <c r="Z51" s="347"/>
      <c r="AA51" s="347"/>
      <c r="AB51" s="347"/>
    </row>
    <row r="52" spans="8:28" x14ac:dyDescent="0.35">
      <c r="H52" t="s">
        <v>224</v>
      </c>
      <c r="I52" t="s">
        <v>269</v>
      </c>
      <c r="K52" s="366"/>
      <c r="L52" s="365"/>
      <c r="M52" s="365"/>
      <c r="N52" s="365"/>
      <c r="O52" s="365"/>
      <c r="P52" s="365"/>
      <c r="Q52" s="365"/>
      <c r="R52" s="365"/>
      <c r="S52" s="365"/>
      <c r="T52" s="365"/>
      <c r="U52" s="365"/>
      <c r="V52" s="365"/>
      <c r="W52" s="365"/>
      <c r="X52" s="365"/>
      <c r="Y52" s="347"/>
      <c r="Z52" s="347"/>
      <c r="AA52" s="347"/>
      <c r="AB52" s="347"/>
    </row>
    <row r="53" spans="8:28" x14ac:dyDescent="0.35">
      <c r="H53" t="s">
        <v>277</v>
      </c>
      <c r="I53" t="s">
        <v>271</v>
      </c>
      <c r="K53" s="366"/>
      <c r="L53" s="365"/>
      <c r="M53" s="365"/>
      <c r="N53" s="365"/>
      <c r="O53" s="365"/>
      <c r="P53" s="365"/>
      <c r="Q53" s="365"/>
      <c r="R53" s="365"/>
      <c r="S53" s="365"/>
      <c r="T53" s="365"/>
      <c r="U53" s="365"/>
      <c r="V53" s="365"/>
      <c r="W53" s="365"/>
      <c r="X53" s="365"/>
      <c r="Y53" s="347"/>
      <c r="Z53" s="347"/>
      <c r="AA53" s="347"/>
      <c r="AB53" s="347"/>
    </row>
    <row r="54" spans="8:28" x14ac:dyDescent="0.35">
      <c r="H54" t="s">
        <v>224</v>
      </c>
      <c r="I54" t="s">
        <v>270</v>
      </c>
      <c r="K54" s="366"/>
      <c r="L54" s="365"/>
      <c r="M54" s="365"/>
      <c r="N54" s="365"/>
      <c r="O54" s="365"/>
      <c r="P54" s="365"/>
      <c r="Q54" s="365"/>
      <c r="R54" s="365"/>
      <c r="S54" s="365"/>
      <c r="T54" s="365"/>
      <c r="U54" s="365"/>
      <c r="V54" s="365"/>
      <c r="W54" s="365"/>
      <c r="X54" s="365"/>
      <c r="Y54" s="347"/>
      <c r="Z54" s="347"/>
      <c r="AA54" s="347"/>
      <c r="AB54" s="347"/>
    </row>
    <row r="55" spans="8:28" x14ac:dyDescent="0.35">
      <c r="H55" t="s">
        <v>287</v>
      </c>
      <c r="I55" t="s">
        <v>286</v>
      </c>
      <c r="K55" s="366"/>
      <c r="L55" s="365"/>
      <c r="M55" s="365"/>
      <c r="N55" s="365"/>
      <c r="O55" s="365"/>
      <c r="P55" s="365"/>
      <c r="Q55" s="365"/>
      <c r="R55" s="365"/>
      <c r="S55" s="365"/>
      <c r="T55" s="365"/>
      <c r="U55" s="365"/>
      <c r="V55" s="365"/>
      <c r="W55" s="365"/>
      <c r="X55" s="365"/>
      <c r="Y55" s="347"/>
      <c r="Z55" s="347"/>
      <c r="AA55" s="347"/>
      <c r="AB55" s="347"/>
    </row>
    <row r="56" spans="8:28" x14ac:dyDescent="0.35">
      <c r="H56" t="s">
        <v>213</v>
      </c>
      <c r="I56" t="s">
        <v>298</v>
      </c>
      <c r="K56" s="366"/>
      <c r="L56" s="365"/>
      <c r="M56" s="365"/>
      <c r="N56" s="365"/>
      <c r="O56" s="365"/>
      <c r="P56" s="365"/>
      <c r="Q56" s="365"/>
      <c r="R56" s="365"/>
      <c r="S56" s="365"/>
      <c r="T56" s="365"/>
      <c r="U56" s="365"/>
      <c r="V56" s="365"/>
      <c r="W56" s="365"/>
      <c r="X56" s="365"/>
      <c r="Y56" s="347"/>
      <c r="Z56" s="347"/>
      <c r="AA56" s="347"/>
      <c r="AB56" s="347"/>
    </row>
    <row r="57" spans="8:28" x14ac:dyDescent="0.35">
      <c r="H57" t="s">
        <v>312</v>
      </c>
      <c r="I57" t="s">
        <v>290</v>
      </c>
      <c r="K57" s="366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  <c r="X57" s="365"/>
      <c r="Y57" s="347"/>
      <c r="Z57" s="347"/>
      <c r="AA57" s="347"/>
      <c r="AB57" s="347"/>
    </row>
    <row r="58" spans="8:28" x14ac:dyDescent="0.35">
      <c r="H58" t="s">
        <v>313</v>
      </c>
      <c r="I58" t="s">
        <v>306</v>
      </c>
      <c r="K58" s="366"/>
      <c r="L58" s="365"/>
      <c r="M58" s="365"/>
      <c r="N58" s="365"/>
      <c r="O58" s="365"/>
      <c r="P58" s="365"/>
      <c r="Q58" s="365"/>
      <c r="R58" s="365"/>
      <c r="S58" s="365"/>
      <c r="T58" s="365"/>
      <c r="U58" s="365"/>
      <c r="V58" s="365"/>
      <c r="W58" s="365"/>
      <c r="X58" s="365"/>
      <c r="Y58" s="347"/>
      <c r="Z58" s="347"/>
      <c r="AA58" s="347"/>
      <c r="AB58" s="347"/>
    </row>
    <row r="59" spans="8:28" x14ac:dyDescent="0.35">
      <c r="H59" t="s">
        <v>207</v>
      </c>
      <c r="I59" t="s">
        <v>305</v>
      </c>
      <c r="K59" s="366"/>
      <c r="L59" s="365"/>
      <c r="M59" s="365"/>
      <c r="N59" s="365"/>
      <c r="O59" s="365"/>
      <c r="P59" s="365"/>
      <c r="Q59" s="365"/>
      <c r="R59" s="365"/>
      <c r="S59" s="365"/>
      <c r="T59" s="365"/>
      <c r="U59" s="365"/>
      <c r="V59" s="365"/>
      <c r="W59" s="365"/>
      <c r="X59" s="365"/>
      <c r="Y59" s="347"/>
      <c r="Z59" s="347"/>
      <c r="AA59" s="347"/>
      <c r="AB59" s="347"/>
    </row>
    <row r="60" spans="8:28" x14ac:dyDescent="0.35">
      <c r="K60" s="366"/>
      <c r="L60" s="365"/>
      <c r="M60" s="365"/>
      <c r="N60" s="365"/>
      <c r="O60" s="365"/>
      <c r="P60" s="365"/>
      <c r="Q60" s="365"/>
      <c r="R60" s="365"/>
      <c r="S60" s="365"/>
      <c r="T60" s="365"/>
      <c r="U60" s="365"/>
      <c r="V60" s="365"/>
      <c r="W60" s="365"/>
      <c r="X60" s="365"/>
      <c r="Y60" s="347"/>
      <c r="Z60" s="347"/>
      <c r="AA60" s="347"/>
      <c r="AB60" s="347"/>
    </row>
    <row r="61" spans="8:28" x14ac:dyDescent="0.35">
      <c r="K61" s="366"/>
      <c r="L61" s="365"/>
      <c r="M61" s="365"/>
      <c r="N61" s="365"/>
      <c r="O61" s="365"/>
      <c r="P61" s="365"/>
      <c r="Q61" s="365"/>
      <c r="R61" s="365"/>
      <c r="S61" s="365"/>
      <c r="T61" s="365"/>
      <c r="U61" s="365"/>
      <c r="V61" s="365"/>
      <c r="W61" s="365"/>
      <c r="X61" s="365"/>
      <c r="Y61" s="347"/>
      <c r="Z61" s="347"/>
      <c r="AA61" s="347"/>
      <c r="AB61" s="347"/>
    </row>
    <row r="62" spans="8:28" x14ac:dyDescent="0.35">
      <c r="K62" s="366"/>
      <c r="L62" s="365"/>
      <c r="M62" s="365"/>
      <c r="N62" s="365"/>
      <c r="O62" s="365"/>
      <c r="P62" s="365"/>
      <c r="Q62" s="365"/>
      <c r="R62" s="365"/>
      <c r="S62" s="365"/>
      <c r="T62" s="365"/>
      <c r="U62" s="365"/>
      <c r="V62" s="365"/>
      <c r="W62" s="365"/>
      <c r="X62" s="365"/>
      <c r="Y62" s="347"/>
      <c r="Z62" s="347"/>
      <c r="AA62" s="347"/>
      <c r="AB62" s="347"/>
    </row>
    <row r="63" spans="8:28" x14ac:dyDescent="0.35">
      <c r="K63" s="366"/>
      <c r="L63" s="365"/>
      <c r="M63" s="365"/>
      <c r="N63" s="365"/>
      <c r="O63" s="365"/>
      <c r="P63" s="365"/>
      <c r="Q63" s="365"/>
      <c r="R63" s="365"/>
      <c r="S63" s="365"/>
      <c r="T63" s="365"/>
      <c r="U63" s="365"/>
      <c r="V63" s="365"/>
      <c r="W63" s="365"/>
      <c r="X63" s="365"/>
      <c r="Y63" s="347"/>
      <c r="Z63" s="347"/>
      <c r="AA63" s="347"/>
      <c r="AB63" s="347"/>
    </row>
    <row r="64" spans="8:28" x14ac:dyDescent="0.35">
      <c r="K64" s="366"/>
      <c r="L64" s="365"/>
      <c r="M64" s="365"/>
      <c r="N64" s="365"/>
      <c r="O64" s="365"/>
      <c r="P64" s="365"/>
      <c r="Q64" s="365"/>
      <c r="R64" s="365"/>
      <c r="S64" s="365"/>
      <c r="T64" s="365"/>
      <c r="U64" s="365"/>
      <c r="V64" s="365"/>
      <c r="W64" s="365"/>
      <c r="X64" s="365"/>
      <c r="Y64" s="347"/>
      <c r="Z64" s="347"/>
      <c r="AA64" s="347"/>
      <c r="AB64" s="347"/>
    </row>
    <row r="65" spans="11:28" x14ac:dyDescent="0.35">
      <c r="K65" s="366"/>
      <c r="L65" s="365"/>
      <c r="M65" s="365"/>
      <c r="N65" s="365"/>
      <c r="O65" s="365"/>
      <c r="P65" s="365"/>
      <c r="Q65" s="365"/>
      <c r="R65" s="365"/>
      <c r="S65" s="365"/>
      <c r="T65" s="365"/>
      <c r="U65" s="365"/>
      <c r="V65" s="365"/>
      <c r="W65" s="365"/>
      <c r="X65" s="365"/>
      <c r="Y65" s="347"/>
      <c r="Z65" s="347"/>
      <c r="AA65" s="347"/>
      <c r="AB65" s="347"/>
    </row>
    <row r="66" spans="11:28" x14ac:dyDescent="0.35">
      <c r="K66" s="366"/>
      <c r="L66" s="365"/>
      <c r="M66" s="365"/>
      <c r="N66" s="365"/>
      <c r="O66" s="365"/>
      <c r="P66" s="365"/>
      <c r="Q66" s="365"/>
      <c r="R66" s="365"/>
      <c r="S66" s="365"/>
      <c r="T66" s="365"/>
      <c r="U66" s="365"/>
      <c r="V66" s="365"/>
      <c r="W66" s="365"/>
      <c r="X66" s="365"/>
      <c r="Y66" s="347"/>
      <c r="Z66" s="347"/>
      <c r="AA66" s="347"/>
      <c r="AB66" s="347"/>
    </row>
    <row r="67" spans="11:28" x14ac:dyDescent="0.35">
      <c r="K67" s="366"/>
      <c r="L67" s="365"/>
      <c r="M67" s="365"/>
      <c r="N67" s="365"/>
      <c r="O67" s="365"/>
      <c r="P67" s="365"/>
      <c r="Q67" s="365"/>
      <c r="R67" s="365"/>
      <c r="S67" s="365"/>
      <c r="T67" s="365"/>
      <c r="U67" s="365"/>
      <c r="V67" s="365"/>
      <c r="W67" s="365"/>
      <c r="X67" s="365"/>
      <c r="Y67" s="347"/>
      <c r="Z67" s="347"/>
      <c r="AA67" s="347"/>
      <c r="AB67" s="347"/>
    </row>
    <row r="68" spans="11:28" x14ac:dyDescent="0.35">
      <c r="K68" s="366"/>
      <c r="L68" s="365"/>
      <c r="M68" s="365"/>
      <c r="N68" s="365"/>
      <c r="O68" s="365"/>
      <c r="P68" s="365"/>
      <c r="Q68" s="365"/>
      <c r="R68" s="365"/>
      <c r="S68" s="365"/>
      <c r="T68" s="365"/>
      <c r="U68" s="365"/>
      <c r="V68" s="365"/>
      <c r="W68" s="365"/>
      <c r="X68" s="365"/>
      <c r="Y68" s="347"/>
      <c r="Z68" s="347"/>
      <c r="AA68" s="347"/>
      <c r="AB68" s="347"/>
    </row>
    <row r="69" spans="11:28" x14ac:dyDescent="0.35">
      <c r="K69" s="366"/>
      <c r="L69" s="365"/>
      <c r="M69" s="365"/>
      <c r="N69" s="365"/>
      <c r="O69" s="365"/>
      <c r="P69" s="365"/>
      <c r="Q69" s="365"/>
      <c r="R69" s="365"/>
      <c r="S69" s="365"/>
      <c r="T69" s="365"/>
      <c r="U69" s="365"/>
      <c r="V69" s="365"/>
      <c r="W69" s="365"/>
      <c r="X69" s="365"/>
      <c r="Y69" s="347"/>
      <c r="Z69" s="347"/>
      <c r="AA69" s="3"/>
      <c r="AB69" s="347"/>
    </row>
    <row r="70" spans="11:28" x14ac:dyDescent="0.35">
      <c r="K70" s="366"/>
      <c r="L70" s="365"/>
      <c r="M70" s="365"/>
      <c r="N70" s="365"/>
      <c r="O70" s="365"/>
      <c r="P70" s="365"/>
      <c r="Q70" s="365"/>
      <c r="R70" s="365"/>
      <c r="S70" s="365"/>
      <c r="T70" s="365"/>
      <c r="U70" s="365"/>
      <c r="V70" s="365"/>
      <c r="W70" s="365"/>
      <c r="X70" s="365"/>
      <c r="Y70" s="347"/>
      <c r="Z70" s="347"/>
      <c r="AA70" s="3"/>
      <c r="AB70" s="347"/>
    </row>
    <row r="71" spans="11:28" x14ac:dyDescent="0.35">
      <c r="K71" s="366"/>
      <c r="L71" s="365"/>
      <c r="M71" s="365"/>
      <c r="N71" s="365"/>
      <c r="O71" s="365"/>
      <c r="P71" s="365"/>
      <c r="Q71" s="365"/>
      <c r="R71" s="365"/>
      <c r="S71" s="365"/>
      <c r="T71" s="365"/>
      <c r="U71" s="365"/>
      <c r="V71" s="365"/>
      <c r="W71" s="365"/>
      <c r="X71" s="365"/>
      <c r="Y71" s="347"/>
      <c r="Z71" s="347"/>
      <c r="AA71" s="3"/>
      <c r="AB71" s="347"/>
    </row>
    <row r="72" spans="11:28" x14ac:dyDescent="0.35">
      <c r="K72" s="366"/>
      <c r="L72" s="365"/>
      <c r="M72" s="365"/>
      <c r="N72" s="365"/>
      <c r="O72" s="365"/>
      <c r="P72" s="365"/>
      <c r="Q72" s="365"/>
      <c r="R72" s="365"/>
      <c r="S72" s="365"/>
      <c r="T72" s="365"/>
      <c r="U72" s="365"/>
      <c r="V72" s="365"/>
      <c r="W72" s="365"/>
      <c r="X72" s="365"/>
      <c r="Y72" s="347"/>
      <c r="Z72" s="347"/>
      <c r="AA72" s="3"/>
      <c r="AB72" s="347"/>
    </row>
    <row r="73" spans="11:28" x14ac:dyDescent="0.35">
      <c r="K73" s="366"/>
      <c r="L73" s="365"/>
      <c r="M73" s="365"/>
      <c r="N73" s="365"/>
      <c r="O73" s="365"/>
      <c r="P73" s="365"/>
      <c r="Q73" s="365"/>
      <c r="R73" s="365"/>
      <c r="S73" s="365"/>
      <c r="T73" s="365"/>
      <c r="U73" s="365"/>
      <c r="V73" s="365"/>
      <c r="W73" s="365"/>
      <c r="X73" s="365"/>
      <c r="Y73" s="347"/>
      <c r="Z73" s="347"/>
      <c r="AA73" s="3"/>
      <c r="AB73" s="347"/>
    </row>
    <row r="74" spans="11:28" x14ac:dyDescent="0.35">
      <c r="K74" s="366"/>
      <c r="L74" s="365"/>
      <c r="M74" s="365"/>
      <c r="N74" s="365"/>
      <c r="O74" s="365"/>
      <c r="P74" s="365"/>
      <c r="Q74" s="365"/>
      <c r="R74" s="365"/>
      <c r="S74" s="365"/>
      <c r="T74" s="365"/>
      <c r="U74" s="365"/>
      <c r="V74" s="365"/>
      <c r="W74" s="365"/>
      <c r="X74" s="365"/>
      <c r="Y74" s="347"/>
      <c r="Z74" s="347"/>
      <c r="AA74" s="3"/>
      <c r="AB74" s="347"/>
    </row>
    <row r="75" spans="11:28" x14ac:dyDescent="0.35">
      <c r="K75" s="366"/>
      <c r="L75" s="365"/>
      <c r="M75" s="365"/>
      <c r="N75" s="365"/>
      <c r="O75" s="365"/>
      <c r="P75" s="365"/>
      <c r="Q75" s="365"/>
      <c r="R75" s="365"/>
      <c r="S75" s="365"/>
      <c r="T75" s="365"/>
      <c r="U75" s="365"/>
      <c r="V75" s="365"/>
      <c r="W75" s="365"/>
      <c r="X75" s="365"/>
      <c r="Y75" s="347"/>
      <c r="Z75" s="347"/>
      <c r="AA75" s="3"/>
      <c r="AB75" s="347"/>
    </row>
    <row r="76" spans="11:28" x14ac:dyDescent="0.35">
      <c r="K76" s="366"/>
      <c r="L76" s="365"/>
      <c r="M76" s="365"/>
      <c r="N76" s="365"/>
      <c r="O76" s="365"/>
      <c r="P76" s="365"/>
      <c r="Q76" s="365"/>
      <c r="R76" s="365"/>
      <c r="S76" s="365"/>
      <c r="T76" s="365"/>
      <c r="U76" s="365"/>
      <c r="V76" s="365"/>
      <c r="W76" s="365"/>
      <c r="X76" s="365"/>
      <c r="Y76" s="3"/>
      <c r="Z76" s="3"/>
      <c r="AA76" s="3"/>
      <c r="AB76" s="3"/>
    </row>
    <row r="77" spans="11:28" x14ac:dyDescent="0.35">
      <c r="K77" s="366"/>
      <c r="L77" s="365"/>
      <c r="M77" s="365"/>
      <c r="N77" s="365"/>
      <c r="O77" s="365"/>
      <c r="P77" s="365"/>
      <c r="Q77" s="365"/>
      <c r="R77" s="365"/>
      <c r="S77" s="365"/>
      <c r="T77" s="365"/>
      <c r="U77" s="365"/>
      <c r="V77" s="365"/>
      <c r="W77" s="365"/>
      <c r="X77" s="365"/>
      <c r="Y77" s="3"/>
      <c r="AB77" s="3"/>
    </row>
    <row r="78" spans="11:28" x14ac:dyDescent="0.35">
      <c r="K78" s="366"/>
      <c r="L78" s="365"/>
      <c r="M78" s="365"/>
      <c r="N78" s="365"/>
      <c r="O78" s="365"/>
      <c r="P78" s="365"/>
      <c r="Q78" s="365"/>
      <c r="R78" s="365"/>
      <c r="S78" s="365"/>
      <c r="T78" s="365"/>
      <c r="U78" s="365"/>
      <c r="V78" s="365"/>
      <c r="W78" s="365"/>
      <c r="X78" s="365"/>
      <c r="Y78" s="3"/>
      <c r="AB78" s="3"/>
    </row>
    <row r="79" spans="11:28" x14ac:dyDescent="0.35">
      <c r="K79" s="366"/>
      <c r="L79" s="365"/>
      <c r="M79" s="365"/>
      <c r="N79" s="365"/>
      <c r="O79" s="365"/>
      <c r="P79" s="365"/>
      <c r="Q79" s="365"/>
      <c r="R79" s="365"/>
      <c r="S79" s="365"/>
      <c r="T79" s="365"/>
      <c r="U79" s="365"/>
      <c r="V79" s="365"/>
      <c r="W79" s="365"/>
      <c r="X79" s="365"/>
      <c r="Y79" s="3"/>
      <c r="AB79" s="3"/>
    </row>
    <row r="80" spans="11:28" x14ac:dyDescent="0.35">
      <c r="K80" s="366"/>
      <c r="L80" s="365"/>
      <c r="M80" s="365"/>
      <c r="N80" s="365"/>
      <c r="O80" s="365"/>
      <c r="P80" s="365"/>
      <c r="Q80" s="365"/>
      <c r="R80" s="365"/>
      <c r="S80" s="365"/>
      <c r="T80" s="365"/>
      <c r="U80" s="365"/>
      <c r="V80" s="365"/>
      <c r="W80" s="365"/>
      <c r="X80" s="365"/>
      <c r="Y80" s="3"/>
      <c r="AB80" s="3"/>
    </row>
    <row r="81" spans="11:28" x14ac:dyDescent="0.35">
      <c r="K81" s="366"/>
      <c r="L81" s="365"/>
      <c r="M81" s="365"/>
      <c r="N81" s="365"/>
      <c r="O81" s="365"/>
      <c r="P81" s="365"/>
      <c r="Q81" s="365"/>
      <c r="R81" s="365"/>
      <c r="S81" s="365"/>
      <c r="T81" s="365"/>
      <c r="U81" s="365"/>
      <c r="V81" s="365"/>
      <c r="W81" s="365"/>
      <c r="X81" s="365"/>
      <c r="Y81" s="3"/>
      <c r="AB81" s="3"/>
    </row>
    <row r="82" spans="11:28" x14ac:dyDescent="0.35">
      <c r="K82" s="366"/>
      <c r="L82" s="365"/>
      <c r="M82" s="365"/>
      <c r="N82" s="365"/>
      <c r="O82" s="365"/>
      <c r="P82" s="365"/>
      <c r="Q82" s="365"/>
      <c r="R82" s="365"/>
      <c r="S82" s="365"/>
      <c r="T82" s="365"/>
      <c r="U82" s="365"/>
      <c r="V82" s="365"/>
      <c r="W82" s="365"/>
      <c r="X82" s="365"/>
      <c r="Y82" s="3"/>
      <c r="AB82" s="3"/>
    </row>
    <row r="83" spans="11:28" x14ac:dyDescent="0.35">
      <c r="K83" s="366"/>
      <c r="L83" s="365"/>
      <c r="M83" s="365"/>
      <c r="N83" s="365"/>
      <c r="O83" s="365"/>
      <c r="P83" s="365"/>
      <c r="Q83" s="365"/>
      <c r="R83" s="365"/>
      <c r="S83" s="365"/>
      <c r="T83" s="365"/>
      <c r="U83" s="365"/>
      <c r="V83" s="365"/>
      <c r="W83" s="365"/>
      <c r="X83" s="365"/>
      <c r="Y83" s="3"/>
      <c r="AB83" s="3"/>
    </row>
    <row r="84" spans="11:28" x14ac:dyDescent="0.35">
      <c r="K84" s="366"/>
      <c r="L84" s="365"/>
      <c r="M84" s="365"/>
      <c r="N84" s="365"/>
      <c r="O84" s="365"/>
      <c r="P84" s="365"/>
      <c r="Q84" s="365"/>
      <c r="R84" s="365"/>
      <c r="S84" s="365"/>
      <c r="T84" s="365"/>
      <c r="U84" s="365"/>
      <c r="V84" s="365"/>
      <c r="W84" s="365"/>
      <c r="X84" s="365"/>
    </row>
    <row r="85" spans="11:28" x14ac:dyDescent="0.35">
      <c r="K85" s="366"/>
      <c r="L85" s="365"/>
      <c r="M85" s="365"/>
      <c r="N85" s="365"/>
      <c r="O85" s="365"/>
      <c r="P85" s="365"/>
      <c r="Q85" s="365"/>
      <c r="R85" s="365"/>
      <c r="S85" s="365"/>
      <c r="T85" s="365"/>
      <c r="U85" s="365"/>
      <c r="V85" s="365"/>
      <c r="W85" s="365"/>
      <c r="X85" s="365"/>
    </row>
    <row r="86" spans="11:28" x14ac:dyDescent="0.35">
      <c r="K86" s="366"/>
      <c r="L86" s="365"/>
      <c r="M86" s="365"/>
      <c r="N86" s="365"/>
      <c r="O86" s="365"/>
      <c r="P86" s="365"/>
      <c r="Q86" s="365"/>
      <c r="R86" s="365"/>
      <c r="S86" s="365"/>
      <c r="T86" s="365"/>
      <c r="U86" s="365"/>
      <c r="V86" s="365"/>
      <c r="W86" s="365"/>
      <c r="X86" s="365"/>
    </row>
    <row r="87" spans="11:28" x14ac:dyDescent="0.35">
      <c r="K87" s="366"/>
      <c r="L87" s="365"/>
      <c r="M87" s="365"/>
      <c r="N87" s="365"/>
      <c r="O87" s="365"/>
      <c r="P87" s="365"/>
      <c r="Q87" s="365"/>
      <c r="R87" s="365"/>
      <c r="S87" s="365"/>
      <c r="T87" s="365"/>
      <c r="U87" s="365"/>
      <c r="V87" s="365"/>
      <c r="W87" s="365"/>
      <c r="X87" s="365"/>
    </row>
    <row r="88" spans="11:28" x14ac:dyDescent="0.35">
      <c r="K88" s="366"/>
      <c r="L88" s="365"/>
      <c r="M88" s="365"/>
      <c r="N88" s="365"/>
      <c r="O88" s="365"/>
      <c r="P88" s="365"/>
      <c r="Q88" s="365"/>
      <c r="R88" s="365"/>
      <c r="S88" s="365"/>
      <c r="T88" s="365"/>
      <c r="U88" s="365"/>
      <c r="V88" s="365"/>
      <c r="W88" s="365"/>
      <c r="X88" s="365"/>
    </row>
    <row r="89" spans="11:28" x14ac:dyDescent="0.35">
      <c r="K89" s="366"/>
      <c r="L89" s="365"/>
      <c r="M89" s="365"/>
      <c r="N89" s="365"/>
      <c r="O89" s="365"/>
      <c r="P89" s="365"/>
      <c r="Q89" s="365"/>
      <c r="R89" s="365"/>
      <c r="S89" s="365"/>
      <c r="T89" s="365"/>
      <c r="U89" s="365"/>
      <c r="V89" s="365"/>
      <c r="W89" s="365"/>
      <c r="X89" s="365"/>
    </row>
    <row r="90" spans="11:28" x14ac:dyDescent="0.35">
      <c r="K90" s="366"/>
      <c r="L90" s="365"/>
      <c r="M90" s="365"/>
      <c r="N90" s="365"/>
      <c r="O90" s="365"/>
      <c r="P90" s="365"/>
      <c r="Q90" s="365"/>
      <c r="R90" s="365"/>
      <c r="S90" s="365"/>
      <c r="T90" s="365"/>
      <c r="U90" s="365"/>
      <c r="V90" s="365"/>
      <c r="W90" s="365"/>
      <c r="X90" s="365"/>
    </row>
    <row r="91" spans="11:28" x14ac:dyDescent="0.35">
      <c r="K91" s="366"/>
      <c r="L91" s="365"/>
      <c r="M91" s="365"/>
      <c r="N91" s="365"/>
      <c r="O91" s="365"/>
      <c r="P91" s="365"/>
      <c r="Q91" s="365"/>
      <c r="R91" s="365"/>
      <c r="S91" s="365"/>
      <c r="T91" s="365"/>
      <c r="U91" s="365"/>
      <c r="V91" s="365"/>
      <c r="W91" s="365"/>
      <c r="X91" s="365"/>
    </row>
    <row r="92" spans="11:28" x14ac:dyDescent="0.35">
      <c r="K92" s="366"/>
      <c r="L92" s="365"/>
      <c r="M92" s="365"/>
      <c r="N92" s="365"/>
      <c r="O92" s="365"/>
      <c r="P92" s="365"/>
      <c r="Q92" s="365"/>
      <c r="R92" s="365"/>
      <c r="S92" s="365"/>
      <c r="T92" s="365"/>
      <c r="U92" s="365"/>
      <c r="V92" s="365"/>
      <c r="W92" s="365"/>
      <c r="X92" s="365"/>
    </row>
    <row r="93" spans="11:28" x14ac:dyDescent="0.35">
      <c r="K93" s="366"/>
      <c r="L93" s="365"/>
      <c r="M93" s="365"/>
      <c r="N93" s="365"/>
      <c r="O93" s="365"/>
      <c r="P93" s="365"/>
      <c r="Q93" s="365"/>
      <c r="R93" s="365"/>
      <c r="S93" s="365"/>
      <c r="T93" s="365"/>
      <c r="U93" s="365"/>
      <c r="V93" s="365"/>
      <c r="W93" s="365"/>
      <c r="X93" s="365"/>
    </row>
    <row r="94" spans="11:28" x14ac:dyDescent="0.35">
      <c r="K94" s="366"/>
      <c r="L94" s="365"/>
      <c r="M94" s="365"/>
      <c r="N94" s="365"/>
      <c r="O94" s="365"/>
      <c r="P94" s="365"/>
      <c r="Q94" s="365"/>
      <c r="R94" s="365"/>
      <c r="S94" s="365"/>
      <c r="T94" s="365"/>
      <c r="U94" s="365"/>
      <c r="V94" s="365"/>
      <c r="W94" s="365"/>
      <c r="X94" s="365"/>
    </row>
    <row r="95" spans="11:28" x14ac:dyDescent="0.35">
      <c r="K95" s="366"/>
      <c r="L95" s="365"/>
      <c r="M95" s="365"/>
      <c r="N95" s="365"/>
      <c r="O95" s="365"/>
      <c r="P95" s="365"/>
      <c r="Q95" s="365"/>
      <c r="R95" s="365"/>
      <c r="S95" s="365"/>
      <c r="T95" s="365"/>
      <c r="U95" s="365"/>
      <c r="V95" s="365"/>
      <c r="W95" s="365"/>
      <c r="X95" s="365"/>
    </row>
    <row r="96" spans="11:28" x14ac:dyDescent="0.35">
      <c r="K96" s="366"/>
      <c r="L96" s="365"/>
      <c r="M96" s="365"/>
      <c r="N96" s="365"/>
      <c r="O96" s="365"/>
      <c r="P96" s="365"/>
      <c r="Q96" s="365"/>
      <c r="R96" s="365"/>
      <c r="S96" s="365"/>
      <c r="T96" s="365"/>
      <c r="U96" s="365"/>
      <c r="V96" s="365"/>
      <c r="W96" s="365"/>
      <c r="X96" s="365"/>
    </row>
    <row r="97" spans="11:24" x14ac:dyDescent="0.35">
      <c r="K97" s="366"/>
      <c r="L97" s="365"/>
      <c r="M97" s="365"/>
      <c r="N97" s="365"/>
      <c r="O97" s="365"/>
      <c r="P97" s="365"/>
      <c r="Q97" s="365"/>
      <c r="R97" s="365"/>
      <c r="S97" s="365"/>
      <c r="T97" s="365"/>
      <c r="U97" s="365"/>
      <c r="V97" s="365"/>
      <c r="W97" s="365"/>
      <c r="X97" s="365"/>
    </row>
    <row r="98" spans="11:24" x14ac:dyDescent="0.35">
      <c r="K98" s="366"/>
      <c r="L98" s="365"/>
      <c r="M98" s="365"/>
      <c r="N98" s="365"/>
      <c r="O98" s="365"/>
      <c r="P98" s="365"/>
      <c r="Q98" s="365"/>
      <c r="R98" s="365"/>
      <c r="S98" s="365"/>
      <c r="T98" s="365"/>
      <c r="U98" s="365"/>
      <c r="V98" s="365"/>
      <c r="W98" s="365"/>
      <c r="X98" s="365"/>
    </row>
    <row r="99" spans="11:24" x14ac:dyDescent="0.35">
      <c r="K99" s="366"/>
      <c r="L99" s="365"/>
      <c r="M99" s="365"/>
      <c r="N99" s="365"/>
      <c r="O99" s="365"/>
      <c r="P99" s="365"/>
      <c r="Q99" s="365"/>
      <c r="R99" s="365"/>
      <c r="S99" s="365"/>
      <c r="T99" s="365"/>
      <c r="U99" s="365"/>
      <c r="V99" s="365"/>
      <c r="W99" s="365"/>
      <c r="X99" s="365"/>
    </row>
    <row r="100" spans="11:24" x14ac:dyDescent="0.35">
      <c r="K100" s="366"/>
      <c r="L100" s="365"/>
      <c r="M100" s="365"/>
      <c r="N100" s="365"/>
      <c r="O100" s="365"/>
      <c r="P100" s="365"/>
      <c r="Q100" s="365"/>
      <c r="R100" s="365"/>
      <c r="S100" s="365"/>
      <c r="T100" s="365"/>
      <c r="U100" s="365"/>
      <c r="V100" s="365"/>
      <c r="W100" s="365"/>
      <c r="X100" s="365"/>
    </row>
    <row r="101" spans="11:24" x14ac:dyDescent="0.35">
      <c r="K101" s="366"/>
      <c r="L101" s="365"/>
      <c r="M101" s="365"/>
      <c r="N101" s="365"/>
      <c r="O101" s="365"/>
      <c r="P101" s="365"/>
      <c r="Q101" s="365"/>
      <c r="R101" s="365"/>
      <c r="S101" s="365"/>
      <c r="T101" s="365"/>
      <c r="U101" s="365"/>
      <c r="V101" s="365"/>
      <c r="W101" s="365"/>
      <c r="X101" s="365"/>
    </row>
    <row r="102" spans="11:24" x14ac:dyDescent="0.35">
      <c r="K102" s="366"/>
      <c r="L102" s="365"/>
      <c r="M102" s="365"/>
      <c r="N102" s="365"/>
      <c r="O102" s="365"/>
      <c r="P102" s="365"/>
      <c r="Q102" s="365"/>
      <c r="R102" s="365"/>
      <c r="S102" s="365"/>
      <c r="T102" s="365"/>
      <c r="U102" s="365"/>
      <c r="V102" s="365"/>
      <c r="W102" s="365"/>
      <c r="X102" s="365"/>
    </row>
    <row r="103" spans="11:24" x14ac:dyDescent="0.35">
      <c r="K103" s="366"/>
      <c r="L103" s="365"/>
      <c r="M103" s="365"/>
      <c r="N103" s="365"/>
      <c r="O103" s="365"/>
      <c r="P103" s="365"/>
      <c r="Q103" s="365"/>
      <c r="R103" s="365"/>
      <c r="S103" s="365"/>
      <c r="T103" s="365"/>
      <c r="U103" s="365"/>
      <c r="V103" s="365"/>
      <c r="W103" s="365"/>
      <c r="X103" s="365"/>
    </row>
    <row r="104" spans="11:24" x14ac:dyDescent="0.35">
      <c r="K104" s="366"/>
      <c r="L104" s="365"/>
      <c r="M104" s="365"/>
      <c r="N104" s="365"/>
      <c r="O104" s="365"/>
      <c r="P104" s="365"/>
      <c r="Q104" s="365"/>
      <c r="R104" s="365"/>
      <c r="S104" s="365"/>
      <c r="T104" s="365"/>
      <c r="U104" s="365"/>
      <c r="V104" s="365"/>
      <c r="W104" s="365"/>
      <c r="X104" s="365"/>
    </row>
    <row r="105" spans="11:24" x14ac:dyDescent="0.35">
      <c r="K105" s="366"/>
      <c r="L105" s="365"/>
      <c r="M105" s="365"/>
      <c r="N105" s="365"/>
      <c r="O105" s="365"/>
      <c r="P105" s="365"/>
      <c r="Q105" s="365"/>
      <c r="R105" s="365"/>
      <c r="S105" s="365"/>
      <c r="T105" s="365"/>
      <c r="U105" s="365"/>
      <c r="V105" s="365"/>
      <c r="W105" s="365"/>
      <c r="X105" s="365"/>
    </row>
    <row r="106" spans="11:24" x14ac:dyDescent="0.35">
      <c r="K106" s="366"/>
      <c r="L106" s="365"/>
      <c r="M106" s="365"/>
      <c r="N106" s="365"/>
      <c r="O106" s="365"/>
      <c r="P106" s="365"/>
      <c r="Q106" s="365"/>
      <c r="R106" s="365"/>
      <c r="S106" s="365"/>
      <c r="T106" s="365"/>
      <c r="U106" s="365"/>
      <c r="V106" s="365"/>
      <c r="W106" s="365"/>
      <c r="X106" s="365"/>
    </row>
    <row r="107" spans="11:24" x14ac:dyDescent="0.35">
      <c r="K107" s="366"/>
      <c r="L107" s="365"/>
      <c r="M107" s="365"/>
      <c r="N107" s="365"/>
      <c r="O107" s="365"/>
      <c r="P107" s="365"/>
      <c r="Q107" s="365"/>
      <c r="R107" s="365"/>
      <c r="S107" s="365"/>
      <c r="T107" s="365"/>
      <c r="U107" s="365"/>
      <c r="V107" s="365"/>
      <c r="W107" s="365"/>
      <c r="X107" s="365"/>
    </row>
    <row r="108" spans="11:24" x14ac:dyDescent="0.35">
      <c r="K108" s="366"/>
      <c r="L108" s="365"/>
      <c r="M108" s="365"/>
      <c r="N108" s="365"/>
      <c r="O108" s="365"/>
      <c r="P108" s="365"/>
      <c r="Q108" s="365"/>
      <c r="R108" s="365"/>
      <c r="S108" s="365"/>
      <c r="T108" s="365"/>
      <c r="U108" s="365"/>
      <c r="V108" s="365"/>
      <c r="W108" s="365"/>
      <c r="X108" s="365"/>
    </row>
    <row r="109" spans="11:24" x14ac:dyDescent="0.35">
      <c r="K109" s="366"/>
      <c r="L109" s="365"/>
      <c r="M109" s="365"/>
      <c r="N109" s="365"/>
      <c r="O109" s="365"/>
      <c r="P109" s="365"/>
      <c r="Q109" s="365"/>
      <c r="R109" s="365"/>
      <c r="S109" s="365"/>
      <c r="T109" s="365"/>
      <c r="U109" s="365"/>
      <c r="V109" s="365"/>
      <c r="W109" s="365"/>
      <c r="X109" s="365"/>
    </row>
    <row r="110" spans="11:24" x14ac:dyDescent="0.35">
      <c r="K110" s="366"/>
      <c r="L110" s="365"/>
      <c r="M110" s="365"/>
      <c r="N110" s="365"/>
      <c r="O110" s="365"/>
      <c r="P110" s="365"/>
      <c r="Q110" s="365"/>
      <c r="R110" s="365"/>
      <c r="S110" s="365"/>
      <c r="T110" s="365"/>
      <c r="U110" s="365"/>
      <c r="V110" s="365"/>
      <c r="W110" s="365"/>
      <c r="X110" s="365"/>
    </row>
    <row r="111" spans="11:24" x14ac:dyDescent="0.35">
      <c r="K111" s="366"/>
      <c r="L111" s="365"/>
      <c r="M111" s="365"/>
      <c r="N111" s="365"/>
      <c r="O111" s="365"/>
      <c r="P111" s="365"/>
      <c r="Q111" s="365"/>
      <c r="R111" s="365"/>
      <c r="S111" s="365"/>
      <c r="T111" s="365"/>
      <c r="U111" s="365"/>
      <c r="V111" s="365"/>
      <c r="W111" s="365"/>
      <c r="X111" s="365"/>
    </row>
    <row r="112" spans="11:24" x14ac:dyDescent="0.35">
      <c r="K112" s="366"/>
      <c r="L112" s="365"/>
      <c r="M112" s="365"/>
      <c r="N112" s="365"/>
      <c r="O112" s="365"/>
      <c r="P112" s="365"/>
      <c r="Q112" s="365"/>
      <c r="R112" s="365"/>
      <c r="S112" s="365"/>
      <c r="T112" s="365"/>
      <c r="U112" s="365"/>
      <c r="V112" s="365"/>
      <c r="W112" s="365"/>
      <c r="X112" s="365"/>
    </row>
    <row r="113" spans="11:24" x14ac:dyDescent="0.35">
      <c r="K113" s="366"/>
      <c r="L113" s="365"/>
      <c r="M113" s="365"/>
      <c r="N113" s="365"/>
      <c r="O113" s="365"/>
      <c r="P113" s="365"/>
      <c r="Q113" s="365"/>
      <c r="R113" s="365"/>
      <c r="S113" s="365"/>
      <c r="T113" s="365"/>
      <c r="U113" s="365"/>
      <c r="V113" s="365"/>
      <c r="W113" s="365"/>
      <c r="X113" s="365"/>
    </row>
    <row r="114" spans="11:24" x14ac:dyDescent="0.35">
      <c r="K114" s="366"/>
      <c r="L114" s="365"/>
      <c r="M114" s="365"/>
      <c r="N114" s="365"/>
      <c r="O114" s="365"/>
      <c r="P114" s="365"/>
      <c r="Q114" s="365"/>
      <c r="R114" s="365"/>
      <c r="S114" s="365"/>
      <c r="T114" s="365"/>
      <c r="U114" s="365"/>
      <c r="V114" s="365"/>
      <c r="W114" s="365"/>
      <c r="X114" s="365"/>
    </row>
    <row r="115" spans="11:24" x14ac:dyDescent="0.35">
      <c r="K115" s="366"/>
      <c r="L115" s="365"/>
      <c r="M115" s="365"/>
      <c r="N115" s="365"/>
      <c r="O115" s="365"/>
      <c r="P115" s="365"/>
      <c r="Q115" s="365"/>
      <c r="R115" s="365"/>
      <c r="S115" s="365"/>
      <c r="T115" s="365"/>
      <c r="U115" s="365"/>
      <c r="V115" s="365"/>
      <c r="W115" s="365"/>
      <c r="X115" s="365"/>
    </row>
    <row r="116" spans="11:24" x14ac:dyDescent="0.35">
      <c r="K116" s="366"/>
      <c r="L116" s="365"/>
      <c r="M116" s="365"/>
      <c r="N116" s="365"/>
      <c r="O116" s="365"/>
      <c r="P116" s="365"/>
      <c r="Q116" s="365"/>
      <c r="R116" s="365"/>
      <c r="S116" s="365"/>
      <c r="T116" s="365"/>
      <c r="U116" s="365"/>
      <c r="V116" s="365"/>
      <c r="W116" s="365"/>
      <c r="X116" s="365"/>
    </row>
    <row r="117" spans="11:24" x14ac:dyDescent="0.35">
      <c r="K117" s="366"/>
      <c r="L117" s="365"/>
      <c r="M117" s="365"/>
      <c r="N117" s="365"/>
      <c r="O117" s="365"/>
      <c r="P117" s="365"/>
      <c r="Q117" s="365"/>
      <c r="R117" s="365"/>
      <c r="S117" s="365"/>
      <c r="T117" s="365"/>
      <c r="U117" s="365"/>
      <c r="V117" s="365"/>
      <c r="W117" s="365"/>
      <c r="X117" s="365"/>
    </row>
    <row r="118" spans="11:24" x14ac:dyDescent="0.35">
      <c r="K118" s="366"/>
      <c r="L118" s="365"/>
      <c r="M118" s="365"/>
      <c r="N118" s="365"/>
      <c r="O118" s="365"/>
      <c r="P118" s="365"/>
      <c r="Q118" s="365"/>
      <c r="R118" s="365"/>
      <c r="S118" s="365"/>
      <c r="T118" s="365"/>
      <c r="U118" s="365"/>
      <c r="V118" s="365"/>
      <c r="W118" s="365"/>
      <c r="X118" s="365"/>
    </row>
    <row r="119" spans="11:24" x14ac:dyDescent="0.35">
      <c r="K119" s="366"/>
      <c r="L119" s="365"/>
      <c r="M119" s="365"/>
      <c r="N119" s="365"/>
      <c r="O119" s="365"/>
      <c r="P119" s="365"/>
      <c r="Q119" s="365"/>
      <c r="R119" s="365"/>
      <c r="S119" s="365"/>
      <c r="T119" s="365"/>
      <c r="U119" s="365"/>
      <c r="V119" s="365"/>
      <c r="W119" s="365"/>
      <c r="X119" s="365"/>
    </row>
    <row r="120" spans="11:24" x14ac:dyDescent="0.35">
      <c r="K120" s="366"/>
      <c r="L120" s="365"/>
      <c r="M120" s="365"/>
      <c r="N120" s="365"/>
      <c r="O120" s="365"/>
      <c r="P120" s="365"/>
      <c r="Q120" s="365"/>
      <c r="R120" s="365"/>
      <c r="S120" s="365"/>
      <c r="T120" s="365"/>
      <c r="U120" s="365"/>
      <c r="V120" s="365"/>
      <c r="W120" s="365"/>
      <c r="X120" s="365"/>
    </row>
    <row r="121" spans="11:24" x14ac:dyDescent="0.35">
      <c r="K121" s="366"/>
      <c r="L121" s="365"/>
      <c r="M121" s="365"/>
      <c r="N121" s="365"/>
      <c r="O121" s="365"/>
      <c r="P121" s="365"/>
      <c r="Q121" s="365"/>
      <c r="R121" s="365"/>
      <c r="S121" s="365"/>
      <c r="T121" s="365"/>
      <c r="U121" s="365"/>
      <c r="V121" s="365"/>
      <c r="W121" s="365"/>
      <c r="X121" s="365"/>
    </row>
    <row r="122" spans="11:24" x14ac:dyDescent="0.35">
      <c r="K122" s="366"/>
      <c r="L122" s="365"/>
      <c r="M122" s="365"/>
      <c r="N122" s="365"/>
      <c r="O122" s="365"/>
      <c r="P122" s="365"/>
      <c r="Q122" s="365"/>
      <c r="R122" s="365"/>
      <c r="S122" s="365"/>
      <c r="T122" s="365"/>
      <c r="U122" s="365"/>
      <c r="V122" s="365"/>
      <c r="W122" s="365"/>
      <c r="X122" s="365"/>
    </row>
    <row r="123" spans="11:24" x14ac:dyDescent="0.35">
      <c r="K123" s="366"/>
      <c r="L123" s="365"/>
      <c r="M123" s="365"/>
      <c r="N123" s="365"/>
      <c r="O123" s="365"/>
      <c r="P123" s="365"/>
      <c r="Q123" s="365"/>
      <c r="R123" s="365"/>
      <c r="S123" s="365"/>
      <c r="T123" s="365"/>
      <c r="U123" s="365"/>
      <c r="V123" s="365"/>
      <c r="W123" s="365"/>
      <c r="X123" s="365"/>
    </row>
    <row r="124" spans="11:24" x14ac:dyDescent="0.35">
      <c r="K124" s="366"/>
      <c r="L124" s="365"/>
      <c r="M124" s="365"/>
      <c r="N124" s="365"/>
      <c r="O124" s="365"/>
      <c r="P124" s="365"/>
      <c r="Q124" s="365"/>
      <c r="R124" s="365"/>
      <c r="S124" s="365"/>
      <c r="T124" s="365"/>
      <c r="U124" s="365"/>
      <c r="V124" s="365"/>
      <c r="W124" s="365"/>
      <c r="X124" s="365"/>
    </row>
    <row r="125" spans="11:24" x14ac:dyDescent="0.35">
      <c r="K125" s="366"/>
      <c r="L125" s="365"/>
      <c r="M125" s="365"/>
      <c r="N125" s="365"/>
      <c r="O125" s="365"/>
      <c r="P125" s="365"/>
      <c r="Q125" s="365"/>
      <c r="R125" s="365"/>
      <c r="S125" s="365"/>
      <c r="T125" s="365"/>
      <c r="U125" s="365"/>
      <c r="V125" s="365"/>
      <c r="W125" s="365"/>
      <c r="X125" s="365"/>
    </row>
    <row r="126" spans="11:24" x14ac:dyDescent="0.35">
      <c r="K126" s="366"/>
      <c r="L126" s="365"/>
      <c r="M126" s="365"/>
      <c r="N126" s="365"/>
      <c r="O126" s="365"/>
      <c r="P126" s="365"/>
      <c r="Q126" s="365"/>
      <c r="R126" s="365"/>
      <c r="S126" s="365"/>
      <c r="T126" s="365"/>
      <c r="U126" s="365"/>
      <c r="V126" s="365"/>
      <c r="W126" s="365"/>
      <c r="X126" s="365"/>
    </row>
    <row r="127" spans="11:24" x14ac:dyDescent="0.35">
      <c r="K127" s="366"/>
      <c r="L127" s="365"/>
      <c r="M127" s="365"/>
      <c r="N127" s="365"/>
      <c r="O127" s="365"/>
      <c r="P127" s="365"/>
      <c r="Q127" s="365"/>
      <c r="R127" s="365"/>
      <c r="S127" s="365"/>
      <c r="T127" s="365"/>
      <c r="U127" s="365"/>
      <c r="V127" s="365"/>
      <c r="W127" s="365"/>
      <c r="X127" s="365"/>
    </row>
    <row r="128" spans="11:24" x14ac:dyDescent="0.35">
      <c r="K128" s="366"/>
      <c r="L128" s="365"/>
      <c r="M128" s="365"/>
      <c r="N128" s="365"/>
      <c r="O128" s="365"/>
      <c r="P128" s="365"/>
      <c r="Q128" s="365"/>
      <c r="R128" s="365"/>
      <c r="S128" s="365"/>
      <c r="T128" s="365"/>
      <c r="U128" s="365"/>
      <c r="V128" s="365"/>
      <c r="W128" s="365"/>
      <c r="X128" s="365"/>
    </row>
    <row r="129" spans="11:24" x14ac:dyDescent="0.35">
      <c r="K129" s="366"/>
      <c r="L129" s="365"/>
      <c r="M129" s="365"/>
      <c r="N129" s="365"/>
      <c r="O129" s="365"/>
      <c r="P129" s="365"/>
      <c r="Q129" s="365"/>
      <c r="R129" s="365"/>
      <c r="S129" s="365"/>
      <c r="T129" s="365"/>
      <c r="U129" s="365"/>
      <c r="V129" s="365"/>
      <c r="W129" s="365"/>
      <c r="X129" s="365"/>
    </row>
    <row r="130" spans="11:24" x14ac:dyDescent="0.35">
      <c r="K130" s="366"/>
      <c r="L130" s="365"/>
      <c r="M130" s="365"/>
      <c r="N130" s="365"/>
      <c r="O130" s="365"/>
      <c r="P130" s="365"/>
      <c r="Q130" s="365"/>
      <c r="R130" s="365"/>
      <c r="S130" s="365"/>
      <c r="T130" s="365"/>
      <c r="U130" s="365"/>
      <c r="V130" s="365"/>
      <c r="W130" s="365"/>
      <c r="X130" s="365"/>
    </row>
    <row r="131" spans="11:24" x14ac:dyDescent="0.35">
      <c r="K131" s="366"/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  <c r="X131" s="365"/>
    </row>
    <row r="132" spans="11:24" x14ac:dyDescent="0.35">
      <c r="K132" s="366"/>
      <c r="L132" s="365"/>
      <c r="M132" s="365"/>
      <c r="N132" s="365"/>
      <c r="O132" s="365"/>
      <c r="P132" s="365"/>
      <c r="Q132" s="365"/>
      <c r="R132" s="365"/>
      <c r="S132" s="365"/>
      <c r="T132" s="365"/>
      <c r="U132" s="365"/>
      <c r="V132" s="365"/>
      <c r="W132" s="365"/>
      <c r="X132" s="365"/>
    </row>
    <row r="133" spans="11:24" x14ac:dyDescent="0.35">
      <c r="K133" s="366"/>
      <c r="L133" s="365"/>
      <c r="M133" s="365"/>
      <c r="N133" s="365"/>
      <c r="O133" s="365"/>
      <c r="P133" s="365"/>
      <c r="Q133" s="365"/>
      <c r="R133" s="365"/>
      <c r="S133" s="365"/>
      <c r="T133" s="365"/>
      <c r="U133" s="365"/>
      <c r="V133" s="365"/>
      <c r="W133" s="365"/>
      <c r="X133" s="365"/>
    </row>
    <row r="134" spans="11:24" x14ac:dyDescent="0.35">
      <c r="K134" s="366"/>
      <c r="L134" s="365"/>
      <c r="M134" s="365"/>
      <c r="N134" s="365"/>
      <c r="O134" s="365"/>
      <c r="P134" s="365"/>
      <c r="Q134" s="365"/>
      <c r="R134" s="365"/>
      <c r="S134" s="365"/>
      <c r="T134" s="365"/>
      <c r="U134" s="365"/>
      <c r="V134" s="365"/>
      <c r="W134" s="365"/>
      <c r="X134" s="365"/>
    </row>
    <row r="135" spans="11:24" x14ac:dyDescent="0.35">
      <c r="K135" s="366"/>
      <c r="L135" s="365"/>
      <c r="M135" s="365"/>
      <c r="N135" s="365"/>
      <c r="O135" s="365"/>
      <c r="P135" s="365"/>
      <c r="Q135" s="365"/>
      <c r="R135" s="365"/>
      <c r="S135" s="365"/>
      <c r="T135" s="365"/>
      <c r="U135" s="365"/>
      <c r="V135" s="365"/>
      <c r="W135" s="365"/>
      <c r="X135" s="365"/>
    </row>
    <row r="136" spans="11:24" x14ac:dyDescent="0.35">
      <c r="K136" s="366"/>
      <c r="L136" s="365"/>
      <c r="M136" s="365"/>
      <c r="N136" s="365"/>
      <c r="O136" s="365"/>
      <c r="P136" s="365"/>
      <c r="Q136" s="365"/>
      <c r="R136" s="365"/>
      <c r="S136" s="365"/>
      <c r="T136" s="365"/>
      <c r="U136" s="365"/>
      <c r="V136" s="365"/>
      <c r="W136" s="365"/>
      <c r="X136" s="365"/>
    </row>
    <row r="137" spans="11:24" x14ac:dyDescent="0.35">
      <c r="K137" s="366"/>
      <c r="L137" s="365"/>
      <c r="M137" s="365"/>
      <c r="N137" s="365"/>
      <c r="O137" s="365"/>
      <c r="P137" s="365"/>
      <c r="Q137" s="365"/>
      <c r="R137" s="365"/>
      <c r="S137" s="365"/>
      <c r="T137" s="365"/>
      <c r="U137" s="365"/>
      <c r="V137" s="365"/>
      <c r="W137" s="365"/>
      <c r="X137" s="365"/>
    </row>
    <row r="138" spans="11:24" x14ac:dyDescent="0.35">
      <c r="K138" s="366"/>
      <c r="L138" s="365"/>
      <c r="M138" s="365"/>
      <c r="N138" s="365"/>
      <c r="O138" s="365"/>
      <c r="P138" s="365"/>
      <c r="Q138" s="365"/>
      <c r="R138" s="365"/>
      <c r="S138" s="365"/>
      <c r="T138" s="365"/>
      <c r="U138" s="365"/>
      <c r="V138" s="365"/>
      <c r="W138" s="365"/>
      <c r="X138" s="365"/>
    </row>
    <row r="139" spans="11:24" x14ac:dyDescent="0.35">
      <c r="K139" s="366"/>
      <c r="L139" s="365"/>
      <c r="M139" s="365"/>
      <c r="N139" s="365"/>
      <c r="O139" s="365"/>
      <c r="P139" s="365"/>
      <c r="Q139" s="365"/>
      <c r="R139" s="365"/>
      <c r="S139" s="365"/>
      <c r="T139" s="365"/>
      <c r="U139" s="365"/>
      <c r="V139" s="365"/>
      <c r="W139" s="365"/>
      <c r="X139" s="365"/>
    </row>
    <row r="140" spans="11:24" x14ac:dyDescent="0.35">
      <c r="K140" s="366"/>
      <c r="L140" s="365"/>
      <c r="M140" s="365"/>
      <c r="N140" s="365"/>
      <c r="O140" s="365"/>
      <c r="P140" s="365"/>
      <c r="Q140" s="365"/>
      <c r="R140" s="365"/>
      <c r="S140" s="365"/>
      <c r="T140" s="365"/>
      <c r="U140" s="365"/>
      <c r="V140" s="365"/>
      <c r="W140" s="365"/>
      <c r="X140" s="365"/>
    </row>
    <row r="141" spans="11:24" x14ac:dyDescent="0.35">
      <c r="K141" s="366"/>
      <c r="L141" s="365"/>
      <c r="M141" s="365"/>
      <c r="N141" s="365"/>
      <c r="O141" s="365"/>
      <c r="P141" s="365"/>
      <c r="Q141" s="365"/>
      <c r="R141" s="365"/>
      <c r="S141" s="365"/>
      <c r="T141" s="365"/>
      <c r="U141" s="365"/>
      <c r="V141" s="365"/>
      <c r="W141" s="365"/>
      <c r="X141" s="365"/>
    </row>
    <row r="142" spans="11:24" x14ac:dyDescent="0.35">
      <c r="K142" s="366"/>
      <c r="L142" s="365"/>
      <c r="M142" s="365"/>
      <c r="N142" s="365"/>
      <c r="O142" s="365"/>
      <c r="P142" s="365"/>
      <c r="Q142" s="365"/>
      <c r="R142" s="365"/>
      <c r="S142" s="365"/>
      <c r="T142" s="365"/>
      <c r="U142" s="365"/>
      <c r="V142" s="365"/>
      <c r="W142" s="365"/>
      <c r="X142" s="365"/>
    </row>
    <row r="143" spans="11:24" x14ac:dyDescent="0.35">
      <c r="K143" s="366"/>
      <c r="L143" s="365"/>
      <c r="M143" s="365"/>
      <c r="N143" s="365"/>
      <c r="O143" s="365"/>
      <c r="P143" s="365"/>
      <c r="Q143" s="365"/>
      <c r="R143" s="365"/>
      <c r="S143" s="365"/>
      <c r="T143" s="365"/>
      <c r="U143" s="365"/>
      <c r="V143" s="365"/>
      <c r="W143" s="365"/>
      <c r="X143" s="365"/>
    </row>
    <row r="144" spans="11:24" x14ac:dyDescent="0.35">
      <c r="K144" s="366"/>
      <c r="L144" s="365"/>
      <c r="M144" s="365"/>
      <c r="N144" s="365"/>
      <c r="O144" s="365"/>
      <c r="P144" s="365"/>
      <c r="Q144" s="365"/>
      <c r="R144" s="365"/>
      <c r="S144" s="365"/>
      <c r="T144" s="365"/>
      <c r="U144" s="365"/>
      <c r="V144" s="365"/>
      <c r="W144" s="365"/>
      <c r="X144" s="365"/>
    </row>
    <row r="145" spans="11:24" x14ac:dyDescent="0.35">
      <c r="K145" s="366"/>
      <c r="L145" s="365"/>
      <c r="M145" s="365"/>
      <c r="N145" s="365"/>
      <c r="O145" s="365"/>
      <c r="P145" s="365"/>
      <c r="Q145" s="365"/>
      <c r="R145" s="365"/>
      <c r="S145" s="365"/>
      <c r="T145" s="365"/>
      <c r="U145" s="365"/>
      <c r="V145" s="365"/>
      <c r="W145" s="365"/>
      <c r="X145" s="365"/>
    </row>
    <row r="146" spans="11:24" x14ac:dyDescent="0.35">
      <c r="K146" s="366"/>
      <c r="L146" s="365"/>
      <c r="M146" s="365"/>
      <c r="N146" s="365"/>
      <c r="O146" s="365"/>
      <c r="P146" s="365"/>
      <c r="Q146" s="365"/>
      <c r="R146" s="365"/>
      <c r="S146" s="365"/>
      <c r="T146" s="365"/>
      <c r="U146" s="365"/>
      <c r="V146" s="365"/>
      <c r="W146" s="365"/>
      <c r="X146" s="365"/>
    </row>
    <row r="147" spans="11:24" x14ac:dyDescent="0.35">
      <c r="K147" s="366"/>
      <c r="L147" s="365"/>
      <c r="M147" s="365"/>
      <c r="N147" s="365"/>
      <c r="O147" s="365"/>
      <c r="P147" s="365"/>
      <c r="Q147" s="365"/>
      <c r="R147" s="365"/>
      <c r="S147" s="365"/>
      <c r="T147" s="365"/>
      <c r="U147" s="365"/>
      <c r="V147" s="365"/>
      <c r="W147" s="365"/>
      <c r="X147" s="365"/>
    </row>
    <row r="148" spans="11:24" x14ac:dyDescent="0.35">
      <c r="K148" s="366"/>
      <c r="L148" s="365"/>
      <c r="M148" s="365"/>
      <c r="N148" s="365"/>
      <c r="O148" s="365"/>
      <c r="P148" s="365"/>
      <c r="Q148" s="365"/>
      <c r="R148" s="365"/>
      <c r="S148" s="365"/>
      <c r="T148" s="365"/>
      <c r="U148" s="365"/>
      <c r="V148" s="365"/>
      <c r="W148" s="365"/>
      <c r="X148" s="365"/>
    </row>
    <row r="149" spans="11:24" x14ac:dyDescent="0.35">
      <c r="K149" s="366"/>
      <c r="L149" s="365"/>
      <c r="M149" s="365"/>
      <c r="N149" s="365"/>
      <c r="O149" s="365"/>
      <c r="P149" s="365"/>
      <c r="Q149" s="365"/>
      <c r="R149" s="365"/>
      <c r="S149" s="365"/>
      <c r="T149" s="365"/>
      <c r="U149" s="365"/>
      <c r="V149" s="365"/>
      <c r="W149" s="365"/>
      <c r="X149" s="365"/>
    </row>
    <row r="150" spans="11:24" x14ac:dyDescent="0.35">
      <c r="K150" s="366"/>
      <c r="L150" s="365"/>
      <c r="M150" s="365"/>
      <c r="N150" s="365"/>
      <c r="O150" s="365"/>
      <c r="P150" s="365"/>
      <c r="Q150" s="365"/>
      <c r="R150" s="365"/>
      <c r="S150" s="365"/>
      <c r="T150" s="365"/>
      <c r="U150" s="365"/>
      <c r="V150" s="365"/>
      <c r="W150" s="365"/>
      <c r="X150" s="365"/>
    </row>
    <row r="151" spans="11:24" x14ac:dyDescent="0.35">
      <c r="K151" s="366"/>
      <c r="L151" s="365"/>
      <c r="M151" s="365"/>
      <c r="N151" s="365"/>
      <c r="O151" s="365"/>
      <c r="P151" s="365"/>
      <c r="Q151" s="365"/>
      <c r="R151" s="365"/>
      <c r="S151" s="365"/>
      <c r="T151" s="365"/>
      <c r="U151" s="365"/>
      <c r="V151" s="365"/>
      <c r="W151" s="365"/>
      <c r="X151" s="365"/>
    </row>
    <row r="152" spans="11:24" x14ac:dyDescent="0.35">
      <c r="K152" s="366"/>
      <c r="L152" s="365"/>
      <c r="M152" s="365"/>
      <c r="N152" s="365"/>
      <c r="O152" s="365"/>
      <c r="P152" s="365"/>
      <c r="Q152" s="365"/>
      <c r="R152" s="365"/>
      <c r="S152" s="365"/>
      <c r="T152" s="365"/>
      <c r="U152" s="365"/>
      <c r="V152" s="365"/>
      <c r="W152" s="365"/>
      <c r="X152" s="365"/>
    </row>
    <row r="153" spans="11:24" x14ac:dyDescent="0.35">
      <c r="K153" s="366"/>
      <c r="L153" s="365"/>
      <c r="M153" s="365"/>
      <c r="N153" s="365"/>
      <c r="O153" s="365"/>
      <c r="P153" s="365"/>
      <c r="Q153" s="365"/>
      <c r="R153" s="365"/>
      <c r="S153" s="365"/>
      <c r="T153" s="365"/>
      <c r="U153" s="365"/>
      <c r="V153" s="365"/>
      <c r="W153" s="365"/>
      <c r="X153" s="365"/>
    </row>
    <row r="154" spans="11:24" x14ac:dyDescent="0.35">
      <c r="K154" s="366"/>
      <c r="L154" s="365"/>
      <c r="M154" s="365"/>
      <c r="N154" s="365"/>
      <c r="O154" s="365"/>
      <c r="P154" s="365"/>
      <c r="Q154" s="365"/>
      <c r="R154" s="365"/>
      <c r="S154" s="365"/>
      <c r="T154" s="365"/>
      <c r="U154" s="365"/>
      <c r="V154" s="365"/>
      <c r="W154" s="365"/>
      <c r="X154" s="365"/>
    </row>
    <row r="155" spans="11:24" x14ac:dyDescent="0.35">
      <c r="K155" s="366"/>
      <c r="L155" s="365"/>
      <c r="M155" s="365"/>
      <c r="N155" s="365"/>
      <c r="O155" s="365"/>
      <c r="P155" s="365"/>
      <c r="Q155" s="365"/>
      <c r="R155" s="365"/>
      <c r="S155" s="365"/>
      <c r="T155" s="365"/>
      <c r="U155" s="365"/>
      <c r="V155" s="365"/>
      <c r="W155" s="365"/>
      <c r="X155" s="365"/>
    </row>
    <row r="156" spans="11:24" x14ac:dyDescent="0.35">
      <c r="K156" s="366"/>
      <c r="L156" s="365"/>
      <c r="M156" s="365"/>
      <c r="N156" s="365"/>
      <c r="O156" s="365"/>
      <c r="P156" s="365"/>
      <c r="Q156" s="365"/>
      <c r="R156" s="365"/>
      <c r="S156" s="365"/>
      <c r="T156" s="365"/>
      <c r="U156" s="365"/>
      <c r="V156" s="365"/>
      <c r="W156" s="365"/>
      <c r="X156" s="365"/>
    </row>
    <row r="157" spans="11:24" x14ac:dyDescent="0.35">
      <c r="K157" s="366"/>
      <c r="L157" s="365"/>
      <c r="M157" s="365"/>
      <c r="N157" s="365"/>
      <c r="O157" s="365"/>
      <c r="P157" s="365"/>
      <c r="Q157" s="365"/>
      <c r="R157" s="365"/>
      <c r="S157" s="365"/>
      <c r="T157" s="365"/>
      <c r="U157" s="365"/>
      <c r="V157" s="365"/>
      <c r="W157" s="365"/>
      <c r="X157" s="365"/>
    </row>
    <row r="158" spans="11:24" x14ac:dyDescent="0.35">
      <c r="K158" s="366"/>
      <c r="L158" s="365"/>
      <c r="M158" s="365"/>
      <c r="N158" s="365"/>
      <c r="O158" s="365"/>
      <c r="P158" s="365"/>
      <c r="Q158" s="365"/>
      <c r="R158" s="365"/>
      <c r="S158" s="365"/>
      <c r="T158" s="365"/>
      <c r="U158" s="365"/>
      <c r="V158" s="365"/>
      <c r="W158" s="365"/>
      <c r="X158" s="365"/>
    </row>
    <row r="159" spans="11:24" x14ac:dyDescent="0.35">
      <c r="K159" s="366"/>
      <c r="L159" s="365"/>
      <c r="M159" s="365"/>
      <c r="N159" s="365"/>
      <c r="O159" s="365"/>
      <c r="P159" s="365"/>
      <c r="Q159" s="365"/>
      <c r="R159" s="365"/>
      <c r="S159" s="365"/>
      <c r="T159" s="365"/>
      <c r="U159" s="365"/>
      <c r="V159" s="365"/>
      <c r="W159" s="365"/>
      <c r="X159" s="365"/>
    </row>
    <row r="160" spans="11:24" x14ac:dyDescent="0.35">
      <c r="K160" s="366"/>
      <c r="L160" s="365"/>
      <c r="M160" s="365"/>
      <c r="N160" s="365"/>
      <c r="O160" s="365"/>
      <c r="P160" s="365"/>
      <c r="Q160" s="365"/>
      <c r="R160" s="365"/>
      <c r="S160" s="365"/>
      <c r="T160" s="365"/>
      <c r="U160" s="365"/>
      <c r="V160" s="365"/>
      <c r="W160" s="365"/>
      <c r="X160" s="365"/>
    </row>
    <row r="161" spans="11:24" x14ac:dyDescent="0.35">
      <c r="K161" s="366"/>
      <c r="L161" s="365"/>
      <c r="M161" s="365"/>
      <c r="N161" s="365"/>
      <c r="O161" s="365"/>
      <c r="P161" s="365"/>
      <c r="Q161" s="365"/>
      <c r="R161" s="365"/>
      <c r="S161" s="365"/>
      <c r="T161" s="365"/>
      <c r="U161" s="365"/>
      <c r="V161" s="365"/>
      <c r="W161" s="365"/>
      <c r="X161" s="365"/>
    </row>
    <row r="162" spans="11:24" x14ac:dyDescent="0.35">
      <c r="K162" s="366"/>
      <c r="L162" s="365"/>
      <c r="M162" s="365"/>
      <c r="N162" s="365"/>
      <c r="O162" s="365"/>
      <c r="P162" s="365"/>
      <c r="Q162" s="365"/>
      <c r="R162" s="365"/>
      <c r="S162" s="365"/>
      <c r="T162" s="365"/>
      <c r="U162" s="365"/>
      <c r="V162" s="365"/>
      <c r="W162" s="365"/>
      <c r="X162" s="365"/>
    </row>
    <row r="163" spans="11:24" x14ac:dyDescent="0.35">
      <c r="K163" s="366"/>
      <c r="L163" s="365"/>
      <c r="M163" s="365"/>
      <c r="N163" s="365"/>
      <c r="O163" s="365"/>
      <c r="P163" s="365"/>
      <c r="Q163" s="365"/>
      <c r="R163" s="365"/>
      <c r="S163" s="365"/>
      <c r="T163" s="365"/>
      <c r="U163" s="365"/>
      <c r="V163" s="365"/>
      <c r="W163" s="365"/>
      <c r="X163" s="365"/>
    </row>
    <row r="164" spans="11:24" x14ac:dyDescent="0.35">
      <c r="K164" s="366"/>
      <c r="L164" s="365"/>
      <c r="M164" s="365"/>
      <c r="N164" s="365"/>
      <c r="O164" s="365"/>
      <c r="P164" s="365"/>
      <c r="Q164" s="365"/>
      <c r="R164" s="365"/>
      <c r="S164" s="365"/>
      <c r="T164" s="365"/>
      <c r="U164" s="365"/>
      <c r="V164" s="365"/>
      <c r="W164" s="365"/>
      <c r="X164" s="365"/>
    </row>
    <row r="165" spans="11:24" x14ac:dyDescent="0.35">
      <c r="K165" s="366"/>
      <c r="L165" s="365"/>
      <c r="M165" s="365"/>
      <c r="N165" s="365"/>
      <c r="O165" s="365"/>
      <c r="P165" s="365"/>
      <c r="Q165" s="365"/>
      <c r="R165" s="365"/>
      <c r="S165" s="365"/>
      <c r="T165" s="365"/>
      <c r="U165" s="365"/>
      <c r="V165" s="365"/>
      <c r="W165" s="365"/>
      <c r="X165" s="365"/>
    </row>
    <row r="166" spans="11:24" x14ac:dyDescent="0.35">
      <c r="K166" s="366"/>
      <c r="L166" s="365"/>
      <c r="M166" s="365"/>
      <c r="N166" s="365"/>
      <c r="O166" s="365"/>
      <c r="P166" s="365"/>
      <c r="Q166" s="365"/>
      <c r="R166" s="365"/>
      <c r="S166" s="365"/>
      <c r="T166" s="365"/>
      <c r="U166" s="365"/>
      <c r="V166" s="365"/>
      <c r="W166" s="365"/>
      <c r="X166" s="365"/>
    </row>
    <row r="167" spans="11:24" x14ac:dyDescent="0.35">
      <c r="K167" s="366"/>
      <c r="L167" s="365"/>
      <c r="M167" s="365"/>
      <c r="N167" s="365"/>
      <c r="O167" s="365"/>
      <c r="P167" s="365"/>
      <c r="Q167" s="365"/>
      <c r="R167" s="365"/>
      <c r="S167" s="365"/>
      <c r="T167" s="365"/>
      <c r="U167" s="365"/>
      <c r="V167" s="365"/>
      <c r="W167" s="365"/>
      <c r="X167" s="365"/>
    </row>
    <row r="168" spans="11:24" x14ac:dyDescent="0.35">
      <c r="K168" s="366"/>
      <c r="L168" s="365"/>
      <c r="M168" s="365"/>
      <c r="N168" s="365"/>
      <c r="O168" s="365"/>
      <c r="P168" s="365"/>
      <c r="Q168" s="365"/>
      <c r="R168" s="365"/>
      <c r="S168" s="365"/>
      <c r="T168" s="365"/>
      <c r="U168" s="365"/>
      <c r="V168" s="365"/>
      <c r="W168" s="365"/>
      <c r="X168" s="365"/>
    </row>
    <row r="169" spans="11:24" x14ac:dyDescent="0.35">
      <c r="K169" s="366"/>
      <c r="L169" s="365"/>
      <c r="M169" s="365"/>
      <c r="N169" s="365"/>
      <c r="O169" s="365"/>
      <c r="P169" s="365"/>
      <c r="Q169" s="365"/>
      <c r="R169" s="365"/>
      <c r="S169" s="365"/>
      <c r="T169" s="365"/>
      <c r="U169" s="365"/>
      <c r="V169" s="365"/>
      <c r="W169" s="365"/>
      <c r="X169" s="365"/>
    </row>
    <row r="170" spans="11:24" x14ac:dyDescent="0.35">
      <c r="K170" s="366"/>
      <c r="L170" s="365"/>
      <c r="M170" s="365"/>
      <c r="N170" s="365"/>
      <c r="O170" s="365"/>
      <c r="P170" s="365"/>
      <c r="Q170" s="365"/>
      <c r="R170" s="365"/>
      <c r="S170" s="365"/>
      <c r="T170" s="365"/>
      <c r="U170" s="365"/>
      <c r="V170" s="365"/>
      <c r="W170" s="365"/>
      <c r="X170" s="365"/>
    </row>
    <row r="171" spans="11:24" x14ac:dyDescent="0.35">
      <c r="K171" s="366"/>
      <c r="L171" s="365"/>
      <c r="M171" s="365"/>
      <c r="N171" s="365"/>
      <c r="O171" s="365"/>
      <c r="P171" s="365"/>
      <c r="Q171" s="365"/>
      <c r="R171" s="365"/>
      <c r="S171" s="365"/>
      <c r="T171" s="365"/>
      <c r="U171" s="365"/>
      <c r="V171" s="365"/>
      <c r="W171" s="365"/>
      <c r="X171" s="365"/>
    </row>
    <row r="172" spans="11:24" x14ac:dyDescent="0.35">
      <c r="K172" s="366"/>
      <c r="L172" s="365"/>
      <c r="M172" s="365"/>
      <c r="N172" s="365"/>
      <c r="O172" s="365"/>
      <c r="P172" s="365"/>
      <c r="Q172" s="365"/>
      <c r="R172" s="365"/>
      <c r="S172" s="365"/>
      <c r="T172" s="365"/>
      <c r="U172" s="365"/>
      <c r="V172" s="365"/>
      <c r="W172" s="365"/>
      <c r="X172" s="365"/>
    </row>
    <row r="173" spans="11:24" x14ac:dyDescent="0.35">
      <c r="K173" s="366"/>
      <c r="L173" s="365"/>
      <c r="M173" s="365"/>
      <c r="N173" s="365"/>
      <c r="O173" s="365"/>
      <c r="P173" s="365"/>
      <c r="Q173" s="365"/>
      <c r="R173" s="365"/>
      <c r="S173" s="365"/>
      <c r="T173" s="365"/>
      <c r="U173" s="365"/>
      <c r="V173" s="365"/>
      <c r="W173" s="365"/>
      <c r="X173" s="365"/>
    </row>
    <row r="174" spans="11:24" x14ac:dyDescent="0.35">
      <c r="K174" s="366"/>
      <c r="L174" s="365"/>
      <c r="M174" s="365"/>
      <c r="N174" s="365"/>
      <c r="O174" s="365"/>
      <c r="P174" s="365"/>
      <c r="Q174" s="365"/>
      <c r="R174" s="365"/>
      <c r="S174" s="365"/>
      <c r="T174" s="365"/>
      <c r="U174" s="365"/>
      <c r="V174" s="365"/>
      <c r="W174" s="365"/>
      <c r="X174" s="365"/>
    </row>
    <row r="175" spans="11:24" x14ac:dyDescent="0.35">
      <c r="K175" s="366"/>
      <c r="L175" s="365"/>
      <c r="M175" s="365"/>
      <c r="N175" s="365"/>
      <c r="O175" s="365"/>
      <c r="P175" s="365"/>
      <c r="Q175" s="365"/>
      <c r="R175" s="365"/>
      <c r="S175" s="365"/>
      <c r="T175" s="365"/>
      <c r="U175" s="365"/>
      <c r="V175" s="365"/>
      <c r="W175" s="365"/>
      <c r="X175" s="365"/>
    </row>
    <row r="176" spans="11:24" x14ac:dyDescent="0.35">
      <c r="K176" s="366"/>
      <c r="L176" s="365"/>
      <c r="M176" s="365"/>
      <c r="N176" s="365"/>
      <c r="O176" s="365"/>
      <c r="P176" s="365"/>
      <c r="Q176" s="365"/>
      <c r="R176" s="365"/>
      <c r="S176" s="365"/>
      <c r="T176" s="365"/>
      <c r="U176" s="365"/>
      <c r="V176" s="365"/>
      <c r="W176" s="365"/>
      <c r="X176" s="365"/>
    </row>
    <row r="177" spans="11:24" x14ac:dyDescent="0.35">
      <c r="K177" s="366"/>
      <c r="L177" s="365"/>
      <c r="M177" s="365"/>
      <c r="N177" s="365"/>
      <c r="O177" s="365"/>
      <c r="P177" s="365"/>
      <c r="Q177" s="365"/>
      <c r="R177" s="365"/>
      <c r="S177" s="365"/>
      <c r="T177" s="365"/>
      <c r="U177" s="365"/>
      <c r="V177" s="365"/>
      <c r="W177" s="365"/>
      <c r="X177" s="365"/>
    </row>
    <row r="178" spans="11:24" x14ac:dyDescent="0.35">
      <c r="K178" s="366"/>
      <c r="L178" s="365"/>
      <c r="M178" s="365"/>
      <c r="N178" s="365"/>
      <c r="O178" s="365"/>
      <c r="P178" s="365"/>
      <c r="Q178" s="365"/>
      <c r="R178" s="365"/>
      <c r="S178" s="365"/>
      <c r="T178" s="365"/>
      <c r="U178" s="365"/>
      <c r="V178" s="365"/>
      <c r="W178" s="365"/>
      <c r="X178" s="365"/>
    </row>
    <row r="179" spans="11:24" x14ac:dyDescent="0.35">
      <c r="K179" s="366"/>
      <c r="L179" s="365"/>
      <c r="M179" s="365"/>
      <c r="N179" s="365"/>
      <c r="O179" s="365"/>
      <c r="P179" s="365"/>
      <c r="Q179" s="365"/>
      <c r="R179" s="365"/>
      <c r="S179" s="365"/>
      <c r="T179" s="365"/>
      <c r="U179" s="365"/>
      <c r="V179" s="365"/>
      <c r="W179" s="365"/>
      <c r="X179" s="365"/>
    </row>
    <row r="180" spans="11:24" x14ac:dyDescent="0.35">
      <c r="K180" s="366"/>
      <c r="L180" s="365"/>
      <c r="M180" s="365"/>
      <c r="N180" s="365"/>
      <c r="O180" s="365"/>
      <c r="P180" s="365"/>
      <c r="Q180" s="365"/>
      <c r="R180" s="365"/>
      <c r="S180" s="365"/>
      <c r="T180" s="365"/>
      <c r="U180" s="365"/>
      <c r="V180" s="365"/>
      <c r="W180" s="365"/>
      <c r="X180" s="365"/>
    </row>
    <row r="181" spans="11:24" x14ac:dyDescent="0.35">
      <c r="K181" s="366"/>
      <c r="L181" s="365"/>
      <c r="M181" s="365"/>
      <c r="N181" s="365"/>
      <c r="O181" s="365"/>
      <c r="P181" s="365"/>
      <c r="Q181" s="365"/>
      <c r="R181" s="365"/>
      <c r="S181" s="365"/>
      <c r="T181" s="365"/>
      <c r="U181" s="365"/>
      <c r="V181" s="365"/>
      <c r="W181" s="365"/>
      <c r="X181" s="365"/>
    </row>
    <row r="182" spans="11:24" x14ac:dyDescent="0.35">
      <c r="K182" s="366"/>
      <c r="L182" s="365"/>
      <c r="M182" s="365"/>
      <c r="N182" s="365"/>
      <c r="O182" s="365"/>
      <c r="P182" s="365"/>
      <c r="Q182" s="365"/>
      <c r="R182" s="365"/>
      <c r="S182" s="365"/>
      <c r="T182" s="365"/>
      <c r="U182" s="365"/>
      <c r="V182" s="365"/>
      <c r="W182" s="365"/>
      <c r="X182" s="365"/>
    </row>
    <row r="183" spans="11:24" x14ac:dyDescent="0.35">
      <c r="K183" s="366"/>
      <c r="L183" s="365"/>
      <c r="M183" s="365"/>
      <c r="N183" s="365"/>
      <c r="O183" s="365"/>
      <c r="P183" s="365"/>
      <c r="Q183" s="365"/>
      <c r="R183" s="365"/>
      <c r="S183" s="365"/>
      <c r="T183" s="365"/>
      <c r="U183" s="365"/>
      <c r="V183" s="365"/>
      <c r="W183" s="365"/>
      <c r="X183" s="365"/>
    </row>
    <row r="184" spans="11:24" x14ac:dyDescent="0.35">
      <c r="K184" s="366"/>
      <c r="L184" s="365"/>
      <c r="M184" s="365"/>
      <c r="N184" s="365"/>
      <c r="O184" s="365"/>
      <c r="P184" s="365"/>
      <c r="Q184" s="365"/>
      <c r="R184" s="365"/>
      <c r="S184" s="365"/>
      <c r="T184" s="365"/>
      <c r="U184" s="365"/>
      <c r="V184" s="365"/>
      <c r="W184" s="365"/>
      <c r="X184" s="365"/>
    </row>
    <row r="185" spans="11:24" x14ac:dyDescent="0.35">
      <c r="K185" s="366"/>
      <c r="L185" s="365"/>
      <c r="M185" s="365"/>
      <c r="N185" s="365"/>
      <c r="O185" s="365"/>
      <c r="P185" s="365"/>
      <c r="Q185" s="365"/>
      <c r="R185" s="365"/>
      <c r="S185" s="365"/>
      <c r="T185" s="365"/>
      <c r="U185" s="365"/>
      <c r="V185" s="365"/>
      <c r="W185" s="365"/>
      <c r="X185" s="365"/>
    </row>
    <row r="186" spans="11:24" x14ac:dyDescent="0.35">
      <c r="K186" s="366"/>
      <c r="L186" s="365"/>
      <c r="M186" s="365"/>
      <c r="N186" s="365"/>
      <c r="O186" s="365"/>
      <c r="P186" s="365"/>
      <c r="Q186" s="365"/>
      <c r="R186" s="365"/>
      <c r="S186" s="365"/>
      <c r="T186" s="365"/>
      <c r="U186" s="365"/>
      <c r="V186" s="365"/>
      <c r="W186" s="365"/>
      <c r="X186" s="365"/>
    </row>
    <row r="187" spans="11:24" x14ac:dyDescent="0.35">
      <c r="K187" s="366"/>
      <c r="L187" s="365"/>
      <c r="M187" s="365"/>
      <c r="N187" s="365"/>
      <c r="O187" s="365"/>
      <c r="P187" s="365"/>
      <c r="Q187" s="365"/>
      <c r="R187" s="365"/>
      <c r="S187" s="365"/>
      <c r="T187" s="365"/>
      <c r="U187" s="365"/>
      <c r="V187" s="365"/>
      <c r="W187" s="365"/>
      <c r="X187" s="365"/>
    </row>
    <row r="188" spans="11:24" x14ac:dyDescent="0.35">
      <c r="K188" s="366"/>
      <c r="L188" s="365"/>
      <c r="M188" s="365"/>
      <c r="N188" s="365"/>
      <c r="O188" s="365"/>
      <c r="P188" s="365"/>
      <c r="Q188" s="365"/>
      <c r="R188" s="365"/>
      <c r="S188" s="365"/>
      <c r="T188" s="365"/>
      <c r="U188" s="365"/>
      <c r="V188" s="365"/>
      <c r="W188" s="365"/>
      <c r="X188" s="365"/>
    </row>
    <row r="189" spans="11:24" x14ac:dyDescent="0.35">
      <c r="K189" s="366"/>
      <c r="L189" s="365"/>
      <c r="M189" s="365"/>
      <c r="N189" s="365"/>
      <c r="O189" s="365"/>
      <c r="P189" s="365"/>
      <c r="Q189" s="365"/>
      <c r="R189" s="365"/>
      <c r="S189" s="365"/>
      <c r="T189" s="365"/>
      <c r="U189" s="365"/>
      <c r="V189" s="365"/>
      <c r="W189" s="365"/>
      <c r="X189" s="365"/>
    </row>
    <row r="190" spans="11:24" x14ac:dyDescent="0.35">
      <c r="K190" s="366"/>
      <c r="L190" s="365"/>
      <c r="M190" s="365"/>
      <c r="N190" s="365"/>
      <c r="O190" s="365"/>
      <c r="P190" s="365"/>
      <c r="Q190" s="365"/>
      <c r="R190" s="365"/>
      <c r="S190" s="365"/>
      <c r="T190" s="365"/>
      <c r="U190" s="365"/>
      <c r="V190" s="365"/>
      <c r="W190" s="365"/>
      <c r="X190" s="365"/>
    </row>
    <row r="191" spans="11:24" x14ac:dyDescent="0.35">
      <c r="K191" s="366"/>
      <c r="L191" s="365"/>
      <c r="M191" s="365"/>
      <c r="N191" s="365"/>
      <c r="O191" s="365"/>
      <c r="P191" s="365"/>
      <c r="Q191" s="365"/>
      <c r="R191" s="365"/>
      <c r="S191" s="365"/>
      <c r="T191" s="365"/>
      <c r="U191" s="365"/>
      <c r="V191" s="365"/>
      <c r="W191" s="365"/>
      <c r="X191" s="365"/>
    </row>
    <row r="192" spans="11:24" x14ac:dyDescent="0.35">
      <c r="K192" s="366"/>
      <c r="L192" s="365"/>
      <c r="M192" s="365"/>
      <c r="N192" s="365"/>
      <c r="O192" s="365"/>
      <c r="P192" s="365"/>
      <c r="Q192" s="365"/>
      <c r="R192" s="365"/>
      <c r="S192" s="365"/>
      <c r="T192" s="365"/>
      <c r="U192" s="365"/>
      <c r="V192" s="365"/>
      <c r="W192" s="365"/>
      <c r="X192" s="365"/>
    </row>
    <row r="193" spans="11:24" x14ac:dyDescent="0.35">
      <c r="K193" s="366"/>
      <c r="L193" s="365"/>
      <c r="M193" s="365"/>
      <c r="N193" s="365"/>
      <c r="O193" s="365"/>
      <c r="P193" s="365"/>
      <c r="Q193" s="365"/>
      <c r="R193" s="365"/>
      <c r="S193" s="365"/>
      <c r="T193" s="365"/>
      <c r="U193" s="365"/>
      <c r="V193" s="365"/>
      <c r="W193" s="365"/>
      <c r="X193" s="365"/>
    </row>
    <row r="194" spans="11:24" x14ac:dyDescent="0.35">
      <c r="K194" s="366"/>
      <c r="L194" s="365"/>
      <c r="M194" s="365"/>
      <c r="N194" s="365"/>
      <c r="O194" s="365"/>
      <c r="P194" s="365"/>
      <c r="Q194" s="365"/>
      <c r="R194" s="365"/>
      <c r="S194" s="365"/>
      <c r="T194" s="365"/>
      <c r="U194" s="365"/>
      <c r="V194" s="365"/>
      <c r="W194" s="365"/>
      <c r="X194" s="365"/>
    </row>
    <row r="195" spans="11:24" x14ac:dyDescent="0.35">
      <c r="K195" s="366"/>
      <c r="L195" s="365"/>
      <c r="M195" s="365"/>
      <c r="N195" s="365"/>
      <c r="O195" s="365"/>
      <c r="P195" s="365"/>
      <c r="Q195" s="365"/>
      <c r="R195" s="365"/>
      <c r="S195" s="365"/>
      <c r="T195" s="365"/>
      <c r="U195" s="365"/>
      <c r="V195" s="365"/>
      <c r="W195" s="365"/>
      <c r="X195" s="365"/>
    </row>
    <row r="196" spans="11:24" x14ac:dyDescent="0.35">
      <c r="K196" s="366"/>
      <c r="L196" s="365"/>
      <c r="M196" s="365"/>
      <c r="N196" s="365"/>
      <c r="O196" s="365"/>
      <c r="P196" s="365"/>
      <c r="Q196" s="365"/>
      <c r="R196" s="365"/>
      <c r="S196" s="365"/>
      <c r="T196" s="365"/>
      <c r="U196" s="365"/>
      <c r="V196" s="365"/>
      <c r="W196" s="365"/>
      <c r="X196" s="365"/>
    </row>
    <row r="197" spans="11:24" x14ac:dyDescent="0.35">
      <c r="K197" s="366"/>
      <c r="L197" s="365"/>
      <c r="M197" s="365"/>
      <c r="N197" s="365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</row>
    <row r="198" spans="11:24" x14ac:dyDescent="0.35">
      <c r="K198" s="366"/>
      <c r="L198" s="365"/>
      <c r="M198" s="365"/>
      <c r="N198" s="365"/>
      <c r="O198" s="365"/>
      <c r="P198" s="365"/>
      <c r="Q198" s="365"/>
      <c r="R198" s="365"/>
      <c r="S198" s="365"/>
      <c r="T198" s="365"/>
      <c r="U198" s="365"/>
      <c r="V198" s="365"/>
      <c r="W198" s="365"/>
      <c r="X198" s="365"/>
    </row>
    <row r="199" spans="11:24" x14ac:dyDescent="0.35">
      <c r="K199" s="366"/>
      <c r="L199" s="365"/>
      <c r="M199" s="365"/>
      <c r="N199" s="365"/>
      <c r="O199" s="365"/>
      <c r="P199" s="365"/>
      <c r="Q199" s="365"/>
      <c r="R199" s="365"/>
      <c r="S199" s="365"/>
      <c r="T199" s="365"/>
      <c r="U199" s="365"/>
      <c r="V199" s="365"/>
      <c r="W199" s="365"/>
      <c r="X199" s="365"/>
    </row>
    <row r="200" spans="11:24" x14ac:dyDescent="0.35">
      <c r="K200" s="366"/>
      <c r="L200" s="365"/>
      <c r="M200" s="365"/>
      <c r="N200" s="365"/>
      <c r="O200" s="365"/>
      <c r="P200" s="365"/>
      <c r="Q200" s="365"/>
      <c r="R200" s="365"/>
      <c r="S200" s="365"/>
      <c r="T200" s="365"/>
      <c r="U200" s="365"/>
      <c r="V200" s="365"/>
      <c r="W200" s="365"/>
      <c r="X200" s="365"/>
    </row>
    <row r="201" spans="11:24" x14ac:dyDescent="0.35">
      <c r="K201" s="366"/>
      <c r="L201" s="365"/>
      <c r="M201" s="365"/>
      <c r="N201" s="365"/>
      <c r="O201" s="365"/>
      <c r="P201" s="365"/>
      <c r="Q201" s="365"/>
      <c r="R201" s="365"/>
      <c r="S201" s="365"/>
      <c r="T201" s="365"/>
      <c r="U201" s="365"/>
      <c r="V201" s="365"/>
      <c r="W201" s="365"/>
      <c r="X201" s="365"/>
    </row>
    <row r="202" spans="11:24" x14ac:dyDescent="0.35">
      <c r="K202" s="366"/>
      <c r="L202" s="365"/>
      <c r="M202" s="365"/>
      <c r="N202" s="365"/>
      <c r="O202" s="365"/>
      <c r="P202" s="365"/>
      <c r="Q202" s="365"/>
      <c r="R202" s="365"/>
      <c r="S202" s="365"/>
      <c r="T202" s="365"/>
      <c r="U202" s="365"/>
      <c r="V202" s="365"/>
      <c r="W202" s="365"/>
      <c r="X202" s="365"/>
    </row>
    <row r="203" spans="11:24" x14ac:dyDescent="0.35">
      <c r="K203" s="366"/>
      <c r="L203" s="365"/>
      <c r="M203" s="365"/>
      <c r="N203" s="365"/>
      <c r="O203" s="365"/>
      <c r="P203" s="365"/>
      <c r="Q203" s="365"/>
      <c r="R203" s="365"/>
      <c r="S203" s="365"/>
      <c r="T203" s="365"/>
      <c r="U203" s="365"/>
      <c r="V203" s="365"/>
      <c r="W203" s="365"/>
      <c r="X203" s="365"/>
    </row>
    <row r="204" spans="11:24" x14ac:dyDescent="0.35">
      <c r="K204" s="366"/>
      <c r="L204" s="365"/>
      <c r="M204" s="365"/>
      <c r="N204" s="365"/>
      <c r="O204" s="365"/>
      <c r="P204" s="365"/>
      <c r="Q204" s="365"/>
      <c r="R204" s="365"/>
      <c r="S204" s="365"/>
      <c r="T204" s="365"/>
      <c r="U204" s="365"/>
      <c r="V204" s="365"/>
      <c r="W204" s="365"/>
      <c r="X204" s="365"/>
    </row>
    <row r="205" spans="11:24" x14ac:dyDescent="0.35">
      <c r="K205" s="366"/>
      <c r="L205" s="365"/>
      <c r="M205" s="365"/>
      <c r="N205" s="365"/>
      <c r="O205" s="365"/>
      <c r="P205" s="365"/>
      <c r="Q205" s="365"/>
      <c r="R205" s="365"/>
      <c r="S205" s="365"/>
      <c r="T205" s="365"/>
      <c r="U205" s="365"/>
      <c r="V205" s="365"/>
      <c r="W205" s="365"/>
      <c r="X205" s="365"/>
    </row>
    <row r="206" spans="11:24" x14ac:dyDescent="0.35">
      <c r="K206" s="366"/>
      <c r="L206" s="365"/>
      <c r="M206" s="365"/>
      <c r="N206" s="365"/>
      <c r="O206" s="365"/>
      <c r="P206" s="365"/>
      <c r="Q206" s="365"/>
      <c r="R206" s="365"/>
      <c r="S206" s="365"/>
      <c r="T206" s="365"/>
      <c r="U206" s="365"/>
      <c r="V206" s="365"/>
      <c r="W206" s="365"/>
      <c r="X206" s="365"/>
    </row>
    <row r="207" spans="11:24" x14ac:dyDescent="0.35">
      <c r="K207" s="366"/>
      <c r="L207" s="365"/>
      <c r="M207" s="365"/>
      <c r="N207" s="365"/>
      <c r="O207" s="365"/>
      <c r="P207" s="365"/>
      <c r="Q207" s="365"/>
      <c r="R207" s="365"/>
      <c r="S207" s="365"/>
      <c r="T207" s="365"/>
      <c r="U207" s="365"/>
      <c r="V207" s="365"/>
      <c r="W207" s="365"/>
      <c r="X207" s="365"/>
    </row>
    <row r="208" spans="11:24" x14ac:dyDescent="0.35">
      <c r="K208" s="366"/>
      <c r="L208" s="365"/>
      <c r="M208" s="365"/>
      <c r="N208" s="365"/>
      <c r="O208" s="365"/>
      <c r="P208" s="365"/>
      <c r="Q208" s="365"/>
      <c r="R208" s="365"/>
      <c r="S208" s="365"/>
      <c r="T208" s="365"/>
      <c r="U208" s="365"/>
      <c r="V208" s="365"/>
      <c r="W208" s="365"/>
      <c r="X208" s="365"/>
    </row>
    <row r="209" spans="11:24" x14ac:dyDescent="0.35">
      <c r="K209" s="366"/>
      <c r="L209" s="365"/>
      <c r="M209" s="365"/>
      <c r="N209" s="365"/>
      <c r="O209" s="365"/>
      <c r="P209" s="365"/>
      <c r="Q209" s="365"/>
      <c r="R209" s="365"/>
      <c r="S209" s="365"/>
      <c r="T209" s="365"/>
      <c r="U209" s="365"/>
      <c r="V209" s="365"/>
      <c r="W209" s="365"/>
      <c r="X209" s="365"/>
    </row>
    <row r="210" spans="11:24" x14ac:dyDescent="0.35">
      <c r="K210" s="366"/>
      <c r="L210" s="365"/>
      <c r="M210" s="365"/>
      <c r="N210" s="365"/>
      <c r="O210" s="365"/>
      <c r="P210" s="365"/>
      <c r="Q210" s="365"/>
      <c r="R210" s="365"/>
      <c r="S210" s="365"/>
      <c r="T210" s="365"/>
      <c r="U210" s="365"/>
      <c r="V210" s="365"/>
      <c r="W210" s="365"/>
      <c r="X210" s="365"/>
    </row>
    <row r="211" spans="11:24" x14ac:dyDescent="0.35">
      <c r="K211" s="366"/>
      <c r="L211" s="365"/>
      <c r="M211" s="365"/>
      <c r="N211" s="365"/>
      <c r="O211" s="365"/>
      <c r="P211" s="365"/>
      <c r="Q211" s="365"/>
      <c r="R211" s="365"/>
      <c r="S211" s="365"/>
      <c r="T211" s="365"/>
      <c r="U211" s="365"/>
      <c r="V211" s="365"/>
      <c r="W211" s="365"/>
      <c r="X211" s="365"/>
    </row>
    <row r="212" spans="11:24" x14ac:dyDescent="0.35">
      <c r="K212" s="366"/>
      <c r="L212" s="365"/>
      <c r="M212" s="365"/>
      <c r="N212" s="365"/>
      <c r="O212" s="365"/>
      <c r="P212" s="365"/>
      <c r="Q212" s="365"/>
      <c r="R212" s="365"/>
      <c r="S212" s="365"/>
      <c r="T212" s="365"/>
      <c r="U212" s="365"/>
      <c r="V212" s="365"/>
      <c r="W212" s="365"/>
      <c r="X212" s="365"/>
    </row>
    <row r="213" spans="11:24" x14ac:dyDescent="0.35">
      <c r="K213" s="366"/>
      <c r="L213" s="365"/>
      <c r="M213" s="365"/>
      <c r="N213" s="365"/>
      <c r="O213" s="365"/>
      <c r="P213" s="365"/>
      <c r="Q213" s="365"/>
      <c r="R213" s="365"/>
      <c r="S213" s="365"/>
      <c r="T213" s="365"/>
      <c r="U213" s="365"/>
      <c r="V213" s="365"/>
      <c r="W213" s="365"/>
      <c r="X213" s="365"/>
    </row>
    <row r="214" spans="11:24" x14ac:dyDescent="0.35">
      <c r="K214" s="366"/>
      <c r="L214" s="365"/>
      <c r="M214" s="365"/>
      <c r="N214" s="365"/>
      <c r="O214" s="365"/>
      <c r="P214" s="365"/>
      <c r="Q214" s="365"/>
      <c r="R214" s="365"/>
      <c r="S214" s="365"/>
      <c r="T214" s="365"/>
      <c r="U214" s="365"/>
      <c r="V214" s="365"/>
      <c r="W214" s="365"/>
      <c r="X214" s="365"/>
    </row>
    <row r="215" spans="11:24" x14ac:dyDescent="0.35">
      <c r="K215" s="366"/>
      <c r="L215" s="365"/>
      <c r="M215" s="365"/>
      <c r="N215" s="365"/>
      <c r="O215" s="365"/>
      <c r="P215" s="365"/>
      <c r="Q215" s="365"/>
      <c r="R215" s="365"/>
      <c r="S215" s="365"/>
      <c r="T215" s="365"/>
      <c r="U215" s="365"/>
      <c r="V215" s="365"/>
      <c r="W215" s="365"/>
      <c r="X215" s="365"/>
    </row>
    <row r="216" spans="11:24" x14ac:dyDescent="0.35">
      <c r="K216" s="366"/>
      <c r="L216" s="365"/>
      <c r="M216" s="365"/>
      <c r="N216" s="365"/>
      <c r="O216" s="365"/>
      <c r="P216" s="365"/>
      <c r="Q216" s="365"/>
      <c r="R216" s="365"/>
      <c r="S216" s="365"/>
      <c r="T216" s="365"/>
      <c r="U216" s="365"/>
      <c r="V216" s="365"/>
      <c r="W216" s="365"/>
      <c r="X216" s="365"/>
    </row>
    <row r="217" spans="11:24" x14ac:dyDescent="0.35">
      <c r="K217" s="366"/>
      <c r="L217" s="365"/>
      <c r="M217" s="365"/>
      <c r="N217" s="365"/>
      <c r="O217" s="365"/>
      <c r="P217" s="365"/>
      <c r="Q217" s="365"/>
      <c r="R217" s="365"/>
      <c r="S217" s="365"/>
      <c r="T217" s="365"/>
      <c r="U217" s="365"/>
      <c r="V217" s="365"/>
      <c r="W217" s="365"/>
      <c r="X217" s="365"/>
    </row>
    <row r="218" spans="11:24" x14ac:dyDescent="0.35">
      <c r="K218" s="366"/>
      <c r="L218" s="365"/>
      <c r="M218" s="365"/>
      <c r="N218" s="365"/>
      <c r="O218" s="365"/>
      <c r="P218" s="365"/>
      <c r="Q218" s="365"/>
      <c r="R218" s="365"/>
      <c r="S218" s="365"/>
      <c r="T218" s="365"/>
      <c r="U218" s="365"/>
      <c r="V218" s="365"/>
      <c r="W218" s="365"/>
      <c r="X218" s="365"/>
    </row>
    <row r="219" spans="11:24" x14ac:dyDescent="0.35">
      <c r="K219" s="366"/>
      <c r="L219" s="365"/>
      <c r="M219" s="365"/>
      <c r="N219" s="365"/>
      <c r="O219" s="365"/>
      <c r="P219" s="365"/>
      <c r="Q219" s="365"/>
      <c r="R219" s="365"/>
      <c r="S219" s="365"/>
      <c r="T219" s="365"/>
      <c r="U219" s="365"/>
      <c r="V219" s="365"/>
      <c r="W219" s="365"/>
      <c r="X219" s="365"/>
    </row>
    <row r="220" spans="11:24" x14ac:dyDescent="0.35">
      <c r="K220" s="366"/>
      <c r="L220" s="365"/>
      <c r="M220" s="365"/>
      <c r="N220" s="365"/>
      <c r="O220" s="365"/>
      <c r="P220" s="365"/>
      <c r="Q220" s="365"/>
      <c r="R220" s="365"/>
      <c r="S220" s="365"/>
      <c r="T220" s="365"/>
      <c r="U220" s="365"/>
      <c r="V220" s="365"/>
      <c r="W220" s="365"/>
      <c r="X220" s="365"/>
    </row>
    <row r="221" spans="11:24" x14ac:dyDescent="0.35">
      <c r="K221" s="366"/>
      <c r="L221" s="365"/>
      <c r="M221" s="365"/>
      <c r="N221" s="365"/>
      <c r="O221" s="365"/>
      <c r="P221" s="365"/>
      <c r="Q221" s="365"/>
      <c r="R221" s="365"/>
      <c r="S221" s="365"/>
      <c r="T221" s="365"/>
      <c r="U221" s="365"/>
      <c r="V221" s="365"/>
      <c r="W221" s="365"/>
      <c r="X221" s="365"/>
    </row>
    <row r="222" spans="11:24" x14ac:dyDescent="0.35">
      <c r="K222" s="366"/>
      <c r="L222" s="365"/>
      <c r="M222" s="365"/>
      <c r="N222" s="365"/>
      <c r="O222" s="365"/>
      <c r="P222" s="365"/>
      <c r="Q222" s="365"/>
      <c r="R222" s="365"/>
      <c r="S222" s="365"/>
      <c r="T222" s="365"/>
      <c r="U222" s="365"/>
      <c r="V222" s="365"/>
      <c r="W222" s="365"/>
      <c r="X222" s="365"/>
    </row>
    <row r="223" spans="11:24" x14ac:dyDescent="0.35">
      <c r="K223" s="366"/>
      <c r="L223" s="365"/>
      <c r="M223" s="365"/>
      <c r="N223" s="365"/>
      <c r="O223" s="365"/>
      <c r="P223" s="365"/>
      <c r="Q223" s="365"/>
      <c r="R223" s="365"/>
      <c r="S223" s="365"/>
      <c r="T223" s="365"/>
      <c r="U223" s="365"/>
      <c r="V223" s="365"/>
      <c r="W223" s="365"/>
      <c r="X223" s="365"/>
    </row>
    <row r="224" spans="11:24" x14ac:dyDescent="0.35">
      <c r="K224" s="366"/>
      <c r="L224" s="365"/>
      <c r="M224" s="365"/>
      <c r="N224" s="365"/>
      <c r="O224" s="365"/>
      <c r="P224" s="365"/>
      <c r="Q224" s="365"/>
      <c r="R224" s="365"/>
      <c r="S224" s="365"/>
      <c r="T224" s="365"/>
      <c r="U224" s="365"/>
      <c r="V224" s="365"/>
      <c r="W224" s="365"/>
      <c r="X224" s="365"/>
    </row>
    <row r="225" spans="11:24" x14ac:dyDescent="0.35">
      <c r="K225" s="366"/>
      <c r="L225" s="365"/>
      <c r="M225" s="365"/>
      <c r="N225" s="365"/>
      <c r="O225" s="365"/>
      <c r="P225" s="365"/>
      <c r="Q225" s="365"/>
      <c r="R225" s="365"/>
      <c r="S225" s="365"/>
      <c r="T225" s="365"/>
      <c r="U225" s="365"/>
      <c r="V225" s="365"/>
      <c r="W225" s="365"/>
      <c r="X225" s="365"/>
    </row>
    <row r="226" spans="11:24" x14ac:dyDescent="0.35">
      <c r="K226" s="366"/>
      <c r="L226" s="365"/>
      <c r="M226" s="365"/>
      <c r="N226" s="365"/>
      <c r="O226" s="365"/>
      <c r="P226" s="365"/>
      <c r="Q226" s="365"/>
      <c r="R226" s="365"/>
      <c r="S226" s="365"/>
      <c r="T226" s="365"/>
      <c r="U226" s="365"/>
      <c r="V226" s="365"/>
      <c r="W226" s="365"/>
      <c r="X226" s="365"/>
    </row>
    <row r="227" spans="11:24" x14ac:dyDescent="0.35">
      <c r="K227" s="366"/>
      <c r="L227" s="365"/>
      <c r="M227" s="365"/>
      <c r="N227" s="365"/>
      <c r="O227" s="365"/>
      <c r="P227" s="365"/>
      <c r="Q227" s="365"/>
      <c r="R227" s="365"/>
      <c r="S227" s="365"/>
      <c r="T227" s="365"/>
      <c r="U227" s="365"/>
      <c r="V227" s="365"/>
      <c r="W227" s="365"/>
      <c r="X227" s="365"/>
    </row>
    <row r="228" spans="11:24" x14ac:dyDescent="0.35">
      <c r="K228" s="366"/>
      <c r="L228" s="365"/>
      <c r="M228" s="365"/>
      <c r="N228" s="365"/>
      <c r="O228" s="365"/>
      <c r="P228" s="365"/>
      <c r="Q228" s="365"/>
      <c r="R228" s="365"/>
      <c r="S228" s="365"/>
      <c r="T228" s="365"/>
      <c r="U228" s="365"/>
      <c r="V228" s="365"/>
      <c r="W228" s="365"/>
      <c r="X228" s="365"/>
    </row>
    <row r="229" spans="11:24" x14ac:dyDescent="0.35">
      <c r="K229" s="366"/>
      <c r="L229" s="365"/>
      <c r="M229" s="365"/>
      <c r="N229" s="365"/>
      <c r="O229" s="365"/>
      <c r="P229" s="365"/>
      <c r="Q229" s="365"/>
      <c r="R229" s="365"/>
      <c r="S229" s="365"/>
      <c r="T229" s="365"/>
      <c r="U229" s="365"/>
      <c r="V229" s="365"/>
      <c r="W229" s="365"/>
      <c r="X229" s="365"/>
    </row>
    <row r="230" spans="11:24" x14ac:dyDescent="0.35">
      <c r="K230" s="366"/>
      <c r="L230" s="365"/>
      <c r="M230" s="365"/>
      <c r="N230" s="365"/>
      <c r="O230" s="365"/>
      <c r="P230" s="365"/>
      <c r="Q230" s="365"/>
      <c r="R230" s="365"/>
      <c r="S230" s="365"/>
      <c r="T230" s="365"/>
      <c r="U230" s="365"/>
      <c r="V230" s="365"/>
      <c r="W230" s="365"/>
      <c r="X230" s="365"/>
    </row>
    <row r="231" spans="11:24" x14ac:dyDescent="0.35">
      <c r="K231" s="366"/>
      <c r="L231" s="365"/>
      <c r="M231" s="365"/>
      <c r="N231" s="365"/>
      <c r="O231" s="365"/>
      <c r="P231" s="365"/>
      <c r="Q231" s="365"/>
      <c r="R231" s="365"/>
      <c r="S231" s="365"/>
      <c r="T231" s="365"/>
      <c r="U231" s="365"/>
      <c r="V231" s="365"/>
      <c r="W231" s="365"/>
      <c r="X231" s="365"/>
    </row>
    <row r="232" spans="11:24" x14ac:dyDescent="0.35">
      <c r="K232" s="366"/>
      <c r="L232" s="365"/>
      <c r="M232" s="365"/>
      <c r="N232" s="365"/>
      <c r="O232" s="365"/>
      <c r="P232" s="365"/>
      <c r="Q232" s="365"/>
      <c r="R232" s="365"/>
      <c r="S232" s="365"/>
      <c r="T232" s="365"/>
      <c r="U232" s="365"/>
      <c r="V232" s="365"/>
      <c r="W232" s="365"/>
      <c r="X232" s="365"/>
    </row>
    <row r="233" spans="11:24" x14ac:dyDescent="0.35">
      <c r="K233" s="366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  <c r="X233" s="365"/>
    </row>
    <row r="234" spans="11:24" x14ac:dyDescent="0.35">
      <c r="K234" s="366"/>
      <c r="L234" s="365"/>
      <c r="M234" s="365"/>
      <c r="N234" s="365"/>
      <c r="O234" s="365"/>
      <c r="P234" s="365"/>
      <c r="Q234" s="365"/>
      <c r="R234" s="365"/>
      <c r="S234" s="365"/>
      <c r="T234" s="365"/>
      <c r="U234" s="365"/>
      <c r="V234" s="365"/>
      <c r="W234" s="365"/>
      <c r="X234" s="365"/>
    </row>
    <row r="235" spans="11:24" x14ac:dyDescent="0.35">
      <c r="K235" s="366"/>
      <c r="L235" s="365"/>
      <c r="M235" s="365"/>
      <c r="N235" s="365"/>
      <c r="O235" s="365"/>
      <c r="P235" s="365"/>
      <c r="Q235" s="365"/>
      <c r="R235" s="365"/>
      <c r="S235" s="365"/>
      <c r="T235" s="365"/>
      <c r="U235" s="365"/>
      <c r="V235" s="365"/>
      <c r="W235" s="365"/>
      <c r="X235" s="365"/>
    </row>
    <row r="236" spans="11:24" x14ac:dyDescent="0.35">
      <c r="K236" s="366"/>
      <c r="L236" s="365"/>
      <c r="M236" s="365"/>
      <c r="N236" s="365"/>
      <c r="O236" s="365"/>
      <c r="P236" s="365"/>
      <c r="Q236" s="365"/>
      <c r="R236" s="365"/>
      <c r="S236" s="365"/>
      <c r="T236" s="365"/>
      <c r="U236" s="365"/>
      <c r="V236" s="365"/>
      <c r="W236" s="365"/>
      <c r="X236" s="365"/>
    </row>
    <row r="237" spans="11:24" x14ac:dyDescent="0.35">
      <c r="K237" s="366"/>
      <c r="L237" s="365"/>
      <c r="M237" s="365"/>
      <c r="N237" s="365"/>
      <c r="O237" s="365"/>
      <c r="P237" s="365"/>
      <c r="Q237" s="365"/>
      <c r="R237" s="365"/>
      <c r="S237" s="365"/>
      <c r="T237" s="365"/>
      <c r="U237" s="365"/>
      <c r="V237" s="365"/>
      <c r="W237" s="365"/>
      <c r="X237" s="365"/>
    </row>
    <row r="238" spans="11:24" x14ac:dyDescent="0.35">
      <c r="K238" s="366"/>
      <c r="L238" s="365"/>
      <c r="M238" s="365"/>
      <c r="N238" s="365"/>
      <c r="O238" s="365"/>
      <c r="P238" s="365"/>
      <c r="Q238" s="365"/>
      <c r="R238" s="365"/>
      <c r="S238" s="365"/>
      <c r="T238" s="365"/>
      <c r="U238" s="365"/>
      <c r="V238" s="365"/>
      <c r="W238" s="365"/>
      <c r="X238" s="365"/>
    </row>
    <row r="239" spans="11:24" x14ac:dyDescent="0.35">
      <c r="K239" s="366"/>
      <c r="L239" s="365"/>
      <c r="M239" s="365"/>
      <c r="N239" s="365"/>
      <c r="O239" s="365"/>
      <c r="P239" s="365"/>
      <c r="Q239" s="365"/>
      <c r="R239" s="365"/>
      <c r="S239" s="365"/>
      <c r="T239" s="365"/>
      <c r="U239" s="365"/>
      <c r="V239" s="365"/>
      <c r="W239" s="365"/>
      <c r="X239" s="365"/>
    </row>
    <row r="240" spans="11:24" x14ac:dyDescent="0.35">
      <c r="K240" s="366"/>
      <c r="L240" s="365"/>
      <c r="M240" s="365"/>
      <c r="N240" s="365"/>
      <c r="O240" s="365"/>
      <c r="P240" s="365"/>
      <c r="Q240" s="365"/>
      <c r="R240" s="365"/>
      <c r="S240" s="365"/>
      <c r="T240" s="365"/>
      <c r="U240" s="365"/>
      <c r="V240" s="365"/>
      <c r="W240" s="365"/>
      <c r="X240" s="365"/>
    </row>
    <row r="241" spans="11:24" x14ac:dyDescent="0.35">
      <c r="K241" s="366"/>
      <c r="L241" s="365"/>
      <c r="M241" s="365"/>
      <c r="N241" s="365"/>
      <c r="O241" s="365"/>
      <c r="P241" s="365"/>
      <c r="Q241" s="365"/>
      <c r="R241" s="365"/>
      <c r="S241" s="365"/>
      <c r="T241" s="365"/>
      <c r="U241" s="365"/>
      <c r="V241" s="365"/>
      <c r="W241" s="365"/>
      <c r="X241" s="365"/>
    </row>
    <row r="242" spans="11:24" x14ac:dyDescent="0.35">
      <c r="K242" s="366"/>
      <c r="L242" s="365"/>
      <c r="M242" s="365"/>
      <c r="N242" s="365"/>
      <c r="O242" s="365"/>
      <c r="P242" s="365"/>
      <c r="Q242" s="365"/>
      <c r="R242" s="365"/>
      <c r="S242" s="365"/>
      <c r="T242" s="365"/>
      <c r="U242" s="365"/>
      <c r="V242" s="365"/>
      <c r="W242" s="365"/>
      <c r="X242" s="365"/>
    </row>
    <row r="243" spans="11:24" x14ac:dyDescent="0.35">
      <c r="K243" s="366"/>
      <c r="L243" s="365"/>
      <c r="M243" s="365"/>
      <c r="N243" s="365"/>
      <c r="O243" s="365"/>
      <c r="P243" s="365"/>
      <c r="Q243" s="365"/>
      <c r="R243" s="365"/>
      <c r="S243" s="365"/>
      <c r="T243" s="365"/>
      <c r="U243" s="365"/>
      <c r="V243" s="365"/>
      <c r="W243" s="365"/>
      <c r="X243" s="365"/>
    </row>
    <row r="244" spans="11:24" x14ac:dyDescent="0.35">
      <c r="K244" s="366"/>
      <c r="L244" s="365"/>
      <c r="M244" s="365"/>
      <c r="N244" s="365"/>
      <c r="O244" s="365"/>
      <c r="P244" s="365"/>
      <c r="Q244" s="365"/>
      <c r="R244" s="365"/>
      <c r="S244" s="365"/>
      <c r="T244" s="365"/>
      <c r="U244" s="365"/>
      <c r="V244" s="365"/>
      <c r="W244" s="365"/>
      <c r="X244" s="365"/>
    </row>
    <row r="245" spans="11:24" x14ac:dyDescent="0.35">
      <c r="K245" s="366"/>
      <c r="L245" s="365"/>
      <c r="M245" s="365"/>
      <c r="N245" s="365"/>
      <c r="O245" s="365"/>
      <c r="P245" s="365"/>
      <c r="Q245" s="365"/>
      <c r="R245" s="365"/>
      <c r="S245" s="365"/>
      <c r="T245" s="365"/>
      <c r="U245" s="365"/>
      <c r="V245" s="365"/>
      <c r="W245" s="365"/>
      <c r="X245" s="365"/>
    </row>
    <row r="246" spans="11:24" x14ac:dyDescent="0.35">
      <c r="K246" s="366"/>
      <c r="L246" s="365"/>
      <c r="M246" s="365"/>
      <c r="N246" s="365"/>
      <c r="O246" s="365"/>
      <c r="P246" s="365"/>
      <c r="Q246" s="365"/>
      <c r="R246" s="365"/>
      <c r="S246" s="365"/>
      <c r="T246" s="365"/>
      <c r="U246" s="365"/>
      <c r="V246" s="365"/>
      <c r="W246" s="365"/>
      <c r="X246" s="365"/>
    </row>
    <row r="247" spans="11:24" x14ac:dyDescent="0.35">
      <c r="K247" s="366"/>
      <c r="L247" s="365"/>
      <c r="M247" s="365"/>
      <c r="N247" s="365"/>
      <c r="O247" s="365"/>
      <c r="P247" s="365"/>
      <c r="Q247" s="365"/>
      <c r="R247" s="365"/>
      <c r="S247" s="365"/>
      <c r="T247" s="365"/>
      <c r="U247" s="365"/>
      <c r="V247" s="365"/>
      <c r="W247" s="365"/>
      <c r="X247" s="365"/>
    </row>
    <row r="248" spans="11:24" x14ac:dyDescent="0.35">
      <c r="K248" s="366"/>
      <c r="L248" s="365"/>
      <c r="M248" s="365"/>
      <c r="N248" s="365"/>
      <c r="O248" s="365"/>
      <c r="P248" s="365"/>
      <c r="Q248" s="365"/>
      <c r="R248" s="365"/>
      <c r="S248" s="365"/>
      <c r="T248" s="365"/>
      <c r="U248" s="365"/>
      <c r="V248" s="365"/>
      <c r="W248" s="365"/>
      <c r="X248" s="365"/>
    </row>
    <row r="249" spans="11:24" x14ac:dyDescent="0.35">
      <c r="K249" s="366"/>
      <c r="L249" s="365"/>
      <c r="M249" s="365"/>
      <c r="N249" s="365"/>
      <c r="O249" s="365"/>
      <c r="P249" s="365"/>
      <c r="Q249" s="365"/>
      <c r="R249" s="365"/>
      <c r="S249" s="365"/>
      <c r="T249" s="365"/>
      <c r="U249" s="365"/>
      <c r="V249" s="365"/>
      <c r="W249" s="365"/>
      <c r="X249" s="365"/>
    </row>
    <row r="250" spans="11:24" x14ac:dyDescent="0.35">
      <c r="K250" s="366"/>
      <c r="L250" s="365"/>
      <c r="M250" s="365"/>
      <c r="N250" s="365"/>
      <c r="O250" s="365"/>
      <c r="P250" s="365"/>
      <c r="Q250" s="365"/>
      <c r="R250" s="365"/>
      <c r="S250" s="365"/>
      <c r="T250" s="365"/>
      <c r="U250" s="365"/>
      <c r="V250" s="365"/>
      <c r="W250" s="365"/>
      <c r="X250" s="365"/>
    </row>
    <row r="251" spans="11:24" x14ac:dyDescent="0.35">
      <c r="K251" s="366"/>
      <c r="L251" s="365"/>
      <c r="M251" s="365"/>
      <c r="N251" s="365"/>
      <c r="O251" s="365"/>
      <c r="P251" s="365"/>
      <c r="Q251" s="365"/>
      <c r="R251" s="365"/>
      <c r="S251" s="365"/>
      <c r="T251" s="365"/>
      <c r="U251" s="365"/>
      <c r="V251" s="365"/>
      <c r="W251" s="365"/>
      <c r="X251" s="365"/>
    </row>
    <row r="252" spans="11:24" x14ac:dyDescent="0.35">
      <c r="K252" s="366"/>
      <c r="L252" s="365"/>
      <c r="M252" s="365"/>
      <c r="N252" s="365"/>
      <c r="O252" s="365"/>
      <c r="P252" s="365"/>
      <c r="Q252" s="365"/>
      <c r="R252" s="365"/>
      <c r="S252" s="365"/>
      <c r="T252" s="365"/>
      <c r="U252" s="365"/>
      <c r="V252" s="365"/>
      <c r="W252" s="365"/>
      <c r="X252" s="365"/>
    </row>
    <row r="253" spans="11:24" x14ac:dyDescent="0.35">
      <c r="K253" s="366"/>
      <c r="L253" s="365"/>
      <c r="M253" s="365"/>
      <c r="N253" s="365"/>
      <c r="O253" s="365"/>
      <c r="P253" s="365"/>
      <c r="Q253" s="365"/>
      <c r="R253" s="365"/>
      <c r="S253" s="365"/>
      <c r="T253" s="365"/>
      <c r="U253" s="365"/>
      <c r="V253" s="365"/>
      <c r="W253" s="365"/>
      <c r="X253" s="365"/>
    </row>
    <row r="254" spans="11:24" x14ac:dyDescent="0.35">
      <c r="K254" s="366"/>
      <c r="L254" s="365"/>
      <c r="M254" s="365"/>
      <c r="N254" s="365"/>
      <c r="O254" s="365"/>
      <c r="P254" s="365"/>
      <c r="Q254" s="365"/>
      <c r="R254" s="365"/>
      <c r="S254" s="365"/>
      <c r="T254" s="365"/>
      <c r="U254" s="365"/>
      <c r="V254" s="365"/>
      <c r="W254" s="365"/>
      <c r="X254" s="365"/>
    </row>
    <row r="255" spans="11:24" x14ac:dyDescent="0.35">
      <c r="K255" s="366"/>
      <c r="L255" s="365"/>
      <c r="M255" s="365"/>
      <c r="N255" s="365"/>
      <c r="O255" s="365"/>
      <c r="P255" s="365"/>
      <c r="Q255" s="365"/>
      <c r="R255" s="365"/>
      <c r="S255" s="365"/>
      <c r="T255" s="365"/>
      <c r="U255" s="365"/>
      <c r="V255" s="365"/>
      <c r="W255" s="365"/>
      <c r="X255" s="365"/>
    </row>
    <row r="256" spans="11:24" x14ac:dyDescent="0.35">
      <c r="K256" s="366"/>
      <c r="L256" s="365"/>
      <c r="M256" s="365"/>
      <c r="N256" s="365"/>
      <c r="O256" s="365"/>
      <c r="P256" s="365"/>
      <c r="Q256" s="365"/>
      <c r="R256" s="365"/>
      <c r="S256" s="365"/>
      <c r="T256" s="365"/>
      <c r="U256" s="365"/>
      <c r="V256" s="365"/>
      <c r="W256" s="365"/>
      <c r="X256" s="365"/>
    </row>
    <row r="257" spans="11:24" x14ac:dyDescent="0.35">
      <c r="K257" s="366"/>
      <c r="L257" s="365"/>
      <c r="M257" s="365"/>
      <c r="N257" s="365"/>
      <c r="O257" s="365"/>
      <c r="P257" s="365"/>
      <c r="Q257" s="365"/>
      <c r="R257" s="365"/>
      <c r="S257" s="365"/>
      <c r="T257" s="365"/>
      <c r="U257" s="365"/>
      <c r="V257" s="365"/>
      <c r="W257" s="365"/>
      <c r="X257" s="365"/>
    </row>
    <row r="258" spans="11:24" x14ac:dyDescent="0.35">
      <c r="K258" s="366"/>
      <c r="L258" s="365"/>
      <c r="M258" s="365"/>
      <c r="N258" s="365"/>
      <c r="O258" s="365"/>
      <c r="P258" s="365"/>
      <c r="Q258" s="365"/>
      <c r="R258" s="365"/>
      <c r="S258" s="365"/>
      <c r="T258" s="365"/>
      <c r="U258" s="365"/>
      <c r="V258" s="365"/>
      <c r="W258" s="365"/>
      <c r="X258" s="365"/>
    </row>
    <row r="259" spans="11:24" x14ac:dyDescent="0.35">
      <c r="K259" s="366"/>
      <c r="L259" s="365"/>
      <c r="M259" s="365"/>
      <c r="N259" s="365"/>
      <c r="O259" s="365"/>
      <c r="P259" s="365"/>
      <c r="Q259" s="365"/>
      <c r="R259" s="365"/>
      <c r="S259" s="365"/>
      <c r="T259" s="365"/>
      <c r="U259" s="365"/>
      <c r="V259" s="365"/>
      <c r="W259" s="365"/>
      <c r="X259" s="365"/>
    </row>
    <row r="260" spans="11:24" x14ac:dyDescent="0.35">
      <c r="K260" s="366"/>
      <c r="L260" s="365"/>
      <c r="M260" s="365"/>
      <c r="N260" s="365"/>
      <c r="O260" s="365"/>
      <c r="P260" s="365"/>
      <c r="Q260" s="365"/>
      <c r="R260" s="365"/>
      <c r="S260" s="365"/>
      <c r="T260" s="365"/>
      <c r="U260" s="365"/>
      <c r="V260" s="365"/>
      <c r="W260" s="365"/>
      <c r="X260" s="365"/>
    </row>
    <row r="261" spans="11:24" x14ac:dyDescent="0.35">
      <c r="K261" s="366"/>
      <c r="L261" s="365"/>
      <c r="M261" s="365"/>
      <c r="N261" s="365"/>
      <c r="O261" s="365"/>
      <c r="P261" s="365"/>
      <c r="Q261" s="365"/>
      <c r="R261" s="365"/>
      <c r="S261" s="365"/>
      <c r="T261" s="365"/>
      <c r="U261" s="365"/>
      <c r="V261" s="365"/>
      <c r="W261" s="365"/>
      <c r="X261" s="365"/>
    </row>
    <row r="262" spans="11:24" x14ac:dyDescent="0.35">
      <c r="K262" s="366"/>
      <c r="L262" s="365"/>
      <c r="M262" s="365"/>
      <c r="N262" s="365"/>
      <c r="O262" s="365"/>
      <c r="P262" s="365"/>
      <c r="Q262" s="365"/>
      <c r="R262" s="365"/>
      <c r="S262" s="365"/>
      <c r="T262" s="365"/>
      <c r="U262" s="365"/>
      <c r="V262" s="365"/>
      <c r="W262" s="365"/>
      <c r="X262" s="365"/>
    </row>
    <row r="263" spans="11:24" x14ac:dyDescent="0.35">
      <c r="K263" s="366"/>
      <c r="L263" s="365"/>
      <c r="M263" s="365"/>
      <c r="N263" s="365"/>
      <c r="O263" s="365"/>
      <c r="P263" s="365"/>
      <c r="Q263" s="365"/>
      <c r="R263" s="365"/>
      <c r="S263" s="365"/>
      <c r="T263" s="365"/>
      <c r="U263" s="365"/>
      <c r="V263" s="365"/>
      <c r="W263" s="365"/>
      <c r="X263" s="365"/>
    </row>
    <row r="264" spans="11:24" x14ac:dyDescent="0.35">
      <c r="K264" s="366"/>
      <c r="L264" s="365"/>
      <c r="M264" s="365"/>
      <c r="N264" s="365"/>
      <c r="O264" s="365"/>
      <c r="P264" s="365"/>
      <c r="Q264" s="365"/>
      <c r="R264" s="365"/>
      <c r="S264" s="365"/>
      <c r="T264" s="365"/>
      <c r="U264" s="365"/>
      <c r="V264" s="365"/>
      <c r="W264" s="365"/>
      <c r="X264" s="365"/>
    </row>
    <row r="265" spans="11:24" x14ac:dyDescent="0.35">
      <c r="K265" s="366"/>
      <c r="L265" s="365"/>
      <c r="M265" s="365"/>
      <c r="N265" s="365"/>
      <c r="O265" s="365"/>
      <c r="P265" s="365"/>
      <c r="Q265" s="365"/>
      <c r="R265" s="365"/>
      <c r="S265" s="365"/>
      <c r="T265" s="365"/>
      <c r="U265" s="365"/>
      <c r="V265" s="365"/>
      <c r="W265" s="365"/>
      <c r="X265" s="365"/>
    </row>
    <row r="266" spans="11:24" x14ac:dyDescent="0.35">
      <c r="K266" s="366"/>
      <c r="L266" s="365"/>
      <c r="M266" s="365"/>
      <c r="N266" s="365"/>
      <c r="O266" s="365"/>
      <c r="P266" s="365"/>
      <c r="Q266" s="365"/>
      <c r="R266" s="365"/>
      <c r="S266" s="365"/>
      <c r="T266" s="365"/>
      <c r="U266" s="365"/>
      <c r="V266" s="365"/>
      <c r="W266" s="365"/>
      <c r="X266" s="365"/>
    </row>
    <row r="267" spans="11:24" x14ac:dyDescent="0.35">
      <c r="K267" s="366"/>
      <c r="L267" s="365"/>
      <c r="M267" s="365"/>
      <c r="N267" s="365"/>
      <c r="O267" s="365"/>
      <c r="P267" s="365"/>
      <c r="Q267" s="365"/>
      <c r="R267" s="365"/>
      <c r="S267" s="365"/>
      <c r="T267" s="365"/>
      <c r="U267" s="365"/>
      <c r="V267" s="365"/>
      <c r="W267" s="365"/>
      <c r="X267" s="365"/>
    </row>
    <row r="268" spans="11:24" x14ac:dyDescent="0.35">
      <c r="K268" s="366"/>
      <c r="L268" s="365"/>
      <c r="M268" s="365"/>
      <c r="N268" s="365"/>
      <c r="O268" s="365"/>
      <c r="P268" s="365"/>
      <c r="Q268" s="365"/>
      <c r="R268" s="365"/>
      <c r="S268" s="365"/>
      <c r="T268" s="365"/>
      <c r="U268" s="365"/>
      <c r="V268" s="365"/>
      <c r="W268" s="365"/>
      <c r="X268" s="365"/>
    </row>
    <row r="269" spans="11:24" x14ac:dyDescent="0.35">
      <c r="K269" s="366"/>
      <c r="L269" s="365"/>
      <c r="M269" s="365"/>
      <c r="N269" s="365"/>
      <c r="O269" s="365"/>
      <c r="P269" s="365"/>
      <c r="Q269" s="365"/>
      <c r="R269" s="365"/>
      <c r="S269" s="365"/>
      <c r="T269" s="365"/>
      <c r="U269" s="365"/>
      <c r="V269" s="365"/>
      <c r="W269" s="365"/>
      <c r="X269" s="365"/>
    </row>
    <row r="270" spans="11:24" x14ac:dyDescent="0.35">
      <c r="K270" s="366"/>
      <c r="L270" s="365"/>
      <c r="M270" s="365"/>
      <c r="N270" s="365"/>
      <c r="O270" s="365"/>
      <c r="P270" s="365"/>
      <c r="Q270" s="365"/>
      <c r="R270" s="365"/>
      <c r="S270" s="365"/>
      <c r="T270" s="365"/>
      <c r="U270" s="365"/>
      <c r="V270" s="365"/>
      <c r="W270" s="365"/>
      <c r="X270" s="365"/>
    </row>
    <row r="271" spans="11:24" x14ac:dyDescent="0.35">
      <c r="K271" s="366"/>
      <c r="L271" s="365"/>
      <c r="M271" s="365"/>
      <c r="N271" s="365"/>
      <c r="O271" s="365"/>
      <c r="P271" s="365"/>
      <c r="Q271" s="365"/>
      <c r="R271" s="365"/>
      <c r="S271" s="365"/>
      <c r="T271" s="365"/>
      <c r="U271" s="365"/>
      <c r="V271" s="365"/>
      <c r="W271" s="365"/>
      <c r="X271" s="365"/>
    </row>
    <row r="272" spans="11:24" x14ac:dyDescent="0.35">
      <c r="K272" s="366"/>
      <c r="L272" s="365"/>
      <c r="M272" s="365"/>
      <c r="N272" s="365"/>
      <c r="O272" s="365"/>
      <c r="P272" s="365"/>
      <c r="Q272" s="365"/>
      <c r="R272" s="365"/>
      <c r="S272" s="365"/>
      <c r="T272" s="365"/>
      <c r="U272" s="365"/>
      <c r="V272" s="365"/>
      <c r="W272" s="365"/>
      <c r="X272" s="365"/>
    </row>
    <row r="273" spans="11:24" x14ac:dyDescent="0.35">
      <c r="K273" s="366"/>
      <c r="L273" s="365"/>
      <c r="M273" s="365"/>
      <c r="N273" s="365"/>
      <c r="O273" s="365"/>
      <c r="P273" s="365"/>
      <c r="Q273" s="365"/>
      <c r="R273" s="365"/>
      <c r="S273" s="365"/>
      <c r="T273" s="365"/>
      <c r="U273" s="365"/>
      <c r="V273" s="365"/>
      <c r="W273" s="365"/>
      <c r="X273" s="365"/>
    </row>
    <row r="274" spans="11:24" x14ac:dyDescent="0.35">
      <c r="K274" s="366"/>
      <c r="L274" s="365"/>
      <c r="M274" s="365"/>
      <c r="N274" s="365"/>
      <c r="O274" s="365"/>
      <c r="P274" s="365"/>
      <c r="Q274" s="365"/>
      <c r="R274" s="365"/>
      <c r="S274" s="365"/>
      <c r="T274" s="365"/>
      <c r="U274" s="365"/>
      <c r="V274" s="365"/>
      <c r="W274" s="365"/>
      <c r="X274" s="365"/>
    </row>
    <row r="275" spans="11:24" x14ac:dyDescent="0.35">
      <c r="K275" s="366"/>
      <c r="L275" s="365"/>
      <c r="M275" s="365"/>
      <c r="N275" s="365"/>
      <c r="O275" s="365"/>
      <c r="P275" s="365"/>
      <c r="Q275" s="365"/>
      <c r="R275" s="365"/>
      <c r="S275" s="365"/>
      <c r="T275" s="365"/>
      <c r="U275" s="365"/>
      <c r="V275" s="365"/>
      <c r="W275" s="365"/>
      <c r="X275" s="365"/>
    </row>
    <row r="276" spans="11:24" x14ac:dyDescent="0.35">
      <c r="K276" s="366"/>
      <c r="L276" s="365"/>
      <c r="M276" s="365"/>
      <c r="N276" s="365"/>
      <c r="O276" s="365"/>
      <c r="P276" s="365"/>
      <c r="Q276" s="365"/>
      <c r="R276" s="365"/>
      <c r="S276" s="365"/>
      <c r="T276" s="365"/>
      <c r="U276" s="365"/>
      <c r="V276" s="365"/>
      <c r="W276" s="365"/>
      <c r="X276" s="365"/>
    </row>
    <row r="277" spans="11:24" x14ac:dyDescent="0.35">
      <c r="K277" s="366"/>
      <c r="L277" s="365"/>
      <c r="M277" s="365"/>
      <c r="N277" s="365"/>
      <c r="O277" s="365"/>
      <c r="P277" s="365"/>
      <c r="Q277" s="365"/>
      <c r="R277" s="365"/>
      <c r="S277" s="365"/>
      <c r="T277" s="365"/>
      <c r="U277" s="365"/>
      <c r="V277" s="365"/>
      <c r="W277" s="365"/>
      <c r="X277" s="365"/>
    </row>
    <row r="278" spans="11:24" x14ac:dyDescent="0.35">
      <c r="K278" s="366"/>
      <c r="L278" s="365"/>
      <c r="M278" s="365"/>
      <c r="N278" s="365"/>
      <c r="O278" s="365"/>
      <c r="P278" s="365"/>
      <c r="Q278" s="365"/>
      <c r="R278" s="365"/>
      <c r="S278" s="365"/>
      <c r="T278" s="365"/>
      <c r="U278" s="365"/>
      <c r="V278" s="365"/>
      <c r="W278" s="365"/>
      <c r="X278" s="365"/>
    </row>
    <row r="279" spans="11:24" x14ac:dyDescent="0.35">
      <c r="K279" s="366"/>
      <c r="L279" s="365"/>
      <c r="M279" s="365"/>
      <c r="N279" s="365"/>
      <c r="O279" s="365"/>
      <c r="P279" s="365"/>
      <c r="Q279" s="365"/>
      <c r="R279" s="365"/>
      <c r="S279" s="365"/>
      <c r="T279" s="365"/>
      <c r="U279" s="365"/>
      <c r="V279" s="365"/>
      <c r="W279" s="365"/>
      <c r="X279" s="365"/>
    </row>
    <row r="280" spans="11:24" x14ac:dyDescent="0.35">
      <c r="K280" s="366"/>
      <c r="L280" s="365"/>
      <c r="M280" s="365"/>
      <c r="N280" s="365"/>
      <c r="O280" s="365"/>
      <c r="P280" s="365"/>
      <c r="Q280" s="365"/>
      <c r="R280" s="365"/>
      <c r="S280" s="365"/>
      <c r="T280" s="365"/>
      <c r="U280" s="365"/>
      <c r="V280" s="365"/>
      <c r="W280" s="365"/>
      <c r="X280" s="365"/>
    </row>
    <row r="281" spans="11:24" x14ac:dyDescent="0.35">
      <c r="K281" s="366"/>
      <c r="L281" s="365"/>
      <c r="M281" s="365"/>
      <c r="N281" s="365"/>
      <c r="O281" s="365"/>
      <c r="P281" s="365"/>
      <c r="Q281" s="365"/>
      <c r="R281" s="365"/>
      <c r="S281" s="365"/>
      <c r="T281" s="365"/>
      <c r="U281" s="365"/>
      <c r="V281" s="365"/>
      <c r="W281" s="365"/>
      <c r="X281" s="365"/>
    </row>
    <row r="282" spans="11:24" x14ac:dyDescent="0.35">
      <c r="K282" s="366"/>
      <c r="L282" s="365"/>
      <c r="M282" s="365"/>
      <c r="N282" s="365"/>
      <c r="O282" s="365"/>
      <c r="P282" s="365"/>
      <c r="Q282" s="365"/>
      <c r="R282" s="365"/>
      <c r="S282" s="365"/>
      <c r="T282" s="365"/>
      <c r="U282" s="365"/>
      <c r="V282" s="365"/>
      <c r="W282" s="365"/>
      <c r="X282" s="365"/>
    </row>
    <row r="283" spans="11:24" x14ac:dyDescent="0.35">
      <c r="K283" s="366"/>
      <c r="L283" s="365"/>
      <c r="M283" s="365"/>
      <c r="N283" s="365"/>
      <c r="O283" s="365"/>
      <c r="P283" s="365"/>
      <c r="Q283" s="365"/>
      <c r="R283" s="365"/>
      <c r="S283" s="365"/>
      <c r="T283" s="365"/>
      <c r="U283" s="365"/>
      <c r="V283" s="365"/>
      <c r="W283" s="365"/>
      <c r="X283" s="365"/>
    </row>
    <row r="284" spans="11:24" x14ac:dyDescent="0.35">
      <c r="K284" s="366"/>
      <c r="L284" s="365"/>
      <c r="M284" s="365"/>
      <c r="N284" s="365"/>
      <c r="O284" s="365"/>
      <c r="P284" s="365"/>
      <c r="Q284" s="365"/>
      <c r="R284" s="365"/>
      <c r="S284" s="365"/>
      <c r="T284" s="365"/>
      <c r="U284" s="365"/>
      <c r="V284" s="365"/>
      <c r="W284" s="365"/>
      <c r="X284" s="365"/>
    </row>
    <row r="285" spans="11:24" x14ac:dyDescent="0.35">
      <c r="K285" s="366"/>
      <c r="L285" s="365"/>
      <c r="M285" s="365"/>
      <c r="N285" s="365"/>
      <c r="O285" s="365"/>
      <c r="P285" s="365"/>
      <c r="Q285" s="365"/>
      <c r="R285" s="365"/>
      <c r="S285" s="365"/>
      <c r="T285" s="365"/>
      <c r="U285" s="365"/>
      <c r="V285" s="365"/>
      <c r="W285" s="365"/>
      <c r="X285" s="365"/>
    </row>
    <row r="286" spans="11:24" x14ac:dyDescent="0.35">
      <c r="K286" s="366"/>
      <c r="L286" s="365"/>
      <c r="M286" s="365"/>
      <c r="N286" s="365"/>
      <c r="O286" s="365"/>
      <c r="P286" s="365"/>
      <c r="Q286" s="365"/>
      <c r="R286" s="365"/>
      <c r="S286" s="365"/>
      <c r="T286" s="365"/>
      <c r="U286" s="365"/>
      <c r="V286" s="365"/>
      <c r="W286" s="365"/>
      <c r="X286" s="365"/>
    </row>
    <row r="287" spans="11:24" x14ac:dyDescent="0.35">
      <c r="K287" s="366"/>
      <c r="L287" s="365"/>
      <c r="M287" s="365"/>
      <c r="N287" s="365"/>
      <c r="O287" s="365"/>
      <c r="P287" s="365"/>
      <c r="Q287" s="365"/>
      <c r="R287" s="365"/>
      <c r="S287" s="365"/>
      <c r="T287" s="365"/>
      <c r="U287" s="365"/>
      <c r="V287" s="365"/>
      <c r="W287" s="365"/>
      <c r="X287" s="365"/>
    </row>
    <row r="288" spans="11:24" x14ac:dyDescent="0.35">
      <c r="K288" s="366"/>
      <c r="L288" s="365"/>
      <c r="M288" s="365"/>
      <c r="N288" s="365"/>
      <c r="O288" s="365"/>
      <c r="P288" s="365"/>
      <c r="Q288" s="365"/>
      <c r="R288" s="365"/>
      <c r="S288" s="365"/>
      <c r="T288" s="365"/>
      <c r="U288" s="365"/>
      <c r="V288" s="365"/>
      <c r="W288" s="365"/>
      <c r="X288" s="365"/>
    </row>
    <row r="289" spans="11:24" x14ac:dyDescent="0.35">
      <c r="K289" s="366"/>
      <c r="L289" s="365"/>
      <c r="M289" s="365"/>
      <c r="N289" s="365"/>
      <c r="O289" s="365"/>
      <c r="P289" s="365"/>
      <c r="Q289" s="365"/>
      <c r="R289" s="365"/>
      <c r="S289" s="365"/>
      <c r="T289" s="365"/>
      <c r="U289" s="365"/>
      <c r="V289" s="365"/>
      <c r="W289" s="365"/>
      <c r="X289" s="365"/>
    </row>
    <row r="290" spans="11:24" x14ac:dyDescent="0.35">
      <c r="K290" s="366"/>
      <c r="L290" s="365"/>
      <c r="M290" s="365"/>
      <c r="N290" s="365"/>
      <c r="O290" s="365"/>
      <c r="P290" s="365"/>
      <c r="Q290" s="365"/>
      <c r="R290" s="365"/>
      <c r="S290" s="365"/>
      <c r="T290" s="365"/>
      <c r="U290" s="365"/>
      <c r="V290" s="365"/>
      <c r="W290" s="365"/>
      <c r="X290" s="365"/>
    </row>
    <row r="291" spans="11:24" x14ac:dyDescent="0.35">
      <c r="K291" s="366"/>
      <c r="L291" s="365"/>
      <c r="M291" s="365"/>
      <c r="N291" s="365"/>
      <c r="O291" s="365"/>
      <c r="P291" s="365"/>
      <c r="Q291" s="365"/>
      <c r="R291" s="365"/>
      <c r="S291" s="365"/>
      <c r="T291" s="365"/>
      <c r="U291" s="365"/>
      <c r="V291" s="365"/>
      <c r="W291" s="365"/>
      <c r="X291" s="365"/>
    </row>
    <row r="292" spans="11:24" x14ac:dyDescent="0.35">
      <c r="K292" s="366"/>
      <c r="L292" s="365"/>
      <c r="M292" s="365"/>
      <c r="N292" s="365"/>
      <c r="O292" s="365"/>
      <c r="P292" s="365"/>
      <c r="Q292" s="365"/>
      <c r="R292" s="365"/>
      <c r="S292" s="365"/>
      <c r="T292" s="365"/>
      <c r="U292" s="365"/>
      <c r="V292" s="365"/>
      <c r="W292" s="365"/>
      <c r="X292" s="365"/>
    </row>
    <row r="293" spans="11:24" x14ac:dyDescent="0.35">
      <c r="K293" s="366"/>
      <c r="L293" s="365"/>
      <c r="M293" s="365"/>
      <c r="N293" s="365"/>
      <c r="O293" s="365"/>
      <c r="P293" s="365"/>
      <c r="Q293" s="365"/>
      <c r="R293" s="365"/>
      <c r="S293" s="365"/>
      <c r="T293" s="365"/>
      <c r="U293" s="365"/>
      <c r="V293" s="365"/>
      <c r="W293" s="365"/>
      <c r="X293" s="365"/>
    </row>
    <row r="294" spans="11:24" x14ac:dyDescent="0.35">
      <c r="K294" s="366"/>
      <c r="L294" s="365"/>
      <c r="M294" s="365"/>
      <c r="N294" s="365"/>
      <c r="O294" s="365"/>
      <c r="P294" s="365"/>
      <c r="Q294" s="365"/>
      <c r="R294" s="365"/>
      <c r="S294" s="365"/>
      <c r="T294" s="365"/>
      <c r="U294" s="365"/>
      <c r="V294" s="365"/>
      <c r="W294" s="365"/>
      <c r="X294" s="365"/>
    </row>
    <row r="295" spans="11:24" x14ac:dyDescent="0.35">
      <c r="K295" s="366"/>
      <c r="L295" s="365"/>
      <c r="M295" s="365"/>
      <c r="N295" s="365"/>
      <c r="O295" s="365"/>
      <c r="P295" s="365"/>
      <c r="Q295" s="365"/>
      <c r="R295" s="365"/>
      <c r="S295" s="365"/>
      <c r="T295" s="365"/>
      <c r="U295" s="365"/>
      <c r="V295" s="365"/>
      <c r="W295" s="365"/>
      <c r="X295" s="365"/>
    </row>
    <row r="296" spans="11:24" x14ac:dyDescent="0.35">
      <c r="K296" s="366"/>
      <c r="L296" s="365"/>
      <c r="M296" s="365"/>
      <c r="N296" s="365"/>
      <c r="O296" s="365"/>
      <c r="P296" s="365"/>
      <c r="Q296" s="365"/>
      <c r="R296" s="365"/>
      <c r="S296" s="365"/>
      <c r="T296" s="365"/>
      <c r="U296" s="365"/>
      <c r="V296" s="365"/>
      <c r="W296" s="365"/>
      <c r="X296" s="365"/>
    </row>
    <row r="297" spans="11:24" x14ac:dyDescent="0.35">
      <c r="K297" s="366"/>
      <c r="L297" s="365"/>
      <c r="M297" s="365"/>
      <c r="N297" s="365"/>
      <c r="O297" s="365"/>
      <c r="P297" s="365"/>
      <c r="Q297" s="365"/>
      <c r="R297" s="365"/>
      <c r="S297" s="365"/>
      <c r="T297" s="365"/>
      <c r="U297" s="365"/>
      <c r="V297" s="365"/>
      <c r="W297" s="365"/>
      <c r="X297" s="365"/>
    </row>
    <row r="298" spans="11:24" x14ac:dyDescent="0.35">
      <c r="K298" s="366"/>
      <c r="L298" s="365"/>
      <c r="M298" s="365"/>
      <c r="N298" s="365"/>
      <c r="O298" s="365"/>
      <c r="P298" s="365"/>
      <c r="Q298" s="365"/>
      <c r="R298" s="365"/>
      <c r="S298" s="365"/>
      <c r="T298" s="365"/>
      <c r="U298" s="365"/>
      <c r="V298" s="365"/>
      <c r="W298" s="365"/>
      <c r="X298" s="365"/>
    </row>
    <row r="299" spans="11:24" x14ac:dyDescent="0.35">
      <c r="K299" s="366"/>
      <c r="L299" s="365"/>
      <c r="M299" s="365"/>
      <c r="N299" s="365"/>
      <c r="O299" s="365"/>
      <c r="P299" s="365"/>
      <c r="Q299" s="365"/>
      <c r="R299" s="365"/>
      <c r="S299" s="365"/>
      <c r="T299" s="365"/>
      <c r="U299" s="365"/>
      <c r="V299" s="365"/>
      <c r="W299" s="365"/>
      <c r="X299" s="365"/>
    </row>
    <row r="300" spans="11:24" x14ac:dyDescent="0.35">
      <c r="K300" s="366"/>
      <c r="L300" s="365"/>
      <c r="M300" s="365"/>
      <c r="N300" s="365"/>
      <c r="O300" s="365"/>
      <c r="P300" s="365"/>
      <c r="Q300" s="365"/>
      <c r="R300" s="365"/>
      <c r="S300" s="365"/>
      <c r="T300" s="365"/>
      <c r="U300" s="365"/>
      <c r="V300" s="365"/>
      <c r="W300" s="365"/>
      <c r="X300" s="365"/>
    </row>
    <row r="301" spans="11:24" x14ac:dyDescent="0.35">
      <c r="K301" s="366"/>
      <c r="L301" s="365"/>
      <c r="M301" s="365"/>
      <c r="N301" s="365"/>
      <c r="O301" s="365"/>
      <c r="P301" s="365"/>
      <c r="Q301" s="365"/>
      <c r="R301" s="365"/>
      <c r="S301" s="365"/>
      <c r="T301" s="365"/>
      <c r="U301" s="365"/>
      <c r="V301" s="365"/>
      <c r="W301" s="365"/>
      <c r="X301" s="365"/>
    </row>
    <row r="302" spans="11:24" x14ac:dyDescent="0.35">
      <c r="K302" s="366"/>
      <c r="L302" s="365"/>
      <c r="M302" s="365"/>
      <c r="N302" s="365"/>
      <c r="O302" s="365"/>
      <c r="P302" s="365"/>
      <c r="Q302" s="365"/>
      <c r="R302" s="365"/>
      <c r="S302" s="365"/>
      <c r="T302" s="365"/>
      <c r="U302" s="365"/>
      <c r="V302" s="365"/>
      <c r="W302" s="365"/>
      <c r="X302" s="365"/>
    </row>
    <row r="303" spans="11:24" x14ac:dyDescent="0.35">
      <c r="K303" s="366"/>
      <c r="L303" s="365"/>
      <c r="M303" s="365"/>
      <c r="N303" s="365"/>
      <c r="O303" s="365"/>
      <c r="P303" s="365"/>
      <c r="Q303" s="365"/>
      <c r="R303" s="365"/>
      <c r="S303" s="365"/>
      <c r="T303" s="365"/>
      <c r="U303" s="365"/>
      <c r="V303" s="365"/>
      <c r="W303" s="365"/>
      <c r="X303" s="365"/>
    </row>
    <row r="304" spans="11:24" x14ac:dyDescent="0.35">
      <c r="K304" s="366"/>
      <c r="L304" s="365"/>
      <c r="M304" s="365"/>
      <c r="N304" s="365"/>
      <c r="O304" s="365"/>
      <c r="P304" s="365"/>
      <c r="Q304" s="365"/>
      <c r="R304" s="365"/>
      <c r="S304" s="365"/>
      <c r="T304" s="365"/>
      <c r="U304" s="365"/>
      <c r="V304" s="365"/>
      <c r="W304" s="365"/>
      <c r="X304" s="365"/>
    </row>
    <row r="305" spans="11:24" x14ac:dyDescent="0.35">
      <c r="K305" s="366"/>
      <c r="L305" s="365"/>
      <c r="M305" s="365"/>
      <c r="N305" s="365"/>
      <c r="O305" s="365"/>
      <c r="P305" s="365"/>
      <c r="Q305" s="365"/>
      <c r="R305" s="365"/>
      <c r="S305" s="365"/>
      <c r="T305" s="365"/>
      <c r="U305" s="365"/>
      <c r="V305" s="365"/>
      <c r="W305" s="365"/>
      <c r="X305" s="365"/>
    </row>
    <row r="306" spans="11:24" x14ac:dyDescent="0.35">
      <c r="K306" s="366"/>
      <c r="L306" s="365"/>
      <c r="M306" s="365"/>
      <c r="N306" s="365"/>
      <c r="O306" s="365"/>
      <c r="P306" s="365"/>
      <c r="Q306" s="365"/>
      <c r="R306" s="365"/>
      <c r="S306" s="365"/>
      <c r="T306" s="365"/>
      <c r="U306" s="365"/>
      <c r="V306" s="365"/>
      <c r="W306" s="365"/>
      <c r="X306" s="365"/>
    </row>
    <row r="307" spans="11:24" x14ac:dyDescent="0.35">
      <c r="K307" s="366"/>
      <c r="L307" s="365"/>
      <c r="M307" s="365"/>
      <c r="N307" s="365"/>
      <c r="O307" s="365"/>
      <c r="P307" s="365"/>
      <c r="Q307" s="365"/>
      <c r="R307" s="365"/>
      <c r="S307" s="365"/>
      <c r="T307" s="365"/>
      <c r="U307" s="365"/>
      <c r="V307" s="365"/>
      <c r="W307" s="365"/>
      <c r="X307" s="365"/>
    </row>
    <row r="308" spans="11:24" x14ac:dyDescent="0.35">
      <c r="K308" s="366"/>
      <c r="L308" s="365"/>
      <c r="M308" s="365"/>
      <c r="N308" s="365"/>
      <c r="O308" s="365"/>
      <c r="P308" s="365"/>
      <c r="Q308" s="365"/>
      <c r="R308" s="365"/>
      <c r="S308" s="365"/>
      <c r="T308" s="365"/>
      <c r="U308" s="365"/>
      <c r="V308" s="365"/>
      <c r="W308" s="365"/>
      <c r="X308" s="365"/>
    </row>
    <row r="309" spans="11:24" x14ac:dyDescent="0.35">
      <c r="K309" s="366"/>
      <c r="L309" s="365"/>
      <c r="M309" s="365"/>
      <c r="N309" s="365"/>
      <c r="O309" s="365"/>
      <c r="P309" s="365"/>
      <c r="Q309" s="365"/>
      <c r="R309" s="365"/>
      <c r="S309" s="365"/>
      <c r="T309" s="365"/>
      <c r="U309" s="365"/>
      <c r="V309" s="365"/>
      <c r="W309" s="365"/>
      <c r="X309" s="365"/>
    </row>
    <row r="310" spans="11:24" x14ac:dyDescent="0.35">
      <c r="K310" s="366"/>
      <c r="L310" s="365"/>
      <c r="M310" s="365"/>
      <c r="N310" s="365"/>
      <c r="O310" s="365"/>
      <c r="P310" s="365"/>
      <c r="Q310" s="365"/>
      <c r="R310" s="365"/>
      <c r="S310" s="365"/>
      <c r="T310" s="365"/>
      <c r="U310" s="365"/>
      <c r="V310" s="365"/>
      <c r="W310" s="365"/>
      <c r="X310" s="365"/>
    </row>
    <row r="311" spans="11:24" x14ac:dyDescent="0.35">
      <c r="K311" s="366"/>
      <c r="L311" s="365"/>
      <c r="M311" s="365"/>
      <c r="N311" s="365"/>
      <c r="O311" s="365"/>
      <c r="P311" s="365"/>
      <c r="Q311" s="365"/>
      <c r="R311" s="365"/>
      <c r="S311" s="365"/>
      <c r="T311" s="365"/>
      <c r="U311" s="365"/>
      <c r="V311" s="365"/>
      <c r="W311" s="365"/>
      <c r="X311" s="365"/>
    </row>
    <row r="312" spans="11:24" x14ac:dyDescent="0.35">
      <c r="K312" s="366"/>
      <c r="L312" s="365"/>
      <c r="M312" s="365"/>
      <c r="N312" s="365"/>
      <c r="O312" s="365"/>
      <c r="P312" s="365"/>
      <c r="Q312" s="365"/>
      <c r="R312" s="365"/>
      <c r="S312" s="365"/>
      <c r="T312" s="365"/>
      <c r="U312" s="365"/>
      <c r="V312" s="365"/>
      <c r="W312" s="365"/>
      <c r="X312" s="365"/>
    </row>
    <row r="313" spans="11:24" x14ac:dyDescent="0.35">
      <c r="K313" s="366"/>
      <c r="L313" s="365"/>
      <c r="M313" s="365"/>
      <c r="N313" s="365"/>
      <c r="O313" s="365"/>
      <c r="P313" s="365"/>
      <c r="Q313" s="365"/>
      <c r="R313" s="365"/>
      <c r="S313" s="365"/>
      <c r="T313" s="365"/>
      <c r="U313" s="365"/>
      <c r="V313" s="365"/>
      <c r="W313" s="365"/>
      <c r="X313" s="365"/>
    </row>
    <row r="314" spans="11:24" x14ac:dyDescent="0.35">
      <c r="K314" s="366"/>
      <c r="L314" s="365"/>
      <c r="M314" s="365"/>
      <c r="N314" s="365"/>
      <c r="O314" s="365"/>
      <c r="P314" s="365"/>
      <c r="Q314" s="365"/>
      <c r="R314" s="365"/>
      <c r="S314" s="365"/>
      <c r="T314" s="365"/>
      <c r="U314" s="365"/>
      <c r="V314" s="365"/>
      <c r="W314" s="365"/>
      <c r="X314" s="365"/>
    </row>
    <row r="315" spans="11:24" x14ac:dyDescent="0.35">
      <c r="K315" s="366"/>
      <c r="L315" s="365"/>
      <c r="M315" s="365"/>
      <c r="N315" s="365"/>
      <c r="O315" s="365"/>
      <c r="P315" s="365"/>
      <c r="Q315" s="365"/>
      <c r="R315" s="365"/>
      <c r="S315" s="365"/>
      <c r="T315" s="365"/>
      <c r="U315" s="365"/>
      <c r="V315" s="365"/>
      <c r="W315" s="365"/>
      <c r="X315" s="365"/>
    </row>
    <row r="316" spans="11:24" x14ac:dyDescent="0.35">
      <c r="K316" s="366"/>
      <c r="L316" s="365"/>
      <c r="M316" s="365"/>
      <c r="N316" s="365"/>
      <c r="O316" s="365"/>
      <c r="P316" s="365"/>
      <c r="Q316" s="365"/>
      <c r="R316" s="365"/>
      <c r="S316" s="365"/>
      <c r="T316" s="365"/>
      <c r="U316" s="365"/>
      <c r="V316" s="365"/>
      <c r="W316" s="365"/>
      <c r="X316" s="365"/>
    </row>
    <row r="317" spans="11:24" x14ac:dyDescent="0.35">
      <c r="K317" s="366"/>
      <c r="L317" s="365"/>
      <c r="M317" s="365"/>
      <c r="N317" s="365"/>
      <c r="O317" s="365"/>
      <c r="P317" s="365"/>
      <c r="Q317" s="365"/>
      <c r="R317" s="365"/>
      <c r="S317" s="365"/>
      <c r="T317" s="365"/>
      <c r="U317" s="365"/>
      <c r="V317" s="365"/>
      <c r="W317" s="365"/>
      <c r="X317" s="365"/>
    </row>
    <row r="318" spans="11:24" x14ac:dyDescent="0.35">
      <c r="K318" s="366"/>
      <c r="L318" s="365"/>
      <c r="M318" s="365"/>
      <c r="N318" s="365"/>
      <c r="O318" s="365"/>
      <c r="P318" s="365"/>
      <c r="Q318" s="365"/>
      <c r="R318" s="365"/>
      <c r="S318" s="365"/>
      <c r="T318" s="365"/>
      <c r="U318" s="365"/>
      <c r="V318" s="365"/>
      <c r="W318" s="365"/>
      <c r="X318" s="365"/>
    </row>
    <row r="319" spans="11:24" x14ac:dyDescent="0.35">
      <c r="K319" s="366"/>
      <c r="L319" s="365"/>
      <c r="M319" s="365"/>
      <c r="N319" s="365"/>
      <c r="O319" s="365"/>
      <c r="P319" s="365"/>
      <c r="Q319" s="365"/>
      <c r="R319" s="365"/>
      <c r="S319" s="365"/>
      <c r="T319" s="365"/>
      <c r="U319" s="365"/>
      <c r="V319" s="365"/>
      <c r="W319" s="365"/>
      <c r="X319" s="365"/>
    </row>
    <row r="320" spans="11:24" x14ac:dyDescent="0.35">
      <c r="K320" s="366"/>
      <c r="L320" s="365"/>
      <c r="M320" s="365"/>
      <c r="N320" s="365"/>
      <c r="O320" s="365"/>
      <c r="P320" s="365"/>
      <c r="Q320" s="365"/>
      <c r="R320" s="365"/>
      <c r="S320" s="365"/>
      <c r="T320" s="365"/>
      <c r="U320" s="365"/>
      <c r="V320" s="365"/>
      <c r="W320" s="365"/>
      <c r="X320" s="365"/>
    </row>
    <row r="321" spans="11:24" x14ac:dyDescent="0.35">
      <c r="K321" s="366"/>
      <c r="L321" s="365"/>
      <c r="M321" s="365"/>
      <c r="N321" s="365"/>
      <c r="O321" s="365"/>
      <c r="P321" s="365"/>
      <c r="Q321" s="365"/>
      <c r="R321" s="365"/>
      <c r="S321" s="365"/>
      <c r="T321" s="365"/>
      <c r="U321" s="365"/>
      <c r="V321" s="365"/>
      <c r="W321" s="365"/>
      <c r="X321" s="365"/>
    </row>
    <row r="322" spans="11:24" x14ac:dyDescent="0.35">
      <c r="K322" s="366"/>
      <c r="L322" s="365"/>
      <c r="M322" s="365"/>
      <c r="N322" s="365"/>
      <c r="O322" s="365"/>
      <c r="P322" s="365"/>
      <c r="Q322" s="365"/>
      <c r="R322" s="365"/>
      <c r="S322" s="365"/>
      <c r="T322" s="365"/>
      <c r="U322" s="365"/>
      <c r="V322" s="365"/>
      <c r="W322" s="365"/>
      <c r="X322" s="365"/>
    </row>
    <row r="323" spans="11:24" x14ac:dyDescent="0.35">
      <c r="K323" s="366"/>
      <c r="L323" s="365"/>
      <c r="M323" s="365"/>
      <c r="N323" s="365"/>
      <c r="O323" s="365"/>
      <c r="P323" s="365"/>
      <c r="Q323" s="365"/>
      <c r="R323" s="365"/>
      <c r="S323" s="365"/>
      <c r="T323" s="365"/>
      <c r="U323" s="365"/>
      <c r="V323" s="365"/>
      <c r="W323" s="365"/>
      <c r="X323" s="365"/>
    </row>
    <row r="324" spans="11:24" x14ac:dyDescent="0.35">
      <c r="K324" s="366"/>
      <c r="L324" s="365"/>
      <c r="M324" s="365"/>
      <c r="N324" s="365"/>
      <c r="O324" s="365"/>
      <c r="P324" s="365"/>
      <c r="Q324" s="365"/>
      <c r="R324" s="365"/>
      <c r="S324" s="365"/>
      <c r="T324" s="365"/>
      <c r="U324" s="365"/>
      <c r="V324" s="365"/>
      <c r="W324" s="365"/>
      <c r="X324" s="365"/>
    </row>
    <row r="325" spans="11:24" x14ac:dyDescent="0.35">
      <c r="K325" s="366"/>
      <c r="L325" s="365"/>
      <c r="M325" s="365"/>
      <c r="N325" s="365"/>
      <c r="O325" s="365"/>
      <c r="P325" s="365"/>
      <c r="Q325" s="365"/>
      <c r="R325" s="365"/>
      <c r="S325" s="365"/>
      <c r="T325" s="365"/>
      <c r="U325" s="365"/>
      <c r="V325" s="365"/>
      <c r="W325" s="365"/>
      <c r="X325" s="365"/>
    </row>
    <row r="326" spans="11:24" x14ac:dyDescent="0.35">
      <c r="K326" s="366"/>
      <c r="L326" s="365"/>
      <c r="M326" s="365"/>
      <c r="N326" s="365"/>
      <c r="O326" s="365"/>
      <c r="P326" s="365"/>
      <c r="Q326" s="365"/>
      <c r="R326" s="365"/>
      <c r="S326" s="365"/>
      <c r="T326" s="365"/>
      <c r="U326" s="365"/>
      <c r="V326" s="365"/>
      <c r="W326" s="365"/>
      <c r="X326" s="365"/>
    </row>
    <row r="327" spans="11:24" x14ac:dyDescent="0.35">
      <c r="K327" s="366"/>
      <c r="L327" s="365"/>
      <c r="M327" s="365"/>
      <c r="N327" s="365"/>
      <c r="O327" s="365"/>
      <c r="P327" s="365"/>
      <c r="Q327" s="365"/>
      <c r="R327" s="365"/>
      <c r="S327" s="365"/>
      <c r="T327" s="365"/>
      <c r="U327" s="365"/>
      <c r="V327" s="365"/>
      <c r="W327" s="365"/>
      <c r="X327" s="365"/>
    </row>
    <row r="328" spans="11:24" x14ac:dyDescent="0.35">
      <c r="K328" s="366"/>
      <c r="L328" s="365"/>
      <c r="M328" s="365"/>
      <c r="N328" s="365"/>
      <c r="O328" s="365"/>
      <c r="P328" s="365"/>
      <c r="Q328" s="365"/>
      <c r="R328" s="365"/>
      <c r="S328" s="365"/>
      <c r="T328" s="365"/>
      <c r="U328" s="365"/>
      <c r="V328" s="365"/>
      <c r="W328" s="365"/>
      <c r="X328" s="365"/>
    </row>
    <row r="329" spans="11:24" x14ac:dyDescent="0.35">
      <c r="K329" s="366"/>
      <c r="L329" s="365"/>
      <c r="M329" s="365"/>
      <c r="N329" s="365"/>
      <c r="O329" s="365"/>
      <c r="P329" s="365"/>
      <c r="Q329" s="365"/>
      <c r="R329" s="365"/>
      <c r="S329" s="365"/>
      <c r="T329" s="365"/>
      <c r="U329" s="365"/>
      <c r="V329" s="365"/>
      <c r="W329" s="365"/>
      <c r="X329" s="365"/>
    </row>
    <row r="330" spans="11:24" x14ac:dyDescent="0.35">
      <c r="K330" s="366"/>
      <c r="L330" s="365"/>
      <c r="M330" s="365"/>
      <c r="N330" s="365"/>
      <c r="O330" s="365"/>
      <c r="P330" s="365"/>
      <c r="Q330" s="365"/>
      <c r="R330" s="365"/>
      <c r="S330" s="365"/>
      <c r="T330" s="365"/>
      <c r="U330" s="365"/>
      <c r="V330" s="365"/>
      <c r="W330" s="365"/>
      <c r="X330" s="365"/>
    </row>
    <row r="331" spans="11:24" x14ac:dyDescent="0.35">
      <c r="K331" s="366"/>
      <c r="L331" s="365"/>
      <c r="M331" s="365"/>
      <c r="N331" s="365"/>
      <c r="O331" s="365"/>
      <c r="P331" s="365"/>
      <c r="Q331" s="365"/>
      <c r="R331" s="365"/>
      <c r="S331" s="365"/>
      <c r="T331" s="365"/>
      <c r="U331" s="365"/>
      <c r="V331" s="365"/>
      <c r="W331" s="365"/>
      <c r="X331" s="365"/>
    </row>
    <row r="332" spans="11:24" x14ac:dyDescent="0.35">
      <c r="K332" s="366"/>
      <c r="L332" s="365"/>
      <c r="M332" s="365"/>
      <c r="N332" s="365"/>
      <c r="O332" s="365"/>
      <c r="P332" s="365"/>
      <c r="Q332" s="365"/>
      <c r="R332" s="365"/>
      <c r="S332" s="365"/>
      <c r="T332" s="365"/>
      <c r="U332" s="365"/>
      <c r="V332" s="365"/>
      <c r="W332" s="365"/>
      <c r="X332" s="365"/>
    </row>
    <row r="333" spans="11:24" x14ac:dyDescent="0.35">
      <c r="K333" s="366"/>
      <c r="L333" s="365"/>
      <c r="M333" s="365"/>
      <c r="N333" s="365"/>
      <c r="O333" s="365"/>
      <c r="P333" s="365"/>
      <c r="Q333" s="365"/>
      <c r="R333" s="365"/>
      <c r="S333" s="365"/>
      <c r="T333" s="365"/>
      <c r="U333" s="365"/>
      <c r="V333" s="365"/>
      <c r="W333" s="365"/>
      <c r="X333" s="365"/>
    </row>
    <row r="334" spans="11:24" x14ac:dyDescent="0.35">
      <c r="K334" s="366"/>
      <c r="L334" s="365"/>
      <c r="M334" s="365"/>
      <c r="N334" s="365"/>
      <c r="O334" s="365"/>
      <c r="P334" s="365"/>
      <c r="Q334" s="365"/>
      <c r="R334" s="365"/>
      <c r="S334" s="365"/>
      <c r="T334" s="365"/>
      <c r="U334" s="365"/>
      <c r="V334" s="365"/>
      <c r="W334" s="365"/>
      <c r="X334" s="365"/>
    </row>
    <row r="335" spans="11:24" x14ac:dyDescent="0.35">
      <c r="K335" s="366"/>
      <c r="L335" s="365"/>
      <c r="M335" s="365"/>
      <c r="N335" s="365"/>
      <c r="O335" s="365"/>
      <c r="P335" s="365"/>
      <c r="Q335" s="365"/>
      <c r="R335" s="365"/>
      <c r="S335" s="365"/>
      <c r="T335" s="365"/>
      <c r="U335" s="365"/>
      <c r="V335" s="365"/>
      <c r="W335" s="365"/>
      <c r="X335" s="365"/>
    </row>
    <row r="336" spans="11:24" x14ac:dyDescent="0.35">
      <c r="K336" s="366"/>
      <c r="L336" s="365"/>
      <c r="M336" s="365"/>
      <c r="N336" s="365"/>
      <c r="O336" s="365"/>
      <c r="P336" s="365"/>
      <c r="Q336" s="365"/>
      <c r="R336" s="365"/>
      <c r="S336" s="365"/>
      <c r="T336" s="365"/>
      <c r="U336" s="365"/>
      <c r="V336" s="365"/>
      <c r="W336" s="365"/>
      <c r="X336" s="365"/>
    </row>
    <row r="337" spans="11:24" x14ac:dyDescent="0.35">
      <c r="K337" s="366"/>
      <c r="L337" s="365"/>
      <c r="M337" s="365"/>
      <c r="N337" s="365"/>
      <c r="O337" s="365"/>
      <c r="P337" s="365"/>
      <c r="Q337" s="365"/>
      <c r="R337" s="365"/>
      <c r="S337" s="365"/>
      <c r="T337" s="365"/>
      <c r="U337" s="365"/>
      <c r="V337" s="365"/>
      <c r="W337" s="365"/>
      <c r="X337" s="365"/>
    </row>
    <row r="338" spans="11:24" x14ac:dyDescent="0.35">
      <c r="K338" s="366"/>
      <c r="L338" s="365"/>
      <c r="M338" s="365"/>
      <c r="N338" s="365"/>
      <c r="O338" s="365"/>
      <c r="P338" s="365"/>
      <c r="Q338" s="365"/>
      <c r="R338" s="365"/>
      <c r="S338" s="365"/>
      <c r="T338" s="365"/>
      <c r="U338" s="365"/>
      <c r="V338" s="365"/>
      <c r="W338" s="365"/>
      <c r="X338" s="365"/>
    </row>
    <row r="339" spans="11:24" x14ac:dyDescent="0.35">
      <c r="K339" s="366"/>
      <c r="L339" s="365"/>
      <c r="M339" s="365"/>
      <c r="N339" s="365"/>
      <c r="O339" s="365"/>
      <c r="P339" s="365"/>
      <c r="Q339" s="365"/>
      <c r="R339" s="365"/>
      <c r="S339" s="365"/>
      <c r="T339" s="365"/>
      <c r="U339" s="365"/>
      <c r="V339" s="365"/>
      <c r="W339" s="365"/>
      <c r="X339" s="365"/>
    </row>
    <row r="340" spans="11:24" x14ac:dyDescent="0.35">
      <c r="K340" s="366"/>
      <c r="L340" s="365"/>
      <c r="M340" s="365"/>
      <c r="N340" s="365"/>
      <c r="O340" s="365"/>
      <c r="P340" s="365"/>
      <c r="Q340" s="365"/>
      <c r="R340" s="365"/>
      <c r="S340" s="365"/>
      <c r="T340" s="365"/>
      <c r="U340" s="365"/>
      <c r="V340" s="365"/>
      <c r="W340" s="365"/>
      <c r="X340" s="365"/>
    </row>
    <row r="341" spans="11:24" x14ac:dyDescent="0.35">
      <c r="K341" s="366"/>
      <c r="L341" s="365"/>
      <c r="M341" s="365"/>
      <c r="N341" s="365"/>
      <c r="O341" s="365"/>
      <c r="P341" s="365"/>
      <c r="Q341" s="365"/>
      <c r="R341" s="365"/>
      <c r="S341" s="365"/>
      <c r="T341" s="365"/>
      <c r="U341" s="365"/>
      <c r="V341" s="365"/>
      <c r="W341" s="365"/>
      <c r="X341" s="365"/>
    </row>
    <row r="342" spans="11:24" x14ac:dyDescent="0.35">
      <c r="K342" s="366"/>
      <c r="L342" s="365"/>
      <c r="M342" s="365"/>
      <c r="N342" s="365"/>
      <c r="O342" s="365"/>
      <c r="P342" s="365"/>
      <c r="Q342" s="365"/>
      <c r="R342" s="365"/>
      <c r="S342" s="365"/>
      <c r="T342" s="365"/>
      <c r="U342" s="365"/>
      <c r="V342" s="365"/>
      <c r="W342" s="365"/>
      <c r="X342" s="365"/>
    </row>
    <row r="343" spans="11:24" x14ac:dyDescent="0.35">
      <c r="K343" s="366"/>
      <c r="L343" s="365"/>
      <c r="M343" s="365"/>
      <c r="N343" s="365"/>
      <c r="O343" s="365"/>
      <c r="P343" s="365"/>
      <c r="Q343" s="365"/>
      <c r="R343" s="365"/>
      <c r="S343" s="365"/>
      <c r="T343" s="365"/>
      <c r="U343" s="365"/>
      <c r="V343" s="365"/>
      <c r="W343" s="365"/>
      <c r="X343" s="365"/>
    </row>
    <row r="344" spans="11:24" x14ac:dyDescent="0.35">
      <c r="K344" s="366"/>
      <c r="L344" s="365"/>
      <c r="M344" s="365"/>
      <c r="N344" s="365"/>
      <c r="O344" s="365"/>
      <c r="P344" s="365"/>
      <c r="Q344" s="365"/>
      <c r="R344" s="365"/>
      <c r="S344" s="365"/>
      <c r="T344" s="365"/>
      <c r="U344" s="365"/>
      <c r="V344" s="365"/>
      <c r="W344" s="365"/>
      <c r="X344" s="365"/>
    </row>
    <row r="345" spans="11:24" x14ac:dyDescent="0.35">
      <c r="K345" s="366"/>
      <c r="L345" s="365"/>
      <c r="M345" s="365"/>
      <c r="N345" s="365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</row>
    <row r="346" spans="11:24" x14ac:dyDescent="0.35">
      <c r="K346" s="366"/>
      <c r="L346" s="365"/>
      <c r="M346" s="365"/>
      <c r="N346" s="365"/>
      <c r="O346" s="365"/>
      <c r="P346" s="365"/>
      <c r="Q346" s="365"/>
      <c r="R346" s="365"/>
      <c r="S346" s="365"/>
      <c r="T346" s="365"/>
      <c r="U346" s="365"/>
      <c r="V346" s="365"/>
      <c r="W346" s="365"/>
      <c r="X346" s="365"/>
    </row>
    <row r="347" spans="11:24" x14ac:dyDescent="0.35">
      <c r="K347" s="366"/>
      <c r="L347" s="365"/>
      <c r="M347" s="365"/>
      <c r="N347" s="365"/>
      <c r="O347" s="365"/>
      <c r="P347" s="365"/>
      <c r="Q347" s="365"/>
      <c r="R347" s="365"/>
      <c r="S347" s="365"/>
      <c r="T347" s="365"/>
      <c r="U347" s="365"/>
      <c r="V347" s="365"/>
      <c r="W347" s="365"/>
      <c r="X347" s="365"/>
    </row>
    <row r="348" spans="11:24" x14ac:dyDescent="0.35">
      <c r="K348" s="366"/>
      <c r="L348" s="365"/>
      <c r="M348" s="365"/>
      <c r="N348" s="365"/>
      <c r="O348" s="365"/>
      <c r="P348" s="365"/>
      <c r="Q348" s="365"/>
      <c r="R348" s="365"/>
      <c r="S348" s="365"/>
      <c r="T348" s="365"/>
      <c r="U348" s="365"/>
      <c r="V348" s="365"/>
      <c r="W348" s="365"/>
      <c r="X348" s="365"/>
    </row>
    <row r="349" spans="11:24" x14ac:dyDescent="0.35">
      <c r="K349" s="366"/>
      <c r="L349" s="365"/>
      <c r="M349" s="365"/>
      <c r="N349" s="365"/>
      <c r="O349" s="365"/>
      <c r="P349" s="365"/>
      <c r="Q349" s="365"/>
      <c r="R349" s="365"/>
      <c r="S349" s="365"/>
      <c r="T349" s="365"/>
      <c r="U349" s="365"/>
      <c r="V349" s="365"/>
      <c r="W349" s="365"/>
      <c r="X349" s="365"/>
    </row>
    <row r="350" spans="11:24" x14ac:dyDescent="0.35">
      <c r="K350" s="366"/>
      <c r="L350" s="365"/>
      <c r="M350" s="365"/>
      <c r="N350" s="365"/>
      <c r="O350" s="365"/>
      <c r="P350" s="365"/>
      <c r="Q350" s="365"/>
      <c r="R350" s="365"/>
      <c r="S350" s="365"/>
      <c r="T350" s="365"/>
      <c r="U350" s="365"/>
      <c r="V350" s="365"/>
      <c r="W350" s="365"/>
      <c r="X350" s="365"/>
    </row>
    <row r="351" spans="11:24" x14ac:dyDescent="0.35">
      <c r="K351" s="366"/>
      <c r="L351" s="365"/>
      <c r="M351" s="365"/>
      <c r="N351" s="365"/>
      <c r="O351" s="365"/>
      <c r="P351" s="365"/>
      <c r="Q351" s="365"/>
      <c r="R351" s="365"/>
      <c r="S351" s="365"/>
      <c r="T351" s="365"/>
      <c r="U351" s="365"/>
      <c r="V351" s="365"/>
      <c r="W351" s="365"/>
      <c r="X351" s="365"/>
    </row>
    <row r="352" spans="11:24" x14ac:dyDescent="0.35">
      <c r="K352" s="366"/>
      <c r="L352" s="365"/>
      <c r="M352" s="365"/>
      <c r="N352" s="365"/>
      <c r="O352" s="365"/>
      <c r="P352" s="365"/>
      <c r="Q352" s="365"/>
      <c r="R352" s="365"/>
      <c r="S352" s="365"/>
      <c r="T352" s="365"/>
      <c r="U352" s="365"/>
      <c r="V352" s="365"/>
      <c r="W352" s="365"/>
      <c r="X352" s="365"/>
    </row>
    <row r="353" spans="11:24" x14ac:dyDescent="0.35">
      <c r="K353" s="366"/>
      <c r="L353" s="365"/>
      <c r="M353" s="365"/>
      <c r="N353" s="365"/>
      <c r="O353" s="365"/>
      <c r="P353" s="365"/>
      <c r="Q353" s="365"/>
      <c r="R353" s="365"/>
      <c r="S353" s="365"/>
      <c r="T353" s="365"/>
      <c r="U353" s="365"/>
      <c r="V353" s="365"/>
      <c r="W353" s="365"/>
      <c r="X353" s="365"/>
    </row>
    <row r="354" spans="11:24" x14ac:dyDescent="0.35">
      <c r="K354" s="366"/>
      <c r="L354" s="365"/>
      <c r="M354" s="365"/>
      <c r="N354" s="365"/>
      <c r="O354" s="365"/>
      <c r="P354" s="365"/>
      <c r="Q354" s="365"/>
      <c r="R354" s="365"/>
      <c r="S354" s="365"/>
      <c r="T354" s="365"/>
      <c r="U354" s="365"/>
      <c r="V354" s="365"/>
      <c r="W354" s="365"/>
      <c r="X354" s="365"/>
    </row>
    <row r="355" spans="11:24" x14ac:dyDescent="0.35">
      <c r="K355" s="366"/>
      <c r="L355" s="365"/>
      <c r="M355" s="365"/>
      <c r="N355" s="365"/>
      <c r="O355" s="365"/>
      <c r="P355" s="365"/>
      <c r="Q355" s="365"/>
      <c r="R355" s="365"/>
      <c r="S355" s="365"/>
      <c r="T355" s="365"/>
      <c r="U355" s="365"/>
      <c r="V355" s="365"/>
      <c r="W355" s="365"/>
      <c r="X355" s="365"/>
    </row>
    <row r="356" spans="11:24" x14ac:dyDescent="0.35">
      <c r="K356" s="366"/>
      <c r="L356" s="365"/>
      <c r="M356" s="365"/>
      <c r="N356" s="365"/>
      <c r="O356" s="365"/>
      <c r="P356" s="365"/>
      <c r="Q356" s="365"/>
      <c r="R356" s="365"/>
      <c r="S356" s="365"/>
      <c r="T356" s="365"/>
      <c r="U356" s="365"/>
      <c r="V356" s="365"/>
      <c r="W356" s="365"/>
      <c r="X356" s="365"/>
    </row>
    <row r="357" spans="11:24" x14ac:dyDescent="0.35">
      <c r="K357" s="366"/>
      <c r="L357" s="365"/>
      <c r="M357" s="365"/>
      <c r="N357" s="365"/>
      <c r="O357" s="365"/>
      <c r="P357" s="365"/>
      <c r="Q357" s="365"/>
      <c r="R357" s="365"/>
      <c r="S357" s="365"/>
      <c r="T357" s="365"/>
      <c r="U357" s="365"/>
      <c r="V357" s="365"/>
      <c r="W357" s="365"/>
      <c r="X357" s="365"/>
    </row>
    <row r="358" spans="11:24" x14ac:dyDescent="0.35">
      <c r="K358" s="366"/>
      <c r="L358" s="365"/>
      <c r="M358" s="365"/>
      <c r="N358" s="365"/>
      <c r="O358" s="365"/>
      <c r="P358" s="365"/>
      <c r="Q358" s="365"/>
      <c r="R358" s="365"/>
      <c r="S358" s="365"/>
      <c r="T358" s="365"/>
      <c r="U358" s="365"/>
      <c r="V358" s="365"/>
      <c r="W358" s="365"/>
      <c r="X358" s="365"/>
    </row>
    <row r="359" spans="11:24" x14ac:dyDescent="0.35">
      <c r="K359" s="366"/>
      <c r="L359" s="365"/>
      <c r="M359" s="365"/>
      <c r="N359" s="365"/>
      <c r="O359" s="365"/>
      <c r="P359" s="365"/>
      <c r="Q359" s="365"/>
      <c r="R359" s="365"/>
      <c r="S359" s="365"/>
      <c r="T359" s="365"/>
      <c r="U359" s="365"/>
      <c r="V359" s="365"/>
      <c r="W359" s="365"/>
      <c r="X359" s="365"/>
    </row>
    <row r="360" spans="11:24" x14ac:dyDescent="0.35">
      <c r="K360" s="366"/>
      <c r="L360" s="365"/>
      <c r="M360" s="365"/>
      <c r="N360" s="365"/>
      <c r="O360" s="365"/>
      <c r="P360" s="365"/>
      <c r="Q360" s="365"/>
      <c r="R360" s="365"/>
      <c r="S360" s="365"/>
      <c r="T360" s="365"/>
      <c r="U360" s="365"/>
      <c r="V360" s="365"/>
      <c r="W360" s="365"/>
      <c r="X360" s="365"/>
    </row>
    <row r="361" spans="11:24" x14ac:dyDescent="0.35">
      <c r="K361" s="366"/>
      <c r="L361" s="365"/>
      <c r="M361" s="365"/>
      <c r="N361" s="365"/>
      <c r="O361" s="365"/>
      <c r="P361" s="365"/>
      <c r="Q361" s="365"/>
      <c r="R361" s="365"/>
      <c r="S361" s="365"/>
      <c r="T361" s="365"/>
      <c r="U361" s="365"/>
      <c r="V361" s="365"/>
      <c r="W361" s="365"/>
      <c r="X361" s="365"/>
    </row>
    <row r="362" spans="11:24" x14ac:dyDescent="0.35">
      <c r="K362" s="366"/>
      <c r="L362" s="365"/>
      <c r="M362" s="365"/>
      <c r="N362" s="365"/>
      <c r="O362" s="365"/>
      <c r="P362" s="365"/>
      <c r="Q362" s="365"/>
      <c r="R362" s="365"/>
      <c r="S362" s="365"/>
      <c r="T362" s="365"/>
      <c r="U362" s="365"/>
      <c r="V362" s="365"/>
      <c r="W362" s="365"/>
      <c r="X362" s="365"/>
    </row>
    <row r="363" spans="11:24" x14ac:dyDescent="0.35">
      <c r="K363" s="366"/>
      <c r="L363" s="365"/>
      <c r="M363" s="365"/>
      <c r="N363" s="365"/>
      <c r="O363" s="365"/>
      <c r="P363" s="365"/>
      <c r="Q363" s="365"/>
      <c r="R363" s="365"/>
      <c r="S363" s="365"/>
      <c r="T363" s="365"/>
      <c r="U363" s="365"/>
      <c r="V363" s="365"/>
      <c r="W363" s="365"/>
      <c r="X363" s="365"/>
    </row>
    <row r="364" spans="11:24" x14ac:dyDescent="0.35">
      <c r="K364" s="366"/>
      <c r="L364" s="365"/>
      <c r="M364" s="365"/>
      <c r="N364" s="365"/>
      <c r="O364" s="365"/>
      <c r="P364" s="365"/>
      <c r="Q364" s="365"/>
      <c r="R364" s="365"/>
      <c r="S364" s="365"/>
      <c r="T364" s="365"/>
      <c r="U364" s="365"/>
      <c r="V364" s="365"/>
      <c r="W364" s="365"/>
      <c r="X364" s="365"/>
    </row>
    <row r="365" spans="11:24" x14ac:dyDescent="0.35">
      <c r="K365" s="366"/>
      <c r="L365" s="365"/>
      <c r="M365" s="365"/>
      <c r="N365" s="365"/>
      <c r="O365" s="365"/>
      <c r="P365" s="365"/>
      <c r="Q365" s="365"/>
      <c r="R365" s="365"/>
      <c r="S365" s="365"/>
      <c r="T365" s="365"/>
      <c r="U365" s="365"/>
      <c r="V365" s="365"/>
      <c r="W365" s="365"/>
      <c r="X365" s="365"/>
    </row>
    <row r="366" spans="11:24" x14ac:dyDescent="0.35">
      <c r="K366" s="366"/>
      <c r="L366" s="365"/>
      <c r="M366" s="365"/>
      <c r="N366" s="365"/>
      <c r="O366" s="365"/>
      <c r="P366" s="365"/>
      <c r="Q366" s="365"/>
      <c r="R366" s="365"/>
      <c r="S366" s="365"/>
      <c r="T366" s="365"/>
      <c r="U366" s="365"/>
      <c r="V366" s="365"/>
      <c r="W366" s="365"/>
      <c r="X366" s="365"/>
    </row>
    <row r="367" spans="11:24" x14ac:dyDescent="0.35">
      <c r="K367" s="366"/>
      <c r="L367" s="365"/>
      <c r="M367" s="365"/>
      <c r="N367" s="365"/>
      <c r="O367" s="365"/>
      <c r="P367" s="365"/>
      <c r="Q367" s="365"/>
      <c r="R367" s="365"/>
      <c r="S367" s="365"/>
      <c r="T367" s="365"/>
      <c r="U367" s="365"/>
      <c r="V367" s="365"/>
      <c r="W367" s="365"/>
      <c r="X367" s="365"/>
    </row>
    <row r="368" spans="11:24" x14ac:dyDescent="0.35">
      <c r="K368" s="366"/>
      <c r="L368" s="365"/>
      <c r="M368" s="365"/>
      <c r="N368" s="365"/>
      <c r="O368" s="365"/>
      <c r="P368" s="365"/>
      <c r="Q368" s="365"/>
      <c r="R368" s="365"/>
      <c r="S368" s="365"/>
      <c r="T368" s="365"/>
      <c r="U368" s="365"/>
      <c r="V368" s="365"/>
      <c r="W368" s="365"/>
      <c r="X368" s="365"/>
    </row>
    <row r="369" spans="11:24" x14ac:dyDescent="0.35">
      <c r="K369" s="366"/>
      <c r="L369" s="365"/>
      <c r="M369" s="365"/>
      <c r="N369" s="365"/>
      <c r="O369" s="365"/>
      <c r="P369" s="365"/>
      <c r="Q369" s="365"/>
      <c r="R369" s="365"/>
      <c r="S369" s="365"/>
      <c r="T369" s="365"/>
      <c r="U369" s="365"/>
      <c r="V369" s="365"/>
      <c r="W369" s="365"/>
      <c r="X369" s="365"/>
    </row>
    <row r="370" spans="11:24" x14ac:dyDescent="0.35">
      <c r="K370" s="366"/>
      <c r="L370" s="365"/>
      <c r="M370" s="365"/>
      <c r="N370" s="365"/>
      <c r="O370" s="365"/>
      <c r="P370" s="365"/>
      <c r="Q370" s="365"/>
      <c r="R370" s="365"/>
      <c r="S370" s="365"/>
      <c r="T370" s="365"/>
      <c r="U370" s="365"/>
      <c r="V370" s="365"/>
      <c r="W370" s="365"/>
      <c r="X370" s="365"/>
    </row>
    <row r="371" spans="11:24" x14ac:dyDescent="0.35">
      <c r="K371" s="366"/>
      <c r="L371" s="365"/>
      <c r="M371" s="365"/>
      <c r="N371" s="365"/>
      <c r="O371" s="365"/>
      <c r="P371" s="365"/>
      <c r="Q371" s="365"/>
      <c r="R371" s="365"/>
      <c r="S371" s="365"/>
      <c r="T371" s="365"/>
      <c r="U371" s="365"/>
      <c r="V371" s="365"/>
      <c r="W371" s="365"/>
      <c r="X371" s="365"/>
    </row>
    <row r="372" spans="11:24" x14ac:dyDescent="0.35">
      <c r="K372" s="366"/>
      <c r="L372" s="365"/>
      <c r="M372" s="365"/>
      <c r="N372" s="365"/>
      <c r="O372" s="365"/>
      <c r="P372" s="365"/>
      <c r="Q372" s="365"/>
      <c r="R372" s="365"/>
      <c r="S372" s="365"/>
      <c r="T372" s="365"/>
      <c r="U372" s="365"/>
      <c r="V372" s="365"/>
      <c r="W372" s="365"/>
      <c r="X372" s="365"/>
    </row>
    <row r="373" spans="11:24" x14ac:dyDescent="0.35">
      <c r="K373" s="366"/>
      <c r="L373" s="365"/>
      <c r="M373" s="365"/>
      <c r="N373" s="365"/>
      <c r="O373" s="365"/>
      <c r="P373" s="365"/>
      <c r="Q373" s="365"/>
      <c r="R373" s="365"/>
      <c r="S373" s="365"/>
      <c r="T373" s="365"/>
      <c r="U373" s="365"/>
      <c r="V373" s="365"/>
      <c r="W373" s="365"/>
      <c r="X373" s="365"/>
    </row>
    <row r="374" spans="11:24" x14ac:dyDescent="0.35">
      <c r="K374" s="366"/>
      <c r="L374" s="365"/>
      <c r="M374" s="365"/>
      <c r="N374" s="365"/>
      <c r="O374" s="365"/>
      <c r="P374" s="365"/>
      <c r="Q374" s="365"/>
      <c r="R374" s="365"/>
      <c r="S374" s="365"/>
      <c r="T374" s="365"/>
      <c r="U374" s="365"/>
      <c r="V374" s="365"/>
      <c r="W374" s="365"/>
      <c r="X374" s="365"/>
    </row>
    <row r="375" spans="11:24" x14ac:dyDescent="0.35">
      <c r="K375" s="366"/>
      <c r="L375" s="365"/>
      <c r="M375" s="365"/>
      <c r="N375" s="365"/>
      <c r="O375" s="365"/>
      <c r="P375" s="365"/>
      <c r="Q375" s="365"/>
      <c r="R375" s="365"/>
      <c r="S375" s="365"/>
      <c r="T375" s="365"/>
      <c r="U375" s="365"/>
      <c r="V375" s="365"/>
      <c r="W375" s="365"/>
      <c r="X375" s="365"/>
    </row>
    <row r="376" spans="11:24" x14ac:dyDescent="0.35">
      <c r="K376" s="366"/>
      <c r="L376" s="365"/>
      <c r="M376" s="365"/>
      <c r="N376" s="365"/>
      <c r="O376" s="365"/>
      <c r="P376" s="365"/>
      <c r="Q376" s="365"/>
      <c r="R376" s="365"/>
      <c r="S376" s="365"/>
      <c r="T376" s="365"/>
      <c r="U376" s="365"/>
      <c r="V376" s="365"/>
      <c r="W376" s="365"/>
      <c r="X376" s="365"/>
    </row>
    <row r="377" spans="11:24" x14ac:dyDescent="0.35">
      <c r="K377" s="366"/>
      <c r="L377" s="365"/>
      <c r="M377" s="365"/>
      <c r="N377" s="365"/>
      <c r="O377" s="365"/>
      <c r="P377" s="365"/>
      <c r="Q377" s="365"/>
      <c r="R377" s="365"/>
      <c r="S377" s="365"/>
      <c r="T377" s="365"/>
      <c r="U377" s="365"/>
      <c r="V377" s="365"/>
      <c r="W377" s="365"/>
      <c r="X377" s="365"/>
    </row>
    <row r="378" spans="11:24" x14ac:dyDescent="0.35">
      <c r="K378" s="366"/>
      <c r="L378" s="365"/>
      <c r="M378" s="365"/>
      <c r="N378" s="365"/>
      <c r="O378" s="365"/>
      <c r="P378" s="365"/>
      <c r="Q378" s="365"/>
      <c r="R378" s="365"/>
      <c r="S378" s="365"/>
      <c r="T378" s="365"/>
      <c r="U378" s="365"/>
      <c r="V378" s="365"/>
      <c r="W378" s="365"/>
      <c r="X378" s="365"/>
    </row>
    <row r="379" spans="11:24" x14ac:dyDescent="0.35">
      <c r="K379" s="366"/>
      <c r="L379" s="365"/>
      <c r="M379" s="365"/>
      <c r="N379" s="365"/>
      <c r="O379" s="365"/>
      <c r="P379" s="365"/>
      <c r="Q379" s="365"/>
      <c r="R379" s="365"/>
      <c r="S379" s="365"/>
      <c r="T379" s="365"/>
      <c r="U379" s="365"/>
      <c r="V379" s="365"/>
      <c r="W379" s="365"/>
      <c r="X379" s="365"/>
    </row>
    <row r="380" spans="11:24" x14ac:dyDescent="0.35">
      <c r="K380" s="366"/>
      <c r="L380" s="365"/>
      <c r="M380" s="365"/>
      <c r="N380" s="365"/>
      <c r="O380" s="365"/>
      <c r="P380" s="365"/>
      <c r="Q380" s="365"/>
      <c r="R380" s="365"/>
      <c r="S380" s="365"/>
      <c r="T380" s="365"/>
      <c r="U380" s="365"/>
      <c r="V380" s="365"/>
      <c r="W380" s="365"/>
      <c r="X380" s="365"/>
    </row>
    <row r="381" spans="11:24" x14ac:dyDescent="0.35">
      <c r="K381" s="366"/>
      <c r="L381" s="365"/>
      <c r="M381" s="365"/>
      <c r="N381" s="365"/>
      <c r="O381" s="365"/>
      <c r="P381" s="365"/>
      <c r="Q381" s="365"/>
      <c r="R381" s="365"/>
      <c r="S381" s="365"/>
      <c r="T381" s="365"/>
      <c r="U381" s="365"/>
      <c r="V381" s="365"/>
      <c r="W381" s="365"/>
      <c r="X381" s="365"/>
    </row>
    <row r="382" spans="11:24" x14ac:dyDescent="0.35">
      <c r="K382" s="366"/>
      <c r="L382" s="365"/>
      <c r="M382" s="365"/>
      <c r="N382" s="365"/>
      <c r="O382" s="365"/>
      <c r="P382" s="365"/>
      <c r="Q382" s="365"/>
      <c r="R382" s="365"/>
      <c r="S382" s="365"/>
      <c r="T382" s="365"/>
      <c r="U382" s="365"/>
      <c r="V382" s="365"/>
      <c r="W382" s="365"/>
      <c r="X382" s="365"/>
    </row>
    <row r="383" spans="11:24" x14ac:dyDescent="0.35">
      <c r="K383" s="366"/>
      <c r="L383" s="365"/>
      <c r="M383" s="365"/>
      <c r="N383" s="365"/>
      <c r="O383" s="365"/>
      <c r="P383" s="365"/>
      <c r="Q383" s="365"/>
      <c r="R383" s="365"/>
      <c r="S383" s="365"/>
      <c r="T383" s="365"/>
      <c r="U383" s="365"/>
      <c r="V383" s="365"/>
      <c r="W383" s="365"/>
      <c r="X383" s="365"/>
    </row>
    <row r="384" spans="11:24" x14ac:dyDescent="0.35">
      <c r="K384" s="366"/>
      <c r="L384" s="365"/>
      <c r="M384" s="365"/>
      <c r="N384" s="365"/>
      <c r="O384" s="365"/>
      <c r="P384" s="365"/>
      <c r="Q384" s="365"/>
      <c r="R384" s="365"/>
      <c r="S384" s="365"/>
      <c r="T384" s="365"/>
      <c r="U384" s="365"/>
      <c r="V384" s="365"/>
      <c r="W384" s="365"/>
      <c r="X384" s="365"/>
    </row>
    <row r="385" spans="11:24" x14ac:dyDescent="0.35">
      <c r="K385" s="366"/>
      <c r="L385" s="365"/>
      <c r="M385" s="365"/>
      <c r="N385" s="365"/>
      <c r="O385" s="365"/>
      <c r="P385" s="365"/>
      <c r="Q385" s="365"/>
      <c r="R385" s="365"/>
      <c r="S385" s="365"/>
      <c r="T385" s="365"/>
      <c r="U385" s="365"/>
      <c r="V385" s="365"/>
      <c r="W385" s="365"/>
      <c r="X385" s="365"/>
    </row>
    <row r="386" spans="11:24" x14ac:dyDescent="0.35">
      <c r="K386" s="366"/>
      <c r="L386" s="365"/>
      <c r="M386" s="365"/>
      <c r="N386" s="365"/>
      <c r="O386" s="365"/>
      <c r="P386" s="365"/>
      <c r="Q386" s="365"/>
      <c r="R386" s="365"/>
      <c r="S386" s="365"/>
      <c r="T386" s="365"/>
      <c r="U386" s="365"/>
      <c r="V386" s="365"/>
      <c r="W386" s="365"/>
      <c r="X386" s="365"/>
    </row>
    <row r="387" spans="11:24" x14ac:dyDescent="0.35">
      <c r="K387" s="366"/>
      <c r="L387" s="365"/>
      <c r="M387" s="365"/>
      <c r="N387" s="365"/>
      <c r="O387" s="365"/>
      <c r="P387" s="365"/>
      <c r="Q387" s="365"/>
      <c r="R387" s="365"/>
      <c r="S387" s="365"/>
      <c r="T387" s="365"/>
      <c r="U387" s="365"/>
      <c r="V387" s="365"/>
      <c r="W387" s="365"/>
      <c r="X387" s="365"/>
    </row>
    <row r="388" spans="11:24" x14ac:dyDescent="0.35">
      <c r="K388" s="366"/>
      <c r="L388" s="365"/>
      <c r="M388" s="365"/>
      <c r="N388" s="365"/>
      <c r="O388" s="365"/>
      <c r="P388" s="365"/>
      <c r="Q388" s="365"/>
      <c r="R388" s="365"/>
      <c r="S388" s="365"/>
      <c r="T388" s="365"/>
      <c r="U388" s="365"/>
      <c r="V388" s="365"/>
      <c r="W388" s="365"/>
      <c r="X388" s="365"/>
    </row>
    <row r="389" spans="11:24" x14ac:dyDescent="0.35">
      <c r="K389" s="366"/>
      <c r="L389" s="365"/>
      <c r="M389" s="365"/>
      <c r="N389" s="365"/>
      <c r="O389" s="365"/>
      <c r="P389" s="365"/>
      <c r="Q389" s="365"/>
      <c r="R389" s="365"/>
      <c r="S389" s="365"/>
      <c r="T389" s="365"/>
      <c r="U389" s="365"/>
      <c r="V389" s="365"/>
      <c r="W389" s="365"/>
      <c r="X389" s="365"/>
    </row>
    <row r="390" spans="11:24" x14ac:dyDescent="0.35">
      <c r="K390" s="366"/>
      <c r="L390" s="365"/>
      <c r="M390" s="365"/>
      <c r="N390" s="365"/>
      <c r="O390" s="365"/>
      <c r="P390" s="365"/>
      <c r="Q390" s="365"/>
      <c r="R390" s="365"/>
      <c r="S390" s="365"/>
      <c r="T390" s="365"/>
      <c r="U390" s="365"/>
      <c r="V390" s="365"/>
      <c r="W390" s="365"/>
      <c r="X390" s="365"/>
    </row>
    <row r="391" spans="11:24" x14ac:dyDescent="0.35">
      <c r="K391" s="366"/>
      <c r="L391" s="365"/>
      <c r="M391" s="365"/>
      <c r="N391" s="365"/>
      <c r="O391" s="365"/>
      <c r="P391" s="365"/>
      <c r="Q391" s="365"/>
      <c r="R391" s="365"/>
      <c r="S391" s="365"/>
      <c r="T391" s="365"/>
      <c r="U391" s="365"/>
      <c r="V391" s="365"/>
      <c r="W391" s="365"/>
      <c r="X391" s="365"/>
    </row>
    <row r="392" spans="11:24" x14ac:dyDescent="0.35">
      <c r="K392" s="366"/>
      <c r="L392" s="365"/>
      <c r="M392" s="365"/>
      <c r="N392" s="365"/>
      <c r="O392" s="365"/>
      <c r="P392" s="365"/>
      <c r="Q392" s="365"/>
      <c r="R392" s="365"/>
      <c r="S392" s="365"/>
      <c r="T392" s="365"/>
      <c r="U392" s="365"/>
      <c r="V392" s="365"/>
      <c r="W392" s="365"/>
      <c r="X392" s="365"/>
    </row>
    <row r="393" spans="11:24" x14ac:dyDescent="0.35">
      <c r="K393" s="366"/>
      <c r="L393" s="365"/>
      <c r="M393" s="365"/>
      <c r="N393" s="365"/>
      <c r="O393" s="365"/>
      <c r="P393" s="365"/>
      <c r="Q393" s="365"/>
      <c r="R393" s="365"/>
      <c r="S393" s="365"/>
      <c r="T393" s="365"/>
      <c r="U393" s="365"/>
      <c r="V393" s="365"/>
      <c r="W393" s="365"/>
      <c r="X393" s="365"/>
    </row>
    <row r="394" spans="11:24" x14ac:dyDescent="0.35">
      <c r="K394" s="366"/>
      <c r="L394" s="365"/>
      <c r="M394" s="365"/>
      <c r="N394" s="365"/>
      <c r="O394" s="365"/>
      <c r="P394" s="365"/>
      <c r="Q394" s="365"/>
      <c r="R394" s="365"/>
      <c r="S394" s="365"/>
      <c r="T394" s="365"/>
      <c r="U394" s="365"/>
      <c r="V394" s="365"/>
      <c r="W394" s="365"/>
      <c r="X394" s="365"/>
    </row>
    <row r="395" spans="11:24" x14ac:dyDescent="0.35">
      <c r="K395" s="366"/>
      <c r="L395" s="365"/>
      <c r="M395" s="365"/>
      <c r="N395" s="365"/>
      <c r="O395" s="365"/>
      <c r="P395" s="365"/>
      <c r="Q395" s="365"/>
      <c r="R395" s="365"/>
      <c r="S395" s="365"/>
      <c r="T395" s="365"/>
      <c r="U395" s="365"/>
      <c r="V395" s="365"/>
      <c r="W395" s="365"/>
      <c r="X395" s="365"/>
    </row>
    <row r="396" spans="11:24" x14ac:dyDescent="0.35">
      <c r="K396" s="366"/>
      <c r="L396" s="365"/>
      <c r="M396" s="365"/>
      <c r="N396" s="365"/>
      <c r="O396" s="365"/>
      <c r="P396" s="365"/>
      <c r="Q396" s="365"/>
      <c r="R396" s="365"/>
      <c r="S396" s="365"/>
      <c r="T396" s="365"/>
      <c r="U396" s="365"/>
      <c r="V396" s="365"/>
      <c r="W396" s="365"/>
      <c r="X396" s="365"/>
    </row>
    <row r="397" spans="11:24" x14ac:dyDescent="0.35">
      <c r="K397" s="366"/>
      <c r="L397" s="365"/>
      <c r="M397" s="365"/>
      <c r="N397" s="365"/>
      <c r="O397" s="365"/>
      <c r="P397" s="365"/>
      <c r="Q397" s="365"/>
      <c r="R397" s="365"/>
      <c r="S397" s="365"/>
      <c r="T397" s="365"/>
      <c r="U397" s="365"/>
      <c r="V397" s="365"/>
      <c r="W397" s="365"/>
      <c r="X397" s="365"/>
    </row>
    <row r="398" spans="11:24" x14ac:dyDescent="0.35">
      <c r="K398" s="366"/>
      <c r="L398" s="365"/>
      <c r="M398" s="365"/>
      <c r="N398" s="365"/>
      <c r="O398" s="365"/>
      <c r="P398" s="365"/>
      <c r="Q398" s="365"/>
      <c r="R398" s="365"/>
      <c r="S398" s="365"/>
      <c r="T398" s="365"/>
      <c r="U398" s="365"/>
      <c r="V398" s="365"/>
      <c r="W398" s="365"/>
      <c r="X398" s="365"/>
    </row>
    <row r="399" spans="11:24" x14ac:dyDescent="0.35">
      <c r="K399" s="366"/>
      <c r="L399" s="365"/>
      <c r="M399" s="365"/>
      <c r="N399" s="365"/>
      <c r="O399" s="365"/>
      <c r="P399" s="365"/>
      <c r="Q399" s="365"/>
      <c r="R399" s="365"/>
      <c r="S399" s="365"/>
      <c r="T399" s="365"/>
      <c r="U399" s="365"/>
      <c r="V399" s="365"/>
      <c r="W399" s="365"/>
      <c r="X399" s="365"/>
    </row>
    <row r="400" spans="11:24" x14ac:dyDescent="0.35">
      <c r="K400" s="366"/>
      <c r="L400" s="365"/>
      <c r="M400" s="365"/>
      <c r="N400" s="365"/>
      <c r="O400" s="365"/>
      <c r="P400" s="365"/>
      <c r="Q400" s="365"/>
      <c r="R400" s="365"/>
      <c r="S400" s="365"/>
      <c r="T400" s="365"/>
      <c r="U400" s="365"/>
      <c r="V400" s="365"/>
      <c r="W400" s="365"/>
      <c r="X400" s="365"/>
    </row>
    <row r="401" spans="11:24" x14ac:dyDescent="0.35">
      <c r="K401" s="366"/>
      <c r="L401" s="365"/>
      <c r="M401" s="365"/>
      <c r="N401" s="365"/>
      <c r="O401" s="365"/>
      <c r="P401" s="365"/>
      <c r="Q401" s="365"/>
      <c r="R401" s="365"/>
      <c r="S401" s="365"/>
      <c r="T401" s="365"/>
      <c r="U401" s="365"/>
      <c r="V401" s="365"/>
      <c r="W401" s="365"/>
      <c r="X401" s="365"/>
    </row>
    <row r="402" spans="11:24" x14ac:dyDescent="0.35">
      <c r="K402" s="366"/>
      <c r="L402" s="365"/>
      <c r="M402" s="365"/>
      <c r="N402" s="365"/>
      <c r="O402" s="365"/>
      <c r="P402" s="365"/>
      <c r="Q402" s="365"/>
      <c r="R402" s="365"/>
      <c r="S402" s="365"/>
      <c r="T402" s="365"/>
      <c r="U402" s="365"/>
      <c r="V402" s="365"/>
      <c r="W402" s="365"/>
      <c r="X402" s="365"/>
    </row>
    <row r="403" spans="11:24" x14ac:dyDescent="0.35">
      <c r="K403" s="366"/>
      <c r="L403" s="365"/>
      <c r="M403" s="365"/>
      <c r="N403" s="365"/>
      <c r="O403" s="365"/>
      <c r="P403" s="365"/>
      <c r="Q403" s="365"/>
      <c r="R403" s="365"/>
      <c r="S403" s="365"/>
      <c r="T403" s="365"/>
      <c r="U403" s="365"/>
      <c r="V403" s="365"/>
      <c r="W403" s="365"/>
      <c r="X403" s="365"/>
    </row>
    <row r="404" spans="11:24" x14ac:dyDescent="0.35">
      <c r="K404" s="366"/>
      <c r="L404" s="365"/>
      <c r="M404" s="365"/>
      <c r="N404" s="365"/>
      <c r="O404" s="365"/>
      <c r="P404" s="365"/>
      <c r="Q404" s="365"/>
      <c r="R404" s="365"/>
      <c r="S404" s="365"/>
      <c r="T404" s="365"/>
      <c r="U404" s="365"/>
      <c r="V404" s="365"/>
      <c r="W404" s="365"/>
      <c r="X404" s="365"/>
    </row>
    <row r="405" spans="11:24" x14ac:dyDescent="0.35">
      <c r="K405" s="366"/>
      <c r="L405" s="365"/>
      <c r="M405" s="365"/>
      <c r="N405" s="365"/>
      <c r="O405" s="365"/>
      <c r="P405" s="365"/>
      <c r="Q405" s="365"/>
      <c r="R405" s="365"/>
      <c r="S405" s="365"/>
      <c r="T405" s="365"/>
      <c r="U405" s="365"/>
      <c r="V405" s="365"/>
      <c r="W405" s="365"/>
      <c r="X405" s="365"/>
    </row>
    <row r="406" spans="11:24" x14ac:dyDescent="0.35">
      <c r="K406" s="366"/>
      <c r="L406" s="365"/>
      <c r="M406" s="365"/>
      <c r="N406" s="365"/>
      <c r="O406" s="365"/>
      <c r="P406" s="365"/>
      <c r="Q406" s="365"/>
      <c r="R406" s="365"/>
      <c r="S406" s="365"/>
      <c r="T406" s="365"/>
      <c r="U406" s="365"/>
      <c r="V406" s="365"/>
      <c r="W406" s="365"/>
      <c r="X406" s="365"/>
    </row>
    <row r="407" spans="11:24" x14ac:dyDescent="0.35">
      <c r="K407" s="366"/>
      <c r="L407" s="365"/>
      <c r="M407" s="365"/>
      <c r="N407" s="365"/>
      <c r="O407" s="365"/>
      <c r="P407" s="365"/>
      <c r="Q407" s="365"/>
      <c r="R407" s="365"/>
      <c r="S407" s="365"/>
      <c r="T407" s="365"/>
      <c r="U407" s="365"/>
      <c r="V407" s="365"/>
      <c r="W407" s="365"/>
      <c r="X407" s="365"/>
    </row>
    <row r="408" spans="11:24" x14ac:dyDescent="0.35">
      <c r="K408" s="366"/>
      <c r="L408" s="365"/>
      <c r="M408" s="365"/>
      <c r="N408" s="365"/>
      <c r="O408" s="365"/>
      <c r="P408" s="365"/>
      <c r="Q408" s="365"/>
      <c r="R408" s="365"/>
      <c r="S408" s="365"/>
      <c r="T408" s="365"/>
      <c r="U408" s="365"/>
      <c r="V408" s="365"/>
      <c r="W408" s="365"/>
      <c r="X408" s="365"/>
    </row>
    <row r="409" spans="11:24" x14ac:dyDescent="0.35">
      <c r="K409" s="366"/>
      <c r="L409" s="365"/>
      <c r="M409" s="365"/>
      <c r="N409" s="365"/>
      <c r="O409" s="365"/>
      <c r="P409" s="365"/>
      <c r="Q409" s="365"/>
      <c r="R409" s="365"/>
      <c r="S409" s="365"/>
      <c r="T409" s="365"/>
      <c r="U409" s="365"/>
      <c r="V409" s="365"/>
      <c r="W409" s="365"/>
      <c r="X409" s="365"/>
    </row>
    <row r="410" spans="11:24" x14ac:dyDescent="0.35">
      <c r="K410" s="366"/>
      <c r="L410" s="365"/>
      <c r="M410" s="365"/>
      <c r="N410" s="365"/>
      <c r="O410" s="365"/>
      <c r="P410" s="365"/>
      <c r="Q410" s="365"/>
      <c r="R410" s="365"/>
      <c r="S410" s="365"/>
      <c r="T410" s="365"/>
      <c r="U410" s="365"/>
      <c r="V410" s="365"/>
      <c r="W410" s="365"/>
      <c r="X410" s="365"/>
    </row>
    <row r="411" spans="11:24" x14ac:dyDescent="0.35">
      <c r="K411" s="366"/>
      <c r="L411" s="365"/>
      <c r="M411" s="365"/>
      <c r="N411" s="365"/>
      <c r="O411" s="365"/>
      <c r="P411" s="365"/>
      <c r="Q411" s="365"/>
      <c r="R411" s="365"/>
      <c r="S411" s="365"/>
      <c r="T411" s="365"/>
      <c r="U411" s="365"/>
      <c r="V411" s="365"/>
      <c r="W411" s="365"/>
      <c r="X411" s="365"/>
    </row>
    <row r="412" spans="11:24" x14ac:dyDescent="0.35">
      <c r="K412" s="366"/>
      <c r="L412" s="365"/>
      <c r="M412" s="365"/>
      <c r="N412" s="365"/>
      <c r="O412" s="365"/>
      <c r="P412" s="365"/>
      <c r="Q412" s="365"/>
      <c r="R412" s="365"/>
      <c r="S412" s="365"/>
      <c r="T412" s="365"/>
      <c r="U412" s="365"/>
      <c r="V412" s="365"/>
      <c r="W412" s="365"/>
      <c r="X412" s="365"/>
    </row>
    <row r="413" spans="11:24" x14ac:dyDescent="0.35">
      <c r="K413" s="366"/>
      <c r="L413" s="365"/>
      <c r="M413" s="365"/>
      <c r="N413" s="365"/>
      <c r="O413" s="365"/>
      <c r="P413" s="365"/>
      <c r="Q413" s="365"/>
      <c r="R413" s="365"/>
      <c r="S413" s="365"/>
      <c r="T413" s="365"/>
      <c r="U413" s="365"/>
      <c r="V413" s="365"/>
      <c r="W413" s="365"/>
      <c r="X413" s="365"/>
    </row>
    <row r="414" spans="11:24" x14ac:dyDescent="0.35">
      <c r="K414" s="366"/>
      <c r="L414" s="365"/>
      <c r="M414" s="365"/>
      <c r="N414" s="365"/>
      <c r="O414" s="365"/>
      <c r="P414" s="365"/>
      <c r="Q414" s="365"/>
      <c r="R414" s="365"/>
      <c r="S414" s="365"/>
      <c r="T414" s="365"/>
      <c r="U414" s="365"/>
      <c r="V414" s="365"/>
      <c r="W414" s="365"/>
      <c r="X414" s="365"/>
    </row>
    <row r="415" spans="11:24" x14ac:dyDescent="0.35">
      <c r="K415" s="366"/>
      <c r="L415" s="365"/>
      <c r="M415" s="365"/>
      <c r="N415" s="365"/>
      <c r="O415" s="365"/>
      <c r="P415" s="365"/>
      <c r="Q415" s="365"/>
      <c r="R415" s="365"/>
      <c r="S415" s="365"/>
      <c r="T415" s="365"/>
      <c r="U415" s="365"/>
      <c r="V415" s="365"/>
      <c r="W415" s="365"/>
      <c r="X415" s="365"/>
    </row>
    <row r="416" spans="11:24" x14ac:dyDescent="0.35">
      <c r="K416" s="366"/>
      <c r="L416" s="365"/>
      <c r="M416" s="365"/>
      <c r="N416" s="365"/>
      <c r="O416" s="365"/>
      <c r="P416" s="365"/>
      <c r="Q416" s="365"/>
      <c r="R416" s="365"/>
      <c r="S416" s="365"/>
      <c r="T416" s="365"/>
      <c r="U416" s="365"/>
      <c r="V416" s="365"/>
      <c r="W416" s="365"/>
      <c r="X416" s="365"/>
    </row>
    <row r="417" spans="11:24" x14ac:dyDescent="0.35">
      <c r="K417" s="366"/>
      <c r="L417" s="365"/>
      <c r="M417" s="365"/>
      <c r="N417" s="365"/>
      <c r="O417" s="365"/>
      <c r="P417" s="365"/>
      <c r="Q417" s="365"/>
      <c r="R417" s="365"/>
      <c r="S417" s="365"/>
      <c r="T417" s="365"/>
      <c r="U417" s="365"/>
      <c r="V417" s="365"/>
      <c r="W417" s="365"/>
      <c r="X417" s="365"/>
    </row>
    <row r="418" spans="11:24" x14ac:dyDescent="0.35">
      <c r="K418" s="366"/>
      <c r="L418" s="365"/>
      <c r="M418" s="365"/>
      <c r="N418" s="365"/>
      <c r="O418" s="365"/>
      <c r="P418" s="365"/>
      <c r="Q418" s="365"/>
      <c r="R418" s="365"/>
      <c r="S418" s="365"/>
      <c r="T418" s="365"/>
      <c r="U418" s="365"/>
      <c r="V418" s="365"/>
      <c r="W418" s="365"/>
      <c r="X418" s="365"/>
    </row>
    <row r="419" spans="11:24" x14ac:dyDescent="0.35">
      <c r="K419" s="366"/>
      <c r="L419" s="365"/>
      <c r="M419" s="365"/>
      <c r="N419" s="365"/>
      <c r="O419" s="365"/>
      <c r="P419" s="365"/>
      <c r="Q419" s="365"/>
      <c r="R419" s="365"/>
      <c r="S419" s="365"/>
      <c r="T419" s="365"/>
      <c r="U419" s="365"/>
      <c r="V419" s="365"/>
      <c r="W419" s="365"/>
      <c r="X419" s="365"/>
    </row>
    <row r="420" spans="11:24" x14ac:dyDescent="0.35">
      <c r="K420" s="366"/>
      <c r="L420" s="365"/>
      <c r="M420" s="365"/>
      <c r="N420" s="365"/>
      <c r="O420" s="365"/>
      <c r="P420" s="365"/>
      <c r="Q420" s="365"/>
      <c r="R420" s="365"/>
      <c r="S420" s="365"/>
      <c r="T420" s="365"/>
      <c r="U420" s="365"/>
      <c r="V420" s="365"/>
      <c r="W420" s="365"/>
      <c r="X420" s="365"/>
    </row>
    <row r="421" spans="11:24" x14ac:dyDescent="0.35">
      <c r="K421" s="366"/>
      <c r="L421" s="365"/>
      <c r="M421" s="365"/>
      <c r="N421" s="365"/>
      <c r="O421" s="365"/>
      <c r="P421" s="365"/>
      <c r="Q421" s="365"/>
      <c r="R421" s="365"/>
      <c r="S421" s="365"/>
      <c r="T421" s="365"/>
      <c r="U421" s="365"/>
      <c r="V421" s="365"/>
      <c r="W421" s="365"/>
      <c r="X421" s="365"/>
    </row>
    <row r="422" spans="11:24" x14ac:dyDescent="0.35">
      <c r="K422" s="366"/>
      <c r="L422" s="365"/>
      <c r="M422" s="365"/>
      <c r="N422" s="365"/>
      <c r="O422" s="365"/>
      <c r="P422" s="365"/>
      <c r="Q422" s="365"/>
      <c r="R422" s="365"/>
      <c r="S422" s="365"/>
      <c r="T422" s="365"/>
      <c r="U422" s="365"/>
      <c r="V422" s="365"/>
      <c r="W422" s="365"/>
      <c r="X422" s="365"/>
    </row>
    <row r="423" spans="11:24" x14ac:dyDescent="0.35">
      <c r="K423" s="366"/>
      <c r="L423" s="365"/>
      <c r="M423" s="365"/>
      <c r="N423" s="365"/>
      <c r="O423" s="365"/>
      <c r="P423" s="365"/>
      <c r="Q423" s="365"/>
      <c r="R423" s="365"/>
      <c r="S423" s="365"/>
      <c r="T423" s="365"/>
      <c r="U423" s="365"/>
      <c r="V423" s="365"/>
      <c r="W423" s="365"/>
      <c r="X423" s="365"/>
    </row>
    <row r="424" spans="11:24" x14ac:dyDescent="0.35">
      <c r="K424" s="366"/>
      <c r="L424" s="365"/>
      <c r="M424" s="365"/>
      <c r="N424" s="365"/>
      <c r="O424" s="365"/>
      <c r="P424" s="365"/>
      <c r="Q424" s="365"/>
      <c r="R424" s="365"/>
      <c r="S424" s="365"/>
      <c r="T424" s="365"/>
      <c r="U424" s="365"/>
      <c r="V424" s="365"/>
      <c r="W424" s="365"/>
      <c r="X424" s="365"/>
    </row>
    <row r="425" spans="11:24" x14ac:dyDescent="0.35">
      <c r="K425" s="366"/>
      <c r="L425" s="365"/>
      <c r="M425" s="365"/>
      <c r="N425" s="365"/>
      <c r="O425" s="365"/>
      <c r="P425" s="365"/>
      <c r="Q425" s="365"/>
      <c r="R425" s="365"/>
      <c r="S425" s="365"/>
      <c r="T425" s="365"/>
      <c r="U425" s="365"/>
      <c r="V425" s="365"/>
      <c r="W425" s="365"/>
      <c r="X425" s="365"/>
    </row>
    <row r="426" spans="11:24" x14ac:dyDescent="0.35">
      <c r="K426" s="366"/>
      <c r="L426" s="365"/>
      <c r="M426" s="365"/>
      <c r="N426" s="365"/>
      <c r="O426" s="365"/>
      <c r="P426" s="365"/>
      <c r="Q426" s="365"/>
      <c r="R426" s="365"/>
      <c r="S426" s="365"/>
      <c r="T426" s="365"/>
      <c r="U426" s="365"/>
      <c r="V426" s="365"/>
      <c r="W426" s="365"/>
      <c r="X426" s="365"/>
    </row>
    <row r="427" spans="11:24" x14ac:dyDescent="0.35">
      <c r="K427" s="366"/>
      <c r="L427" s="365"/>
      <c r="M427" s="365"/>
      <c r="N427" s="365"/>
      <c r="O427" s="365"/>
      <c r="P427" s="365"/>
      <c r="Q427" s="365"/>
      <c r="R427" s="365"/>
      <c r="S427" s="365"/>
      <c r="T427" s="365"/>
      <c r="U427" s="365"/>
      <c r="V427" s="365"/>
      <c r="W427" s="365"/>
      <c r="X427" s="365"/>
    </row>
    <row r="428" spans="11:24" x14ac:dyDescent="0.35">
      <c r="K428" s="366"/>
      <c r="L428" s="365"/>
      <c r="M428" s="365"/>
      <c r="N428" s="365"/>
      <c r="O428" s="365"/>
      <c r="P428" s="365"/>
      <c r="Q428" s="365"/>
      <c r="R428" s="365"/>
      <c r="S428" s="365"/>
      <c r="T428" s="365"/>
      <c r="U428" s="365"/>
      <c r="V428" s="365"/>
      <c r="W428" s="365"/>
      <c r="X428" s="365"/>
    </row>
    <row r="429" spans="11:24" x14ac:dyDescent="0.35">
      <c r="K429" s="366"/>
      <c r="L429" s="365"/>
      <c r="M429" s="365"/>
      <c r="N429" s="365"/>
      <c r="O429" s="365"/>
      <c r="P429" s="365"/>
      <c r="Q429" s="365"/>
      <c r="R429" s="365"/>
      <c r="S429" s="365"/>
      <c r="T429" s="365"/>
      <c r="U429" s="365"/>
      <c r="V429" s="365"/>
      <c r="W429" s="365"/>
      <c r="X429" s="365"/>
    </row>
    <row r="430" spans="11:24" x14ac:dyDescent="0.35">
      <c r="K430" s="366"/>
      <c r="L430" s="365"/>
      <c r="M430" s="365"/>
      <c r="N430" s="365"/>
      <c r="O430" s="365"/>
      <c r="P430" s="365"/>
      <c r="Q430" s="365"/>
      <c r="R430" s="365"/>
      <c r="S430" s="365"/>
      <c r="T430" s="365"/>
      <c r="U430" s="365"/>
      <c r="V430" s="365"/>
      <c r="W430" s="365"/>
      <c r="X430" s="365"/>
    </row>
    <row r="431" spans="11:24" x14ac:dyDescent="0.35">
      <c r="K431" s="366"/>
      <c r="L431" s="365"/>
      <c r="M431" s="365"/>
      <c r="N431" s="365"/>
      <c r="O431" s="365"/>
      <c r="P431" s="365"/>
      <c r="Q431" s="365"/>
      <c r="R431" s="365"/>
      <c r="S431" s="365"/>
      <c r="T431" s="365"/>
      <c r="U431" s="365"/>
      <c r="V431" s="365"/>
      <c r="W431" s="365"/>
      <c r="X431" s="365"/>
    </row>
    <row r="432" spans="11:24" x14ac:dyDescent="0.35">
      <c r="K432" s="366"/>
      <c r="L432" s="365"/>
      <c r="M432" s="365"/>
      <c r="N432" s="365"/>
      <c r="O432" s="365"/>
      <c r="P432" s="365"/>
      <c r="Q432" s="365"/>
      <c r="R432" s="365"/>
      <c r="S432" s="365"/>
      <c r="T432" s="365"/>
      <c r="U432" s="365"/>
      <c r="V432" s="365"/>
      <c r="W432" s="365"/>
      <c r="X432" s="365"/>
    </row>
    <row r="433" spans="11:24" x14ac:dyDescent="0.35">
      <c r="K433" s="366"/>
      <c r="L433" s="365"/>
      <c r="M433" s="365"/>
      <c r="N433" s="365"/>
      <c r="O433" s="365"/>
      <c r="P433" s="365"/>
      <c r="Q433" s="365"/>
      <c r="R433" s="365"/>
      <c r="S433" s="365"/>
      <c r="T433" s="365"/>
      <c r="U433" s="365"/>
      <c r="V433" s="365"/>
      <c r="W433" s="365"/>
      <c r="X433" s="365"/>
    </row>
    <row r="434" spans="11:24" x14ac:dyDescent="0.35">
      <c r="K434" s="366"/>
      <c r="L434" s="365"/>
      <c r="M434" s="365"/>
      <c r="N434" s="365"/>
      <c r="O434" s="365"/>
      <c r="P434" s="365"/>
      <c r="Q434" s="365"/>
      <c r="R434" s="365"/>
      <c r="S434" s="365"/>
      <c r="T434" s="365"/>
      <c r="U434" s="365"/>
      <c r="V434" s="365"/>
      <c r="W434" s="365"/>
      <c r="X434" s="365"/>
    </row>
    <row r="435" spans="11:24" x14ac:dyDescent="0.35">
      <c r="K435" s="366"/>
      <c r="L435" s="365"/>
      <c r="M435" s="365"/>
      <c r="N435" s="365"/>
      <c r="O435" s="365"/>
      <c r="P435" s="365"/>
      <c r="Q435" s="365"/>
      <c r="R435" s="365"/>
      <c r="S435" s="365"/>
      <c r="T435" s="365"/>
      <c r="U435" s="365"/>
      <c r="V435" s="365"/>
      <c r="W435" s="365"/>
      <c r="X435" s="365"/>
    </row>
    <row r="436" spans="11:24" x14ac:dyDescent="0.35">
      <c r="K436" s="366"/>
      <c r="L436" s="365"/>
      <c r="M436" s="365"/>
      <c r="N436" s="365"/>
      <c r="O436" s="365"/>
      <c r="P436" s="365"/>
      <c r="Q436" s="365"/>
      <c r="R436" s="365"/>
      <c r="S436" s="365"/>
      <c r="T436" s="365"/>
      <c r="U436" s="365"/>
      <c r="V436" s="365"/>
      <c r="W436" s="365"/>
      <c r="X436" s="365"/>
    </row>
    <row r="437" spans="11:24" x14ac:dyDescent="0.35">
      <c r="K437" s="366"/>
      <c r="L437" s="365"/>
      <c r="M437" s="365"/>
      <c r="N437" s="365"/>
      <c r="O437" s="365"/>
      <c r="P437" s="365"/>
      <c r="Q437" s="365"/>
      <c r="R437" s="365"/>
      <c r="S437" s="365"/>
      <c r="T437" s="365"/>
      <c r="U437" s="365"/>
      <c r="V437" s="365"/>
      <c r="W437" s="365"/>
      <c r="X437" s="365"/>
    </row>
    <row r="438" spans="11:24" x14ac:dyDescent="0.35">
      <c r="K438" s="366"/>
      <c r="L438" s="365"/>
      <c r="M438" s="365"/>
      <c r="N438" s="365"/>
      <c r="O438" s="365"/>
      <c r="P438" s="365"/>
      <c r="Q438" s="365"/>
      <c r="R438" s="365"/>
      <c r="S438" s="365"/>
      <c r="T438" s="365"/>
      <c r="U438" s="365"/>
      <c r="V438" s="365"/>
      <c r="W438" s="365"/>
      <c r="X438" s="365"/>
    </row>
    <row r="439" spans="11:24" x14ac:dyDescent="0.35">
      <c r="K439" s="366"/>
      <c r="L439" s="365"/>
      <c r="M439" s="365"/>
      <c r="N439" s="365"/>
      <c r="O439" s="365"/>
      <c r="P439" s="365"/>
      <c r="Q439" s="365"/>
      <c r="R439" s="365"/>
      <c r="S439" s="365"/>
      <c r="T439" s="365"/>
      <c r="U439" s="365"/>
      <c r="V439" s="365"/>
      <c r="W439" s="365"/>
      <c r="X439" s="365"/>
    </row>
    <row r="440" spans="11:24" x14ac:dyDescent="0.35">
      <c r="K440" s="366"/>
      <c r="L440" s="365"/>
      <c r="M440" s="365"/>
      <c r="N440" s="365"/>
      <c r="O440" s="365"/>
      <c r="P440" s="365"/>
      <c r="Q440" s="365"/>
      <c r="R440" s="365"/>
      <c r="S440" s="365"/>
      <c r="T440" s="365"/>
      <c r="U440" s="365"/>
      <c r="V440" s="365"/>
      <c r="W440" s="365"/>
      <c r="X440" s="365"/>
    </row>
    <row r="441" spans="11:24" x14ac:dyDescent="0.35">
      <c r="K441" s="366"/>
      <c r="L441" s="365"/>
      <c r="M441" s="365"/>
      <c r="N441" s="365"/>
      <c r="O441" s="365"/>
      <c r="P441" s="365"/>
      <c r="Q441" s="365"/>
      <c r="R441" s="365"/>
      <c r="S441" s="365"/>
      <c r="T441" s="365"/>
      <c r="U441" s="365"/>
      <c r="V441" s="365"/>
      <c r="W441" s="365"/>
      <c r="X441" s="365"/>
    </row>
    <row r="442" spans="11:24" x14ac:dyDescent="0.35">
      <c r="K442" s="366"/>
      <c r="L442" s="365"/>
      <c r="M442" s="365"/>
      <c r="N442" s="365"/>
      <c r="O442" s="365"/>
      <c r="P442" s="365"/>
      <c r="Q442" s="365"/>
      <c r="R442" s="365"/>
      <c r="S442" s="365"/>
      <c r="T442" s="365"/>
      <c r="U442" s="365"/>
      <c r="V442" s="365"/>
      <c r="W442" s="365"/>
      <c r="X442" s="365"/>
    </row>
    <row r="443" spans="11:24" x14ac:dyDescent="0.35">
      <c r="K443" s="366"/>
      <c r="L443" s="365"/>
      <c r="M443" s="365"/>
      <c r="N443" s="365"/>
      <c r="O443" s="365"/>
      <c r="P443" s="365"/>
      <c r="Q443" s="365"/>
      <c r="R443" s="365"/>
      <c r="S443" s="365"/>
      <c r="T443" s="365"/>
      <c r="U443" s="365"/>
      <c r="V443" s="365"/>
      <c r="W443" s="365"/>
      <c r="X443" s="365"/>
    </row>
    <row r="444" spans="11:24" x14ac:dyDescent="0.35">
      <c r="K444" s="366"/>
      <c r="L444" s="365"/>
      <c r="M444" s="365"/>
      <c r="N444" s="365"/>
      <c r="O444" s="365"/>
      <c r="P444" s="365"/>
      <c r="Q444" s="365"/>
      <c r="R444" s="365"/>
      <c r="S444" s="365"/>
      <c r="T444" s="365"/>
      <c r="U444" s="365"/>
      <c r="V444" s="365"/>
      <c r="W444" s="365"/>
      <c r="X444" s="365"/>
    </row>
    <row r="445" spans="11:24" x14ac:dyDescent="0.35">
      <c r="K445" s="366"/>
      <c r="L445" s="365"/>
      <c r="M445" s="365"/>
      <c r="N445" s="365"/>
      <c r="O445" s="365"/>
      <c r="P445" s="365"/>
      <c r="Q445" s="365"/>
      <c r="R445" s="365"/>
      <c r="S445" s="365"/>
      <c r="T445" s="365"/>
      <c r="U445" s="365"/>
      <c r="V445" s="365"/>
      <c r="W445" s="365"/>
      <c r="X445" s="365"/>
    </row>
    <row r="446" spans="11:24" x14ac:dyDescent="0.35">
      <c r="K446" s="366"/>
      <c r="L446" s="365"/>
      <c r="M446" s="365"/>
      <c r="N446" s="365"/>
      <c r="O446" s="365"/>
      <c r="P446" s="365"/>
      <c r="Q446" s="365"/>
      <c r="R446" s="365"/>
      <c r="S446" s="365"/>
      <c r="T446" s="365"/>
      <c r="U446" s="365"/>
      <c r="V446" s="365"/>
      <c r="W446" s="365"/>
      <c r="X446" s="365"/>
    </row>
    <row r="447" spans="11:24" x14ac:dyDescent="0.35">
      <c r="K447" s="366"/>
      <c r="L447" s="365"/>
      <c r="M447" s="365"/>
      <c r="N447" s="365"/>
      <c r="O447" s="365"/>
      <c r="P447" s="365"/>
      <c r="Q447" s="365"/>
      <c r="R447" s="365"/>
      <c r="S447" s="365"/>
      <c r="T447" s="365"/>
      <c r="U447" s="365"/>
      <c r="V447" s="365"/>
      <c r="W447" s="365"/>
      <c r="X447" s="365"/>
    </row>
    <row r="448" spans="11:24" x14ac:dyDescent="0.35">
      <c r="K448" s="366"/>
      <c r="L448" s="365"/>
      <c r="M448" s="365"/>
      <c r="N448" s="365"/>
      <c r="O448" s="365"/>
      <c r="P448" s="365"/>
      <c r="Q448" s="365"/>
      <c r="R448" s="365"/>
      <c r="S448" s="365"/>
      <c r="T448" s="365"/>
      <c r="U448" s="365"/>
      <c r="V448" s="365"/>
      <c r="W448" s="365"/>
      <c r="X448" s="365"/>
    </row>
    <row r="449" spans="11:24" x14ac:dyDescent="0.35">
      <c r="K449" s="366"/>
      <c r="L449" s="365"/>
      <c r="M449" s="365"/>
      <c r="N449" s="365"/>
      <c r="O449" s="365"/>
      <c r="P449" s="365"/>
      <c r="Q449" s="365"/>
      <c r="R449" s="365"/>
      <c r="S449" s="365"/>
      <c r="T449" s="365"/>
      <c r="U449" s="365"/>
      <c r="V449" s="365"/>
      <c r="W449" s="365"/>
      <c r="X449" s="365"/>
    </row>
    <row r="450" spans="11:24" x14ac:dyDescent="0.35">
      <c r="K450" s="366"/>
      <c r="L450" s="365"/>
      <c r="M450" s="365"/>
      <c r="N450" s="365"/>
      <c r="O450" s="365"/>
      <c r="P450" s="365"/>
      <c r="Q450" s="365"/>
      <c r="R450" s="365"/>
      <c r="S450" s="365"/>
      <c r="T450" s="365"/>
      <c r="U450" s="365"/>
      <c r="V450" s="365"/>
      <c r="W450" s="365"/>
      <c r="X450" s="365"/>
    </row>
    <row r="451" spans="11:24" x14ac:dyDescent="0.35">
      <c r="K451" s="366"/>
      <c r="L451" s="365"/>
      <c r="M451" s="365"/>
      <c r="N451" s="365"/>
      <c r="O451" s="365"/>
      <c r="P451" s="365"/>
      <c r="Q451" s="365"/>
      <c r="R451" s="365"/>
      <c r="S451" s="365"/>
      <c r="T451" s="365"/>
      <c r="U451" s="365"/>
      <c r="V451" s="365"/>
      <c r="W451" s="365"/>
      <c r="X451" s="365"/>
    </row>
    <row r="452" spans="11:24" x14ac:dyDescent="0.35">
      <c r="K452" s="366"/>
      <c r="L452" s="365"/>
      <c r="M452" s="365"/>
      <c r="N452" s="365"/>
      <c r="O452" s="365"/>
      <c r="P452" s="365"/>
      <c r="Q452" s="365"/>
      <c r="R452" s="365"/>
      <c r="S452" s="365"/>
      <c r="T452" s="365"/>
      <c r="U452" s="365"/>
      <c r="V452" s="365"/>
      <c r="W452" s="365"/>
      <c r="X452" s="365"/>
    </row>
    <row r="453" spans="11:24" x14ac:dyDescent="0.35">
      <c r="K453" s="366"/>
      <c r="L453" s="365"/>
      <c r="M453" s="365"/>
      <c r="N453" s="365"/>
      <c r="O453" s="365"/>
      <c r="P453" s="365"/>
      <c r="Q453" s="365"/>
      <c r="R453" s="365"/>
      <c r="S453" s="365"/>
      <c r="T453" s="365"/>
      <c r="U453" s="365"/>
      <c r="V453" s="365"/>
      <c r="W453" s="365"/>
      <c r="X453" s="365"/>
    </row>
    <row r="454" spans="11:24" x14ac:dyDescent="0.35">
      <c r="K454" s="366"/>
      <c r="L454" s="365"/>
      <c r="M454" s="365"/>
      <c r="N454" s="365"/>
      <c r="O454" s="365"/>
      <c r="P454" s="365"/>
      <c r="Q454" s="365"/>
      <c r="R454" s="365"/>
      <c r="S454" s="365"/>
      <c r="T454" s="365"/>
      <c r="U454" s="365"/>
      <c r="V454" s="365"/>
      <c r="W454" s="365"/>
      <c r="X454" s="365"/>
    </row>
    <row r="455" spans="11:24" x14ac:dyDescent="0.35">
      <c r="K455" s="366"/>
      <c r="L455" s="365"/>
      <c r="M455" s="365"/>
      <c r="N455" s="365"/>
      <c r="O455" s="365"/>
      <c r="P455" s="365"/>
      <c r="Q455" s="365"/>
      <c r="R455" s="365"/>
      <c r="S455" s="365"/>
      <c r="T455" s="365"/>
      <c r="U455" s="365"/>
      <c r="V455" s="365"/>
      <c r="W455" s="365"/>
      <c r="X455" s="365"/>
    </row>
    <row r="456" spans="11:24" x14ac:dyDescent="0.35">
      <c r="K456" s="366"/>
      <c r="L456" s="365"/>
      <c r="M456" s="365"/>
      <c r="N456" s="365"/>
      <c r="O456" s="365"/>
      <c r="P456" s="365"/>
      <c r="Q456" s="365"/>
      <c r="R456" s="365"/>
      <c r="S456" s="365"/>
      <c r="T456" s="365"/>
      <c r="U456" s="365"/>
      <c r="V456" s="365"/>
      <c r="W456" s="365"/>
      <c r="X456" s="365"/>
    </row>
    <row r="457" spans="11:24" x14ac:dyDescent="0.35">
      <c r="K457" s="366"/>
      <c r="L457" s="365"/>
      <c r="M457" s="365"/>
      <c r="N457" s="365"/>
      <c r="O457" s="365"/>
      <c r="P457" s="365"/>
      <c r="Q457" s="365"/>
      <c r="R457" s="365"/>
      <c r="S457" s="365"/>
      <c r="T457" s="365"/>
      <c r="U457" s="365"/>
      <c r="V457" s="365"/>
      <c r="W457" s="365"/>
      <c r="X457" s="365"/>
    </row>
    <row r="458" spans="11:24" x14ac:dyDescent="0.35">
      <c r="K458" s="366"/>
      <c r="L458" s="365"/>
      <c r="M458" s="365"/>
      <c r="N458" s="365"/>
      <c r="O458" s="365"/>
      <c r="P458" s="365"/>
      <c r="Q458" s="365"/>
      <c r="R458" s="365"/>
      <c r="S458" s="365"/>
      <c r="T458" s="365"/>
      <c r="U458" s="365"/>
      <c r="V458" s="365"/>
      <c r="W458" s="365"/>
      <c r="X458" s="365"/>
    </row>
    <row r="459" spans="11:24" x14ac:dyDescent="0.35">
      <c r="K459" s="366"/>
      <c r="L459" s="365"/>
      <c r="M459" s="365"/>
      <c r="N459" s="365"/>
      <c r="O459" s="365"/>
      <c r="P459" s="365"/>
      <c r="Q459" s="365"/>
      <c r="R459" s="365"/>
      <c r="S459" s="365"/>
      <c r="T459" s="365"/>
      <c r="U459" s="365"/>
      <c r="V459" s="365"/>
      <c r="W459" s="365"/>
      <c r="X459" s="365"/>
    </row>
    <row r="460" spans="11:24" x14ac:dyDescent="0.35">
      <c r="K460" s="366"/>
      <c r="L460" s="365"/>
      <c r="M460" s="365"/>
      <c r="N460" s="365"/>
      <c r="O460" s="365"/>
      <c r="P460" s="365"/>
      <c r="Q460" s="365"/>
      <c r="R460" s="365"/>
      <c r="S460" s="365"/>
      <c r="T460" s="365"/>
      <c r="U460" s="365"/>
      <c r="V460" s="365"/>
      <c r="W460" s="365"/>
      <c r="X460" s="365"/>
    </row>
    <row r="461" spans="11:24" x14ac:dyDescent="0.35">
      <c r="K461" s="366"/>
      <c r="L461" s="365"/>
      <c r="M461" s="365"/>
      <c r="N461" s="365"/>
      <c r="O461" s="365"/>
      <c r="P461" s="365"/>
      <c r="Q461" s="365"/>
      <c r="R461" s="365"/>
      <c r="S461" s="365"/>
      <c r="T461" s="365"/>
      <c r="U461" s="365"/>
      <c r="V461" s="365"/>
      <c r="W461" s="365"/>
      <c r="X461" s="365"/>
    </row>
    <row r="462" spans="11:24" x14ac:dyDescent="0.35">
      <c r="K462" s="366"/>
      <c r="L462" s="365"/>
      <c r="M462" s="365"/>
      <c r="N462" s="365"/>
      <c r="O462" s="365"/>
      <c r="P462" s="365"/>
      <c r="Q462" s="365"/>
      <c r="R462" s="365"/>
      <c r="S462" s="365"/>
      <c r="T462" s="365"/>
      <c r="U462" s="365"/>
      <c r="V462" s="365"/>
      <c r="W462" s="365"/>
      <c r="X462" s="365"/>
    </row>
    <row r="463" spans="11:24" x14ac:dyDescent="0.35">
      <c r="K463" s="366"/>
      <c r="L463" s="365"/>
      <c r="M463" s="365"/>
      <c r="N463" s="365"/>
      <c r="O463" s="365"/>
      <c r="P463" s="365"/>
      <c r="Q463" s="365"/>
      <c r="R463" s="365"/>
      <c r="S463" s="365"/>
      <c r="T463" s="365"/>
      <c r="U463" s="365"/>
      <c r="V463" s="365"/>
      <c r="W463" s="365"/>
      <c r="X463" s="365"/>
    </row>
    <row r="464" spans="11:24" x14ac:dyDescent="0.35">
      <c r="K464" s="366"/>
      <c r="L464" s="365"/>
      <c r="M464" s="365"/>
      <c r="N464" s="365"/>
      <c r="O464" s="365"/>
      <c r="P464" s="365"/>
      <c r="Q464" s="365"/>
      <c r="R464" s="365"/>
      <c r="S464" s="365"/>
      <c r="T464" s="365"/>
      <c r="U464" s="365"/>
      <c r="V464" s="365"/>
      <c r="W464" s="365"/>
      <c r="X464" s="365"/>
    </row>
    <row r="465" spans="11:24" x14ac:dyDescent="0.35">
      <c r="K465" s="366"/>
      <c r="L465" s="365"/>
      <c r="M465" s="365"/>
      <c r="N465" s="365"/>
      <c r="O465" s="365"/>
      <c r="P465" s="365"/>
      <c r="Q465" s="365"/>
      <c r="R465" s="365"/>
      <c r="S465" s="365"/>
      <c r="T465" s="365"/>
      <c r="U465" s="365"/>
      <c r="V465" s="365"/>
      <c r="W465" s="365"/>
      <c r="X465" s="365"/>
    </row>
    <row r="466" spans="11:24" x14ac:dyDescent="0.35">
      <c r="K466" s="366"/>
      <c r="L466" s="365"/>
      <c r="M466" s="365"/>
      <c r="N466" s="365"/>
      <c r="O466" s="365"/>
      <c r="P466" s="365"/>
      <c r="Q466" s="365"/>
      <c r="R466" s="365"/>
      <c r="S466" s="365"/>
      <c r="T466" s="365"/>
      <c r="U466" s="365"/>
      <c r="V466" s="365"/>
      <c r="W466" s="365"/>
      <c r="X466" s="365"/>
    </row>
    <row r="467" spans="11:24" x14ac:dyDescent="0.35">
      <c r="K467" s="366"/>
      <c r="L467" s="365"/>
      <c r="M467" s="365"/>
      <c r="N467" s="365"/>
      <c r="O467" s="365"/>
      <c r="P467" s="365"/>
      <c r="Q467" s="365"/>
      <c r="R467" s="365"/>
      <c r="S467" s="365"/>
      <c r="T467" s="365"/>
      <c r="U467" s="365"/>
      <c r="V467" s="365"/>
      <c r="W467" s="365"/>
      <c r="X467" s="365"/>
    </row>
    <row r="468" spans="11:24" x14ac:dyDescent="0.35">
      <c r="K468" s="366"/>
      <c r="L468" s="365"/>
      <c r="M468" s="365"/>
      <c r="N468" s="365"/>
      <c r="O468" s="365"/>
      <c r="P468" s="365"/>
      <c r="Q468" s="365"/>
      <c r="R468" s="365"/>
      <c r="S468" s="365"/>
      <c r="T468" s="365"/>
      <c r="U468" s="365"/>
      <c r="V468" s="365"/>
      <c r="W468" s="365"/>
      <c r="X468" s="365"/>
    </row>
    <row r="469" spans="11:24" x14ac:dyDescent="0.35">
      <c r="K469" s="366"/>
      <c r="L469" s="365"/>
      <c r="M469" s="365"/>
      <c r="N469" s="365"/>
      <c r="O469" s="365"/>
      <c r="P469" s="365"/>
      <c r="Q469" s="365"/>
      <c r="R469" s="365"/>
      <c r="S469" s="365"/>
      <c r="T469" s="365"/>
      <c r="U469" s="365"/>
      <c r="V469" s="365"/>
      <c r="W469" s="365"/>
      <c r="X469" s="365"/>
    </row>
    <row r="470" spans="11:24" x14ac:dyDescent="0.35">
      <c r="K470" s="366"/>
      <c r="L470" s="365"/>
      <c r="M470" s="365"/>
      <c r="N470" s="365"/>
      <c r="O470" s="365"/>
      <c r="P470" s="365"/>
      <c r="Q470" s="365"/>
      <c r="R470" s="365"/>
      <c r="S470" s="365"/>
      <c r="T470" s="365"/>
      <c r="U470" s="365"/>
      <c r="V470" s="365"/>
      <c r="W470" s="365"/>
      <c r="X470" s="365"/>
    </row>
    <row r="471" spans="11:24" x14ac:dyDescent="0.35">
      <c r="K471" s="366"/>
      <c r="L471" s="365"/>
      <c r="M471" s="365"/>
      <c r="N471" s="365"/>
      <c r="O471" s="365"/>
      <c r="P471" s="365"/>
      <c r="Q471" s="365"/>
      <c r="R471" s="365"/>
      <c r="S471" s="365"/>
      <c r="T471" s="365"/>
      <c r="U471" s="365"/>
      <c r="V471" s="365"/>
      <c r="W471" s="365"/>
      <c r="X471" s="365"/>
    </row>
    <row r="472" spans="11:24" x14ac:dyDescent="0.35">
      <c r="K472" s="366"/>
      <c r="L472" s="365"/>
      <c r="M472" s="365"/>
      <c r="N472" s="365"/>
      <c r="O472" s="365"/>
      <c r="P472" s="365"/>
      <c r="Q472" s="365"/>
      <c r="R472" s="365"/>
      <c r="S472" s="365"/>
      <c r="T472" s="365"/>
      <c r="U472" s="365"/>
      <c r="V472" s="365"/>
      <c r="W472" s="365"/>
      <c r="X472" s="365"/>
    </row>
    <row r="473" spans="11:24" x14ac:dyDescent="0.35">
      <c r="K473" s="366"/>
      <c r="L473" s="365"/>
      <c r="M473" s="365"/>
      <c r="N473" s="365"/>
      <c r="O473" s="365"/>
      <c r="P473" s="365"/>
      <c r="Q473" s="365"/>
      <c r="R473" s="365"/>
      <c r="S473" s="365"/>
      <c r="T473" s="365"/>
      <c r="U473" s="365"/>
      <c r="V473" s="365"/>
      <c r="W473" s="365"/>
      <c r="X473" s="365"/>
    </row>
    <row r="474" spans="11:24" x14ac:dyDescent="0.35">
      <c r="K474" s="366"/>
      <c r="L474" s="365"/>
      <c r="M474" s="365"/>
      <c r="N474" s="365"/>
      <c r="O474" s="365"/>
      <c r="P474" s="365"/>
      <c r="Q474" s="365"/>
      <c r="R474" s="365"/>
      <c r="S474" s="365"/>
      <c r="T474" s="365"/>
      <c r="U474" s="365"/>
      <c r="V474" s="365"/>
      <c r="W474" s="365"/>
      <c r="X474" s="365"/>
    </row>
    <row r="475" spans="11:24" x14ac:dyDescent="0.35">
      <c r="K475" s="366"/>
      <c r="L475" s="365"/>
      <c r="M475" s="365"/>
      <c r="N475" s="365"/>
      <c r="O475" s="365"/>
      <c r="P475" s="365"/>
      <c r="Q475" s="365"/>
      <c r="R475" s="365"/>
      <c r="S475" s="365"/>
      <c r="T475" s="365"/>
      <c r="U475" s="365"/>
      <c r="V475" s="365"/>
      <c r="W475" s="365"/>
      <c r="X475" s="365"/>
    </row>
    <row r="476" spans="11:24" x14ac:dyDescent="0.35">
      <c r="K476" s="366"/>
      <c r="L476" s="365"/>
      <c r="M476" s="365"/>
      <c r="N476" s="365"/>
      <c r="O476" s="365"/>
      <c r="P476" s="365"/>
      <c r="Q476" s="365"/>
      <c r="R476" s="365"/>
      <c r="S476" s="365"/>
      <c r="T476" s="365"/>
      <c r="U476" s="365"/>
      <c r="V476" s="365"/>
      <c r="W476" s="365"/>
      <c r="X476" s="365"/>
    </row>
    <row r="477" spans="11:24" x14ac:dyDescent="0.35">
      <c r="K477" s="366"/>
      <c r="L477" s="365"/>
      <c r="M477" s="365"/>
      <c r="N477" s="365"/>
      <c r="O477" s="365"/>
      <c r="P477" s="365"/>
      <c r="Q477" s="365"/>
      <c r="R477" s="365"/>
      <c r="S477" s="365"/>
      <c r="T477" s="365"/>
      <c r="U477" s="365"/>
      <c r="V477" s="365"/>
      <c r="W477" s="365"/>
      <c r="X477" s="365"/>
    </row>
    <row r="478" spans="11:24" x14ac:dyDescent="0.35">
      <c r="K478" s="366"/>
      <c r="L478" s="365"/>
      <c r="M478" s="365"/>
      <c r="N478" s="365"/>
      <c r="O478" s="365"/>
      <c r="P478" s="365"/>
      <c r="Q478" s="365"/>
      <c r="R478" s="365"/>
      <c r="S478" s="365"/>
      <c r="T478" s="365"/>
      <c r="U478" s="365"/>
      <c r="V478" s="365"/>
      <c r="W478" s="365"/>
      <c r="X478" s="365"/>
    </row>
    <row r="479" spans="11:24" x14ac:dyDescent="0.35">
      <c r="K479" s="366"/>
      <c r="L479" s="365"/>
      <c r="M479" s="365"/>
      <c r="N479" s="365"/>
      <c r="O479" s="365"/>
      <c r="P479" s="365"/>
      <c r="Q479" s="365"/>
      <c r="R479" s="365"/>
      <c r="S479" s="365"/>
      <c r="T479" s="365"/>
      <c r="U479" s="365"/>
      <c r="V479" s="365"/>
      <c r="W479" s="365"/>
      <c r="X479" s="365"/>
    </row>
    <row r="480" spans="11:24" x14ac:dyDescent="0.35">
      <c r="K480" s="366"/>
      <c r="L480" s="365"/>
      <c r="M480" s="365"/>
      <c r="N480" s="365"/>
      <c r="O480" s="365"/>
      <c r="P480" s="365"/>
      <c r="Q480" s="365"/>
      <c r="R480" s="365"/>
      <c r="S480" s="365"/>
      <c r="T480" s="365"/>
      <c r="U480" s="365"/>
      <c r="V480" s="365"/>
      <c r="W480" s="365"/>
      <c r="X480" s="365"/>
    </row>
    <row r="481" spans="11:24" x14ac:dyDescent="0.35">
      <c r="K481" s="366"/>
      <c r="L481" s="365"/>
      <c r="M481" s="365"/>
      <c r="N481" s="365"/>
      <c r="O481" s="365"/>
      <c r="P481" s="365"/>
      <c r="Q481" s="365"/>
      <c r="R481" s="365"/>
      <c r="S481" s="365"/>
      <c r="T481" s="365"/>
      <c r="U481" s="365"/>
      <c r="V481" s="365"/>
      <c r="W481" s="365"/>
      <c r="X481" s="365"/>
    </row>
    <row r="482" spans="11:24" x14ac:dyDescent="0.35">
      <c r="K482" s="366"/>
      <c r="L482" s="365"/>
      <c r="M482" s="365"/>
      <c r="N482" s="365"/>
      <c r="O482" s="365"/>
      <c r="P482" s="365"/>
      <c r="Q482" s="365"/>
      <c r="R482" s="365"/>
      <c r="S482" s="365"/>
      <c r="T482" s="365"/>
      <c r="U482" s="365"/>
      <c r="V482" s="365"/>
      <c r="W482" s="365"/>
      <c r="X482" s="365"/>
    </row>
    <row r="483" spans="11:24" x14ac:dyDescent="0.35">
      <c r="K483" s="366"/>
      <c r="L483" s="365"/>
      <c r="M483" s="365"/>
      <c r="N483" s="365"/>
      <c r="O483" s="365"/>
      <c r="P483" s="365"/>
      <c r="Q483" s="365"/>
      <c r="R483" s="365"/>
      <c r="S483" s="365"/>
      <c r="T483" s="365"/>
      <c r="U483" s="365"/>
      <c r="V483" s="365"/>
      <c r="W483" s="365"/>
      <c r="X483" s="365"/>
    </row>
    <row r="484" spans="11:24" x14ac:dyDescent="0.35">
      <c r="K484" s="366"/>
      <c r="L484" s="365"/>
      <c r="M484" s="365"/>
      <c r="N484" s="365"/>
      <c r="O484" s="365"/>
      <c r="P484" s="365"/>
      <c r="Q484" s="365"/>
      <c r="R484" s="365"/>
      <c r="S484" s="365"/>
      <c r="T484" s="365"/>
      <c r="U484" s="365"/>
      <c r="V484" s="365"/>
      <c r="W484" s="365"/>
      <c r="X484" s="365"/>
    </row>
    <row r="485" spans="11:24" x14ac:dyDescent="0.35">
      <c r="K485" s="366"/>
      <c r="L485" s="365"/>
      <c r="M485" s="365"/>
      <c r="N485" s="365"/>
      <c r="O485" s="365"/>
      <c r="P485" s="365"/>
      <c r="Q485" s="365"/>
      <c r="R485" s="365"/>
      <c r="S485" s="365"/>
      <c r="T485" s="365"/>
      <c r="U485" s="365"/>
      <c r="V485" s="365"/>
      <c r="W485" s="365"/>
      <c r="X485" s="365"/>
    </row>
    <row r="486" spans="11:24" x14ac:dyDescent="0.35">
      <c r="K486" s="366"/>
      <c r="L486" s="365"/>
      <c r="M486" s="365"/>
      <c r="N486" s="365"/>
      <c r="O486" s="365"/>
      <c r="P486" s="365"/>
      <c r="Q486" s="365"/>
      <c r="R486" s="365"/>
      <c r="S486" s="365"/>
      <c r="T486" s="365"/>
      <c r="U486" s="365"/>
      <c r="V486" s="365"/>
      <c r="W486" s="365"/>
      <c r="X486" s="365"/>
    </row>
    <row r="487" spans="11:24" x14ac:dyDescent="0.35">
      <c r="K487" s="366"/>
      <c r="L487" s="365"/>
      <c r="M487" s="365"/>
      <c r="N487" s="365"/>
      <c r="O487" s="365"/>
      <c r="P487" s="365"/>
      <c r="Q487" s="365"/>
      <c r="R487" s="365"/>
      <c r="S487" s="365"/>
      <c r="T487" s="365"/>
      <c r="U487" s="365"/>
      <c r="V487" s="365"/>
      <c r="W487" s="365"/>
      <c r="X487" s="365"/>
    </row>
    <row r="488" spans="11:24" x14ac:dyDescent="0.35">
      <c r="K488" s="366"/>
      <c r="L488" s="365"/>
      <c r="M488" s="365"/>
      <c r="N488" s="365"/>
      <c r="O488" s="365"/>
      <c r="P488" s="365"/>
      <c r="Q488" s="365"/>
      <c r="R488" s="365"/>
      <c r="S488" s="365"/>
      <c r="T488" s="365"/>
      <c r="U488" s="365"/>
      <c r="V488" s="365"/>
      <c r="W488" s="365"/>
      <c r="X488" s="365"/>
    </row>
    <row r="489" spans="11:24" x14ac:dyDescent="0.35">
      <c r="K489" s="366"/>
      <c r="L489" s="365"/>
      <c r="M489" s="365"/>
      <c r="N489" s="365"/>
      <c r="O489" s="365"/>
      <c r="P489" s="365"/>
      <c r="Q489" s="365"/>
      <c r="R489" s="365"/>
      <c r="S489" s="365"/>
      <c r="T489" s="365"/>
      <c r="U489" s="365"/>
      <c r="V489" s="365"/>
      <c r="W489" s="365"/>
      <c r="X489" s="365"/>
    </row>
    <row r="490" spans="11:24" x14ac:dyDescent="0.35">
      <c r="K490" s="366"/>
      <c r="L490" s="365"/>
      <c r="M490" s="365"/>
      <c r="N490" s="365"/>
      <c r="O490" s="365"/>
      <c r="P490" s="365"/>
      <c r="Q490" s="365"/>
      <c r="R490" s="365"/>
      <c r="S490" s="365"/>
      <c r="T490" s="365"/>
      <c r="U490" s="365"/>
      <c r="V490" s="365"/>
      <c r="W490" s="365"/>
      <c r="X490" s="365"/>
    </row>
    <row r="491" spans="11:24" x14ac:dyDescent="0.35">
      <c r="K491" s="366"/>
      <c r="L491" s="365"/>
      <c r="M491" s="365"/>
      <c r="N491" s="365"/>
      <c r="O491" s="365"/>
      <c r="P491" s="365"/>
      <c r="Q491" s="365"/>
      <c r="R491" s="365"/>
      <c r="S491" s="365"/>
      <c r="T491" s="365"/>
      <c r="U491" s="365"/>
      <c r="V491" s="365"/>
      <c r="W491" s="365"/>
      <c r="X491" s="365"/>
    </row>
    <row r="492" spans="11:24" x14ac:dyDescent="0.35">
      <c r="K492" s="366"/>
      <c r="L492" s="365"/>
      <c r="M492" s="365"/>
      <c r="N492" s="365"/>
      <c r="O492" s="365"/>
      <c r="P492" s="365"/>
      <c r="Q492" s="365"/>
      <c r="R492" s="365"/>
      <c r="S492" s="365"/>
      <c r="T492" s="365"/>
      <c r="U492" s="365"/>
      <c r="V492" s="365"/>
      <c r="W492" s="365"/>
      <c r="X492" s="365"/>
    </row>
    <row r="493" spans="11:24" x14ac:dyDescent="0.35">
      <c r="K493" s="366"/>
      <c r="L493" s="365"/>
      <c r="M493" s="365"/>
      <c r="N493" s="365"/>
      <c r="O493" s="365"/>
      <c r="P493" s="365"/>
      <c r="Q493" s="365"/>
      <c r="R493" s="365"/>
      <c r="S493" s="365"/>
      <c r="T493" s="365"/>
      <c r="U493" s="365"/>
      <c r="V493" s="365"/>
      <c r="W493" s="365"/>
      <c r="X493" s="365"/>
    </row>
    <row r="494" spans="11:24" x14ac:dyDescent="0.35">
      <c r="K494" s="366"/>
      <c r="L494" s="365"/>
      <c r="M494" s="365"/>
      <c r="N494" s="365"/>
      <c r="O494" s="365"/>
      <c r="P494" s="365"/>
      <c r="Q494" s="365"/>
      <c r="R494" s="365"/>
      <c r="S494" s="365"/>
      <c r="T494" s="365"/>
      <c r="U494" s="365"/>
      <c r="V494" s="365"/>
      <c r="W494" s="365"/>
      <c r="X494" s="365"/>
    </row>
    <row r="495" spans="11:24" x14ac:dyDescent="0.35">
      <c r="K495" s="366"/>
      <c r="L495" s="365"/>
      <c r="M495" s="365"/>
      <c r="N495" s="365"/>
      <c r="O495" s="365"/>
      <c r="P495" s="365"/>
      <c r="Q495" s="365"/>
      <c r="R495" s="365"/>
      <c r="S495" s="365"/>
      <c r="T495" s="365"/>
      <c r="U495" s="365"/>
      <c r="V495" s="365"/>
      <c r="W495" s="365"/>
      <c r="X495" s="365"/>
    </row>
    <row r="496" spans="11:24" x14ac:dyDescent="0.35">
      <c r="K496" s="366"/>
      <c r="L496" s="365"/>
      <c r="M496" s="365"/>
      <c r="N496" s="365"/>
      <c r="O496" s="365"/>
      <c r="P496" s="365"/>
      <c r="Q496" s="365"/>
      <c r="R496" s="365"/>
      <c r="S496" s="365"/>
      <c r="T496" s="365"/>
      <c r="U496" s="365"/>
      <c r="V496" s="365"/>
      <c r="W496" s="365"/>
      <c r="X496" s="365"/>
    </row>
    <row r="497" spans="11:24" x14ac:dyDescent="0.35">
      <c r="K497" s="366"/>
      <c r="L497" s="365"/>
      <c r="M497" s="365"/>
      <c r="N497" s="365"/>
      <c r="O497" s="365"/>
      <c r="P497" s="365"/>
      <c r="Q497" s="365"/>
      <c r="R497" s="365"/>
      <c r="S497" s="365"/>
      <c r="T497" s="365"/>
      <c r="U497" s="365"/>
      <c r="V497" s="365"/>
      <c r="W497" s="365"/>
      <c r="X497" s="365"/>
    </row>
    <row r="498" spans="11:24" x14ac:dyDescent="0.35">
      <c r="K498" s="366"/>
      <c r="L498" s="365"/>
      <c r="M498" s="365"/>
      <c r="N498" s="365"/>
      <c r="O498" s="365"/>
      <c r="P498" s="365"/>
      <c r="Q498" s="365"/>
      <c r="R498" s="365"/>
      <c r="S498" s="365"/>
      <c r="T498" s="365"/>
      <c r="U498" s="365"/>
      <c r="V498" s="365"/>
      <c r="W498" s="365"/>
      <c r="X498" s="365"/>
    </row>
    <row r="499" spans="11:24" x14ac:dyDescent="0.35">
      <c r="K499" s="366"/>
      <c r="L499" s="365"/>
      <c r="M499" s="365"/>
      <c r="N499" s="365"/>
      <c r="O499" s="365"/>
      <c r="P499" s="365"/>
      <c r="Q499" s="365"/>
      <c r="R499" s="365"/>
      <c r="S499" s="365"/>
      <c r="T499" s="365"/>
      <c r="U499" s="365"/>
      <c r="V499" s="365"/>
      <c r="W499" s="365"/>
      <c r="X499" s="365"/>
    </row>
    <row r="500" spans="11:24" x14ac:dyDescent="0.35">
      <c r="K500" s="366"/>
      <c r="L500" s="365"/>
      <c r="M500" s="365"/>
      <c r="N500" s="365"/>
      <c r="O500" s="365"/>
      <c r="P500" s="365"/>
      <c r="Q500" s="365"/>
      <c r="R500" s="365"/>
      <c r="S500" s="365"/>
      <c r="T500" s="365"/>
      <c r="U500" s="365"/>
      <c r="V500" s="365"/>
      <c r="W500" s="365"/>
      <c r="X500" s="365"/>
    </row>
    <row r="501" spans="11:24" x14ac:dyDescent="0.35">
      <c r="K501" s="366"/>
      <c r="L501" s="365"/>
      <c r="M501" s="365"/>
      <c r="N501" s="365"/>
      <c r="O501" s="365"/>
      <c r="P501" s="365"/>
      <c r="Q501" s="365"/>
      <c r="R501" s="365"/>
      <c r="S501" s="365"/>
      <c r="T501" s="365"/>
      <c r="U501" s="365"/>
      <c r="V501" s="365"/>
      <c r="W501" s="365"/>
      <c r="X501" s="365"/>
    </row>
    <row r="502" spans="11:24" x14ac:dyDescent="0.35">
      <c r="K502" s="366"/>
      <c r="L502" s="365"/>
      <c r="M502" s="365"/>
      <c r="N502" s="365"/>
      <c r="O502" s="365"/>
      <c r="P502" s="365"/>
      <c r="Q502" s="365"/>
      <c r="R502" s="365"/>
      <c r="S502" s="365"/>
      <c r="T502" s="365"/>
      <c r="U502" s="365"/>
      <c r="V502" s="365"/>
      <c r="W502" s="365"/>
      <c r="X502" s="365"/>
    </row>
    <row r="503" spans="11:24" x14ac:dyDescent="0.35">
      <c r="K503" s="366"/>
      <c r="L503" s="365"/>
      <c r="M503" s="365"/>
      <c r="N503" s="365"/>
      <c r="O503" s="365"/>
      <c r="P503" s="365"/>
      <c r="Q503" s="365"/>
      <c r="R503" s="365"/>
      <c r="S503" s="365"/>
      <c r="T503" s="365"/>
      <c r="U503" s="365"/>
      <c r="V503" s="365"/>
      <c r="W503" s="365"/>
      <c r="X503" s="365"/>
    </row>
    <row r="504" spans="11:24" x14ac:dyDescent="0.35">
      <c r="K504" s="366"/>
      <c r="L504" s="365"/>
      <c r="M504" s="365"/>
      <c r="N504" s="365"/>
      <c r="O504" s="365"/>
      <c r="P504" s="365"/>
      <c r="Q504" s="365"/>
      <c r="R504" s="365"/>
      <c r="S504" s="365"/>
      <c r="T504" s="365"/>
      <c r="U504" s="365"/>
      <c r="V504" s="365"/>
      <c r="W504" s="365"/>
      <c r="X504" s="365"/>
    </row>
    <row r="505" spans="11:24" x14ac:dyDescent="0.35">
      <c r="K505" s="366"/>
      <c r="L505" s="365"/>
      <c r="M505" s="365"/>
      <c r="N505" s="365"/>
      <c r="O505" s="365"/>
      <c r="P505" s="365"/>
      <c r="Q505" s="365"/>
      <c r="R505" s="365"/>
      <c r="S505" s="365"/>
      <c r="T505" s="365"/>
      <c r="U505" s="365"/>
      <c r="V505" s="365"/>
      <c r="W505" s="365"/>
      <c r="X505" s="365"/>
    </row>
    <row r="506" spans="11:24" x14ac:dyDescent="0.35">
      <c r="K506" s="366"/>
      <c r="L506" s="365"/>
      <c r="M506" s="365"/>
      <c r="N506" s="365"/>
      <c r="O506" s="365"/>
      <c r="P506" s="365"/>
      <c r="Q506" s="365"/>
      <c r="R506" s="365"/>
      <c r="S506" s="365"/>
      <c r="T506" s="365"/>
      <c r="U506" s="365"/>
      <c r="V506" s="365"/>
      <c r="W506" s="365"/>
      <c r="X506" s="365"/>
    </row>
    <row r="507" spans="11:24" x14ac:dyDescent="0.35">
      <c r="K507" s="366"/>
      <c r="L507" s="365"/>
      <c r="M507" s="365"/>
      <c r="N507" s="365"/>
      <c r="O507" s="365"/>
      <c r="P507" s="365"/>
      <c r="Q507" s="365"/>
      <c r="R507" s="365"/>
      <c r="S507" s="365"/>
      <c r="T507" s="365"/>
      <c r="U507" s="365"/>
      <c r="V507" s="365"/>
      <c r="W507" s="365"/>
      <c r="X507" s="365"/>
    </row>
    <row r="508" spans="11:24" x14ac:dyDescent="0.35">
      <c r="K508" s="366"/>
      <c r="L508" s="365"/>
      <c r="M508" s="365"/>
      <c r="N508" s="365"/>
      <c r="O508" s="365"/>
      <c r="P508" s="365"/>
      <c r="Q508" s="365"/>
      <c r="R508" s="365"/>
      <c r="S508" s="365"/>
      <c r="T508" s="365"/>
      <c r="U508" s="365"/>
      <c r="V508" s="365"/>
      <c r="W508" s="365"/>
      <c r="X508" s="365"/>
    </row>
    <row r="509" spans="11:24" x14ac:dyDescent="0.35">
      <c r="K509" s="366"/>
      <c r="L509" s="365"/>
      <c r="M509" s="365"/>
      <c r="N509" s="365"/>
      <c r="O509" s="365"/>
      <c r="P509" s="365"/>
      <c r="Q509" s="365"/>
      <c r="R509" s="365"/>
      <c r="S509" s="365"/>
      <c r="T509" s="365"/>
      <c r="U509" s="365"/>
      <c r="V509" s="365"/>
      <c r="W509" s="365"/>
      <c r="X509" s="365"/>
    </row>
    <row r="510" spans="11:24" x14ac:dyDescent="0.35">
      <c r="K510" s="366"/>
      <c r="L510" s="365"/>
      <c r="M510" s="365"/>
      <c r="N510" s="365"/>
      <c r="O510" s="365"/>
      <c r="P510" s="365"/>
      <c r="Q510" s="365"/>
      <c r="R510" s="365"/>
      <c r="S510" s="365"/>
      <c r="T510" s="365"/>
      <c r="U510" s="365"/>
      <c r="V510" s="365"/>
      <c r="W510" s="365"/>
      <c r="X510" s="365"/>
    </row>
    <row r="511" spans="11:24" x14ac:dyDescent="0.35">
      <c r="K511" s="366"/>
      <c r="L511" s="365"/>
      <c r="M511" s="365"/>
      <c r="N511" s="365"/>
      <c r="O511" s="365"/>
      <c r="P511" s="365"/>
      <c r="Q511" s="365"/>
      <c r="R511" s="365"/>
      <c r="S511" s="365"/>
      <c r="T511" s="365"/>
      <c r="U511" s="365"/>
      <c r="V511" s="365"/>
      <c r="W511" s="365"/>
      <c r="X511" s="365"/>
    </row>
    <row r="512" spans="11:24" x14ac:dyDescent="0.35">
      <c r="K512" s="366"/>
      <c r="L512" s="365"/>
      <c r="M512" s="365"/>
      <c r="N512" s="365"/>
      <c r="O512" s="365"/>
      <c r="P512" s="365"/>
      <c r="Q512" s="365"/>
      <c r="R512" s="365"/>
      <c r="S512" s="365"/>
      <c r="T512" s="365"/>
      <c r="U512" s="365"/>
      <c r="V512" s="365"/>
      <c r="W512" s="365"/>
      <c r="X512" s="365"/>
    </row>
    <row r="513" spans="11:24" x14ac:dyDescent="0.35">
      <c r="K513" s="366"/>
      <c r="L513" s="365"/>
      <c r="M513" s="365"/>
      <c r="N513" s="365"/>
      <c r="O513" s="365"/>
      <c r="P513" s="365"/>
      <c r="Q513" s="365"/>
      <c r="R513" s="365"/>
      <c r="S513" s="365"/>
      <c r="T513" s="365"/>
      <c r="U513" s="365"/>
      <c r="V513" s="365"/>
      <c r="W513" s="365"/>
      <c r="X513" s="365"/>
    </row>
    <row r="514" spans="11:24" x14ac:dyDescent="0.35">
      <c r="K514" s="366"/>
      <c r="L514" s="365"/>
      <c r="M514" s="365"/>
      <c r="N514" s="365"/>
      <c r="O514" s="365"/>
      <c r="P514" s="365"/>
      <c r="Q514" s="365"/>
      <c r="R514" s="365"/>
      <c r="S514" s="365"/>
      <c r="T514" s="365"/>
      <c r="U514" s="365"/>
      <c r="V514" s="365"/>
      <c r="W514" s="365"/>
      <c r="X514" s="365"/>
    </row>
    <row r="515" spans="11:24" x14ac:dyDescent="0.35">
      <c r="K515" s="366"/>
      <c r="L515" s="365"/>
      <c r="M515" s="365"/>
      <c r="N515" s="365"/>
      <c r="O515" s="365"/>
      <c r="P515" s="365"/>
      <c r="Q515" s="365"/>
      <c r="R515" s="365"/>
      <c r="S515" s="365"/>
      <c r="T515" s="365"/>
      <c r="U515" s="365"/>
      <c r="V515" s="365"/>
      <c r="W515" s="365"/>
      <c r="X515" s="365"/>
    </row>
    <row r="516" spans="11:24" x14ac:dyDescent="0.35">
      <c r="K516" s="366"/>
      <c r="L516" s="365"/>
      <c r="M516" s="365"/>
      <c r="N516" s="365"/>
      <c r="O516" s="365"/>
      <c r="P516" s="365"/>
      <c r="Q516" s="365"/>
      <c r="R516" s="365"/>
      <c r="S516" s="365"/>
      <c r="T516" s="365"/>
      <c r="U516" s="365"/>
      <c r="V516" s="365"/>
      <c r="W516" s="365"/>
      <c r="X516" s="365"/>
    </row>
    <row r="517" spans="11:24" x14ac:dyDescent="0.35">
      <c r="K517" s="366"/>
      <c r="L517" s="365"/>
      <c r="M517" s="365"/>
      <c r="N517" s="365"/>
      <c r="O517" s="365"/>
      <c r="P517" s="365"/>
      <c r="Q517" s="365"/>
      <c r="R517" s="365"/>
      <c r="S517" s="365"/>
      <c r="T517" s="365"/>
      <c r="U517" s="365"/>
      <c r="V517" s="365"/>
      <c r="W517" s="365"/>
      <c r="X517" s="365"/>
    </row>
    <row r="518" spans="11:24" x14ac:dyDescent="0.35">
      <c r="K518" s="366"/>
      <c r="L518" s="365"/>
      <c r="M518" s="365"/>
      <c r="N518" s="365"/>
      <c r="O518" s="365"/>
      <c r="P518" s="365"/>
      <c r="Q518" s="365"/>
      <c r="R518" s="365"/>
      <c r="S518" s="365"/>
      <c r="T518" s="365"/>
      <c r="U518" s="365"/>
      <c r="V518" s="365"/>
      <c r="W518" s="365"/>
      <c r="X518" s="365"/>
    </row>
    <row r="519" spans="11:24" x14ac:dyDescent="0.35">
      <c r="K519" s="366"/>
      <c r="L519" s="365"/>
      <c r="M519" s="365"/>
      <c r="N519" s="365"/>
      <c r="O519" s="365"/>
      <c r="P519" s="365"/>
      <c r="Q519" s="365"/>
      <c r="R519" s="365"/>
      <c r="S519" s="365"/>
      <c r="T519" s="365"/>
      <c r="U519" s="365"/>
      <c r="V519" s="365"/>
      <c r="W519" s="365"/>
      <c r="X519" s="365"/>
    </row>
    <row r="520" spans="11:24" x14ac:dyDescent="0.35">
      <c r="K520" s="366"/>
      <c r="L520" s="365"/>
      <c r="M520" s="365"/>
      <c r="N520" s="365"/>
      <c r="O520" s="365"/>
      <c r="P520" s="365"/>
      <c r="Q520" s="365"/>
      <c r="R520" s="365"/>
      <c r="S520" s="365"/>
      <c r="T520" s="365"/>
      <c r="U520" s="365"/>
      <c r="V520" s="365"/>
      <c r="W520" s="365"/>
      <c r="X520" s="365"/>
    </row>
    <row r="521" spans="11:24" x14ac:dyDescent="0.35">
      <c r="K521" s="366"/>
      <c r="L521" s="365"/>
      <c r="M521" s="365"/>
      <c r="N521" s="365"/>
      <c r="O521" s="365"/>
      <c r="P521" s="365"/>
      <c r="Q521" s="365"/>
      <c r="R521" s="365"/>
      <c r="S521" s="365"/>
      <c r="T521" s="365"/>
      <c r="U521" s="365"/>
      <c r="V521" s="365"/>
      <c r="W521" s="365"/>
      <c r="X521" s="365"/>
    </row>
    <row r="522" spans="11:24" x14ac:dyDescent="0.35">
      <c r="K522" s="366"/>
      <c r="L522" s="365"/>
      <c r="M522" s="365"/>
      <c r="N522" s="365"/>
      <c r="O522" s="365"/>
      <c r="P522" s="365"/>
      <c r="Q522" s="365"/>
      <c r="R522" s="365"/>
      <c r="S522" s="365"/>
      <c r="T522" s="365"/>
      <c r="U522" s="365"/>
      <c r="V522" s="365"/>
      <c r="W522" s="365"/>
      <c r="X522" s="365"/>
    </row>
    <row r="523" spans="11:24" x14ac:dyDescent="0.35">
      <c r="K523" s="366"/>
      <c r="L523" s="365"/>
      <c r="M523" s="365"/>
      <c r="N523" s="365"/>
      <c r="O523" s="365"/>
      <c r="P523" s="365"/>
      <c r="Q523" s="365"/>
      <c r="R523" s="365"/>
      <c r="S523" s="365"/>
      <c r="T523" s="365"/>
      <c r="U523" s="365"/>
      <c r="V523" s="365"/>
      <c r="W523" s="365"/>
      <c r="X523" s="365"/>
    </row>
    <row r="524" spans="11:24" x14ac:dyDescent="0.35">
      <c r="K524" s="366"/>
      <c r="L524" s="365"/>
      <c r="M524" s="365"/>
      <c r="N524" s="365"/>
      <c r="O524" s="365"/>
      <c r="P524" s="365"/>
      <c r="Q524" s="365"/>
      <c r="R524" s="365"/>
      <c r="S524" s="365"/>
      <c r="T524" s="365"/>
      <c r="U524" s="365"/>
      <c r="V524" s="365"/>
      <c r="W524" s="365"/>
      <c r="X524" s="365"/>
    </row>
    <row r="525" spans="11:24" x14ac:dyDescent="0.35">
      <c r="K525" s="366"/>
      <c r="L525" s="365"/>
      <c r="M525" s="365"/>
      <c r="N525" s="365"/>
      <c r="O525" s="365"/>
      <c r="P525" s="365"/>
      <c r="Q525" s="365"/>
      <c r="R525" s="365"/>
      <c r="S525" s="365"/>
      <c r="T525" s="365"/>
      <c r="U525" s="365"/>
      <c r="V525" s="365"/>
      <c r="W525" s="365"/>
      <c r="X525" s="365"/>
    </row>
    <row r="526" spans="11:24" x14ac:dyDescent="0.35">
      <c r="K526" s="366"/>
      <c r="L526" s="365"/>
      <c r="M526" s="365"/>
      <c r="N526" s="365"/>
      <c r="O526" s="365"/>
      <c r="P526" s="365"/>
      <c r="Q526" s="365"/>
      <c r="R526" s="365"/>
      <c r="S526" s="365"/>
      <c r="T526" s="365"/>
      <c r="U526" s="365"/>
      <c r="V526" s="365"/>
      <c r="W526" s="365"/>
      <c r="X526" s="365"/>
    </row>
    <row r="527" spans="11:24" x14ac:dyDescent="0.35">
      <c r="K527" s="366"/>
      <c r="L527" s="365"/>
      <c r="M527" s="365"/>
      <c r="N527" s="365"/>
      <c r="O527" s="365"/>
      <c r="P527" s="365"/>
      <c r="Q527" s="365"/>
      <c r="R527" s="365"/>
      <c r="S527" s="365"/>
      <c r="T527" s="365"/>
      <c r="U527" s="365"/>
      <c r="V527" s="365"/>
      <c r="W527" s="365"/>
      <c r="X527" s="365"/>
    </row>
    <row r="528" spans="11:24" x14ac:dyDescent="0.35">
      <c r="K528" s="366"/>
      <c r="L528" s="365"/>
      <c r="M528" s="365"/>
      <c r="N528" s="365"/>
      <c r="O528" s="365"/>
      <c r="P528" s="365"/>
      <c r="Q528" s="365"/>
      <c r="R528" s="365"/>
      <c r="S528" s="365"/>
      <c r="T528" s="365"/>
      <c r="U528" s="365"/>
      <c r="V528" s="365"/>
      <c r="W528" s="365"/>
      <c r="X528" s="365"/>
    </row>
    <row r="529" spans="11:24" x14ac:dyDescent="0.35">
      <c r="K529" s="366"/>
      <c r="L529" s="365"/>
      <c r="M529" s="365"/>
      <c r="N529" s="365"/>
      <c r="O529" s="365"/>
      <c r="P529" s="365"/>
      <c r="Q529" s="365"/>
      <c r="R529" s="365"/>
      <c r="S529" s="365"/>
      <c r="T529" s="365"/>
      <c r="U529" s="365"/>
      <c r="V529" s="365"/>
      <c r="W529" s="365"/>
      <c r="X529" s="365"/>
    </row>
    <row r="530" spans="11:24" x14ac:dyDescent="0.35">
      <c r="K530" s="366"/>
      <c r="L530" s="365"/>
      <c r="M530" s="365"/>
      <c r="N530" s="365"/>
      <c r="O530" s="365"/>
      <c r="P530" s="365"/>
      <c r="Q530" s="365"/>
      <c r="R530" s="365"/>
      <c r="S530" s="365"/>
      <c r="T530" s="365"/>
      <c r="U530" s="365"/>
      <c r="V530" s="365"/>
      <c r="W530" s="365"/>
      <c r="X530" s="365"/>
    </row>
    <row r="531" spans="11:24" x14ac:dyDescent="0.35">
      <c r="K531" s="366"/>
      <c r="L531" s="365"/>
      <c r="M531" s="365"/>
      <c r="N531" s="365"/>
      <c r="O531" s="365"/>
      <c r="P531" s="365"/>
      <c r="Q531" s="365"/>
      <c r="R531" s="365"/>
      <c r="S531" s="365"/>
      <c r="T531" s="365"/>
      <c r="U531" s="365"/>
      <c r="V531" s="365"/>
      <c r="W531" s="365"/>
      <c r="X531" s="365"/>
    </row>
    <row r="532" spans="11:24" x14ac:dyDescent="0.35">
      <c r="K532" s="366"/>
      <c r="L532" s="365"/>
      <c r="M532" s="365"/>
      <c r="N532" s="365"/>
      <c r="O532" s="365"/>
      <c r="P532" s="365"/>
      <c r="Q532" s="365"/>
      <c r="R532" s="365"/>
      <c r="S532" s="365"/>
      <c r="T532" s="365"/>
      <c r="U532" s="365"/>
      <c r="V532" s="365"/>
      <c r="W532" s="365"/>
      <c r="X532" s="365"/>
    </row>
    <row r="533" spans="11:24" x14ac:dyDescent="0.35">
      <c r="K533" s="366"/>
      <c r="L533" s="365"/>
      <c r="M533" s="365"/>
      <c r="N533" s="365"/>
      <c r="O533" s="365"/>
      <c r="P533" s="365"/>
      <c r="Q533" s="365"/>
      <c r="R533" s="365"/>
      <c r="S533" s="365"/>
      <c r="T533" s="365"/>
      <c r="U533" s="365"/>
      <c r="V533" s="365"/>
      <c r="W533" s="365"/>
      <c r="X533" s="365"/>
    </row>
    <row r="534" spans="11:24" x14ac:dyDescent="0.35">
      <c r="K534" s="366"/>
      <c r="L534" s="365"/>
      <c r="M534" s="365"/>
      <c r="N534" s="365"/>
      <c r="O534" s="365"/>
      <c r="P534" s="365"/>
      <c r="Q534" s="365"/>
      <c r="R534" s="365"/>
      <c r="S534" s="365"/>
      <c r="T534" s="365"/>
      <c r="U534" s="365"/>
      <c r="V534" s="365"/>
      <c r="W534" s="365"/>
      <c r="X534" s="365"/>
    </row>
    <row r="535" spans="11:24" x14ac:dyDescent="0.35">
      <c r="K535" s="366"/>
      <c r="L535" s="365"/>
      <c r="M535" s="365"/>
      <c r="N535" s="365"/>
      <c r="O535" s="365"/>
      <c r="P535" s="365"/>
      <c r="Q535" s="365"/>
      <c r="R535" s="365"/>
      <c r="S535" s="365"/>
      <c r="T535" s="365"/>
      <c r="U535" s="365"/>
      <c r="V535" s="365"/>
      <c r="W535" s="365"/>
      <c r="X535" s="365"/>
    </row>
    <row r="536" spans="11:24" x14ac:dyDescent="0.35">
      <c r="K536" s="366"/>
      <c r="L536" s="365"/>
      <c r="M536" s="365"/>
      <c r="N536" s="365"/>
      <c r="O536" s="365"/>
      <c r="P536" s="365"/>
      <c r="Q536" s="365"/>
      <c r="R536" s="365"/>
      <c r="S536" s="365"/>
      <c r="T536" s="365"/>
      <c r="U536" s="365"/>
      <c r="V536" s="365"/>
      <c r="W536" s="365"/>
      <c r="X536" s="365"/>
    </row>
    <row r="537" spans="11:24" x14ac:dyDescent="0.35">
      <c r="K537" s="366"/>
      <c r="L537" s="365"/>
      <c r="M537" s="365"/>
      <c r="N537" s="365"/>
      <c r="O537" s="365"/>
      <c r="P537" s="365"/>
      <c r="Q537" s="365"/>
      <c r="R537" s="365"/>
      <c r="S537" s="365"/>
      <c r="T537" s="365"/>
      <c r="U537" s="365"/>
      <c r="V537" s="365"/>
      <c r="W537" s="365"/>
      <c r="X537" s="365"/>
    </row>
    <row r="538" spans="11:24" x14ac:dyDescent="0.35">
      <c r="K538" s="366"/>
      <c r="L538" s="365"/>
      <c r="M538" s="365"/>
      <c r="N538" s="365"/>
      <c r="O538" s="365"/>
      <c r="P538" s="365"/>
      <c r="Q538" s="365"/>
      <c r="R538" s="365"/>
      <c r="S538" s="365"/>
      <c r="T538" s="365"/>
      <c r="U538" s="365"/>
      <c r="V538" s="365"/>
      <c r="W538" s="365"/>
      <c r="X538" s="365"/>
    </row>
    <row r="539" spans="11:24" x14ac:dyDescent="0.35">
      <c r="K539" s="366"/>
      <c r="L539" s="365"/>
      <c r="M539" s="365"/>
      <c r="N539" s="365"/>
      <c r="O539" s="365"/>
      <c r="P539" s="365"/>
      <c r="Q539" s="365"/>
      <c r="R539" s="365"/>
      <c r="S539" s="365"/>
      <c r="T539" s="365"/>
      <c r="U539" s="365"/>
      <c r="V539" s="365"/>
      <c r="W539" s="365"/>
      <c r="X539" s="365"/>
    </row>
    <row r="540" spans="11:24" x14ac:dyDescent="0.35">
      <c r="K540" s="366"/>
      <c r="L540" s="365"/>
      <c r="M540" s="365"/>
      <c r="N540" s="365"/>
      <c r="O540" s="365"/>
      <c r="P540" s="365"/>
      <c r="Q540" s="365"/>
      <c r="R540" s="365"/>
      <c r="S540" s="365"/>
      <c r="T540" s="365"/>
      <c r="U540" s="365"/>
      <c r="V540" s="365"/>
      <c r="W540" s="365"/>
      <c r="X540" s="365"/>
    </row>
    <row r="541" spans="11:24" x14ac:dyDescent="0.35">
      <c r="K541" s="366"/>
      <c r="L541" s="365"/>
      <c r="M541" s="365"/>
      <c r="N541" s="365"/>
      <c r="O541" s="365"/>
      <c r="P541" s="365"/>
      <c r="Q541" s="365"/>
      <c r="R541" s="365"/>
      <c r="S541" s="365"/>
      <c r="T541" s="365"/>
      <c r="U541" s="365"/>
      <c r="V541" s="365"/>
      <c r="W541" s="365"/>
      <c r="X541" s="365"/>
    </row>
    <row r="542" spans="11:24" x14ac:dyDescent="0.35">
      <c r="K542" s="366"/>
      <c r="L542" s="365"/>
      <c r="M542" s="365"/>
      <c r="N542" s="365"/>
      <c r="O542" s="365"/>
      <c r="P542" s="365"/>
      <c r="Q542" s="365"/>
      <c r="R542" s="365"/>
      <c r="S542" s="365"/>
      <c r="T542" s="365"/>
      <c r="U542" s="365"/>
      <c r="V542" s="365"/>
      <c r="W542" s="365"/>
      <c r="X542" s="365"/>
    </row>
    <row r="543" spans="11:24" x14ac:dyDescent="0.35">
      <c r="K543" s="366"/>
      <c r="L543" s="365"/>
      <c r="M543" s="365"/>
      <c r="N543" s="365"/>
      <c r="O543" s="365"/>
      <c r="P543" s="365"/>
      <c r="Q543" s="365"/>
      <c r="R543" s="365"/>
      <c r="S543" s="365"/>
      <c r="T543" s="365"/>
      <c r="U543" s="365"/>
      <c r="V543" s="365"/>
      <c r="W543" s="365"/>
      <c r="X543" s="365"/>
    </row>
    <row r="544" spans="11:24" x14ac:dyDescent="0.35">
      <c r="K544" s="366"/>
      <c r="L544" s="365"/>
      <c r="M544" s="365"/>
      <c r="N544" s="365"/>
      <c r="O544" s="365"/>
      <c r="P544" s="365"/>
      <c r="Q544" s="365"/>
      <c r="R544" s="365"/>
      <c r="S544" s="365"/>
      <c r="T544" s="365"/>
      <c r="U544" s="365"/>
      <c r="V544" s="365"/>
      <c r="W544" s="365"/>
      <c r="X544" s="365"/>
    </row>
    <row r="545" spans="11:24" x14ac:dyDescent="0.35">
      <c r="K545" s="366"/>
      <c r="L545" s="365"/>
      <c r="M545" s="365"/>
      <c r="N545" s="365"/>
      <c r="O545" s="365"/>
      <c r="P545" s="365"/>
      <c r="Q545" s="365"/>
      <c r="R545" s="365"/>
      <c r="S545" s="365"/>
      <c r="T545" s="365"/>
      <c r="U545" s="365"/>
      <c r="V545" s="365"/>
      <c r="W545" s="365"/>
      <c r="X545" s="365"/>
    </row>
    <row r="546" spans="11:24" x14ac:dyDescent="0.35">
      <c r="K546" s="366"/>
      <c r="L546" s="365"/>
      <c r="M546" s="365"/>
      <c r="N546" s="365"/>
      <c r="O546" s="365"/>
      <c r="P546" s="365"/>
      <c r="Q546" s="365"/>
      <c r="R546" s="365"/>
      <c r="S546" s="365"/>
      <c r="T546" s="365"/>
      <c r="U546" s="365"/>
      <c r="V546" s="365"/>
      <c r="W546" s="365"/>
      <c r="X546" s="365"/>
    </row>
    <row r="547" spans="11:24" x14ac:dyDescent="0.35">
      <c r="K547" s="366"/>
      <c r="L547" s="365"/>
      <c r="M547" s="365"/>
      <c r="N547" s="365"/>
      <c r="O547" s="365"/>
      <c r="P547" s="365"/>
      <c r="Q547" s="365"/>
      <c r="R547" s="365"/>
      <c r="S547" s="365"/>
      <c r="T547" s="365"/>
      <c r="U547" s="365"/>
      <c r="V547" s="365"/>
      <c r="W547" s="365"/>
      <c r="X547" s="365"/>
    </row>
    <row r="548" spans="11:24" x14ac:dyDescent="0.35">
      <c r="K548" s="366"/>
      <c r="L548" s="365"/>
      <c r="M548" s="365"/>
      <c r="N548" s="365"/>
      <c r="O548" s="365"/>
      <c r="P548" s="365"/>
      <c r="Q548" s="365"/>
      <c r="R548" s="365"/>
      <c r="S548" s="365"/>
      <c r="T548" s="365"/>
      <c r="U548" s="365"/>
      <c r="V548" s="365"/>
      <c r="W548" s="365"/>
      <c r="X548" s="365"/>
    </row>
    <row r="549" spans="11:24" x14ac:dyDescent="0.35">
      <c r="K549" s="366"/>
      <c r="L549" s="365"/>
      <c r="M549" s="365"/>
      <c r="N549" s="365"/>
      <c r="O549" s="365"/>
      <c r="P549" s="365"/>
      <c r="Q549" s="365"/>
      <c r="R549" s="365"/>
      <c r="S549" s="365"/>
      <c r="T549" s="365"/>
      <c r="U549" s="365"/>
      <c r="V549" s="365"/>
      <c r="W549" s="365"/>
      <c r="X549" s="365"/>
    </row>
    <row r="550" spans="11:24" x14ac:dyDescent="0.35">
      <c r="K550" s="366"/>
      <c r="L550" s="365"/>
      <c r="M550" s="365"/>
      <c r="N550" s="365"/>
      <c r="O550" s="365"/>
      <c r="P550" s="365"/>
      <c r="Q550" s="365"/>
      <c r="R550" s="365"/>
      <c r="S550" s="365"/>
      <c r="T550" s="365"/>
      <c r="U550" s="365"/>
      <c r="V550" s="365"/>
      <c r="W550" s="365"/>
      <c r="X550" s="365"/>
    </row>
    <row r="551" spans="11:24" x14ac:dyDescent="0.35">
      <c r="K551" s="366"/>
      <c r="L551" s="365"/>
      <c r="M551" s="365"/>
      <c r="N551" s="365"/>
      <c r="O551" s="365"/>
      <c r="P551" s="365"/>
      <c r="Q551" s="365"/>
      <c r="R551" s="365"/>
      <c r="S551" s="365"/>
      <c r="T551" s="365"/>
      <c r="U551" s="365"/>
      <c r="V551" s="365"/>
      <c r="W551" s="365"/>
      <c r="X551" s="365"/>
    </row>
    <row r="552" spans="11:24" x14ac:dyDescent="0.35">
      <c r="K552" s="366"/>
      <c r="L552" s="365"/>
      <c r="M552" s="365"/>
      <c r="N552" s="365"/>
      <c r="O552" s="365"/>
      <c r="P552" s="365"/>
      <c r="Q552" s="365"/>
      <c r="R552" s="365"/>
      <c r="S552" s="365"/>
      <c r="T552" s="365"/>
      <c r="U552" s="365"/>
      <c r="V552" s="365"/>
      <c r="W552" s="365"/>
      <c r="X552" s="365"/>
    </row>
    <row r="553" spans="11:24" x14ac:dyDescent="0.35">
      <c r="K553" s="366"/>
      <c r="L553" s="365"/>
      <c r="M553" s="365"/>
      <c r="N553" s="365"/>
      <c r="O553" s="365"/>
      <c r="P553" s="365"/>
      <c r="Q553" s="365"/>
      <c r="R553" s="365"/>
      <c r="S553" s="365"/>
      <c r="T553" s="365"/>
      <c r="U553" s="365"/>
      <c r="V553" s="365"/>
      <c r="W553" s="365"/>
      <c r="X553" s="365"/>
    </row>
    <row r="554" spans="11:24" x14ac:dyDescent="0.35">
      <c r="K554" s="366"/>
      <c r="L554" s="365"/>
      <c r="M554" s="365"/>
      <c r="N554" s="365"/>
      <c r="O554" s="365"/>
      <c r="P554" s="365"/>
      <c r="Q554" s="365"/>
      <c r="R554" s="365"/>
      <c r="S554" s="365"/>
      <c r="T554" s="365"/>
      <c r="U554" s="365"/>
      <c r="V554" s="365"/>
      <c r="W554" s="365"/>
      <c r="X554" s="365"/>
    </row>
    <row r="555" spans="11:24" x14ac:dyDescent="0.35">
      <c r="K555" s="366"/>
      <c r="L555" s="365"/>
      <c r="M555" s="365"/>
      <c r="N555" s="365"/>
      <c r="O555" s="365"/>
      <c r="P555" s="365"/>
      <c r="Q555" s="365"/>
      <c r="R555" s="365"/>
      <c r="S555" s="365"/>
      <c r="T555" s="365"/>
      <c r="U555" s="365"/>
      <c r="V555" s="365"/>
      <c r="W555" s="365"/>
      <c r="X555" s="365"/>
    </row>
    <row r="556" spans="11:24" x14ac:dyDescent="0.35">
      <c r="K556" s="366"/>
      <c r="L556" s="365"/>
      <c r="M556" s="365"/>
      <c r="N556" s="365"/>
      <c r="O556" s="365"/>
      <c r="P556" s="365"/>
      <c r="Q556" s="365"/>
      <c r="R556" s="365"/>
      <c r="S556" s="365"/>
      <c r="T556" s="365"/>
      <c r="U556" s="365"/>
      <c r="V556" s="365"/>
      <c r="W556" s="365"/>
      <c r="X556" s="365"/>
    </row>
    <row r="557" spans="11:24" x14ac:dyDescent="0.35">
      <c r="K557" s="366"/>
      <c r="L557" s="365"/>
      <c r="M557" s="365"/>
      <c r="N557" s="365"/>
      <c r="O557" s="365"/>
      <c r="P557" s="365"/>
      <c r="Q557" s="365"/>
      <c r="R557" s="365"/>
      <c r="S557" s="365"/>
      <c r="T557" s="365"/>
      <c r="U557" s="365"/>
      <c r="V557" s="365"/>
      <c r="W557" s="365"/>
      <c r="X557" s="365"/>
    </row>
    <row r="558" spans="11:24" x14ac:dyDescent="0.35">
      <c r="K558" s="366"/>
      <c r="L558" s="365"/>
      <c r="M558" s="365"/>
      <c r="N558" s="365"/>
      <c r="O558" s="365"/>
      <c r="P558" s="365"/>
      <c r="Q558" s="365"/>
      <c r="R558" s="365"/>
      <c r="S558" s="365"/>
      <c r="T558" s="365"/>
      <c r="U558" s="365"/>
      <c r="V558" s="365"/>
      <c r="W558" s="365"/>
      <c r="X558" s="365"/>
    </row>
    <row r="559" spans="11:24" x14ac:dyDescent="0.35">
      <c r="K559" s="366"/>
      <c r="L559" s="365"/>
      <c r="M559" s="365"/>
      <c r="N559" s="365"/>
      <c r="O559" s="365"/>
      <c r="P559" s="365"/>
      <c r="Q559" s="365"/>
      <c r="R559" s="365"/>
      <c r="S559" s="365"/>
      <c r="T559" s="365"/>
      <c r="U559" s="365"/>
      <c r="V559" s="365"/>
      <c r="W559" s="365"/>
      <c r="X559" s="365"/>
    </row>
    <row r="560" spans="11:24" x14ac:dyDescent="0.35">
      <c r="K560" s="366"/>
      <c r="L560" s="365"/>
      <c r="M560" s="365"/>
      <c r="N560" s="365"/>
      <c r="O560" s="365"/>
      <c r="P560" s="365"/>
      <c r="Q560" s="365"/>
      <c r="R560" s="365"/>
      <c r="S560" s="365"/>
      <c r="T560" s="365"/>
      <c r="U560" s="365"/>
      <c r="V560" s="365"/>
      <c r="W560" s="365"/>
      <c r="X560" s="365"/>
    </row>
    <row r="561" spans="11:24" x14ac:dyDescent="0.35">
      <c r="K561" s="366"/>
      <c r="L561" s="365"/>
      <c r="M561" s="365"/>
      <c r="N561" s="365"/>
      <c r="O561" s="365"/>
      <c r="P561" s="365"/>
      <c r="Q561" s="365"/>
      <c r="R561" s="365"/>
      <c r="S561" s="365"/>
      <c r="T561" s="365"/>
      <c r="U561" s="365"/>
      <c r="V561" s="365"/>
      <c r="W561" s="365"/>
      <c r="X561" s="365"/>
    </row>
    <row r="562" spans="11:24" x14ac:dyDescent="0.35">
      <c r="K562" s="366"/>
      <c r="L562" s="365"/>
      <c r="M562" s="365"/>
      <c r="N562" s="365"/>
      <c r="O562" s="365"/>
      <c r="P562" s="365"/>
      <c r="Q562" s="365"/>
      <c r="R562" s="365"/>
      <c r="S562" s="365"/>
      <c r="T562" s="365"/>
      <c r="U562" s="365"/>
      <c r="V562" s="365"/>
      <c r="W562" s="365"/>
      <c r="X562" s="365"/>
    </row>
    <row r="563" spans="11:24" x14ac:dyDescent="0.35">
      <c r="K563" s="366"/>
      <c r="L563" s="365"/>
      <c r="M563" s="365"/>
      <c r="N563" s="365"/>
      <c r="O563" s="365"/>
      <c r="P563" s="365"/>
      <c r="Q563" s="365"/>
      <c r="R563" s="365"/>
      <c r="S563" s="365"/>
      <c r="T563" s="365"/>
      <c r="U563" s="365"/>
      <c r="V563" s="365"/>
      <c r="W563" s="365"/>
      <c r="X563" s="365"/>
    </row>
    <row r="564" spans="11:24" x14ac:dyDescent="0.35">
      <c r="K564" s="366"/>
      <c r="L564" s="365"/>
      <c r="M564" s="365"/>
      <c r="N564" s="365"/>
      <c r="O564" s="365"/>
      <c r="P564" s="365"/>
      <c r="Q564" s="365"/>
      <c r="R564" s="365"/>
      <c r="S564" s="365"/>
      <c r="T564" s="365"/>
      <c r="U564" s="365"/>
      <c r="V564" s="365"/>
      <c r="W564" s="365"/>
      <c r="X564" s="365"/>
    </row>
    <row r="565" spans="11:24" x14ac:dyDescent="0.35">
      <c r="K565" s="366"/>
      <c r="L565" s="365"/>
      <c r="M565" s="365"/>
      <c r="N565" s="365"/>
      <c r="O565" s="365"/>
      <c r="P565" s="365"/>
      <c r="Q565" s="365"/>
      <c r="R565" s="365"/>
      <c r="S565" s="365"/>
      <c r="T565" s="365"/>
      <c r="U565" s="365"/>
      <c r="V565" s="365"/>
      <c r="W565" s="365"/>
      <c r="X565" s="365"/>
    </row>
    <row r="566" spans="11:24" x14ac:dyDescent="0.35">
      <c r="K566" s="366"/>
      <c r="L566" s="365"/>
      <c r="M566" s="365"/>
      <c r="N566" s="365"/>
      <c r="O566" s="365"/>
      <c r="P566" s="365"/>
      <c r="Q566" s="365"/>
      <c r="R566" s="365"/>
      <c r="S566" s="365"/>
      <c r="T566" s="365"/>
      <c r="U566" s="365"/>
      <c r="V566" s="365"/>
      <c r="W566" s="365"/>
      <c r="X566" s="365"/>
    </row>
    <row r="567" spans="11:24" x14ac:dyDescent="0.35">
      <c r="K567" s="366"/>
      <c r="L567" s="365"/>
      <c r="M567" s="365"/>
      <c r="N567" s="365"/>
      <c r="O567" s="365"/>
      <c r="P567" s="365"/>
      <c r="Q567" s="365"/>
      <c r="R567" s="365"/>
      <c r="S567" s="365"/>
      <c r="T567" s="365"/>
      <c r="U567" s="365"/>
      <c r="V567" s="365"/>
      <c r="W567" s="365"/>
      <c r="X567" s="365"/>
    </row>
    <row r="568" spans="11:24" x14ac:dyDescent="0.35">
      <c r="K568" s="366"/>
      <c r="L568" s="365"/>
      <c r="M568" s="365"/>
      <c r="N568" s="365"/>
      <c r="O568" s="365"/>
      <c r="P568" s="365"/>
      <c r="Q568" s="365"/>
      <c r="R568" s="365"/>
      <c r="S568" s="365"/>
      <c r="T568" s="365"/>
      <c r="U568" s="365"/>
      <c r="V568" s="365"/>
      <c r="W568" s="365"/>
      <c r="X568" s="365"/>
    </row>
    <row r="569" spans="11:24" x14ac:dyDescent="0.35">
      <c r="K569" s="366"/>
      <c r="L569" s="365"/>
      <c r="M569" s="365"/>
      <c r="N569" s="365"/>
      <c r="O569" s="365"/>
      <c r="P569" s="365"/>
      <c r="Q569" s="365"/>
      <c r="R569" s="365"/>
      <c r="S569" s="365"/>
      <c r="T569" s="365"/>
      <c r="U569" s="365"/>
      <c r="V569" s="365"/>
      <c r="W569" s="365"/>
      <c r="X569" s="365"/>
    </row>
    <row r="570" spans="11:24" x14ac:dyDescent="0.35">
      <c r="K570" s="366"/>
      <c r="L570" s="365"/>
      <c r="M570" s="365"/>
      <c r="N570" s="365"/>
      <c r="O570" s="365"/>
      <c r="P570" s="365"/>
      <c r="Q570" s="365"/>
      <c r="R570" s="365"/>
      <c r="S570" s="365"/>
      <c r="T570" s="365"/>
      <c r="U570" s="365"/>
      <c r="V570" s="365"/>
      <c r="W570" s="365"/>
      <c r="X570" s="365"/>
    </row>
    <row r="571" spans="11:24" x14ac:dyDescent="0.35">
      <c r="K571" s="366"/>
      <c r="L571" s="365"/>
      <c r="M571" s="365"/>
      <c r="N571" s="365"/>
      <c r="O571" s="365"/>
      <c r="P571" s="365"/>
      <c r="Q571" s="365"/>
      <c r="R571" s="365"/>
      <c r="S571" s="365"/>
      <c r="T571" s="365"/>
      <c r="U571" s="365"/>
      <c r="V571" s="365"/>
      <c r="W571" s="365"/>
      <c r="X571" s="365"/>
    </row>
    <row r="572" spans="11:24" x14ac:dyDescent="0.35">
      <c r="K572" s="366"/>
      <c r="L572" s="365"/>
      <c r="M572" s="365"/>
      <c r="N572" s="365"/>
      <c r="O572" s="365"/>
      <c r="P572" s="365"/>
      <c r="Q572" s="365"/>
      <c r="R572" s="365"/>
      <c r="S572" s="365"/>
      <c r="T572" s="365"/>
      <c r="U572" s="365"/>
      <c r="V572" s="365"/>
      <c r="W572" s="365"/>
      <c r="X572" s="365"/>
    </row>
    <row r="573" spans="11:24" x14ac:dyDescent="0.35">
      <c r="K573" s="366"/>
      <c r="L573" s="365"/>
      <c r="M573" s="365"/>
      <c r="N573" s="365"/>
      <c r="O573" s="365"/>
      <c r="P573" s="365"/>
      <c r="Q573" s="365"/>
      <c r="R573" s="365"/>
      <c r="S573" s="365"/>
      <c r="T573" s="365"/>
      <c r="U573" s="365"/>
      <c r="V573" s="365"/>
      <c r="W573" s="365"/>
      <c r="X573" s="365"/>
    </row>
    <row r="574" spans="11:24" x14ac:dyDescent="0.35">
      <c r="K574" s="366"/>
      <c r="L574" s="365"/>
      <c r="M574" s="365"/>
      <c r="N574" s="365"/>
      <c r="O574" s="365"/>
      <c r="P574" s="365"/>
      <c r="Q574" s="365"/>
      <c r="R574" s="365"/>
      <c r="S574" s="365"/>
      <c r="T574" s="365"/>
      <c r="U574" s="365"/>
      <c r="V574" s="365"/>
      <c r="W574" s="365"/>
      <c r="X574" s="365"/>
    </row>
    <row r="575" spans="11:24" x14ac:dyDescent="0.35">
      <c r="K575" s="366"/>
      <c r="L575" s="365"/>
      <c r="M575" s="365"/>
      <c r="N575" s="365"/>
      <c r="O575" s="365"/>
      <c r="P575" s="365"/>
      <c r="Q575" s="365"/>
      <c r="R575" s="365"/>
      <c r="S575" s="365"/>
      <c r="T575" s="365"/>
      <c r="U575" s="365"/>
      <c r="V575" s="365"/>
      <c r="W575" s="365"/>
      <c r="X575" s="365"/>
    </row>
    <row r="576" spans="11:24" x14ac:dyDescent="0.35">
      <c r="K576" s="366"/>
      <c r="L576" s="365"/>
      <c r="M576" s="365"/>
      <c r="N576" s="365"/>
      <c r="O576" s="365"/>
      <c r="P576" s="365"/>
      <c r="Q576" s="365"/>
      <c r="R576" s="365"/>
      <c r="S576" s="365"/>
      <c r="T576" s="365"/>
      <c r="U576" s="365"/>
      <c r="V576" s="365"/>
      <c r="W576" s="365"/>
      <c r="X576" s="365"/>
    </row>
    <row r="577" spans="11:24" x14ac:dyDescent="0.35">
      <c r="K577" s="366"/>
      <c r="L577" s="365"/>
      <c r="M577" s="365"/>
      <c r="N577" s="365"/>
      <c r="O577" s="365"/>
      <c r="P577" s="365"/>
      <c r="Q577" s="365"/>
      <c r="R577" s="365"/>
      <c r="S577" s="365"/>
      <c r="T577" s="365"/>
      <c r="U577" s="365"/>
      <c r="V577" s="365"/>
      <c r="W577" s="365"/>
      <c r="X577" s="365"/>
    </row>
    <row r="578" spans="11:24" x14ac:dyDescent="0.35">
      <c r="K578" s="366"/>
      <c r="L578" s="365"/>
      <c r="M578" s="365"/>
      <c r="N578" s="365"/>
      <c r="O578" s="365"/>
      <c r="P578" s="365"/>
      <c r="Q578" s="365"/>
      <c r="R578" s="365"/>
      <c r="S578" s="365"/>
      <c r="T578" s="365"/>
      <c r="U578" s="365"/>
      <c r="V578" s="365"/>
      <c r="W578" s="365"/>
      <c r="X578" s="365"/>
    </row>
    <row r="579" spans="11:24" x14ac:dyDescent="0.35">
      <c r="K579" s="366"/>
      <c r="L579" s="365"/>
      <c r="M579" s="365"/>
      <c r="N579" s="365"/>
      <c r="O579" s="365"/>
      <c r="P579" s="365"/>
      <c r="Q579" s="365"/>
      <c r="R579" s="365"/>
      <c r="S579" s="365"/>
      <c r="T579" s="365"/>
      <c r="U579" s="365"/>
      <c r="V579" s="365"/>
      <c r="W579" s="365"/>
      <c r="X579" s="365"/>
    </row>
    <row r="580" spans="11:24" x14ac:dyDescent="0.35">
      <c r="K580" s="366"/>
      <c r="L580" s="365"/>
      <c r="M580" s="365"/>
      <c r="N580" s="365"/>
      <c r="O580" s="365"/>
      <c r="P580" s="365"/>
      <c r="Q580" s="365"/>
      <c r="R580" s="365"/>
      <c r="S580" s="365"/>
      <c r="T580" s="365"/>
      <c r="U580" s="365"/>
      <c r="V580" s="365"/>
      <c r="W580" s="365"/>
      <c r="X580" s="365"/>
    </row>
    <row r="581" spans="11:24" x14ac:dyDescent="0.35">
      <c r="K581" s="366"/>
      <c r="L581" s="365"/>
      <c r="M581" s="365"/>
      <c r="N581" s="365"/>
      <c r="O581" s="365"/>
      <c r="P581" s="365"/>
      <c r="Q581" s="365"/>
      <c r="R581" s="365"/>
      <c r="S581" s="365"/>
      <c r="T581" s="365"/>
      <c r="U581" s="365"/>
      <c r="V581" s="365"/>
      <c r="W581" s="365"/>
      <c r="X581" s="365"/>
    </row>
    <row r="582" spans="11:24" x14ac:dyDescent="0.35">
      <c r="K582" s="366"/>
      <c r="L582" s="365"/>
      <c r="M582" s="365"/>
      <c r="N582" s="365"/>
      <c r="O582" s="365"/>
      <c r="P582" s="365"/>
      <c r="Q582" s="365"/>
      <c r="R582" s="365"/>
      <c r="S582" s="365"/>
      <c r="T582" s="365"/>
      <c r="U582" s="365"/>
      <c r="V582" s="365"/>
      <c r="W582" s="365"/>
      <c r="X582" s="365"/>
    </row>
    <row r="583" spans="11:24" x14ac:dyDescent="0.35">
      <c r="K583" s="366"/>
      <c r="L583" s="365"/>
      <c r="M583" s="365"/>
      <c r="N583" s="365"/>
      <c r="O583" s="365"/>
      <c r="P583" s="365"/>
      <c r="Q583" s="365"/>
      <c r="R583" s="365"/>
      <c r="S583" s="365"/>
      <c r="T583" s="365"/>
      <c r="U583" s="365"/>
      <c r="V583" s="365"/>
      <c r="W583" s="365"/>
      <c r="X583" s="365"/>
    </row>
    <row r="584" spans="11:24" x14ac:dyDescent="0.35">
      <c r="K584" s="366"/>
      <c r="L584" s="365"/>
      <c r="M584" s="365"/>
      <c r="N584" s="365"/>
      <c r="O584" s="365"/>
      <c r="P584" s="365"/>
      <c r="Q584" s="365"/>
      <c r="R584" s="365"/>
      <c r="S584" s="365"/>
      <c r="T584" s="365"/>
      <c r="U584" s="365"/>
      <c r="V584" s="365"/>
      <c r="W584" s="365"/>
      <c r="X584" s="365"/>
    </row>
    <row r="585" spans="11:24" x14ac:dyDescent="0.35">
      <c r="K585" s="366"/>
      <c r="L585" s="365"/>
      <c r="M585" s="365"/>
      <c r="N585" s="365"/>
      <c r="O585" s="365"/>
      <c r="P585" s="365"/>
      <c r="Q585" s="365"/>
      <c r="R585" s="365"/>
      <c r="S585" s="365"/>
      <c r="T585" s="365"/>
      <c r="U585" s="365"/>
      <c r="V585" s="365"/>
      <c r="W585" s="365"/>
      <c r="X585" s="365"/>
    </row>
    <row r="586" spans="11:24" x14ac:dyDescent="0.35">
      <c r="K586" s="366"/>
      <c r="L586" s="365"/>
      <c r="M586" s="365"/>
      <c r="N586" s="365"/>
      <c r="O586" s="365"/>
      <c r="P586" s="365"/>
      <c r="Q586" s="365"/>
      <c r="R586" s="365"/>
      <c r="S586" s="365"/>
      <c r="T586" s="365"/>
      <c r="U586" s="365"/>
      <c r="V586" s="365"/>
      <c r="W586" s="365"/>
      <c r="X586" s="365"/>
    </row>
    <row r="587" spans="11:24" x14ac:dyDescent="0.35">
      <c r="K587" s="366"/>
      <c r="L587" s="365"/>
      <c r="M587" s="365"/>
      <c r="N587" s="365"/>
      <c r="O587" s="365"/>
      <c r="P587" s="365"/>
      <c r="Q587" s="365"/>
      <c r="R587" s="365"/>
      <c r="S587" s="365"/>
      <c r="T587" s="365"/>
      <c r="U587" s="365"/>
      <c r="V587" s="365"/>
      <c r="W587" s="365"/>
      <c r="X587" s="365"/>
    </row>
    <row r="588" spans="11:24" x14ac:dyDescent="0.35">
      <c r="K588" s="366"/>
      <c r="L588" s="365"/>
      <c r="M588" s="365"/>
      <c r="N588" s="365"/>
      <c r="O588" s="365"/>
      <c r="P588" s="365"/>
      <c r="Q588" s="365"/>
      <c r="R588" s="365"/>
      <c r="S588" s="365"/>
      <c r="T588" s="365"/>
      <c r="U588" s="365"/>
      <c r="V588" s="365"/>
      <c r="W588" s="365"/>
      <c r="X588" s="365"/>
    </row>
    <row r="589" spans="11:24" x14ac:dyDescent="0.35">
      <c r="K589" s="366"/>
      <c r="L589" s="365"/>
      <c r="M589" s="365"/>
      <c r="N589" s="365"/>
      <c r="O589" s="365"/>
      <c r="P589" s="365"/>
      <c r="Q589" s="365"/>
      <c r="R589" s="365"/>
      <c r="S589" s="365"/>
      <c r="T589" s="365"/>
      <c r="U589" s="365"/>
      <c r="V589" s="365"/>
      <c r="W589" s="365"/>
      <c r="X589" s="365"/>
    </row>
    <row r="590" spans="11:24" x14ac:dyDescent="0.35">
      <c r="K590" s="366"/>
      <c r="L590" s="365"/>
      <c r="M590" s="365"/>
      <c r="N590" s="365"/>
      <c r="O590" s="365"/>
      <c r="P590" s="365"/>
      <c r="Q590" s="365"/>
      <c r="R590" s="365"/>
      <c r="S590" s="365"/>
      <c r="T590" s="365"/>
      <c r="U590" s="365"/>
      <c r="V590" s="365"/>
      <c r="W590" s="365"/>
      <c r="X590" s="365"/>
    </row>
    <row r="591" spans="11:24" x14ac:dyDescent="0.35">
      <c r="K591" s="366"/>
      <c r="L591" s="365"/>
      <c r="M591" s="365"/>
      <c r="N591" s="365"/>
      <c r="O591" s="365"/>
      <c r="P591" s="365"/>
      <c r="Q591" s="365"/>
      <c r="R591" s="365"/>
      <c r="S591" s="365"/>
      <c r="T591" s="365"/>
      <c r="U591" s="365"/>
      <c r="V591" s="365"/>
      <c r="W591" s="365"/>
      <c r="X591" s="365"/>
    </row>
    <row r="592" spans="11:24" x14ac:dyDescent="0.35">
      <c r="K592" s="366"/>
      <c r="L592" s="365"/>
      <c r="M592" s="365"/>
      <c r="N592" s="365"/>
      <c r="O592" s="365"/>
      <c r="P592" s="365"/>
      <c r="Q592" s="365"/>
      <c r="R592" s="365"/>
      <c r="S592" s="365"/>
      <c r="T592" s="365"/>
      <c r="U592" s="365"/>
      <c r="V592" s="365"/>
      <c r="W592" s="365"/>
      <c r="X592" s="365"/>
    </row>
    <row r="593" spans="11:24" x14ac:dyDescent="0.35">
      <c r="K593" s="366"/>
      <c r="L593" s="365"/>
      <c r="M593" s="365"/>
      <c r="N593" s="365"/>
      <c r="O593" s="365"/>
      <c r="P593" s="365"/>
      <c r="Q593" s="365"/>
      <c r="R593" s="365"/>
      <c r="S593" s="365"/>
      <c r="T593" s="365"/>
      <c r="U593" s="365"/>
      <c r="V593" s="365"/>
      <c r="W593" s="365"/>
      <c r="X593" s="365"/>
    </row>
    <row r="594" spans="11:24" x14ac:dyDescent="0.35">
      <c r="K594" s="366"/>
      <c r="L594" s="365"/>
      <c r="M594" s="365"/>
      <c r="N594" s="365"/>
      <c r="O594" s="365"/>
      <c r="P594" s="365"/>
      <c r="Q594" s="365"/>
      <c r="R594" s="365"/>
      <c r="S594" s="365"/>
      <c r="T594" s="365"/>
      <c r="U594" s="365"/>
      <c r="V594" s="365"/>
      <c r="W594" s="365"/>
      <c r="X594" s="365"/>
    </row>
    <row r="595" spans="11:24" x14ac:dyDescent="0.35">
      <c r="K595" s="366"/>
      <c r="L595" s="365"/>
      <c r="M595" s="365"/>
      <c r="N595" s="365"/>
      <c r="O595" s="365"/>
      <c r="P595" s="365"/>
      <c r="Q595" s="365"/>
      <c r="R595" s="365"/>
      <c r="S595" s="365"/>
      <c r="T595" s="365"/>
      <c r="U595" s="365"/>
      <c r="V595" s="365"/>
      <c r="W595" s="365"/>
      <c r="X595" s="365"/>
    </row>
    <row r="596" spans="11:24" x14ac:dyDescent="0.35">
      <c r="K596" s="366"/>
      <c r="L596" s="365"/>
      <c r="M596" s="365"/>
      <c r="N596" s="365"/>
      <c r="O596" s="365"/>
      <c r="P596" s="365"/>
      <c r="Q596" s="365"/>
      <c r="R596" s="365"/>
      <c r="S596" s="365"/>
      <c r="T596" s="365"/>
      <c r="U596" s="365"/>
      <c r="V596" s="365"/>
      <c r="W596" s="365"/>
      <c r="X596" s="365"/>
    </row>
    <row r="597" spans="11:24" x14ac:dyDescent="0.35">
      <c r="K597" s="366"/>
      <c r="L597" s="365"/>
      <c r="M597" s="365"/>
      <c r="N597" s="365"/>
      <c r="O597" s="365"/>
      <c r="P597" s="365"/>
      <c r="Q597" s="365"/>
      <c r="R597" s="365"/>
      <c r="S597" s="365"/>
      <c r="T597" s="365"/>
      <c r="U597" s="365"/>
      <c r="V597" s="365"/>
      <c r="W597" s="365"/>
      <c r="X597" s="365"/>
    </row>
    <row r="598" spans="11:24" x14ac:dyDescent="0.35">
      <c r="K598" s="366"/>
      <c r="L598" s="365"/>
      <c r="M598" s="365"/>
      <c r="N598" s="365"/>
      <c r="O598" s="365"/>
      <c r="P598" s="365"/>
      <c r="Q598" s="365"/>
      <c r="R598" s="365"/>
      <c r="S598" s="365"/>
      <c r="T598" s="365"/>
      <c r="U598" s="365"/>
      <c r="V598" s="365"/>
      <c r="W598" s="365"/>
      <c r="X598" s="365"/>
    </row>
    <row r="599" spans="11:24" x14ac:dyDescent="0.35">
      <c r="K599" s="366"/>
      <c r="L599" s="365"/>
      <c r="M599" s="365"/>
      <c r="N599" s="365"/>
      <c r="O599" s="365"/>
      <c r="P599" s="365"/>
      <c r="Q599" s="365"/>
      <c r="R599" s="365"/>
      <c r="S599" s="365"/>
      <c r="T599" s="365"/>
      <c r="U599" s="365"/>
      <c r="V599" s="365"/>
      <c r="W599" s="365"/>
      <c r="X599" s="365"/>
    </row>
    <row r="600" spans="11:24" x14ac:dyDescent="0.35">
      <c r="K600" s="366"/>
      <c r="L600" s="365"/>
      <c r="M600" s="365"/>
      <c r="N600" s="365"/>
      <c r="O600" s="365"/>
      <c r="P600" s="365"/>
      <c r="Q600" s="365"/>
      <c r="R600" s="365"/>
      <c r="S600" s="365"/>
      <c r="T600" s="365"/>
      <c r="U600" s="365"/>
      <c r="V600" s="365"/>
      <c r="W600" s="365"/>
      <c r="X600" s="365"/>
    </row>
    <row r="601" spans="11:24" x14ac:dyDescent="0.35">
      <c r="K601" s="366"/>
      <c r="L601" s="365"/>
      <c r="M601" s="365"/>
      <c r="N601" s="365"/>
      <c r="O601" s="365"/>
      <c r="P601" s="365"/>
      <c r="Q601" s="365"/>
      <c r="R601" s="365"/>
      <c r="S601" s="365"/>
      <c r="T601" s="365"/>
      <c r="U601" s="365"/>
      <c r="V601" s="365"/>
      <c r="W601" s="365"/>
      <c r="X601" s="365"/>
    </row>
    <row r="602" spans="11:24" x14ac:dyDescent="0.35">
      <c r="K602" s="366"/>
      <c r="L602" s="365"/>
      <c r="M602" s="365"/>
      <c r="N602" s="365"/>
      <c r="O602" s="365"/>
      <c r="P602" s="365"/>
      <c r="Q602" s="365"/>
      <c r="R602" s="365"/>
      <c r="S602" s="365"/>
      <c r="T602" s="365"/>
      <c r="U602" s="365"/>
      <c r="V602" s="365"/>
      <c r="W602" s="365"/>
      <c r="X602" s="365"/>
    </row>
    <row r="603" spans="11:24" x14ac:dyDescent="0.35">
      <c r="K603" s="366"/>
      <c r="L603" s="365"/>
      <c r="M603" s="365"/>
      <c r="N603" s="365"/>
      <c r="O603" s="365"/>
      <c r="P603" s="365"/>
      <c r="Q603" s="365"/>
      <c r="R603" s="365"/>
      <c r="S603" s="365"/>
      <c r="T603" s="365"/>
      <c r="U603" s="365"/>
      <c r="V603" s="365"/>
      <c r="W603" s="365"/>
      <c r="X603" s="365"/>
    </row>
    <row r="604" spans="11:24" x14ac:dyDescent="0.35">
      <c r="K604" s="366"/>
      <c r="L604" s="365"/>
      <c r="M604" s="365"/>
      <c r="N604" s="365"/>
      <c r="O604" s="365"/>
      <c r="P604" s="365"/>
      <c r="Q604" s="365"/>
      <c r="R604" s="365"/>
      <c r="S604" s="365"/>
      <c r="T604" s="365"/>
      <c r="U604" s="365"/>
      <c r="V604" s="365"/>
      <c r="W604" s="365"/>
      <c r="X604" s="365"/>
    </row>
    <row r="605" spans="11:24" x14ac:dyDescent="0.35">
      <c r="K605" s="366"/>
      <c r="L605" s="365"/>
      <c r="M605" s="365"/>
      <c r="N605" s="365"/>
      <c r="O605" s="365"/>
      <c r="P605" s="365"/>
      <c r="Q605" s="365"/>
      <c r="R605" s="365"/>
      <c r="S605" s="365"/>
      <c r="T605" s="365"/>
      <c r="U605" s="365"/>
      <c r="V605" s="365"/>
      <c r="W605" s="365"/>
      <c r="X605" s="365"/>
    </row>
    <row r="606" spans="11:24" x14ac:dyDescent="0.35">
      <c r="K606" s="366"/>
      <c r="L606" s="365"/>
      <c r="M606" s="365"/>
      <c r="N606" s="365"/>
      <c r="O606" s="365"/>
      <c r="P606" s="365"/>
      <c r="Q606" s="365"/>
      <c r="R606" s="365"/>
      <c r="S606" s="365"/>
      <c r="T606" s="365"/>
      <c r="U606" s="365"/>
      <c r="V606" s="365"/>
      <c r="W606" s="365"/>
      <c r="X606" s="365"/>
    </row>
    <row r="607" spans="11:24" x14ac:dyDescent="0.35">
      <c r="K607" s="366"/>
      <c r="L607" s="365"/>
      <c r="M607" s="365"/>
      <c r="N607" s="365"/>
      <c r="O607" s="365"/>
      <c r="P607" s="365"/>
      <c r="Q607" s="365"/>
      <c r="R607" s="365"/>
      <c r="S607" s="365"/>
      <c r="T607" s="365"/>
      <c r="U607" s="365"/>
      <c r="V607" s="365"/>
      <c r="W607" s="365"/>
      <c r="X607" s="365"/>
    </row>
    <row r="608" spans="11:24" x14ac:dyDescent="0.35">
      <c r="K608" s="366"/>
      <c r="L608" s="365"/>
      <c r="M608" s="365"/>
      <c r="N608" s="365"/>
      <c r="O608" s="365"/>
      <c r="P608" s="365"/>
      <c r="Q608" s="365"/>
      <c r="R608" s="365"/>
      <c r="S608" s="365"/>
      <c r="T608" s="365"/>
      <c r="U608" s="365"/>
      <c r="V608" s="365"/>
      <c r="W608" s="365"/>
      <c r="X608" s="365"/>
    </row>
    <row r="609" spans="11:24" x14ac:dyDescent="0.35">
      <c r="K609" s="366"/>
      <c r="L609" s="365"/>
      <c r="M609" s="365"/>
      <c r="N609" s="365"/>
      <c r="O609" s="365"/>
      <c r="P609" s="365"/>
      <c r="Q609" s="365"/>
      <c r="R609" s="365"/>
      <c r="S609" s="365"/>
      <c r="T609" s="365"/>
      <c r="U609" s="365"/>
      <c r="V609" s="365"/>
      <c r="W609" s="365"/>
      <c r="X609" s="365"/>
    </row>
    <row r="610" spans="11:24" x14ac:dyDescent="0.35">
      <c r="K610" s="366"/>
      <c r="L610" s="365"/>
      <c r="M610" s="365"/>
      <c r="N610" s="365"/>
      <c r="O610" s="365"/>
      <c r="P610" s="365"/>
      <c r="Q610" s="365"/>
      <c r="R610" s="365"/>
      <c r="S610" s="365"/>
      <c r="T610" s="365"/>
      <c r="U610" s="365"/>
      <c r="V610" s="365"/>
      <c r="W610" s="365"/>
      <c r="X610" s="365"/>
    </row>
    <row r="611" spans="11:24" x14ac:dyDescent="0.35">
      <c r="K611" s="366"/>
      <c r="L611" s="365"/>
      <c r="M611" s="365"/>
      <c r="N611" s="365"/>
      <c r="O611" s="365"/>
      <c r="P611" s="365"/>
      <c r="Q611" s="365"/>
      <c r="R611" s="365"/>
      <c r="S611" s="365"/>
      <c r="T611" s="365"/>
      <c r="U611" s="365"/>
      <c r="V611" s="365"/>
      <c r="W611" s="365"/>
      <c r="X611" s="365"/>
    </row>
    <row r="612" spans="11:24" x14ac:dyDescent="0.35">
      <c r="K612" s="366"/>
      <c r="L612" s="365"/>
      <c r="M612" s="365"/>
      <c r="N612" s="365"/>
      <c r="O612" s="365"/>
      <c r="P612" s="365"/>
      <c r="Q612" s="365"/>
      <c r="R612" s="365"/>
      <c r="S612" s="365"/>
      <c r="T612" s="365"/>
      <c r="U612" s="365"/>
      <c r="V612" s="365"/>
      <c r="W612" s="365"/>
      <c r="X612" s="365"/>
    </row>
    <row r="613" spans="11:24" x14ac:dyDescent="0.35">
      <c r="K613" s="366"/>
      <c r="L613" s="365"/>
      <c r="M613" s="365"/>
      <c r="N613" s="365"/>
      <c r="O613" s="365"/>
      <c r="P613" s="365"/>
      <c r="Q613" s="365"/>
      <c r="R613" s="365"/>
      <c r="S613" s="365"/>
      <c r="T613" s="365"/>
      <c r="U613" s="365"/>
      <c r="V613" s="365"/>
      <c r="W613" s="365"/>
      <c r="X613" s="365"/>
    </row>
    <row r="614" spans="11:24" x14ac:dyDescent="0.35">
      <c r="K614" s="366"/>
      <c r="L614" s="365"/>
      <c r="M614" s="365"/>
      <c r="N614" s="365"/>
      <c r="O614" s="365"/>
      <c r="P614" s="365"/>
      <c r="Q614" s="365"/>
      <c r="R614" s="365"/>
      <c r="S614" s="365"/>
      <c r="T614" s="365"/>
      <c r="U614" s="365"/>
      <c r="V614" s="365"/>
      <c r="W614" s="365"/>
      <c r="X614" s="365"/>
    </row>
    <row r="615" spans="11:24" x14ac:dyDescent="0.35">
      <c r="K615" s="366"/>
      <c r="L615" s="365"/>
      <c r="M615" s="365"/>
      <c r="N615" s="365"/>
      <c r="O615" s="365"/>
      <c r="P615" s="365"/>
      <c r="Q615" s="365"/>
      <c r="R615" s="365"/>
      <c r="S615" s="365"/>
      <c r="T615" s="365"/>
      <c r="U615" s="365"/>
      <c r="V615" s="365"/>
      <c r="W615" s="365"/>
      <c r="X615" s="365"/>
    </row>
    <row r="616" spans="11:24" x14ac:dyDescent="0.35">
      <c r="K616" s="366"/>
      <c r="L616" s="365"/>
      <c r="M616" s="365"/>
      <c r="N616" s="365"/>
      <c r="O616" s="365"/>
      <c r="P616" s="365"/>
      <c r="Q616" s="365"/>
      <c r="R616" s="365"/>
      <c r="S616" s="365"/>
      <c r="T616" s="365"/>
      <c r="U616" s="365"/>
      <c r="V616" s="365"/>
      <c r="W616" s="365"/>
      <c r="X616" s="365"/>
    </row>
    <row r="617" spans="11:24" x14ac:dyDescent="0.35">
      <c r="K617" s="366"/>
      <c r="L617" s="365"/>
      <c r="M617" s="365"/>
      <c r="N617" s="365"/>
      <c r="O617" s="365"/>
      <c r="P617" s="365"/>
      <c r="Q617" s="365"/>
      <c r="R617" s="365"/>
      <c r="S617" s="365"/>
      <c r="T617" s="365"/>
      <c r="U617" s="365"/>
      <c r="V617" s="365"/>
      <c r="W617" s="365"/>
      <c r="X617" s="365"/>
    </row>
    <row r="618" spans="11:24" x14ac:dyDescent="0.35">
      <c r="K618" s="366"/>
      <c r="L618" s="365"/>
      <c r="M618" s="365"/>
      <c r="N618" s="365"/>
      <c r="O618" s="365"/>
      <c r="P618" s="365"/>
      <c r="Q618" s="365"/>
      <c r="R618" s="365"/>
      <c r="S618" s="365"/>
      <c r="T618" s="365"/>
      <c r="U618" s="365"/>
      <c r="V618" s="365"/>
      <c r="W618" s="365"/>
      <c r="X618" s="365"/>
    </row>
    <row r="619" spans="11:24" x14ac:dyDescent="0.35">
      <c r="K619" s="366"/>
      <c r="L619" s="365"/>
      <c r="M619" s="365"/>
      <c r="N619" s="365"/>
      <c r="O619" s="365"/>
      <c r="P619" s="365"/>
      <c r="Q619" s="365"/>
      <c r="R619" s="365"/>
      <c r="S619" s="365"/>
      <c r="T619" s="365"/>
      <c r="U619" s="365"/>
      <c r="V619" s="365"/>
      <c r="W619" s="365"/>
      <c r="X619" s="365"/>
    </row>
    <row r="620" spans="11:24" x14ac:dyDescent="0.35">
      <c r="K620" s="366"/>
      <c r="L620" s="365"/>
      <c r="M620" s="365"/>
      <c r="N620" s="365"/>
      <c r="O620" s="365"/>
      <c r="P620" s="365"/>
      <c r="Q620" s="365"/>
      <c r="R620" s="365"/>
      <c r="S620" s="365"/>
      <c r="T620" s="365"/>
      <c r="U620" s="365"/>
      <c r="V620" s="365"/>
      <c r="W620" s="365"/>
      <c r="X620" s="365"/>
    </row>
    <row r="621" spans="11:24" x14ac:dyDescent="0.35">
      <c r="K621" s="366"/>
      <c r="L621" s="365"/>
      <c r="M621" s="365"/>
      <c r="N621" s="365"/>
      <c r="O621" s="365"/>
      <c r="P621" s="365"/>
      <c r="Q621" s="365"/>
      <c r="R621" s="365"/>
      <c r="S621" s="365"/>
      <c r="T621" s="365"/>
      <c r="U621" s="365"/>
      <c r="V621" s="365"/>
      <c r="W621" s="365"/>
      <c r="X621" s="365"/>
    </row>
    <row r="622" spans="11:24" x14ac:dyDescent="0.35">
      <c r="K622" s="366"/>
      <c r="L622" s="365"/>
      <c r="M622" s="365"/>
      <c r="N622" s="365"/>
      <c r="O622" s="365"/>
      <c r="P622" s="365"/>
      <c r="Q622" s="365"/>
      <c r="R622" s="365"/>
      <c r="S622" s="365"/>
      <c r="T622" s="365"/>
      <c r="U622" s="365"/>
      <c r="V622" s="365"/>
      <c r="W622" s="365"/>
      <c r="X622" s="365"/>
    </row>
    <row r="623" spans="11:24" x14ac:dyDescent="0.35">
      <c r="K623" s="366"/>
      <c r="L623" s="365"/>
      <c r="M623" s="365"/>
      <c r="N623" s="365"/>
      <c r="O623" s="365"/>
      <c r="P623" s="365"/>
      <c r="Q623" s="365"/>
      <c r="R623" s="365"/>
      <c r="S623" s="365"/>
      <c r="T623" s="365"/>
      <c r="U623" s="365"/>
      <c r="V623" s="365"/>
      <c r="W623" s="365"/>
      <c r="X623" s="365"/>
    </row>
    <row r="624" spans="11:24" x14ac:dyDescent="0.35">
      <c r="K624" s="366"/>
      <c r="L624" s="365"/>
      <c r="M624" s="365"/>
      <c r="N624" s="365"/>
      <c r="O624" s="365"/>
      <c r="P624" s="365"/>
      <c r="Q624" s="365"/>
      <c r="R624" s="365"/>
      <c r="S624" s="365"/>
      <c r="T624" s="365"/>
      <c r="U624" s="365"/>
      <c r="V624" s="365"/>
      <c r="W624" s="365"/>
      <c r="X624" s="365"/>
    </row>
    <row r="625" spans="11:24" x14ac:dyDescent="0.35">
      <c r="K625" s="366"/>
      <c r="L625" s="365"/>
      <c r="M625" s="365"/>
      <c r="N625" s="365"/>
      <c r="O625" s="365"/>
      <c r="P625" s="365"/>
      <c r="Q625" s="365"/>
      <c r="R625" s="365"/>
      <c r="S625" s="365"/>
      <c r="T625" s="365"/>
      <c r="U625" s="365"/>
      <c r="V625" s="365"/>
      <c r="W625" s="365"/>
      <c r="X625" s="365"/>
    </row>
    <row r="626" spans="11:24" x14ac:dyDescent="0.35">
      <c r="K626" s="366"/>
      <c r="L626" s="365"/>
      <c r="M626" s="365"/>
      <c r="N626" s="365"/>
      <c r="O626" s="365"/>
      <c r="P626" s="365"/>
      <c r="Q626" s="365"/>
      <c r="R626" s="365"/>
      <c r="S626" s="365"/>
      <c r="T626" s="365"/>
      <c r="U626" s="365"/>
      <c r="V626" s="365"/>
      <c r="W626" s="365"/>
      <c r="X626" s="365"/>
    </row>
    <row r="627" spans="11:24" x14ac:dyDescent="0.35">
      <c r="K627" s="366"/>
      <c r="L627" s="365"/>
      <c r="M627" s="365"/>
      <c r="N627" s="365"/>
      <c r="O627" s="365"/>
      <c r="P627" s="365"/>
      <c r="Q627" s="365"/>
      <c r="R627" s="365"/>
      <c r="S627" s="365"/>
      <c r="T627" s="365"/>
      <c r="U627" s="365"/>
      <c r="V627" s="365"/>
      <c r="W627" s="365"/>
      <c r="X627" s="365"/>
    </row>
    <row r="628" spans="11:24" x14ac:dyDescent="0.35">
      <c r="K628" s="366"/>
      <c r="L628" s="365"/>
      <c r="M628" s="365"/>
      <c r="N628" s="365"/>
      <c r="O628" s="365"/>
      <c r="P628" s="365"/>
      <c r="Q628" s="365"/>
      <c r="R628" s="365"/>
      <c r="S628" s="365"/>
      <c r="T628" s="365"/>
      <c r="U628" s="365"/>
      <c r="V628" s="365"/>
      <c r="W628" s="365"/>
      <c r="X628" s="365"/>
    </row>
    <row r="629" spans="11:24" x14ac:dyDescent="0.35">
      <c r="K629" s="366"/>
      <c r="L629" s="365"/>
      <c r="M629" s="365"/>
      <c r="N629" s="365"/>
      <c r="O629" s="365"/>
      <c r="P629" s="365"/>
      <c r="Q629" s="365"/>
      <c r="R629" s="365"/>
      <c r="S629" s="365"/>
      <c r="T629" s="365"/>
      <c r="U629" s="365"/>
      <c r="V629" s="365"/>
      <c r="W629" s="365"/>
      <c r="X629" s="365"/>
    </row>
    <row r="630" spans="11:24" x14ac:dyDescent="0.35">
      <c r="K630" s="366"/>
      <c r="L630" s="365"/>
      <c r="M630" s="365"/>
      <c r="N630" s="365"/>
      <c r="O630" s="365"/>
      <c r="P630" s="365"/>
      <c r="Q630" s="365"/>
      <c r="R630" s="365"/>
      <c r="S630" s="365"/>
      <c r="T630" s="365"/>
      <c r="U630" s="365"/>
      <c r="V630" s="365"/>
      <c r="W630" s="365"/>
      <c r="X630" s="365"/>
    </row>
    <row r="631" spans="11:24" x14ac:dyDescent="0.35">
      <c r="K631" s="366"/>
      <c r="L631" s="365"/>
      <c r="M631" s="365"/>
      <c r="N631" s="365"/>
      <c r="O631" s="365"/>
      <c r="P631" s="365"/>
      <c r="Q631" s="365"/>
      <c r="R631" s="365"/>
      <c r="S631" s="365"/>
      <c r="T631" s="365"/>
      <c r="U631" s="365"/>
      <c r="V631" s="365"/>
      <c r="W631" s="365"/>
      <c r="X631" s="365"/>
    </row>
    <row r="632" spans="11:24" x14ac:dyDescent="0.35">
      <c r="K632" s="366"/>
      <c r="L632" s="365"/>
      <c r="M632" s="365"/>
      <c r="N632" s="365"/>
      <c r="O632" s="365"/>
      <c r="P632" s="365"/>
      <c r="Q632" s="365"/>
      <c r="R632" s="365"/>
      <c r="S632" s="365"/>
      <c r="T632" s="365"/>
      <c r="U632" s="365"/>
      <c r="V632" s="365"/>
      <c r="W632" s="365"/>
      <c r="X632" s="365"/>
    </row>
    <row r="633" spans="11:24" x14ac:dyDescent="0.35">
      <c r="K633" s="366"/>
      <c r="L633" s="365"/>
      <c r="M633" s="365"/>
      <c r="N633" s="365"/>
      <c r="O633" s="365"/>
      <c r="P633" s="365"/>
      <c r="Q633" s="365"/>
      <c r="R633" s="365"/>
      <c r="S633" s="365"/>
      <c r="T633" s="365"/>
      <c r="U633" s="365"/>
      <c r="V633" s="365"/>
      <c r="W633" s="365"/>
      <c r="X633" s="365"/>
    </row>
    <row r="634" spans="11:24" x14ac:dyDescent="0.35">
      <c r="K634" s="366"/>
      <c r="L634" s="365"/>
      <c r="M634" s="365"/>
      <c r="N634" s="365"/>
      <c r="O634" s="365"/>
      <c r="P634" s="365"/>
      <c r="Q634" s="365"/>
      <c r="R634" s="365"/>
      <c r="S634" s="365"/>
      <c r="T634" s="365"/>
      <c r="U634" s="365"/>
      <c r="V634" s="365"/>
      <c r="W634" s="365"/>
      <c r="X634" s="365"/>
    </row>
    <row r="635" spans="11:24" x14ac:dyDescent="0.35">
      <c r="K635" s="366"/>
      <c r="L635" s="365"/>
      <c r="M635" s="365"/>
      <c r="N635" s="365"/>
      <c r="O635" s="365"/>
      <c r="P635" s="365"/>
      <c r="Q635" s="365"/>
      <c r="R635" s="365"/>
      <c r="S635" s="365"/>
      <c r="T635" s="365"/>
      <c r="U635" s="365"/>
      <c r="V635" s="365"/>
      <c r="W635" s="365"/>
      <c r="X635" s="365"/>
    </row>
    <row r="636" spans="11:24" x14ac:dyDescent="0.35">
      <c r="K636" s="366"/>
      <c r="L636" s="365"/>
      <c r="M636" s="365"/>
      <c r="N636" s="365"/>
      <c r="O636" s="365"/>
      <c r="P636" s="365"/>
      <c r="Q636" s="365"/>
      <c r="R636" s="365"/>
      <c r="S636" s="365"/>
      <c r="T636" s="365"/>
      <c r="U636" s="365"/>
      <c r="V636" s="365"/>
      <c r="W636" s="365"/>
      <c r="X636" s="365"/>
    </row>
    <row r="637" spans="11:24" x14ac:dyDescent="0.35">
      <c r="K637" s="366"/>
      <c r="L637" s="365"/>
      <c r="M637" s="365"/>
      <c r="N637" s="365"/>
      <c r="O637" s="365"/>
      <c r="P637" s="365"/>
      <c r="Q637" s="365"/>
      <c r="R637" s="365"/>
      <c r="S637" s="365"/>
      <c r="T637" s="365"/>
      <c r="U637" s="365"/>
      <c r="V637" s="365"/>
      <c r="W637" s="365"/>
      <c r="X637" s="365"/>
    </row>
    <row r="638" spans="11:24" x14ac:dyDescent="0.35">
      <c r="K638" s="366"/>
      <c r="L638" s="365"/>
      <c r="M638" s="365"/>
      <c r="N638" s="365"/>
      <c r="O638" s="365"/>
      <c r="P638" s="365"/>
      <c r="Q638" s="365"/>
      <c r="R638" s="365"/>
      <c r="S638" s="365"/>
      <c r="T638" s="365"/>
      <c r="U638" s="365"/>
      <c r="V638" s="365"/>
      <c r="W638" s="365"/>
      <c r="X638" s="365"/>
    </row>
    <row r="639" spans="11:24" x14ac:dyDescent="0.35">
      <c r="K639" s="366"/>
      <c r="L639" s="365"/>
      <c r="M639" s="365"/>
      <c r="N639" s="365"/>
      <c r="O639" s="365"/>
      <c r="P639" s="365"/>
      <c r="Q639" s="365"/>
      <c r="R639" s="365"/>
      <c r="S639" s="365"/>
      <c r="T639" s="365"/>
      <c r="U639" s="365"/>
      <c r="V639" s="365"/>
      <c r="W639" s="365"/>
      <c r="X639" s="365"/>
    </row>
    <row r="640" spans="11:24" x14ac:dyDescent="0.35">
      <c r="K640" s="366"/>
      <c r="L640" s="365"/>
      <c r="M640" s="365"/>
      <c r="N640" s="365"/>
      <c r="O640" s="365"/>
      <c r="P640" s="365"/>
      <c r="Q640" s="365"/>
      <c r="R640" s="365"/>
      <c r="S640" s="365"/>
      <c r="T640" s="365"/>
      <c r="U640" s="365"/>
      <c r="V640" s="365"/>
      <c r="W640" s="365"/>
      <c r="X640" s="365"/>
    </row>
    <row r="641" spans="11:24" x14ac:dyDescent="0.35">
      <c r="K641" s="366"/>
      <c r="L641" s="365"/>
      <c r="M641" s="365"/>
      <c r="N641" s="365"/>
      <c r="O641" s="365"/>
      <c r="P641" s="365"/>
      <c r="Q641" s="365"/>
      <c r="R641" s="365"/>
      <c r="S641" s="365"/>
      <c r="T641" s="365"/>
      <c r="U641" s="365"/>
      <c r="V641" s="365"/>
      <c r="W641" s="365"/>
      <c r="X641" s="365"/>
    </row>
    <row r="642" spans="11:24" x14ac:dyDescent="0.35">
      <c r="K642" s="366"/>
      <c r="L642" s="365"/>
      <c r="M642" s="365"/>
      <c r="N642" s="365"/>
      <c r="O642" s="365"/>
      <c r="P642" s="365"/>
      <c r="Q642" s="365"/>
      <c r="R642" s="365"/>
      <c r="S642" s="365"/>
      <c r="T642" s="365"/>
      <c r="U642" s="365"/>
      <c r="V642" s="365"/>
      <c r="W642" s="365"/>
      <c r="X642" s="365"/>
    </row>
    <row r="643" spans="11:24" x14ac:dyDescent="0.35">
      <c r="K643" s="366"/>
      <c r="L643" s="365"/>
      <c r="M643" s="365"/>
      <c r="N643" s="365"/>
      <c r="O643" s="365"/>
      <c r="P643" s="365"/>
      <c r="Q643" s="365"/>
      <c r="R643" s="365"/>
      <c r="S643" s="365"/>
      <c r="T643" s="365"/>
      <c r="U643" s="365"/>
      <c r="V643" s="365"/>
      <c r="W643" s="365"/>
      <c r="X643" s="365"/>
    </row>
    <row r="644" spans="11:24" x14ac:dyDescent="0.35">
      <c r="K644" s="366"/>
      <c r="L644" s="365"/>
      <c r="M644" s="365"/>
      <c r="N644" s="365"/>
      <c r="O644" s="365"/>
      <c r="P644" s="365"/>
      <c r="Q644" s="365"/>
      <c r="R644" s="365"/>
      <c r="S644" s="365"/>
      <c r="T644" s="365"/>
      <c r="U644" s="365"/>
      <c r="V644" s="365"/>
      <c r="W644" s="365"/>
      <c r="X644" s="365"/>
    </row>
    <row r="645" spans="11:24" x14ac:dyDescent="0.35">
      <c r="K645" s="366"/>
      <c r="L645" s="365"/>
      <c r="M645" s="365"/>
      <c r="N645" s="365"/>
      <c r="O645" s="365"/>
      <c r="P645" s="365"/>
      <c r="Q645" s="365"/>
      <c r="R645" s="365"/>
      <c r="S645" s="365"/>
      <c r="T645" s="365"/>
      <c r="U645" s="365"/>
      <c r="V645" s="365"/>
      <c r="W645" s="365"/>
      <c r="X645" s="365"/>
    </row>
    <row r="646" spans="11:24" x14ac:dyDescent="0.35">
      <c r="K646" s="366"/>
      <c r="L646" s="365"/>
      <c r="M646" s="365"/>
      <c r="N646" s="365"/>
      <c r="O646" s="365"/>
      <c r="P646" s="365"/>
      <c r="Q646" s="365"/>
      <c r="R646" s="365"/>
      <c r="S646" s="365"/>
      <c r="T646" s="365"/>
      <c r="U646" s="365"/>
      <c r="V646" s="365"/>
      <c r="W646" s="365"/>
      <c r="X646" s="365"/>
    </row>
    <row r="647" spans="11:24" x14ac:dyDescent="0.35">
      <c r="K647" s="366"/>
      <c r="L647" s="365"/>
      <c r="M647" s="365"/>
      <c r="N647" s="365"/>
      <c r="O647" s="365"/>
      <c r="P647" s="365"/>
      <c r="Q647" s="365"/>
      <c r="R647" s="365"/>
      <c r="S647" s="365"/>
      <c r="T647" s="365"/>
      <c r="U647" s="365"/>
      <c r="V647" s="365"/>
      <c r="W647" s="365"/>
      <c r="X647" s="365"/>
    </row>
    <row r="648" spans="11:24" x14ac:dyDescent="0.35">
      <c r="K648" s="366"/>
      <c r="L648" s="365"/>
      <c r="M648" s="365"/>
      <c r="N648" s="365"/>
      <c r="O648" s="365"/>
      <c r="P648" s="365"/>
      <c r="Q648" s="365"/>
      <c r="R648" s="365"/>
      <c r="S648" s="365"/>
      <c r="T648" s="365"/>
      <c r="U648" s="365"/>
      <c r="V648" s="365"/>
      <c r="W648" s="365"/>
      <c r="X648" s="365"/>
    </row>
    <row r="649" spans="11:24" x14ac:dyDescent="0.35">
      <c r="K649" s="366"/>
      <c r="L649" s="365"/>
      <c r="M649" s="365"/>
      <c r="N649" s="365"/>
      <c r="O649" s="365"/>
      <c r="P649" s="365"/>
      <c r="Q649" s="365"/>
      <c r="R649" s="365"/>
      <c r="S649" s="365"/>
      <c r="T649" s="365"/>
      <c r="U649" s="365"/>
      <c r="V649" s="365"/>
      <c r="W649" s="365"/>
      <c r="X649" s="365"/>
    </row>
    <row r="650" spans="11:24" x14ac:dyDescent="0.35">
      <c r="K650" s="366"/>
      <c r="L650" s="365"/>
      <c r="M650" s="365"/>
      <c r="N650" s="365"/>
      <c r="O650" s="365"/>
      <c r="P650" s="365"/>
      <c r="Q650" s="365"/>
      <c r="R650" s="365"/>
      <c r="S650" s="365"/>
      <c r="T650" s="365"/>
      <c r="U650" s="365"/>
      <c r="V650" s="365"/>
      <c r="W650" s="365"/>
      <c r="X650" s="365"/>
    </row>
    <row r="651" spans="11:24" x14ac:dyDescent="0.35">
      <c r="K651" s="366"/>
      <c r="L651" s="365"/>
      <c r="M651" s="365"/>
      <c r="N651" s="365"/>
      <c r="O651" s="365"/>
      <c r="P651" s="365"/>
      <c r="Q651" s="365"/>
      <c r="R651" s="365"/>
      <c r="S651" s="365"/>
      <c r="T651" s="365"/>
      <c r="U651" s="365"/>
      <c r="V651" s="365"/>
      <c r="W651" s="365"/>
      <c r="X651" s="365"/>
    </row>
    <row r="652" spans="11:24" x14ac:dyDescent="0.35">
      <c r="K652" s="366"/>
      <c r="L652" s="365"/>
      <c r="M652" s="365"/>
      <c r="N652" s="365"/>
      <c r="O652" s="365"/>
      <c r="P652" s="365"/>
      <c r="Q652" s="365"/>
      <c r="R652" s="365"/>
      <c r="S652" s="365"/>
      <c r="T652" s="365"/>
      <c r="U652" s="365"/>
      <c r="V652" s="365"/>
      <c r="W652" s="365"/>
      <c r="X652" s="365"/>
    </row>
    <row r="653" spans="11:24" x14ac:dyDescent="0.35">
      <c r="K653" s="366"/>
      <c r="L653" s="365"/>
      <c r="M653" s="365"/>
      <c r="N653" s="365"/>
      <c r="O653" s="365"/>
      <c r="P653" s="365"/>
      <c r="Q653" s="365"/>
      <c r="R653" s="365"/>
      <c r="S653" s="365"/>
      <c r="T653" s="365"/>
      <c r="U653" s="365"/>
      <c r="V653" s="365"/>
      <c r="W653" s="365"/>
      <c r="X653" s="365"/>
    </row>
    <row r="654" spans="11:24" x14ac:dyDescent="0.35">
      <c r="K654" s="366"/>
      <c r="L654" s="365"/>
      <c r="M654" s="365"/>
      <c r="N654" s="365"/>
      <c r="O654" s="365"/>
      <c r="P654" s="365"/>
      <c r="Q654" s="365"/>
      <c r="R654" s="365"/>
      <c r="S654" s="365"/>
      <c r="T654" s="365"/>
      <c r="U654" s="365"/>
      <c r="V654" s="365"/>
      <c r="W654" s="365"/>
      <c r="X654" s="365"/>
    </row>
    <row r="655" spans="11:24" x14ac:dyDescent="0.35">
      <c r="K655" s="366"/>
      <c r="L655" s="365"/>
      <c r="M655" s="365"/>
      <c r="N655" s="365"/>
      <c r="O655" s="365"/>
      <c r="P655" s="365"/>
      <c r="Q655" s="365"/>
      <c r="R655" s="365"/>
      <c r="S655" s="365"/>
      <c r="T655" s="365"/>
      <c r="U655" s="365"/>
      <c r="V655" s="365"/>
      <c r="W655" s="365"/>
      <c r="X655" s="365"/>
    </row>
    <row r="656" spans="11:24" x14ac:dyDescent="0.35">
      <c r="K656" s="366"/>
      <c r="L656" s="365"/>
      <c r="M656" s="365"/>
      <c r="N656" s="365"/>
      <c r="O656" s="365"/>
      <c r="P656" s="365"/>
      <c r="Q656" s="365"/>
      <c r="R656" s="365"/>
      <c r="S656" s="365"/>
      <c r="T656" s="365"/>
      <c r="U656" s="365"/>
      <c r="V656" s="365"/>
      <c r="W656" s="365"/>
      <c r="X656" s="365"/>
    </row>
    <row r="657" spans="11:24" x14ac:dyDescent="0.35">
      <c r="K657" s="366"/>
      <c r="L657" s="365"/>
      <c r="M657" s="365"/>
      <c r="N657" s="365"/>
      <c r="O657" s="365"/>
      <c r="P657" s="365"/>
      <c r="Q657" s="365"/>
      <c r="R657" s="365"/>
      <c r="S657" s="365"/>
      <c r="T657" s="365"/>
      <c r="U657" s="365"/>
      <c r="V657" s="365"/>
      <c r="W657" s="365"/>
      <c r="X657" s="365"/>
    </row>
    <row r="658" spans="11:24" x14ac:dyDescent="0.35">
      <c r="K658" s="366"/>
      <c r="L658" s="365"/>
      <c r="M658" s="365"/>
      <c r="N658" s="365"/>
      <c r="O658" s="365"/>
      <c r="P658" s="365"/>
      <c r="Q658" s="365"/>
      <c r="R658" s="365"/>
      <c r="S658" s="365"/>
      <c r="T658" s="365"/>
      <c r="U658" s="365"/>
      <c r="V658" s="365"/>
      <c r="W658" s="365"/>
      <c r="X658" s="365"/>
    </row>
    <row r="659" spans="11:24" x14ac:dyDescent="0.35">
      <c r="K659" s="366"/>
      <c r="L659" s="365"/>
      <c r="M659" s="365"/>
      <c r="N659" s="365"/>
      <c r="O659" s="365"/>
      <c r="P659" s="365"/>
      <c r="Q659" s="365"/>
      <c r="R659" s="365"/>
      <c r="S659" s="365"/>
      <c r="T659" s="365"/>
      <c r="U659" s="365"/>
      <c r="V659" s="365"/>
      <c r="W659" s="365"/>
      <c r="X659" s="365"/>
    </row>
    <row r="660" spans="11:24" x14ac:dyDescent="0.35">
      <c r="K660" s="366"/>
      <c r="L660" s="365"/>
      <c r="M660" s="365"/>
      <c r="N660" s="365"/>
      <c r="O660" s="365"/>
      <c r="P660" s="365"/>
      <c r="Q660" s="365"/>
      <c r="R660" s="365"/>
      <c r="S660" s="365"/>
      <c r="T660" s="365"/>
      <c r="U660" s="365"/>
      <c r="V660" s="365"/>
      <c r="W660" s="365"/>
      <c r="X660" s="365"/>
    </row>
    <row r="661" spans="11:24" x14ac:dyDescent="0.35">
      <c r="K661" s="366"/>
      <c r="L661" s="365"/>
      <c r="M661" s="365"/>
      <c r="N661" s="365"/>
      <c r="O661" s="365"/>
      <c r="P661" s="365"/>
      <c r="Q661" s="365"/>
      <c r="R661" s="365"/>
      <c r="S661" s="365"/>
      <c r="T661" s="365"/>
      <c r="U661" s="365"/>
      <c r="V661" s="365"/>
      <c r="W661" s="365"/>
      <c r="X661" s="365"/>
    </row>
    <row r="662" spans="11:24" x14ac:dyDescent="0.35">
      <c r="K662" s="366"/>
      <c r="L662" s="365"/>
      <c r="M662" s="365"/>
      <c r="N662" s="365"/>
      <c r="O662" s="365"/>
      <c r="P662" s="365"/>
      <c r="Q662" s="365"/>
      <c r="R662" s="365"/>
      <c r="S662" s="365"/>
      <c r="T662" s="365"/>
      <c r="U662" s="365"/>
      <c r="V662" s="365"/>
      <c r="W662" s="365"/>
      <c r="X662" s="365"/>
    </row>
    <row r="663" spans="11:24" x14ac:dyDescent="0.35">
      <c r="K663" s="366"/>
      <c r="L663" s="365"/>
      <c r="M663" s="365"/>
      <c r="N663" s="365"/>
      <c r="O663" s="365"/>
      <c r="P663" s="365"/>
      <c r="Q663" s="365"/>
      <c r="R663" s="365"/>
      <c r="S663" s="365"/>
      <c r="T663" s="365"/>
      <c r="U663" s="365"/>
      <c r="V663" s="365"/>
      <c r="W663" s="365"/>
      <c r="X663" s="365"/>
    </row>
    <row r="664" spans="11:24" x14ac:dyDescent="0.35">
      <c r="K664" s="366"/>
      <c r="L664" s="365"/>
      <c r="M664" s="365"/>
      <c r="N664" s="365"/>
      <c r="O664" s="365"/>
      <c r="P664" s="365"/>
      <c r="Q664" s="365"/>
      <c r="R664" s="365"/>
      <c r="S664" s="365"/>
      <c r="T664" s="365"/>
      <c r="U664" s="365"/>
      <c r="V664" s="365"/>
      <c r="W664" s="365"/>
      <c r="X664" s="365"/>
    </row>
    <row r="665" spans="11:24" x14ac:dyDescent="0.35">
      <c r="K665" s="366"/>
      <c r="L665" s="365"/>
      <c r="M665" s="365"/>
      <c r="N665" s="365"/>
      <c r="O665" s="365"/>
      <c r="P665" s="365"/>
      <c r="Q665" s="365"/>
      <c r="R665" s="365"/>
      <c r="S665" s="365"/>
      <c r="T665" s="365"/>
      <c r="U665" s="365"/>
      <c r="V665" s="365"/>
      <c r="W665" s="365"/>
      <c r="X665" s="365"/>
    </row>
    <row r="666" spans="11:24" x14ac:dyDescent="0.35">
      <c r="K666" s="366"/>
      <c r="L666" s="365"/>
      <c r="M666" s="365"/>
      <c r="N666" s="365"/>
      <c r="O666" s="365"/>
      <c r="P666" s="365"/>
      <c r="Q666" s="365"/>
      <c r="R666" s="365"/>
      <c r="S666" s="365"/>
      <c r="T666" s="365"/>
      <c r="U666" s="365"/>
      <c r="V666" s="365"/>
      <c r="W666" s="365"/>
      <c r="X666" s="365"/>
    </row>
    <row r="667" spans="11:24" x14ac:dyDescent="0.35">
      <c r="K667" s="366"/>
      <c r="L667" s="365"/>
      <c r="M667" s="365"/>
      <c r="N667" s="365"/>
      <c r="O667" s="365"/>
      <c r="P667" s="365"/>
      <c r="Q667" s="365"/>
      <c r="R667" s="365"/>
      <c r="S667" s="365"/>
      <c r="T667" s="365"/>
      <c r="U667" s="365"/>
      <c r="V667" s="365"/>
      <c r="W667" s="365"/>
      <c r="X667" s="365"/>
    </row>
    <row r="668" spans="11:24" x14ac:dyDescent="0.35">
      <c r="K668" s="366"/>
      <c r="L668" s="365"/>
      <c r="M668" s="365"/>
      <c r="N668" s="365"/>
      <c r="O668" s="365"/>
      <c r="P668" s="365"/>
      <c r="Q668" s="365"/>
      <c r="R668" s="365"/>
      <c r="S668" s="365"/>
      <c r="T668" s="365"/>
      <c r="U668" s="365"/>
      <c r="V668" s="365"/>
      <c r="W668" s="365"/>
      <c r="X668" s="365"/>
    </row>
    <row r="669" spans="11:24" x14ac:dyDescent="0.35">
      <c r="K669" s="366"/>
      <c r="L669" s="365"/>
      <c r="M669" s="365"/>
      <c r="N669" s="365"/>
      <c r="O669" s="365"/>
      <c r="P669" s="365"/>
      <c r="Q669" s="365"/>
      <c r="R669" s="365"/>
      <c r="S669" s="365"/>
      <c r="T669" s="365"/>
      <c r="U669" s="365"/>
      <c r="V669" s="365"/>
      <c r="W669" s="365"/>
      <c r="X669" s="365"/>
    </row>
    <row r="670" spans="11:24" x14ac:dyDescent="0.35">
      <c r="K670" s="366"/>
      <c r="L670" s="365"/>
      <c r="M670" s="365"/>
      <c r="N670" s="365"/>
      <c r="O670" s="365"/>
      <c r="P670" s="365"/>
      <c r="Q670" s="365"/>
      <c r="R670" s="365"/>
      <c r="S670" s="365"/>
      <c r="T670" s="365"/>
      <c r="U670" s="365"/>
      <c r="V670" s="365"/>
      <c r="W670" s="365"/>
      <c r="X670" s="365"/>
    </row>
    <row r="671" spans="11:24" x14ac:dyDescent="0.35">
      <c r="K671" s="366"/>
      <c r="L671" s="365"/>
      <c r="M671" s="365"/>
      <c r="N671" s="365"/>
      <c r="O671" s="365"/>
      <c r="P671" s="365"/>
      <c r="Q671" s="365"/>
      <c r="R671" s="365"/>
      <c r="S671" s="365"/>
      <c r="T671" s="365"/>
      <c r="U671" s="365"/>
      <c r="V671" s="365"/>
      <c r="W671" s="365"/>
      <c r="X671" s="365"/>
    </row>
    <row r="672" spans="11:24" x14ac:dyDescent="0.35">
      <c r="K672" s="366"/>
      <c r="L672" s="365"/>
      <c r="M672" s="365"/>
      <c r="N672" s="365"/>
      <c r="O672" s="365"/>
      <c r="P672" s="365"/>
      <c r="Q672" s="365"/>
      <c r="R672" s="365"/>
      <c r="S672" s="365"/>
      <c r="T672" s="365"/>
      <c r="U672" s="365"/>
      <c r="V672" s="365"/>
      <c r="W672" s="365"/>
      <c r="X672" s="365"/>
    </row>
    <row r="673" spans="11:24" x14ac:dyDescent="0.35">
      <c r="K673" s="366"/>
      <c r="L673" s="365"/>
      <c r="M673" s="365"/>
      <c r="N673" s="365"/>
      <c r="O673" s="365"/>
      <c r="P673" s="365"/>
      <c r="Q673" s="365"/>
      <c r="R673" s="365"/>
      <c r="S673" s="365"/>
      <c r="T673" s="365"/>
      <c r="U673" s="365"/>
      <c r="V673" s="365"/>
      <c r="W673" s="365"/>
      <c r="X673" s="365"/>
    </row>
    <row r="674" spans="11:24" x14ac:dyDescent="0.35">
      <c r="K674" s="366"/>
      <c r="L674" s="365"/>
      <c r="M674" s="365"/>
      <c r="N674" s="365"/>
      <c r="O674" s="365"/>
      <c r="P674" s="365"/>
      <c r="Q674" s="365"/>
      <c r="R674" s="365"/>
      <c r="S674" s="365"/>
      <c r="T674" s="365"/>
      <c r="U674" s="365"/>
      <c r="V674" s="365"/>
      <c r="W674" s="365"/>
      <c r="X674" s="365"/>
    </row>
    <row r="675" spans="11:24" x14ac:dyDescent="0.35">
      <c r="K675" s="366"/>
      <c r="L675" s="365"/>
      <c r="M675" s="365"/>
      <c r="N675" s="365"/>
      <c r="O675" s="365"/>
      <c r="P675" s="365"/>
      <c r="Q675" s="365"/>
      <c r="R675" s="365"/>
      <c r="S675" s="365"/>
      <c r="T675" s="365"/>
      <c r="U675" s="365"/>
      <c r="V675" s="365"/>
      <c r="W675" s="365"/>
      <c r="X675" s="365"/>
    </row>
    <row r="676" spans="11:24" x14ac:dyDescent="0.35">
      <c r="K676" s="366"/>
      <c r="L676" s="365"/>
      <c r="M676" s="365"/>
      <c r="N676" s="365"/>
      <c r="O676" s="365"/>
      <c r="P676" s="365"/>
      <c r="Q676" s="365"/>
      <c r="R676" s="365"/>
      <c r="S676" s="365"/>
      <c r="T676" s="365"/>
      <c r="U676" s="365"/>
      <c r="V676" s="365"/>
      <c r="W676" s="365"/>
      <c r="X676" s="365"/>
    </row>
    <row r="677" spans="11:24" x14ac:dyDescent="0.35">
      <c r="K677" s="366"/>
      <c r="L677" s="365"/>
      <c r="M677" s="365"/>
      <c r="N677" s="365"/>
      <c r="O677" s="365"/>
      <c r="P677" s="365"/>
      <c r="Q677" s="365"/>
      <c r="R677" s="365"/>
      <c r="S677" s="365"/>
      <c r="T677" s="365"/>
      <c r="U677" s="365"/>
      <c r="V677" s="365"/>
      <c r="W677" s="365"/>
      <c r="X677" s="365"/>
    </row>
    <row r="678" spans="11:24" x14ac:dyDescent="0.35">
      <c r="K678" s="366"/>
      <c r="L678" s="365"/>
      <c r="M678" s="365"/>
      <c r="N678" s="365"/>
      <c r="O678" s="365"/>
      <c r="P678" s="365"/>
      <c r="Q678" s="365"/>
      <c r="R678" s="365"/>
      <c r="S678" s="365"/>
      <c r="T678" s="365"/>
      <c r="U678" s="365"/>
      <c r="V678" s="365"/>
      <c r="W678" s="365"/>
      <c r="X678" s="365"/>
    </row>
    <row r="679" spans="11:24" x14ac:dyDescent="0.35">
      <c r="K679" s="366"/>
      <c r="L679" s="365"/>
      <c r="M679" s="365"/>
      <c r="N679" s="365"/>
      <c r="O679" s="365"/>
      <c r="P679" s="365"/>
      <c r="Q679" s="365"/>
      <c r="R679" s="365"/>
      <c r="S679" s="365"/>
      <c r="T679" s="365"/>
      <c r="U679" s="365"/>
      <c r="V679" s="365"/>
      <c r="W679" s="365"/>
      <c r="X679" s="365"/>
    </row>
    <row r="680" spans="11:24" x14ac:dyDescent="0.35">
      <c r="K680" s="366"/>
      <c r="L680" s="365"/>
      <c r="M680" s="365"/>
      <c r="N680" s="365"/>
      <c r="O680" s="365"/>
      <c r="P680" s="365"/>
      <c r="Q680" s="365"/>
      <c r="R680" s="365"/>
      <c r="S680" s="365"/>
      <c r="T680" s="365"/>
      <c r="U680" s="365"/>
      <c r="V680" s="365"/>
      <c r="W680" s="365"/>
      <c r="X680" s="365"/>
    </row>
    <row r="681" spans="11:24" x14ac:dyDescent="0.35">
      <c r="K681" s="366"/>
      <c r="L681" s="365"/>
      <c r="M681" s="365"/>
      <c r="N681" s="365"/>
      <c r="O681" s="365"/>
      <c r="P681" s="365"/>
      <c r="Q681" s="365"/>
      <c r="R681" s="365"/>
      <c r="S681" s="365"/>
      <c r="T681" s="365"/>
      <c r="U681" s="365"/>
      <c r="V681" s="365"/>
      <c r="W681" s="365"/>
      <c r="X681" s="365"/>
    </row>
    <row r="682" spans="11:24" x14ac:dyDescent="0.35">
      <c r="K682" s="366"/>
      <c r="L682" s="365"/>
      <c r="M682" s="365"/>
      <c r="N682" s="365"/>
      <c r="O682" s="365"/>
      <c r="P682" s="365"/>
      <c r="Q682" s="365"/>
      <c r="R682" s="365"/>
      <c r="S682" s="365"/>
      <c r="T682" s="365"/>
      <c r="U682" s="365"/>
      <c r="V682" s="365"/>
      <c r="W682" s="365"/>
      <c r="X682" s="365"/>
    </row>
    <row r="683" spans="11:24" x14ac:dyDescent="0.35">
      <c r="K683" s="366"/>
      <c r="L683" s="365"/>
      <c r="M683" s="365"/>
      <c r="N683" s="365"/>
      <c r="O683" s="365"/>
      <c r="P683" s="365"/>
      <c r="Q683" s="365"/>
      <c r="R683" s="365"/>
      <c r="S683" s="365"/>
      <c r="T683" s="365"/>
      <c r="U683" s="365"/>
      <c r="V683" s="365"/>
      <c r="W683" s="365"/>
      <c r="X683" s="365"/>
    </row>
    <row r="684" spans="11:24" x14ac:dyDescent="0.35">
      <c r="K684" s="366"/>
      <c r="L684" s="365"/>
      <c r="M684" s="365"/>
      <c r="N684" s="365"/>
      <c r="O684" s="365"/>
      <c r="P684" s="365"/>
      <c r="Q684" s="365"/>
      <c r="R684" s="365"/>
      <c r="S684" s="365"/>
      <c r="T684" s="365"/>
      <c r="U684" s="365"/>
      <c r="V684" s="365"/>
      <c r="W684" s="365"/>
      <c r="X684" s="365"/>
    </row>
    <row r="685" spans="11:24" x14ac:dyDescent="0.35">
      <c r="K685" s="366"/>
      <c r="L685" s="365"/>
      <c r="M685" s="365"/>
      <c r="N685" s="365"/>
      <c r="O685" s="365"/>
      <c r="P685" s="365"/>
      <c r="Q685" s="365"/>
      <c r="R685" s="365"/>
      <c r="S685" s="365"/>
      <c r="T685" s="365"/>
      <c r="U685" s="365"/>
      <c r="V685" s="365"/>
      <c r="W685" s="365"/>
      <c r="X685" s="365"/>
    </row>
    <row r="686" spans="11:24" x14ac:dyDescent="0.35">
      <c r="K686" s="366"/>
      <c r="L686" s="365"/>
      <c r="M686" s="365"/>
      <c r="N686" s="365"/>
      <c r="O686" s="365"/>
      <c r="P686" s="365"/>
      <c r="Q686" s="365"/>
      <c r="R686" s="365"/>
      <c r="S686" s="365"/>
      <c r="T686" s="365"/>
      <c r="U686" s="365"/>
      <c r="V686" s="365"/>
      <c r="W686" s="365"/>
      <c r="X686" s="365"/>
    </row>
    <row r="687" spans="11:24" x14ac:dyDescent="0.35">
      <c r="K687" s="366"/>
      <c r="L687" s="365"/>
      <c r="M687" s="365"/>
      <c r="N687" s="365"/>
      <c r="O687" s="365"/>
      <c r="P687" s="365"/>
      <c r="Q687" s="365"/>
      <c r="R687" s="365"/>
      <c r="S687" s="365"/>
      <c r="T687" s="365"/>
      <c r="U687" s="365"/>
      <c r="V687" s="365"/>
      <c r="W687" s="365"/>
      <c r="X687" s="365"/>
    </row>
    <row r="688" spans="11:24" x14ac:dyDescent="0.35">
      <c r="K688" s="366"/>
      <c r="L688" s="365"/>
      <c r="M688" s="365"/>
      <c r="N688" s="365"/>
      <c r="O688" s="365"/>
      <c r="P688" s="365"/>
      <c r="Q688" s="365"/>
      <c r="R688" s="365"/>
      <c r="S688" s="365"/>
      <c r="T688" s="365"/>
      <c r="U688" s="365"/>
      <c r="V688" s="365"/>
      <c r="W688" s="365"/>
      <c r="X688" s="365"/>
    </row>
    <row r="689" spans="11:24" x14ac:dyDescent="0.35">
      <c r="K689" s="366"/>
      <c r="L689" s="365"/>
      <c r="M689" s="365"/>
      <c r="N689" s="365"/>
      <c r="O689" s="365"/>
      <c r="P689" s="365"/>
      <c r="Q689" s="365"/>
      <c r="R689" s="365"/>
      <c r="S689" s="365"/>
      <c r="T689" s="365"/>
      <c r="U689" s="365"/>
      <c r="V689" s="365"/>
      <c r="W689" s="365"/>
      <c r="X689" s="365"/>
    </row>
    <row r="690" spans="11:24" x14ac:dyDescent="0.35">
      <c r="K690" s="366"/>
      <c r="L690" s="365"/>
      <c r="M690" s="365"/>
      <c r="N690" s="365"/>
      <c r="O690" s="365"/>
      <c r="P690" s="365"/>
      <c r="Q690" s="365"/>
      <c r="R690" s="365"/>
      <c r="S690" s="365"/>
      <c r="T690" s="365"/>
      <c r="U690" s="365"/>
      <c r="V690" s="365"/>
      <c r="W690" s="365"/>
      <c r="X690" s="365"/>
    </row>
    <row r="691" spans="11:24" x14ac:dyDescent="0.35">
      <c r="K691" s="366"/>
      <c r="L691" s="365"/>
      <c r="M691" s="365"/>
      <c r="N691" s="365"/>
      <c r="O691" s="365"/>
      <c r="P691" s="365"/>
      <c r="Q691" s="365"/>
      <c r="R691" s="365"/>
      <c r="S691" s="365"/>
      <c r="T691" s="365"/>
      <c r="U691" s="365"/>
      <c r="V691" s="365"/>
      <c r="W691" s="365"/>
      <c r="X691" s="365"/>
    </row>
    <row r="692" spans="11:24" x14ac:dyDescent="0.35">
      <c r="K692" s="366"/>
      <c r="L692" s="365"/>
      <c r="M692" s="365"/>
      <c r="N692" s="365"/>
      <c r="O692" s="365"/>
      <c r="P692" s="365"/>
      <c r="Q692" s="365"/>
      <c r="R692" s="365"/>
      <c r="S692" s="365"/>
      <c r="T692" s="365"/>
      <c r="U692" s="365"/>
      <c r="V692" s="365"/>
      <c r="W692" s="365"/>
      <c r="X692" s="365"/>
    </row>
    <row r="693" spans="11:24" x14ac:dyDescent="0.35">
      <c r="K693" s="366"/>
      <c r="L693" s="365"/>
      <c r="M693" s="365"/>
      <c r="N693" s="365"/>
      <c r="O693" s="365"/>
      <c r="P693" s="365"/>
      <c r="Q693" s="365"/>
      <c r="R693" s="365"/>
      <c r="S693" s="365"/>
      <c r="T693" s="365"/>
      <c r="U693" s="365"/>
      <c r="V693" s="365"/>
      <c r="W693" s="365"/>
      <c r="X693" s="365"/>
    </row>
    <row r="694" spans="11:24" x14ac:dyDescent="0.35">
      <c r="K694" s="366"/>
      <c r="L694" s="365"/>
      <c r="M694" s="365"/>
      <c r="N694" s="365"/>
      <c r="O694" s="365"/>
      <c r="P694" s="365"/>
      <c r="Q694" s="365"/>
      <c r="R694" s="365"/>
      <c r="S694" s="365"/>
      <c r="T694" s="365"/>
      <c r="U694" s="365"/>
      <c r="V694" s="365"/>
      <c r="W694" s="365"/>
      <c r="X694" s="365"/>
    </row>
    <row r="695" spans="11:24" x14ac:dyDescent="0.35">
      <c r="K695" s="366"/>
      <c r="L695" s="365"/>
      <c r="M695" s="365"/>
      <c r="N695" s="365"/>
      <c r="O695" s="365"/>
      <c r="P695" s="365"/>
      <c r="Q695" s="365"/>
      <c r="R695" s="365"/>
      <c r="S695" s="365"/>
      <c r="T695" s="365"/>
      <c r="U695" s="365"/>
      <c r="V695" s="365"/>
      <c r="W695" s="365"/>
      <c r="X695" s="365"/>
    </row>
    <row r="696" spans="11:24" x14ac:dyDescent="0.35">
      <c r="K696" s="366"/>
      <c r="L696" s="365"/>
      <c r="M696" s="365"/>
      <c r="N696" s="365"/>
      <c r="O696" s="365"/>
      <c r="P696" s="365"/>
      <c r="Q696" s="365"/>
      <c r="R696" s="365"/>
      <c r="S696" s="365"/>
      <c r="T696" s="365"/>
      <c r="U696" s="365"/>
      <c r="V696" s="365"/>
      <c r="W696" s="365"/>
      <c r="X696" s="365"/>
    </row>
    <row r="697" spans="11:24" x14ac:dyDescent="0.35">
      <c r="K697" s="366"/>
      <c r="L697" s="365"/>
      <c r="M697" s="365"/>
      <c r="N697" s="365"/>
      <c r="O697" s="365"/>
      <c r="P697" s="365"/>
      <c r="Q697" s="365"/>
      <c r="R697" s="365"/>
      <c r="S697" s="365"/>
      <c r="T697" s="365"/>
      <c r="U697" s="365"/>
      <c r="V697" s="365"/>
      <c r="W697" s="365"/>
      <c r="X697" s="365"/>
    </row>
    <row r="698" spans="11:24" x14ac:dyDescent="0.35">
      <c r="K698" s="366"/>
      <c r="L698" s="365"/>
      <c r="M698" s="365"/>
      <c r="N698" s="365"/>
      <c r="O698" s="365"/>
      <c r="P698" s="365"/>
      <c r="Q698" s="365"/>
      <c r="R698" s="365"/>
      <c r="S698" s="365"/>
      <c r="T698" s="365"/>
      <c r="U698" s="365"/>
      <c r="V698" s="365"/>
      <c r="W698" s="365"/>
      <c r="X698" s="365"/>
    </row>
    <row r="699" spans="11:24" x14ac:dyDescent="0.35">
      <c r="K699" s="366"/>
      <c r="L699" s="365"/>
      <c r="M699" s="365"/>
      <c r="N699" s="365"/>
      <c r="O699" s="365"/>
      <c r="P699" s="365"/>
      <c r="Q699" s="365"/>
      <c r="R699" s="365"/>
      <c r="S699" s="365"/>
      <c r="T699" s="365"/>
      <c r="U699" s="365"/>
      <c r="V699" s="365"/>
      <c r="W699" s="365"/>
      <c r="X699" s="365"/>
    </row>
    <row r="700" spans="11:24" x14ac:dyDescent="0.35">
      <c r="K700" s="366"/>
      <c r="L700" s="365"/>
      <c r="M700" s="365"/>
      <c r="N700" s="365"/>
      <c r="O700" s="365"/>
      <c r="P700" s="365"/>
      <c r="Q700" s="365"/>
      <c r="R700" s="365"/>
      <c r="S700" s="365"/>
      <c r="T700" s="365"/>
      <c r="U700" s="365"/>
      <c r="V700" s="365"/>
      <c r="W700" s="365"/>
      <c r="X700" s="365"/>
    </row>
    <row r="701" spans="11:24" x14ac:dyDescent="0.35">
      <c r="K701" s="366"/>
      <c r="L701" s="365"/>
      <c r="M701" s="365"/>
      <c r="N701" s="365"/>
      <c r="O701" s="365"/>
      <c r="P701" s="365"/>
      <c r="Q701" s="365"/>
      <c r="R701" s="365"/>
      <c r="S701" s="365"/>
      <c r="T701" s="365"/>
      <c r="U701" s="365"/>
      <c r="V701" s="365"/>
      <c r="W701" s="365"/>
      <c r="X701" s="365"/>
    </row>
    <row r="702" spans="11:24" x14ac:dyDescent="0.35">
      <c r="K702" s="366"/>
      <c r="L702" s="365"/>
      <c r="M702" s="365"/>
      <c r="N702" s="365"/>
      <c r="O702" s="365"/>
      <c r="P702" s="365"/>
      <c r="Q702" s="365"/>
      <c r="R702" s="365"/>
      <c r="S702" s="365"/>
      <c r="T702" s="365"/>
      <c r="U702" s="365"/>
      <c r="V702" s="365"/>
      <c r="W702" s="365"/>
      <c r="X702" s="365"/>
    </row>
    <row r="703" spans="11:24" x14ac:dyDescent="0.35">
      <c r="K703" s="366"/>
      <c r="L703" s="365"/>
      <c r="M703" s="365"/>
      <c r="N703" s="365"/>
      <c r="O703" s="365"/>
      <c r="P703" s="365"/>
      <c r="Q703" s="365"/>
      <c r="R703" s="365"/>
      <c r="S703" s="365"/>
      <c r="T703" s="365"/>
      <c r="U703" s="365"/>
      <c r="V703" s="365"/>
      <c r="W703" s="365"/>
      <c r="X703" s="365"/>
    </row>
    <row r="704" spans="11:24" x14ac:dyDescent="0.35">
      <c r="K704" s="366"/>
      <c r="L704" s="365"/>
      <c r="M704" s="365"/>
      <c r="N704" s="365"/>
      <c r="O704" s="365"/>
      <c r="P704" s="365"/>
      <c r="Q704" s="365"/>
      <c r="R704" s="365"/>
      <c r="S704" s="365"/>
      <c r="T704" s="365"/>
      <c r="U704" s="365"/>
      <c r="V704" s="365"/>
      <c r="W704" s="365"/>
      <c r="X704" s="365"/>
    </row>
    <row r="705" spans="11:24" x14ac:dyDescent="0.35">
      <c r="K705" s="366"/>
      <c r="L705" s="365"/>
      <c r="M705" s="365"/>
      <c r="N705" s="365"/>
      <c r="O705" s="365"/>
      <c r="P705" s="365"/>
      <c r="Q705" s="365"/>
      <c r="R705" s="365"/>
      <c r="S705" s="365"/>
      <c r="T705" s="365"/>
      <c r="U705" s="365"/>
      <c r="V705" s="365"/>
      <c r="W705" s="365"/>
      <c r="X705" s="365"/>
    </row>
    <row r="706" spans="11:24" x14ac:dyDescent="0.35">
      <c r="K706" s="366"/>
      <c r="L706" s="365"/>
      <c r="M706" s="365"/>
      <c r="N706" s="365"/>
      <c r="O706" s="365"/>
      <c r="P706" s="365"/>
      <c r="Q706" s="365"/>
      <c r="R706" s="365"/>
      <c r="S706" s="365"/>
      <c r="T706" s="365"/>
      <c r="U706" s="365"/>
      <c r="V706" s="365"/>
      <c r="W706" s="365"/>
      <c r="X706" s="365"/>
    </row>
    <row r="707" spans="11:24" x14ac:dyDescent="0.35">
      <c r="K707" s="366"/>
      <c r="L707" s="365"/>
      <c r="M707" s="365"/>
      <c r="N707" s="365"/>
      <c r="O707" s="365"/>
      <c r="P707" s="365"/>
      <c r="Q707" s="365"/>
      <c r="R707" s="365"/>
      <c r="S707" s="365"/>
      <c r="T707" s="365"/>
      <c r="U707" s="365"/>
      <c r="V707" s="365"/>
      <c r="W707" s="365"/>
      <c r="X707" s="365"/>
    </row>
    <row r="708" spans="11:24" x14ac:dyDescent="0.35">
      <c r="K708" s="366"/>
      <c r="L708" s="365"/>
      <c r="M708" s="365"/>
      <c r="N708" s="365"/>
      <c r="O708" s="365"/>
      <c r="P708" s="365"/>
      <c r="Q708" s="365"/>
      <c r="R708" s="365"/>
      <c r="S708" s="365"/>
      <c r="T708" s="365"/>
      <c r="U708" s="365"/>
      <c r="V708" s="365"/>
      <c r="W708" s="365"/>
      <c r="X708" s="365"/>
    </row>
    <row r="709" spans="11:24" x14ac:dyDescent="0.35">
      <c r="K709" s="366"/>
      <c r="L709" s="365"/>
      <c r="M709" s="365"/>
      <c r="N709" s="365"/>
      <c r="O709" s="365"/>
      <c r="P709" s="365"/>
      <c r="Q709" s="365"/>
      <c r="R709" s="365"/>
      <c r="S709" s="365"/>
      <c r="T709" s="365"/>
      <c r="U709" s="365"/>
      <c r="V709" s="365"/>
      <c r="W709" s="365"/>
      <c r="X709" s="365"/>
    </row>
    <row r="710" spans="11:24" x14ac:dyDescent="0.35">
      <c r="K710" s="366"/>
      <c r="L710" s="365"/>
      <c r="M710" s="365"/>
      <c r="N710" s="365"/>
      <c r="O710" s="365"/>
      <c r="P710" s="365"/>
      <c r="Q710" s="365"/>
      <c r="R710" s="365"/>
      <c r="S710" s="365"/>
      <c r="T710" s="365"/>
      <c r="U710" s="365"/>
      <c r="V710" s="365"/>
      <c r="W710" s="365"/>
      <c r="X710" s="365"/>
    </row>
    <row r="711" spans="11:24" x14ac:dyDescent="0.35">
      <c r="K711" s="366"/>
      <c r="L711" s="365"/>
      <c r="M711" s="365"/>
      <c r="N711" s="365"/>
      <c r="O711" s="365"/>
      <c r="P711" s="365"/>
      <c r="Q711" s="365"/>
      <c r="R711" s="365"/>
      <c r="S711" s="365"/>
      <c r="T711" s="365"/>
      <c r="U711" s="365"/>
      <c r="V711" s="365"/>
      <c r="W711" s="365"/>
      <c r="X711" s="365"/>
    </row>
    <row r="712" spans="11:24" x14ac:dyDescent="0.35">
      <c r="K712" s="366"/>
      <c r="L712" s="365"/>
      <c r="M712" s="365"/>
      <c r="N712" s="365"/>
      <c r="O712" s="365"/>
      <c r="P712" s="365"/>
      <c r="Q712" s="365"/>
      <c r="R712" s="365"/>
      <c r="S712" s="365"/>
      <c r="T712" s="365"/>
      <c r="U712" s="365"/>
      <c r="V712" s="365"/>
      <c r="W712" s="365"/>
      <c r="X712" s="365"/>
    </row>
    <row r="713" spans="11:24" x14ac:dyDescent="0.35">
      <c r="K713" s="366"/>
      <c r="L713" s="365"/>
      <c r="M713" s="365"/>
      <c r="N713" s="365"/>
      <c r="O713" s="365"/>
      <c r="P713" s="365"/>
      <c r="Q713" s="365"/>
      <c r="R713" s="365"/>
      <c r="S713" s="365"/>
      <c r="T713" s="365"/>
      <c r="U713" s="365"/>
      <c r="V713" s="365"/>
      <c r="W713" s="365"/>
      <c r="X713" s="365"/>
    </row>
    <row r="714" spans="11:24" x14ac:dyDescent="0.35">
      <c r="K714" s="366"/>
      <c r="L714" s="365"/>
      <c r="M714" s="365"/>
      <c r="N714" s="365"/>
      <c r="O714" s="365"/>
      <c r="P714" s="365"/>
      <c r="Q714" s="365"/>
      <c r="R714" s="365"/>
      <c r="S714" s="365"/>
      <c r="T714" s="365"/>
      <c r="U714" s="365"/>
      <c r="V714" s="365"/>
      <c r="W714" s="365"/>
      <c r="X714" s="365"/>
    </row>
    <row r="715" spans="11:24" x14ac:dyDescent="0.35">
      <c r="K715" s="366"/>
      <c r="L715" s="365"/>
      <c r="M715" s="365"/>
      <c r="N715" s="365"/>
      <c r="O715" s="365"/>
      <c r="P715" s="365"/>
      <c r="Q715" s="365"/>
      <c r="R715" s="365"/>
      <c r="S715" s="365"/>
      <c r="T715" s="365"/>
      <c r="U715" s="365"/>
      <c r="V715" s="365"/>
      <c r="W715" s="365"/>
      <c r="X715" s="365"/>
    </row>
    <row r="716" spans="11:24" x14ac:dyDescent="0.35">
      <c r="K716" s="366"/>
      <c r="L716" s="365"/>
      <c r="M716" s="365"/>
      <c r="N716" s="365"/>
      <c r="O716" s="365"/>
      <c r="P716" s="365"/>
      <c r="Q716" s="365"/>
      <c r="R716" s="365"/>
      <c r="S716" s="365"/>
      <c r="T716" s="365"/>
      <c r="U716" s="365"/>
      <c r="V716" s="365"/>
      <c r="W716" s="365"/>
      <c r="X716" s="365"/>
    </row>
    <row r="717" spans="11:24" x14ac:dyDescent="0.35">
      <c r="K717" s="366"/>
      <c r="L717" s="365"/>
      <c r="M717" s="365"/>
      <c r="N717" s="365"/>
      <c r="O717" s="365"/>
      <c r="P717" s="365"/>
      <c r="Q717" s="365"/>
      <c r="R717" s="365"/>
      <c r="S717" s="365"/>
      <c r="T717" s="365"/>
      <c r="U717" s="365"/>
      <c r="V717" s="365"/>
      <c r="W717" s="365"/>
      <c r="X717" s="365"/>
    </row>
    <row r="718" spans="11:24" x14ac:dyDescent="0.35">
      <c r="K718" s="366"/>
      <c r="L718" s="365"/>
      <c r="M718" s="365"/>
      <c r="N718" s="365"/>
      <c r="O718" s="365"/>
      <c r="P718" s="365"/>
      <c r="Q718" s="365"/>
      <c r="R718" s="365"/>
      <c r="S718" s="365"/>
      <c r="T718" s="365"/>
      <c r="U718" s="365"/>
      <c r="V718" s="365"/>
      <c r="W718" s="365"/>
      <c r="X718" s="365"/>
    </row>
    <row r="719" spans="11:24" x14ac:dyDescent="0.35">
      <c r="K719" s="366"/>
      <c r="L719" s="365"/>
      <c r="M719" s="365"/>
      <c r="N719" s="365"/>
      <c r="O719" s="365"/>
      <c r="P719" s="365"/>
      <c r="Q719" s="365"/>
      <c r="R719" s="365"/>
      <c r="S719" s="365"/>
      <c r="T719" s="365"/>
      <c r="U719" s="365"/>
      <c r="V719" s="365"/>
      <c r="W719" s="365"/>
      <c r="X719" s="365"/>
    </row>
    <row r="720" spans="11:24" x14ac:dyDescent="0.35">
      <c r="K720" s="366"/>
      <c r="L720" s="365"/>
      <c r="M720" s="365"/>
      <c r="N720" s="365"/>
      <c r="O720" s="365"/>
      <c r="P720" s="365"/>
      <c r="Q720" s="365"/>
      <c r="R720" s="365"/>
      <c r="S720" s="365"/>
      <c r="T720" s="365"/>
      <c r="U720" s="365"/>
      <c r="V720" s="365"/>
      <c r="W720" s="365"/>
      <c r="X720" s="365"/>
    </row>
    <row r="721" spans="11:24" x14ac:dyDescent="0.35">
      <c r="K721" s="366"/>
      <c r="L721" s="365"/>
      <c r="M721" s="365"/>
      <c r="N721" s="365"/>
      <c r="O721" s="365"/>
      <c r="P721" s="365"/>
      <c r="Q721" s="365"/>
      <c r="R721" s="365"/>
      <c r="S721" s="365"/>
      <c r="T721" s="365"/>
      <c r="U721" s="365"/>
      <c r="V721" s="365"/>
      <c r="W721" s="365"/>
      <c r="X721" s="365"/>
    </row>
    <row r="722" spans="11:24" x14ac:dyDescent="0.35">
      <c r="K722" s="366"/>
      <c r="L722" s="365"/>
      <c r="M722" s="365"/>
      <c r="N722" s="365"/>
      <c r="O722" s="365"/>
      <c r="P722" s="365"/>
      <c r="Q722" s="365"/>
      <c r="R722" s="365"/>
      <c r="S722" s="365"/>
      <c r="T722" s="365"/>
      <c r="U722" s="365"/>
      <c r="V722" s="365"/>
      <c r="W722" s="365"/>
      <c r="X722" s="365"/>
    </row>
    <row r="723" spans="11:24" x14ac:dyDescent="0.35">
      <c r="K723" s="366"/>
      <c r="L723" s="365"/>
      <c r="M723" s="365"/>
      <c r="N723" s="365"/>
      <c r="O723" s="365"/>
      <c r="P723" s="365"/>
      <c r="Q723" s="365"/>
      <c r="R723" s="365"/>
      <c r="S723" s="365"/>
      <c r="T723" s="365"/>
      <c r="U723" s="365"/>
      <c r="V723" s="365"/>
      <c r="W723" s="365"/>
      <c r="X723" s="365"/>
    </row>
    <row r="724" spans="11:24" x14ac:dyDescent="0.35">
      <c r="K724" s="366"/>
      <c r="L724" s="365"/>
      <c r="M724" s="365"/>
      <c r="N724" s="365"/>
      <c r="O724" s="365"/>
      <c r="P724" s="365"/>
      <c r="Q724" s="365"/>
      <c r="R724" s="365"/>
      <c r="S724" s="365"/>
      <c r="T724" s="365"/>
      <c r="U724" s="365"/>
      <c r="V724" s="365"/>
      <c r="W724" s="365"/>
      <c r="X724" s="365"/>
    </row>
    <row r="725" spans="11:24" x14ac:dyDescent="0.35">
      <c r="K725" s="366"/>
      <c r="L725" s="365"/>
      <c r="M725" s="365"/>
      <c r="N725" s="365"/>
      <c r="O725" s="365"/>
      <c r="P725" s="365"/>
      <c r="Q725" s="365"/>
      <c r="R725" s="365"/>
      <c r="S725" s="365"/>
      <c r="T725" s="365"/>
      <c r="U725" s="365"/>
      <c r="V725" s="365"/>
      <c r="W725" s="365"/>
      <c r="X725" s="365"/>
    </row>
    <row r="726" spans="11:24" x14ac:dyDescent="0.35">
      <c r="K726" s="366"/>
      <c r="L726" s="365"/>
      <c r="M726" s="365"/>
      <c r="N726" s="365"/>
      <c r="O726" s="365"/>
      <c r="P726" s="365"/>
      <c r="Q726" s="365"/>
      <c r="R726" s="365"/>
      <c r="S726" s="365"/>
      <c r="T726" s="365"/>
      <c r="U726" s="365"/>
      <c r="V726" s="365"/>
      <c r="W726" s="365"/>
      <c r="X726" s="365"/>
    </row>
    <row r="727" spans="11:24" x14ac:dyDescent="0.35">
      <c r="K727" s="366"/>
      <c r="L727" s="365"/>
      <c r="M727" s="365"/>
      <c r="N727" s="365"/>
      <c r="O727" s="365"/>
      <c r="P727" s="365"/>
      <c r="Q727" s="365"/>
      <c r="R727" s="365"/>
      <c r="S727" s="365"/>
      <c r="T727" s="365"/>
      <c r="U727" s="365"/>
      <c r="V727" s="365"/>
      <c r="W727" s="365"/>
      <c r="X727" s="365"/>
    </row>
    <row r="728" spans="11:24" x14ac:dyDescent="0.35">
      <c r="K728" s="366"/>
      <c r="L728" s="365"/>
      <c r="M728" s="365"/>
      <c r="N728" s="365"/>
      <c r="O728" s="365"/>
      <c r="P728" s="365"/>
      <c r="Q728" s="365"/>
      <c r="R728" s="365"/>
      <c r="S728" s="365"/>
      <c r="T728" s="365"/>
      <c r="U728" s="365"/>
      <c r="V728" s="365"/>
      <c r="W728" s="365"/>
      <c r="X728" s="365"/>
    </row>
    <row r="729" spans="11:24" x14ac:dyDescent="0.35">
      <c r="K729" s="366"/>
      <c r="L729" s="365"/>
      <c r="M729" s="365"/>
      <c r="N729" s="365"/>
      <c r="O729" s="365"/>
      <c r="P729" s="365"/>
      <c r="Q729" s="365"/>
      <c r="R729" s="365"/>
      <c r="S729" s="365"/>
      <c r="T729" s="365"/>
      <c r="U729" s="365"/>
      <c r="V729" s="365"/>
      <c r="W729" s="365"/>
      <c r="X729" s="365"/>
    </row>
    <row r="730" spans="11:24" x14ac:dyDescent="0.35">
      <c r="K730" s="366"/>
      <c r="L730" s="365"/>
      <c r="M730" s="365"/>
      <c r="N730" s="365"/>
      <c r="O730" s="365"/>
      <c r="P730" s="365"/>
      <c r="Q730" s="365"/>
      <c r="R730" s="365"/>
      <c r="S730" s="365"/>
      <c r="T730" s="365"/>
      <c r="U730" s="365"/>
      <c r="V730" s="365"/>
      <c r="W730" s="365"/>
      <c r="X730" s="365"/>
    </row>
    <row r="731" spans="11:24" x14ac:dyDescent="0.35">
      <c r="K731" s="366"/>
      <c r="L731" s="365"/>
      <c r="M731" s="365"/>
      <c r="N731" s="365"/>
      <c r="O731" s="365"/>
      <c r="P731" s="365"/>
      <c r="Q731" s="365"/>
      <c r="R731" s="365"/>
      <c r="S731" s="365"/>
      <c r="T731" s="365"/>
      <c r="U731" s="365"/>
      <c r="V731" s="365"/>
      <c r="W731" s="365"/>
      <c r="X731" s="365"/>
    </row>
    <row r="732" spans="11:24" x14ac:dyDescent="0.35">
      <c r="K732" s="366"/>
      <c r="L732" s="365"/>
      <c r="M732" s="365"/>
      <c r="N732" s="365"/>
      <c r="O732" s="365"/>
      <c r="P732" s="365"/>
      <c r="Q732" s="365"/>
      <c r="R732" s="365"/>
      <c r="S732" s="365"/>
      <c r="T732" s="365"/>
      <c r="U732" s="365"/>
      <c r="V732" s="365"/>
      <c r="W732" s="365"/>
      <c r="X732" s="365"/>
    </row>
    <row r="733" spans="11:24" x14ac:dyDescent="0.35">
      <c r="K733" s="366"/>
      <c r="L733" s="365"/>
      <c r="M733" s="365"/>
      <c r="N733" s="365"/>
      <c r="O733" s="365"/>
      <c r="P733" s="365"/>
      <c r="Q733" s="365"/>
      <c r="R733" s="365"/>
      <c r="S733" s="365"/>
      <c r="T733" s="365"/>
      <c r="U733" s="365"/>
      <c r="V733" s="365"/>
      <c r="W733" s="365"/>
      <c r="X733" s="365"/>
    </row>
    <row r="734" spans="11:24" x14ac:dyDescent="0.35">
      <c r="K734" s="366"/>
      <c r="L734" s="365"/>
      <c r="M734" s="365"/>
      <c r="N734" s="365"/>
      <c r="O734" s="365"/>
      <c r="P734" s="365"/>
      <c r="Q734" s="365"/>
      <c r="R734" s="365"/>
      <c r="S734" s="365"/>
      <c r="T734" s="365"/>
      <c r="U734" s="365"/>
      <c r="V734" s="365"/>
      <c r="W734" s="365"/>
      <c r="X734" s="365"/>
    </row>
    <row r="735" spans="11:24" x14ac:dyDescent="0.35">
      <c r="K735" s="366"/>
      <c r="L735" s="365"/>
      <c r="M735" s="365"/>
      <c r="N735" s="365"/>
      <c r="O735" s="365"/>
      <c r="P735" s="365"/>
      <c r="Q735" s="365"/>
      <c r="R735" s="365"/>
      <c r="S735" s="365"/>
      <c r="T735" s="365"/>
      <c r="U735" s="365"/>
      <c r="V735" s="365"/>
      <c r="W735" s="365"/>
      <c r="X735" s="365"/>
    </row>
    <row r="736" spans="11:24" x14ac:dyDescent="0.35">
      <c r="K736" s="366"/>
      <c r="L736" s="365"/>
      <c r="M736" s="365"/>
      <c r="N736" s="365"/>
      <c r="O736" s="365"/>
      <c r="P736" s="365"/>
      <c r="Q736" s="365"/>
      <c r="R736" s="365"/>
      <c r="S736" s="365"/>
      <c r="T736" s="365"/>
      <c r="U736" s="365"/>
      <c r="V736" s="365"/>
      <c r="W736" s="365"/>
      <c r="X736" s="365"/>
    </row>
    <row r="737" spans="11:24" x14ac:dyDescent="0.35">
      <c r="K737" s="366"/>
      <c r="L737" s="365"/>
      <c r="M737" s="365"/>
      <c r="N737" s="365"/>
      <c r="O737" s="365"/>
      <c r="P737" s="365"/>
      <c r="Q737" s="365"/>
      <c r="R737" s="365"/>
      <c r="S737" s="365"/>
      <c r="T737" s="365"/>
      <c r="U737" s="365"/>
      <c r="V737" s="365"/>
      <c r="W737" s="365"/>
      <c r="X737" s="365"/>
    </row>
    <row r="738" spans="11:24" x14ac:dyDescent="0.35">
      <c r="K738" s="366"/>
      <c r="L738" s="365"/>
      <c r="M738" s="365"/>
      <c r="N738" s="365"/>
      <c r="O738" s="365"/>
      <c r="P738" s="365"/>
      <c r="Q738" s="365"/>
      <c r="R738" s="365"/>
      <c r="S738" s="365"/>
      <c r="T738" s="365"/>
      <c r="U738" s="365"/>
      <c r="V738" s="365"/>
      <c r="W738" s="365"/>
      <c r="X738" s="365"/>
    </row>
    <row r="739" spans="11:24" x14ac:dyDescent="0.35">
      <c r="K739" s="366"/>
      <c r="L739" s="365"/>
      <c r="M739" s="365"/>
      <c r="N739" s="365"/>
      <c r="O739" s="365"/>
      <c r="P739" s="365"/>
      <c r="Q739" s="365"/>
      <c r="R739" s="365"/>
      <c r="S739" s="365"/>
      <c r="T739" s="365"/>
      <c r="U739" s="365"/>
      <c r="V739" s="365"/>
      <c r="W739" s="365"/>
      <c r="X739" s="365"/>
    </row>
    <row r="740" spans="11:24" x14ac:dyDescent="0.35">
      <c r="K740" s="366"/>
      <c r="L740" s="365"/>
      <c r="M740" s="365"/>
      <c r="N740" s="365"/>
      <c r="O740" s="365"/>
      <c r="P740" s="365"/>
      <c r="Q740" s="365"/>
      <c r="R740" s="365"/>
      <c r="S740" s="365"/>
      <c r="T740" s="365"/>
      <c r="U740" s="365"/>
      <c r="V740" s="365"/>
      <c r="W740" s="365"/>
      <c r="X740" s="365"/>
    </row>
    <row r="741" spans="11:24" x14ac:dyDescent="0.35">
      <c r="K741" s="366"/>
      <c r="L741" s="365"/>
      <c r="M741" s="365"/>
      <c r="N741" s="365"/>
      <c r="O741" s="365"/>
      <c r="P741" s="365"/>
      <c r="Q741" s="365"/>
      <c r="R741" s="365"/>
      <c r="S741" s="365"/>
      <c r="T741" s="365"/>
      <c r="U741" s="365"/>
      <c r="V741" s="365"/>
      <c r="W741" s="365"/>
      <c r="X741" s="365"/>
    </row>
    <row r="742" spans="11:24" x14ac:dyDescent="0.35">
      <c r="K742" s="366"/>
      <c r="L742" s="365"/>
      <c r="M742" s="365"/>
      <c r="N742" s="365"/>
      <c r="O742" s="365"/>
      <c r="P742" s="365"/>
      <c r="Q742" s="365"/>
      <c r="R742" s="365"/>
      <c r="S742" s="365"/>
      <c r="T742" s="365"/>
      <c r="U742" s="365"/>
      <c r="V742" s="365"/>
      <c r="W742" s="365"/>
      <c r="X742" s="365"/>
    </row>
    <row r="743" spans="11:24" x14ac:dyDescent="0.35">
      <c r="K743" s="366"/>
      <c r="L743" s="365"/>
      <c r="M743" s="365"/>
      <c r="N743" s="365"/>
      <c r="O743" s="365"/>
      <c r="P743" s="365"/>
      <c r="Q743" s="365"/>
      <c r="R743" s="365"/>
      <c r="S743" s="365"/>
      <c r="T743" s="365"/>
      <c r="U743" s="365"/>
      <c r="V743" s="365"/>
      <c r="W743" s="365"/>
      <c r="X743" s="365"/>
    </row>
    <row r="744" spans="11:24" x14ac:dyDescent="0.35">
      <c r="K744" s="366"/>
      <c r="L744" s="365"/>
      <c r="M744" s="365"/>
      <c r="N744" s="365"/>
      <c r="O744" s="365"/>
      <c r="P744" s="365"/>
      <c r="Q744" s="365"/>
      <c r="R744" s="365"/>
      <c r="S744" s="365"/>
      <c r="T744" s="365"/>
      <c r="U744" s="365"/>
      <c r="V744" s="365"/>
      <c r="W744" s="365"/>
      <c r="X744" s="365"/>
    </row>
    <row r="745" spans="11:24" x14ac:dyDescent="0.35">
      <c r="K745" s="366"/>
      <c r="L745" s="365"/>
      <c r="M745" s="365"/>
      <c r="N745" s="365"/>
      <c r="O745" s="365"/>
      <c r="P745" s="365"/>
      <c r="Q745" s="365"/>
      <c r="R745" s="365"/>
      <c r="S745" s="365"/>
      <c r="T745" s="365"/>
      <c r="U745" s="365"/>
      <c r="V745" s="365"/>
      <c r="W745" s="365"/>
      <c r="X745" s="365"/>
    </row>
    <row r="746" spans="11:24" x14ac:dyDescent="0.35">
      <c r="K746" s="366"/>
      <c r="L746" s="365"/>
      <c r="M746" s="365"/>
      <c r="N746" s="365"/>
      <c r="O746" s="365"/>
      <c r="P746" s="365"/>
      <c r="Q746" s="365"/>
      <c r="R746" s="365"/>
      <c r="S746" s="365"/>
      <c r="T746" s="365"/>
      <c r="U746" s="365"/>
      <c r="V746" s="365"/>
      <c r="W746" s="365"/>
      <c r="X746" s="365"/>
    </row>
    <row r="747" spans="11:24" x14ac:dyDescent="0.35">
      <c r="K747" s="366"/>
      <c r="L747" s="365"/>
      <c r="M747" s="365"/>
      <c r="N747" s="365"/>
      <c r="O747" s="365"/>
      <c r="P747" s="365"/>
      <c r="Q747" s="365"/>
      <c r="R747" s="365"/>
      <c r="S747" s="365"/>
      <c r="T747" s="365"/>
      <c r="U747" s="365"/>
      <c r="V747" s="365"/>
      <c r="W747" s="365"/>
      <c r="X747" s="365"/>
    </row>
    <row r="748" spans="11:24" x14ac:dyDescent="0.35">
      <c r="K748" s="366"/>
      <c r="L748" s="365"/>
      <c r="M748" s="365"/>
      <c r="N748" s="365"/>
      <c r="O748" s="365"/>
      <c r="P748" s="365"/>
      <c r="Q748" s="365"/>
      <c r="R748" s="365"/>
      <c r="S748" s="365"/>
      <c r="T748" s="365"/>
      <c r="U748" s="365"/>
      <c r="V748" s="365"/>
      <c r="W748" s="365"/>
      <c r="X748" s="365"/>
    </row>
    <row r="749" spans="11:24" x14ac:dyDescent="0.35">
      <c r="K749" s="366"/>
      <c r="L749" s="365"/>
      <c r="M749" s="365"/>
      <c r="N749" s="365"/>
      <c r="O749" s="365"/>
      <c r="P749" s="365"/>
      <c r="Q749" s="365"/>
      <c r="R749" s="365"/>
      <c r="S749" s="365"/>
      <c r="T749" s="365"/>
      <c r="U749" s="365"/>
      <c r="V749" s="365"/>
      <c r="W749" s="365"/>
      <c r="X749" s="365"/>
    </row>
    <row r="750" spans="11:24" x14ac:dyDescent="0.35">
      <c r="K750" s="366"/>
      <c r="L750" s="365"/>
      <c r="M750" s="365"/>
      <c r="N750" s="365"/>
      <c r="O750" s="365"/>
      <c r="P750" s="365"/>
      <c r="Q750" s="365"/>
      <c r="R750" s="365"/>
      <c r="S750" s="365"/>
      <c r="T750" s="365"/>
      <c r="U750" s="365"/>
      <c r="V750" s="365"/>
      <c r="W750" s="365"/>
      <c r="X750" s="365"/>
    </row>
    <row r="751" spans="11:24" x14ac:dyDescent="0.35">
      <c r="K751" s="366"/>
      <c r="L751" s="365"/>
      <c r="M751" s="365"/>
      <c r="N751" s="365"/>
      <c r="O751" s="365"/>
      <c r="P751" s="365"/>
      <c r="Q751" s="365"/>
      <c r="R751" s="365"/>
      <c r="S751" s="365"/>
      <c r="T751" s="365"/>
      <c r="U751" s="365"/>
      <c r="V751" s="365"/>
      <c r="W751" s="365"/>
      <c r="X751" s="365"/>
    </row>
    <row r="752" spans="11:24" x14ac:dyDescent="0.35">
      <c r="K752" s="366"/>
      <c r="L752" s="365"/>
      <c r="M752" s="365"/>
      <c r="N752" s="365"/>
      <c r="O752" s="365"/>
      <c r="P752" s="365"/>
      <c r="Q752" s="365"/>
      <c r="R752" s="365"/>
      <c r="S752" s="365"/>
      <c r="T752" s="365"/>
      <c r="U752" s="365"/>
      <c r="V752" s="365"/>
      <c r="W752" s="365"/>
      <c r="X752" s="365"/>
    </row>
    <row r="753" spans="11:24" x14ac:dyDescent="0.35">
      <c r="K753" s="366"/>
      <c r="L753" s="365"/>
      <c r="M753" s="365"/>
      <c r="N753" s="365"/>
      <c r="O753" s="365"/>
      <c r="P753" s="365"/>
      <c r="Q753" s="365"/>
      <c r="R753" s="365"/>
      <c r="S753" s="365"/>
      <c r="T753" s="365"/>
      <c r="U753" s="365"/>
      <c r="V753" s="365"/>
      <c r="W753" s="365"/>
      <c r="X753" s="365"/>
    </row>
    <row r="754" spans="11:24" x14ac:dyDescent="0.35">
      <c r="K754" s="366"/>
      <c r="L754" s="365"/>
      <c r="M754" s="365"/>
      <c r="N754" s="365"/>
      <c r="O754" s="365"/>
      <c r="P754" s="365"/>
      <c r="Q754" s="365"/>
      <c r="R754" s="365"/>
      <c r="S754" s="365"/>
      <c r="T754" s="365"/>
      <c r="U754" s="365"/>
      <c r="V754" s="365"/>
      <c r="W754" s="365"/>
      <c r="X754" s="365"/>
    </row>
    <row r="755" spans="11:24" x14ac:dyDescent="0.35">
      <c r="K755" s="366"/>
      <c r="L755" s="365"/>
      <c r="M755" s="365"/>
      <c r="N755" s="365"/>
      <c r="O755" s="365"/>
      <c r="P755" s="365"/>
      <c r="Q755" s="365"/>
      <c r="R755" s="365"/>
      <c r="S755" s="365"/>
      <c r="T755" s="365"/>
      <c r="U755" s="365"/>
      <c r="V755" s="365"/>
      <c r="W755" s="365"/>
      <c r="X755" s="365"/>
    </row>
    <row r="756" spans="11:24" x14ac:dyDescent="0.35">
      <c r="K756" s="366"/>
      <c r="L756" s="365"/>
      <c r="M756" s="365"/>
      <c r="N756" s="365"/>
      <c r="O756" s="365"/>
      <c r="P756" s="365"/>
      <c r="Q756" s="365"/>
      <c r="R756" s="365"/>
      <c r="S756" s="365"/>
      <c r="T756" s="365"/>
      <c r="U756" s="365"/>
      <c r="V756" s="365"/>
      <c r="W756" s="365"/>
      <c r="X756" s="365"/>
    </row>
    <row r="757" spans="11:24" x14ac:dyDescent="0.35">
      <c r="K757" s="366"/>
      <c r="L757" s="365"/>
      <c r="M757" s="365"/>
      <c r="N757" s="365"/>
      <c r="O757" s="365"/>
      <c r="P757" s="365"/>
      <c r="Q757" s="365"/>
      <c r="R757" s="365"/>
      <c r="S757" s="365"/>
      <c r="T757" s="365"/>
      <c r="U757" s="365"/>
      <c r="V757" s="365"/>
      <c r="W757" s="365"/>
      <c r="X757" s="365"/>
    </row>
    <row r="758" spans="11:24" x14ac:dyDescent="0.35">
      <c r="K758" s="366"/>
      <c r="L758" s="365"/>
      <c r="M758" s="365"/>
      <c r="N758" s="365"/>
      <c r="O758" s="365"/>
      <c r="P758" s="365"/>
      <c r="Q758" s="365"/>
      <c r="R758" s="365"/>
      <c r="S758" s="365"/>
      <c r="T758" s="365"/>
      <c r="U758" s="365"/>
      <c r="V758" s="365"/>
      <c r="W758" s="365"/>
      <c r="X758" s="365"/>
    </row>
    <row r="759" spans="11:24" x14ac:dyDescent="0.35">
      <c r="K759" s="366"/>
      <c r="L759" s="365"/>
      <c r="M759" s="365"/>
      <c r="N759" s="365"/>
      <c r="O759" s="365"/>
      <c r="P759" s="365"/>
      <c r="Q759" s="365"/>
      <c r="R759" s="365"/>
      <c r="S759" s="365"/>
      <c r="T759" s="365"/>
      <c r="U759" s="365"/>
      <c r="V759" s="365"/>
      <c r="W759" s="365"/>
      <c r="X759" s="365"/>
    </row>
    <row r="760" spans="11:24" x14ac:dyDescent="0.35">
      <c r="K760" s="366"/>
      <c r="L760" s="365"/>
      <c r="M760" s="365"/>
      <c r="N760" s="365"/>
      <c r="O760" s="365"/>
      <c r="P760" s="365"/>
      <c r="Q760" s="365"/>
      <c r="R760" s="365"/>
      <c r="S760" s="365"/>
      <c r="T760" s="365"/>
      <c r="U760" s="365"/>
      <c r="V760" s="365"/>
      <c r="W760" s="365"/>
      <c r="X760" s="365"/>
    </row>
    <row r="761" spans="11:24" x14ac:dyDescent="0.35">
      <c r="K761" s="366"/>
      <c r="L761" s="365"/>
      <c r="M761" s="365"/>
      <c r="N761" s="365"/>
      <c r="O761" s="365"/>
      <c r="P761" s="365"/>
      <c r="Q761" s="365"/>
      <c r="R761" s="365"/>
      <c r="S761" s="365"/>
      <c r="T761" s="365"/>
      <c r="U761" s="365"/>
      <c r="V761" s="365"/>
      <c r="W761" s="365"/>
      <c r="X761" s="365"/>
    </row>
    <row r="762" spans="11:24" x14ac:dyDescent="0.35">
      <c r="K762" s="366"/>
      <c r="L762" s="365"/>
      <c r="M762" s="365"/>
      <c r="N762" s="365"/>
      <c r="O762" s="365"/>
      <c r="P762" s="365"/>
      <c r="Q762" s="365"/>
      <c r="R762" s="365"/>
      <c r="S762" s="365"/>
      <c r="T762" s="365"/>
      <c r="U762" s="365"/>
      <c r="V762" s="365"/>
      <c r="W762" s="365"/>
      <c r="X762" s="365"/>
    </row>
    <row r="763" spans="11:24" x14ac:dyDescent="0.35">
      <c r="K763" s="366"/>
      <c r="L763" s="365"/>
      <c r="M763" s="365"/>
      <c r="N763" s="365"/>
      <c r="O763" s="365"/>
      <c r="P763" s="365"/>
      <c r="Q763" s="365"/>
      <c r="R763" s="365"/>
      <c r="S763" s="365"/>
      <c r="T763" s="365"/>
      <c r="U763" s="365"/>
      <c r="V763" s="365"/>
      <c r="W763" s="365"/>
      <c r="X763" s="365"/>
    </row>
    <row r="764" spans="11:24" x14ac:dyDescent="0.35">
      <c r="K764" s="366"/>
      <c r="L764" s="365"/>
      <c r="M764" s="365"/>
      <c r="N764" s="365"/>
      <c r="O764" s="365"/>
      <c r="P764" s="365"/>
      <c r="Q764" s="365"/>
      <c r="R764" s="365"/>
      <c r="S764" s="365"/>
      <c r="T764" s="365"/>
      <c r="U764" s="365"/>
      <c r="V764" s="365"/>
      <c r="W764" s="365"/>
      <c r="X764" s="365"/>
    </row>
    <row r="765" spans="11:24" x14ac:dyDescent="0.35">
      <c r="K765" s="366"/>
      <c r="L765" s="365"/>
      <c r="M765" s="365"/>
      <c r="N765" s="365"/>
      <c r="O765" s="365"/>
      <c r="P765" s="365"/>
      <c r="Q765" s="365"/>
      <c r="R765" s="365"/>
      <c r="S765" s="365"/>
      <c r="T765" s="365"/>
      <c r="U765" s="365"/>
      <c r="V765" s="365"/>
      <c r="W765" s="365"/>
      <c r="X765" s="365"/>
    </row>
    <row r="766" spans="11:24" x14ac:dyDescent="0.35">
      <c r="K766" s="366"/>
      <c r="L766" s="365"/>
      <c r="M766" s="365"/>
      <c r="N766" s="365"/>
      <c r="O766" s="365"/>
      <c r="P766" s="365"/>
      <c r="Q766" s="365"/>
      <c r="R766" s="365"/>
      <c r="S766" s="365"/>
      <c r="T766" s="365"/>
      <c r="U766" s="365"/>
      <c r="V766" s="365"/>
      <c r="W766" s="365"/>
      <c r="X766" s="365"/>
    </row>
    <row r="767" spans="11:24" x14ac:dyDescent="0.35">
      <c r="K767" s="367"/>
    </row>
    <row r="768" spans="11:24" x14ac:dyDescent="0.35">
      <c r="K768" s="367"/>
    </row>
    <row r="769" spans="11:11" x14ac:dyDescent="0.35">
      <c r="K769" s="367"/>
    </row>
    <row r="770" spans="11:11" x14ac:dyDescent="0.35">
      <c r="K770" s="367"/>
    </row>
    <row r="771" spans="11:11" x14ac:dyDescent="0.35">
      <c r="K771" s="367"/>
    </row>
    <row r="772" spans="11:11" x14ac:dyDescent="0.35">
      <c r="K772" s="367"/>
    </row>
    <row r="773" spans="11:11" x14ac:dyDescent="0.35">
      <c r="K773" s="367"/>
    </row>
    <row r="774" spans="11:11" x14ac:dyDescent="0.35">
      <c r="K774" s="367"/>
    </row>
    <row r="775" spans="11:11" x14ac:dyDescent="0.35">
      <c r="K775" s="367"/>
    </row>
    <row r="776" spans="11:11" x14ac:dyDescent="0.35">
      <c r="K776" s="367"/>
    </row>
    <row r="777" spans="11:11" x14ac:dyDescent="0.35">
      <c r="K777" s="367"/>
    </row>
    <row r="778" spans="11:11" x14ac:dyDescent="0.35">
      <c r="K778" s="367"/>
    </row>
    <row r="779" spans="11:11" x14ac:dyDescent="0.35">
      <c r="K779" s="367"/>
    </row>
    <row r="780" spans="11:11" x14ac:dyDescent="0.35">
      <c r="K780" s="367"/>
    </row>
    <row r="781" spans="11:11" x14ac:dyDescent="0.35">
      <c r="K781" s="367"/>
    </row>
    <row r="782" spans="11:11" x14ac:dyDescent="0.35">
      <c r="K782" s="367"/>
    </row>
    <row r="783" spans="11:11" x14ac:dyDescent="0.35">
      <c r="K783" s="367"/>
    </row>
    <row r="784" spans="11:11" x14ac:dyDescent="0.35">
      <c r="K784" s="367"/>
    </row>
    <row r="785" spans="11:11" x14ac:dyDescent="0.35">
      <c r="K785" s="367"/>
    </row>
    <row r="786" spans="11:11" x14ac:dyDescent="0.35">
      <c r="K786" s="367"/>
    </row>
  </sheetData>
  <autoFilter ref="K2:S711" xr:uid="{00000000-0001-0000-0600-000000000000}"/>
  <conditionalFormatting sqref="C1:C1048576">
    <cfRule type="duplicateValues" dxfId="2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B1:R43"/>
  <sheetViews>
    <sheetView showGridLines="0" workbookViewId="0">
      <selection activeCell="E15" sqref="E15"/>
    </sheetView>
  </sheetViews>
  <sheetFormatPr defaultRowHeight="14.5" x14ac:dyDescent="0.35"/>
  <cols>
    <col min="2" max="2" width="31.90625" bestFit="1" customWidth="1"/>
    <col min="3" max="3" width="14.453125" bestFit="1" customWidth="1"/>
    <col min="4" max="4" width="23.26953125" bestFit="1" customWidth="1"/>
    <col min="5" max="5" width="55.81640625" bestFit="1" customWidth="1"/>
    <col min="6" max="6" width="9.6328125" bestFit="1" customWidth="1"/>
    <col min="7" max="7" width="9.453125" bestFit="1" customWidth="1"/>
    <col min="8" max="8" width="30.36328125" bestFit="1" customWidth="1"/>
    <col min="9" max="9" width="15" bestFit="1" customWidth="1"/>
    <col min="10" max="10" width="17.90625" bestFit="1" customWidth="1"/>
    <col min="11" max="11" width="49.1796875" bestFit="1" customWidth="1"/>
    <col min="12" max="12" width="10.453125" bestFit="1" customWidth="1"/>
    <col min="13" max="13" width="9.81640625" bestFit="1" customWidth="1"/>
    <col min="14" max="14" width="36.1796875" bestFit="1" customWidth="1"/>
    <col min="15" max="15" width="10.54296875" bestFit="1" customWidth="1"/>
    <col min="16" max="16" width="13.453125" bestFit="1" customWidth="1"/>
    <col min="17" max="17" width="12.36328125" bestFit="1" customWidth="1"/>
    <col min="18" max="18" width="7.6328125" bestFit="1" customWidth="1"/>
  </cols>
  <sheetData>
    <row r="1" spans="2:18" ht="15" thickBot="1" x14ac:dyDescent="0.4"/>
    <row r="2" spans="2:18" ht="15" thickBot="1" x14ac:dyDescent="0.4">
      <c r="E2" s="26" t="s">
        <v>90</v>
      </c>
      <c r="F2" s="370" t="s">
        <v>56</v>
      </c>
      <c r="K2" s="222" t="s">
        <v>90</v>
      </c>
      <c r="L2" s="224" t="s">
        <v>56</v>
      </c>
    </row>
    <row r="3" spans="2:18" ht="15" thickBot="1" x14ac:dyDescent="0.4">
      <c r="E3" s="17" t="s">
        <v>366</v>
      </c>
      <c r="F3" s="371">
        <v>1687476</v>
      </c>
      <c r="K3" s="17" t="s">
        <v>474</v>
      </c>
      <c r="L3" s="226">
        <v>411245</v>
      </c>
    </row>
    <row r="4" spans="2:18" ht="15" thickBot="1" x14ac:dyDescent="0.4">
      <c r="E4" s="7" t="s">
        <v>475</v>
      </c>
      <c r="F4" s="371">
        <f>F8</f>
        <v>1839056.3</v>
      </c>
      <c r="K4" s="17" t="s">
        <v>363</v>
      </c>
      <c r="L4" s="227">
        <f>L8</f>
        <v>105923.5</v>
      </c>
    </row>
    <row r="5" spans="2:18" ht="15" thickBot="1" x14ac:dyDescent="0.4">
      <c r="E5" s="17" t="s">
        <v>103</v>
      </c>
      <c r="F5" s="371">
        <v>0</v>
      </c>
      <c r="K5" s="17" t="s">
        <v>103</v>
      </c>
      <c r="L5" s="369">
        <v>0</v>
      </c>
    </row>
    <row r="6" spans="2:18" ht="15" thickBot="1" x14ac:dyDescent="0.4">
      <c r="E6" s="372"/>
      <c r="F6" s="373">
        <f>F3-F4-F5</f>
        <v>-151580.30000000005</v>
      </c>
      <c r="K6" s="223" t="s">
        <v>92</v>
      </c>
      <c r="L6" s="225">
        <f>L3-L4-L5</f>
        <v>305321.5</v>
      </c>
    </row>
    <row r="7" spans="2:18" x14ac:dyDescent="0.35">
      <c r="F7" s="1"/>
    </row>
    <row r="8" spans="2:18" ht="15" thickBot="1" x14ac:dyDescent="0.4">
      <c r="B8" s="45" t="s">
        <v>365</v>
      </c>
      <c r="C8" s="45"/>
      <c r="F8">
        <f>SUBTOTAL(9,F10:F1048576)</f>
        <v>1839056.3</v>
      </c>
      <c r="H8" s="49" t="s">
        <v>362</v>
      </c>
      <c r="I8" s="49"/>
      <c r="J8" s="49"/>
      <c r="L8">
        <f>SUBTOTAL(9,L10:L39)</f>
        <v>105923.5</v>
      </c>
      <c r="N8" s="45" t="s">
        <v>364</v>
      </c>
      <c r="O8" s="45"/>
      <c r="P8" s="45"/>
    </row>
    <row r="9" spans="2:18" ht="15" thickBot="1" x14ac:dyDescent="0.4">
      <c r="B9" s="32" t="s">
        <v>83</v>
      </c>
      <c r="C9" s="27" t="s">
        <v>87</v>
      </c>
      <c r="D9" s="28" t="s">
        <v>88</v>
      </c>
      <c r="E9" s="27" t="s">
        <v>122</v>
      </c>
      <c r="F9" s="29" t="s">
        <v>79</v>
      </c>
      <c r="H9" s="26" t="s">
        <v>83</v>
      </c>
      <c r="I9" s="27" t="s">
        <v>76</v>
      </c>
      <c r="J9" s="28" t="s">
        <v>77</v>
      </c>
      <c r="K9" s="27" t="s">
        <v>78</v>
      </c>
      <c r="L9" s="29" t="s">
        <v>123</v>
      </c>
      <c r="N9" s="30" t="s">
        <v>119</v>
      </c>
      <c r="O9" s="31" t="s">
        <v>120</v>
      </c>
      <c r="P9" s="40" t="s">
        <v>121</v>
      </c>
      <c r="Q9" s="40" t="s">
        <v>122</v>
      </c>
      <c r="R9" s="40" t="s">
        <v>56</v>
      </c>
    </row>
    <row r="10" spans="2:18" x14ac:dyDescent="0.35">
      <c r="B10" s="11" t="s">
        <v>535</v>
      </c>
      <c r="C10" s="47">
        <v>46162</v>
      </c>
      <c r="D10" t="s">
        <v>537</v>
      </c>
      <c r="E10" s="11" t="s">
        <v>536</v>
      </c>
      <c r="F10" s="19">
        <v>5064.05</v>
      </c>
      <c r="H10" s="7" t="s">
        <v>456</v>
      </c>
      <c r="I10" s="47">
        <v>46114</v>
      </c>
      <c r="J10" t="s">
        <v>400</v>
      </c>
      <c r="K10" s="11" t="s">
        <v>391</v>
      </c>
      <c r="L10" s="18">
        <v>4788</v>
      </c>
      <c r="N10" s="44"/>
      <c r="O10" s="11"/>
      <c r="P10" s="9"/>
      <c r="Q10" s="9"/>
      <c r="R10" s="19"/>
    </row>
    <row r="11" spans="2:18" x14ac:dyDescent="0.35">
      <c r="B11" s="11" t="s">
        <v>538</v>
      </c>
      <c r="C11" s="47">
        <v>46162</v>
      </c>
      <c r="D11" t="s">
        <v>537</v>
      </c>
      <c r="E11" s="11" t="s">
        <v>536</v>
      </c>
      <c r="F11" s="19">
        <v>5118.0200000000004</v>
      </c>
      <c r="H11" s="7" t="s">
        <v>457</v>
      </c>
      <c r="I11" s="47">
        <v>46114</v>
      </c>
      <c r="J11" t="s">
        <v>401</v>
      </c>
      <c r="K11" s="11" t="s">
        <v>391</v>
      </c>
      <c r="L11" s="18">
        <v>6559.68</v>
      </c>
      <c r="N11" s="44"/>
      <c r="O11" s="11"/>
      <c r="P11" s="9"/>
      <c r="Q11" s="9"/>
      <c r="R11" s="19"/>
    </row>
    <row r="12" spans="2:18" x14ac:dyDescent="0.35">
      <c r="B12" s="11" t="s">
        <v>567</v>
      </c>
      <c r="C12" s="47">
        <v>46162</v>
      </c>
      <c r="D12" s="11" t="s">
        <v>566</v>
      </c>
      <c r="E12" s="11" t="s">
        <v>197</v>
      </c>
      <c r="F12" s="19">
        <v>1807874.23</v>
      </c>
      <c r="H12" s="7" t="s">
        <v>458</v>
      </c>
      <c r="I12" s="47">
        <v>46114</v>
      </c>
      <c r="J12" t="s">
        <v>402</v>
      </c>
      <c r="K12" s="11" t="s">
        <v>391</v>
      </c>
      <c r="L12" s="18">
        <v>10391.92</v>
      </c>
      <c r="N12" s="44"/>
      <c r="O12" s="11"/>
      <c r="P12" s="9"/>
      <c r="Q12" s="9"/>
      <c r="R12" s="19"/>
    </row>
    <row r="13" spans="2:18" x14ac:dyDescent="0.35">
      <c r="B13" s="11" t="s">
        <v>568</v>
      </c>
      <c r="C13" s="47">
        <v>46162</v>
      </c>
      <c r="D13" s="11" t="s">
        <v>566</v>
      </c>
      <c r="E13" s="11" t="s">
        <v>197</v>
      </c>
      <c r="F13" s="19">
        <v>21000</v>
      </c>
      <c r="H13" s="7" t="s">
        <v>459</v>
      </c>
      <c r="I13" s="47">
        <v>46118</v>
      </c>
      <c r="J13" t="s">
        <v>403</v>
      </c>
      <c r="K13" s="11" t="s">
        <v>391</v>
      </c>
      <c r="L13" s="18">
        <v>2035.67</v>
      </c>
      <c r="N13" s="44"/>
      <c r="O13" s="11"/>
      <c r="P13" s="9"/>
      <c r="Q13" s="9"/>
      <c r="R13" s="19"/>
    </row>
    <row r="14" spans="2:18" x14ac:dyDescent="0.35">
      <c r="B14" s="11"/>
      <c r="C14" s="47"/>
      <c r="E14" s="11"/>
      <c r="F14" s="19"/>
      <c r="H14" s="7" t="s">
        <v>460</v>
      </c>
      <c r="I14" s="47">
        <v>46118</v>
      </c>
      <c r="J14" t="s">
        <v>404</v>
      </c>
      <c r="K14" s="11" t="s">
        <v>391</v>
      </c>
      <c r="L14" s="18">
        <v>1585.76</v>
      </c>
      <c r="N14" s="44"/>
      <c r="O14" s="11"/>
      <c r="P14" s="9"/>
      <c r="Q14" s="9"/>
      <c r="R14" s="19"/>
    </row>
    <row r="15" spans="2:18" x14ac:dyDescent="0.35">
      <c r="B15" s="11"/>
      <c r="C15" s="47"/>
      <c r="E15" s="11"/>
      <c r="F15" s="19"/>
      <c r="H15" s="7" t="s">
        <v>461</v>
      </c>
      <c r="I15" s="47">
        <v>46118</v>
      </c>
      <c r="J15" t="s">
        <v>405</v>
      </c>
      <c r="K15" s="11" t="s">
        <v>391</v>
      </c>
      <c r="L15" s="18">
        <v>1899.92</v>
      </c>
      <c r="N15" s="44"/>
      <c r="O15" s="11"/>
      <c r="P15" s="9"/>
      <c r="Q15" s="9"/>
      <c r="R15" s="19"/>
    </row>
    <row r="16" spans="2:18" x14ac:dyDescent="0.35">
      <c r="B16" s="11"/>
      <c r="C16" s="47"/>
      <c r="E16" s="11"/>
      <c r="F16" s="19"/>
      <c r="H16" s="7" t="s">
        <v>462</v>
      </c>
      <c r="I16" s="47">
        <v>46118</v>
      </c>
      <c r="J16" t="s">
        <v>406</v>
      </c>
      <c r="K16" s="11" t="s">
        <v>391</v>
      </c>
      <c r="L16" s="18">
        <v>4598</v>
      </c>
      <c r="N16" s="44"/>
      <c r="O16" s="11"/>
      <c r="P16" s="9"/>
      <c r="Q16" s="9"/>
      <c r="R16" s="19"/>
    </row>
    <row r="17" spans="2:18" x14ac:dyDescent="0.35">
      <c r="B17" s="11"/>
      <c r="C17" s="47"/>
      <c r="E17" s="11"/>
      <c r="F17" s="19"/>
      <c r="H17" s="7" t="s">
        <v>463</v>
      </c>
      <c r="I17" s="47">
        <v>46118</v>
      </c>
      <c r="J17" t="s">
        <v>407</v>
      </c>
      <c r="K17" s="11" t="s">
        <v>391</v>
      </c>
      <c r="L17" s="18">
        <v>2156</v>
      </c>
      <c r="N17" s="44"/>
      <c r="O17" s="11"/>
      <c r="P17" s="9"/>
      <c r="Q17" s="9"/>
      <c r="R17" s="19"/>
    </row>
    <row r="18" spans="2:18" x14ac:dyDescent="0.35">
      <c r="B18" s="11"/>
      <c r="C18" s="47"/>
      <c r="E18" s="11"/>
      <c r="F18" s="19"/>
      <c r="H18" s="7" t="s">
        <v>464</v>
      </c>
      <c r="I18" s="47">
        <v>46118</v>
      </c>
      <c r="J18" t="s">
        <v>408</v>
      </c>
      <c r="K18" s="11" t="s">
        <v>391</v>
      </c>
      <c r="L18" s="18">
        <v>3074.89</v>
      </c>
      <c r="N18" s="44"/>
      <c r="O18" s="11"/>
      <c r="P18" s="9"/>
      <c r="Q18" s="9"/>
      <c r="R18" s="19"/>
    </row>
    <row r="19" spans="2:18" x14ac:dyDescent="0.35">
      <c r="B19" s="11"/>
      <c r="C19" s="47"/>
      <c r="E19" s="11"/>
      <c r="F19" s="19"/>
      <c r="H19" s="7" t="s">
        <v>465</v>
      </c>
      <c r="I19" s="47">
        <v>46118</v>
      </c>
      <c r="J19" t="s">
        <v>409</v>
      </c>
      <c r="K19" s="11" t="s">
        <v>391</v>
      </c>
      <c r="L19" s="18">
        <v>4185.09</v>
      </c>
      <c r="N19" s="44"/>
      <c r="O19" s="11"/>
      <c r="P19" s="9"/>
      <c r="Q19" s="9"/>
      <c r="R19" s="19"/>
    </row>
    <row r="20" spans="2:18" x14ac:dyDescent="0.35">
      <c r="B20" s="11"/>
      <c r="C20" s="47"/>
      <c r="E20" s="11"/>
      <c r="F20" s="19"/>
      <c r="H20" s="7" t="s">
        <v>466</v>
      </c>
      <c r="I20" s="47">
        <v>46118</v>
      </c>
      <c r="J20" t="s">
        <v>410</v>
      </c>
      <c r="K20" s="11" t="s">
        <v>391</v>
      </c>
      <c r="L20" s="18">
        <v>4231.92</v>
      </c>
      <c r="N20" s="44"/>
      <c r="O20" s="11"/>
      <c r="P20" s="9"/>
      <c r="Q20" s="9"/>
      <c r="R20" s="19"/>
    </row>
    <row r="21" spans="2:18" x14ac:dyDescent="0.35">
      <c r="B21" s="11"/>
      <c r="C21" s="47"/>
      <c r="E21" s="11"/>
      <c r="F21" s="19"/>
      <c r="H21" s="7" t="s">
        <v>467</v>
      </c>
      <c r="I21" s="47">
        <v>46118</v>
      </c>
      <c r="J21" t="s">
        <v>411</v>
      </c>
      <c r="K21" s="11" t="s">
        <v>391</v>
      </c>
      <c r="L21" s="18">
        <v>5061.76</v>
      </c>
      <c r="N21" s="44"/>
      <c r="O21" s="11"/>
      <c r="P21" s="9"/>
      <c r="Q21" s="9"/>
      <c r="R21" s="19"/>
    </row>
    <row r="22" spans="2:18" x14ac:dyDescent="0.35">
      <c r="B22" s="11"/>
      <c r="C22" s="47"/>
      <c r="E22" s="11"/>
      <c r="F22" s="19"/>
      <c r="H22" s="7" t="s">
        <v>468</v>
      </c>
      <c r="I22" s="47">
        <v>46118</v>
      </c>
      <c r="J22" t="s">
        <v>412</v>
      </c>
      <c r="K22" s="11" t="s">
        <v>391</v>
      </c>
      <c r="L22" s="18">
        <v>8675.49</v>
      </c>
      <c r="N22" s="44"/>
      <c r="O22" s="11"/>
      <c r="P22" s="9"/>
      <c r="Q22" s="9"/>
      <c r="R22" s="19"/>
    </row>
    <row r="23" spans="2:18" x14ac:dyDescent="0.35">
      <c r="B23" s="11"/>
      <c r="C23" s="47"/>
      <c r="E23" s="11"/>
      <c r="F23" s="19"/>
      <c r="H23" s="7" t="s">
        <v>469</v>
      </c>
      <c r="I23" s="47">
        <v>46118</v>
      </c>
      <c r="J23" t="s">
        <v>413</v>
      </c>
      <c r="K23" s="11" t="s">
        <v>391</v>
      </c>
      <c r="L23" s="18">
        <v>4769.74</v>
      </c>
      <c r="N23" s="44"/>
      <c r="O23" s="11"/>
      <c r="P23" s="9"/>
      <c r="Q23" s="9"/>
      <c r="R23" s="19"/>
    </row>
    <row r="24" spans="2:18" x14ac:dyDescent="0.35">
      <c r="B24" s="11"/>
      <c r="C24" s="47"/>
      <c r="E24" s="11"/>
      <c r="F24" s="19"/>
      <c r="H24" s="7" t="s">
        <v>470</v>
      </c>
      <c r="I24" s="47">
        <v>46118</v>
      </c>
      <c r="J24" t="s">
        <v>414</v>
      </c>
      <c r="K24" s="11" t="s">
        <v>391</v>
      </c>
      <c r="L24" s="18">
        <v>10677.92</v>
      </c>
      <c r="N24" s="44"/>
      <c r="O24" s="11"/>
      <c r="P24" s="9"/>
      <c r="Q24" s="9"/>
      <c r="R24" s="19"/>
    </row>
    <row r="25" spans="2:18" x14ac:dyDescent="0.35">
      <c r="B25" s="11"/>
      <c r="C25" s="47"/>
      <c r="E25" s="11"/>
      <c r="F25" s="19"/>
      <c r="H25" s="7" t="s">
        <v>471</v>
      </c>
      <c r="I25" s="47">
        <v>46118</v>
      </c>
      <c r="J25" t="s">
        <v>415</v>
      </c>
      <c r="K25" s="11" t="s">
        <v>391</v>
      </c>
      <c r="L25" s="18">
        <v>7651.6</v>
      </c>
      <c r="N25" s="44"/>
      <c r="O25" s="11"/>
      <c r="P25" s="9"/>
      <c r="Q25" s="9"/>
      <c r="R25" s="19"/>
    </row>
    <row r="26" spans="2:18" x14ac:dyDescent="0.35">
      <c r="B26" s="11"/>
      <c r="C26" s="47"/>
      <c r="E26" s="11"/>
      <c r="F26" s="19"/>
      <c r="H26" s="7" t="s">
        <v>472</v>
      </c>
      <c r="I26" s="47">
        <v>46118</v>
      </c>
      <c r="J26" t="s">
        <v>416</v>
      </c>
      <c r="K26" s="11" t="s">
        <v>391</v>
      </c>
      <c r="L26" s="18">
        <v>1848</v>
      </c>
      <c r="N26" s="44"/>
      <c r="O26" s="11"/>
      <c r="P26" s="9"/>
      <c r="Q26" s="9"/>
      <c r="R26" s="19"/>
    </row>
    <row r="27" spans="2:18" x14ac:dyDescent="0.35">
      <c r="B27" s="11"/>
      <c r="C27" s="47"/>
      <c r="E27" s="11"/>
      <c r="F27" s="19"/>
      <c r="H27" s="7" t="s">
        <v>473</v>
      </c>
      <c r="I27" s="47">
        <v>46118</v>
      </c>
      <c r="J27" t="s">
        <v>417</v>
      </c>
      <c r="K27" s="11" t="s">
        <v>391</v>
      </c>
      <c r="L27" s="18">
        <v>1623.6</v>
      </c>
      <c r="N27" s="44"/>
      <c r="O27" s="11"/>
      <c r="P27" s="9"/>
      <c r="Q27" s="9"/>
      <c r="R27" s="19"/>
    </row>
    <row r="28" spans="2:18" x14ac:dyDescent="0.35">
      <c r="B28" s="11"/>
      <c r="C28" s="47"/>
      <c r="E28" s="11"/>
      <c r="F28" s="19"/>
      <c r="H28" s="7" t="s">
        <v>497</v>
      </c>
      <c r="I28" s="47">
        <v>46134</v>
      </c>
      <c r="J28" t="s">
        <v>498</v>
      </c>
      <c r="K28" s="11" t="s">
        <v>391</v>
      </c>
      <c r="L28" s="18">
        <v>6299.92</v>
      </c>
      <c r="N28" s="44"/>
      <c r="O28" s="11"/>
      <c r="P28" s="9"/>
      <c r="Q28" s="9"/>
      <c r="R28" s="19"/>
    </row>
    <row r="29" spans="2:18" x14ac:dyDescent="0.35">
      <c r="B29" s="11"/>
      <c r="C29" s="47"/>
      <c r="E29" s="11"/>
      <c r="F29" s="19"/>
      <c r="H29" s="7" t="s">
        <v>499</v>
      </c>
      <c r="I29" s="47">
        <v>46134</v>
      </c>
      <c r="J29" t="s">
        <v>500</v>
      </c>
      <c r="K29" s="11" t="s">
        <v>391</v>
      </c>
      <c r="L29" s="18">
        <v>1275</v>
      </c>
      <c r="N29" s="44"/>
      <c r="O29" s="11"/>
      <c r="P29" s="9"/>
      <c r="Q29" s="9"/>
      <c r="R29" s="19"/>
    </row>
    <row r="30" spans="2:18" x14ac:dyDescent="0.35">
      <c r="B30" s="11"/>
      <c r="C30" s="47"/>
      <c r="E30" s="11"/>
      <c r="F30" s="19"/>
      <c r="H30" s="7" t="s">
        <v>514</v>
      </c>
      <c r="I30" s="47">
        <v>46146</v>
      </c>
      <c r="J30" t="s">
        <v>515</v>
      </c>
      <c r="K30" s="11" t="s">
        <v>391</v>
      </c>
      <c r="L30" s="18">
        <v>10134.719999999999</v>
      </c>
      <c r="N30" s="44"/>
      <c r="O30" s="11"/>
      <c r="P30" s="9"/>
      <c r="Q30" s="9"/>
      <c r="R30" s="19"/>
    </row>
    <row r="31" spans="2:18" x14ac:dyDescent="0.35">
      <c r="B31" s="11"/>
      <c r="C31" s="47"/>
      <c r="E31" s="11"/>
      <c r="F31" s="19"/>
      <c r="H31" s="7" t="s">
        <v>607</v>
      </c>
      <c r="I31" s="47">
        <v>46181</v>
      </c>
      <c r="J31" t="s">
        <v>608</v>
      </c>
      <c r="K31" s="11" t="s">
        <v>391</v>
      </c>
      <c r="L31" s="18">
        <v>2398.9</v>
      </c>
      <c r="N31" s="44"/>
      <c r="O31" s="11"/>
      <c r="P31" s="9"/>
      <c r="Q31" s="9"/>
      <c r="R31" s="19"/>
    </row>
    <row r="32" spans="2:18" x14ac:dyDescent="0.35">
      <c r="B32" s="11"/>
      <c r="C32" s="47"/>
      <c r="E32" s="11"/>
      <c r="F32" s="19"/>
      <c r="H32" s="7"/>
      <c r="I32" s="47"/>
      <c r="K32" s="11"/>
      <c r="L32" s="18"/>
      <c r="N32" s="44"/>
      <c r="O32" s="11"/>
      <c r="P32" s="9"/>
      <c r="Q32" s="9"/>
      <c r="R32" s="19"/>
    </row>
    <row r="33" spans="2:18" x14ac:dyDescent="0.35">
      <c r="B33" s="11"/>
      <c r="C33" s="47"/>
      <c r="E33" s="11"/>
      <c r="F33" s="19"/>
      <c r="H33" s="7"/>
      <c r="I33" s="47"/>
      <c r="K33" s="11"/>
      <c r="L33" s="18"/>
      <c r="N33" s="44"/>
      <c r="O33" s="11"/>
      <c r="P33" s="9"/>
      <c r="Q33" s="9"/>
      <c r="R33" s="19"/>
    </row>
    <row r="34" spans="2:18" x14ac:dyDescent="0.35">
      <c r="B34" s="11"/>
      <c r="C34" s="47"/>
      <c r="E34" s="11"/>
      <c r="F34" s="19"/>
      <c r="H34" s="7"/>
      <c r="I34" s="47"/>
      <c r="K34" s="11"/>
      <c r="L34" s="18"/>
      <c r="N34" s="44"/>
      <c r="O34" s="11"/>
      <c r="P34" s="9"/>
      <c r="Q34" s="9"/>
      <c r="R34" s="19"/>
    </row>
    <row r="35" spans="2:18" x14ac:dyDescent="0.35">
      <c r="B35" s="11"/>
      <c r="C35" s="47"/>
      <c r="E35" s="11"/>
      <c r="F35" s="19"/>
      <c r="H35" s="7"/>
      <c r="I35" s="47"/>
      <c r="K35" s="11"/>
      <c r="L35" s="18"/>
      <c r="N35" s="44"/>
      <c r="O35" s="11"/>
      <c r="P35" s="9"/>
      <c r="Q35" s="9"/>
      <c r="R35" s="19"/>
    </row>
    <row r="36" spans="2:18" x14ac:dyDescent="0.35">
      <c r="B36" s="11"/>
      <c r="C36" s="47"/>
      <c r="E36" s="11"/>
      <c r="F36" s="19"/>
      <c r="H36" s="7"/>
      <c r="I36" s="47"/>
      <c r="K36" s="11"/>
      <c r="L36" s="18"/>
      <c r="N36" s="44"/>
      <c r="O36" s="11"/>
      <c r="P36" s="9"/>
      <c r="Q36" s="9"/>
      <c r="R36" s="19"/>
    </row>
    <row r="37" spans="2:18" x14ac:dyDescent="0.35">
      <c r="B37" s="11"/>
      <c r="C37" s="47"/>
      <c r="E37" s="11"/>
      <c r="F37" s="19"/>
      <c r="H37" s="7"/>
      <c r="I37" s="47"/>
      <c r="K37" s="11"/>
      <c r="L37" s="18"/>
      <c r="N37" s="44"/>
      <c r="O37" s="11"/>
      <c r="P37" s="9"/>
      <c r="Q37" s="9"/>
      <c r="R37" s="19"/>
    </row>
    <row r="38" spans="2:18" x14ac:dyDescent="0.35">
      <c r="B38" s="11"/>
      <c r="C38" s="47"/>
      <c r="E38" s="11"/>
      <c r="F38" s="19"/>
      <c r="H38" s="7"/>
      <c r="I38" s="47"/>
      <c r="K38" s="11"/>
      <c r="L38" s="18"/>
      <c r="N38" s="44"/>
      <c r="O38" s="11"/>
      <c r="P38" s="9"/>
      <c r="Q38" s="9"/>
      <c r="R38" s="19"/>
    </row>
    <row r="39" spans="2:18" x14ac:dyDescent="0.35">
      <c r="B39" s="11"/>
      <c r="C39" s="47"/>
      <c r="E39" s="11"/>
      <c r="F39" s="19"/>
      <c r="H39" s="7"/>
      <c r="I39" s="47"/>
      <c r="K39" s="11"/>
      <c r="L39" s="18"/>
      <c r="N39" s="44"/>
      <c r="O39" s="11"/>
      <c r="P39" s="9"/>
      <c r="Q39" s="9"/>
      <c r="R39" s="19"/>
    </row>
    <row r="43" spans="2:18" x14ac:dyDescent="0.35">
      <c r="L43" s="1" t="e">
        <f>#REF!-#REF!-#REF!</f>
        <v>#REF!</v>
      </c>
    </row>
  </sheetData>
  <conditionalFormatting sqref="B10:B38">
    <cfRule type="duplicateValues" dxfId="1" priority="24233"/>
  </conditionalFormatting>
  <conditionalFormatting sqref="H10:H38">
    <cfRule type="duplicateValues" dxfId="0" priority="2423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C4:J40"/>
  <sheetViews>
    <sheetView showGridLines="0" showRowColHeaders="0" topLeftCell="B1" workbookViewId="0">
      <selection activeCell="D9" sqref="D9"/>
    </sheetView>
  </sheetViews>
  <sheetFormatPr defaultRowHeight="14.5" x14ac:dyDescent="0.35"/>
  <cols>
    <col min="3" max="3" width="40.08984375" bestFit="1" customWidth="1"/>
    <col min="4" max="4" width="14.1796875" bestFit="1" customWidth="1"/>
    <col min="6" max="6" width="39.54296875" bestFit="1" customWidth="1"/>
    <col min="7" max="7" width="14.1796875" bestFit="1" customWidth="1"/>
    <col min="9" max="9" width="39.6328125" bestFit="1" customWidth="1"/>
    <col min="10" max="10" width="11.54296875" bestFit="1" customWidth="1"/>
  </cols>
  <sheetData>
    <row r="4" spans="3:10" s="64" customFormat="1" ht="16" thickBot="1" x14ac:dyDescent="0.4">
      <c r="C4" s="64" t="s">
        <v>93</v>
      </c>
      <c r="F4" s="64" t="s">
        <v>96</v>
      </c>
      <c r="I4" s="64" t="s">
        <v>98</v>
      </c>
    </row>
    <row r="5" spans="3:10" ht="15" thickBot="1" x14ac:dyDescent="0.4">
      <c r="C5" s="52" t="s">
        <v>90</v>
      </c>
      <c r="D5" s="53" t="s">
        <v>56</v>
      </c>
      <c r="F5" s="52" t="s">
        <v>90</v>
      </c>
      <c r="G5" s="53" t="s">
        <v>56</v>
      </c>
      <c r="I5" s="52" t="s">
        <v>90</v>
      </c>
      <c r="J5" s="53" t="s">
        <v>56</v>
      </c>
    </row>
    <row r="6" spans="3:10" x14ac:dyDescent="0.35">
      <c r="C6" s="51" t="s">
        <v>94</v>
      </c>
      <c r="D6" s="54">
        <f>Details!AY90</f>
        <v>15263713.060000001</v>
      </c>
      <c r="F6" s="51" t="s">
        <v>97</v>
      </c>
      <c r="G6" s="54">
        <f>Details!O90</f>
        <v>11824275</v>
      </c>
      <c r="I6" s="59" t="s">
        <v>99</v>
      </c>
      <c r="J6" s="60">
        <f>Details!AC90</f>
        <v>0</v>
      </c>
    </row>
    <row r="7" spans="3:10" x14ac:dyDescent="0.35">
      <c r="C7" s="51" t="s">
        <v>158</v>
      </c>
      <c r="D7" s="54">
        <f>Details!AY94</f>
        <v>-105923.5</v>
      </c>
      <c r="F7" s="51" t="s">
        <v>159</v>
      </c>
      <c r="G7" s="54">
        <f>-Details!O95</f>
        <v>151580.30000000005</v>
      </c>
      <c r="I7" s="51" t="s">
        <v>160</v>
      </c>
      <c r="J7" s="54">
        <f>Details!AC94</f>
        <v>0</v>
      </c>
    </row>
    <row r="8" spans="3:10" ht="15" thickBot="1" x14ac:dyDescent="0.4">
      <c r="C8" s="51"/>
      <c r="D8" s="54"/>
      <c r="F8" s="51" t="s">
        <v>293</v>
      </c>
      <c r="G8" s="54">
        <f>Details!O93</f>
        <v>0</v>
      </c>
      <c r="I8" s="51" t="s">
        <v>292</v>
      </c>
      <c r="J8" s="54">
        <f>Details!AC95</f>
        <v>0</v>
      </c>
    </row>
    <row r="9" spans="3:10" ht="15" thickBot="1" x14ac:dyDescent="0.4">
      <c r="C9" s="51" t="s">
        <v>86</v>
      </c>
      <c r="D9" s="54">
        <f>Details!AY97</f>
        <v>-1913770</v>
      </c>
      <c r="F9" s="51" t="s">
        <v>169</v>
      </c>
      <c r="G9" s="54">
        <v>0</v>
      </c>
      <c r="I9" s="51"/>
      <c r="J9" s="61">
        <f>SUM(J6:J8)</f>
        <v>0</v>
      </c>
    </row>
    <row r="10" spans="3:10" ht="15" thickBot="1" x14ac:dyDescent="0.4">
      <c r="C10" s="51" t="s">
        <v>178</v>
      </c>
      <c r="D10" s="54">
        <f>-Details!AY95</f>
        <v>0</v>
      </c>
      <c r="F10" s="51" t="s">
        <v>133</v>
      </c>
      <c r="G10" s="54">
        <f>-'Recon Items'!N18</f>
        <v>0</v>
      </c>
      <c r="I10" s="51" t="s">
        <v>100</v>
      </c>
      <c r="J10" s="54">
        <f>Details!AC91</f>
        <v>0</v>
      </c>
    </row>
    <row r="11" spans="3:10" ht="15" thickBot="1" x14ac:dyDescent="0.4">
      <c r="C11" s="51"/>
      <c r="D11" s="61">
        <f>SUM(D6:D10)</f>
        <v>13244019.560000001</v>
      </c>
      <c r="F11" s="56" t="s">
        <v>101</v>
      </c>
      <c r="G11" s="54">
        <f>'Recon Items'!G18</f>
        <v>0</v>
      </c>
      <c r="I11" s="57" t="s">
        <v>101</v>
      </c>
      <c r="J11" s="55">
        <f>J9-J10</f>
        <v>0</v>
      </c>
    </row>
    <row r="12" spans="3:10" ht="15" thickBot="1" x14ac:dyDescent="0.4">
      <c r="C12" s="51" t="s">
        <v>95</v>
      </c>
      <c r="D12" s="54">
        <f>Details!AY91</f>
        <v>13655264.65</v>
      </c>
      <c r="F12" s="51"/>
      <c r="G12" s="61">
        <f>SUM(G6:G11)</f>
        <v>11975855.300000001</v>
      </c>
    </row>
    <row r="13" spans="3:10" ht="15" thickBot="1" x14ac:dyDescent="0.4">
      <c r="C13" s="57" t="s">
        <v>101</v>
      </c>
      <c r="D13" s="55">
        <f>D11-D12</f>
        <v>-411245.08999999985</v>
      </c>
      <c r="F13" s="51" t="s">
        <v>102</v>
      </c>
      <c r="G13" s="54">
        <f>Details!O91</f>
        <v>10645655.32</v>
      </c>
    </row>
    <row r="14" spans="3:10" ht="15" thickBot="1" x14ac:dyDescent="0.4">
      <c r="C14" s="22"/>
      <c r="D14" s="23"/>
      <c r="F14" s="57" t="s">
        <v>101</v>
      </c>
      <c r="G14" s="58">
        <f>G12-G13-'Recon Items'!C18</f>
        <v>-1.9999999552965164E-2</v>
      </c>
    </row>
    <row r="24" spans="3:4" x14ac:dyDescent="0.35">
      <c r="C24" s="22"/>
      <c r="D24" s="24"/>
    </row>
    <row r="32" spans="3:4" x14ac:dyDescent="0.35">
      <c r="D32" s="3"/>
    </row>
    <row r="33" spans="4:4" x14ac:dyDescent="0.35">
      <c r="D33" s="3"/>
    </row>
    <row r="34" spans="4:4" x14ac:dyDescent="0.35">
      <c r="D34" s="3"/>
    </row>
    <row r="35" spans="4:4" x14ac:dyDescent="0.35">
      <c r="D35" s="3"/>
    </row>
    <row r="36" spans="4:4" x14ac:dyDescent="0.35">
      <c r="D36" s="3"/>
    </row>
    <row r="37" spans="4:4" x14ac:dyDescent="0.35">
      <c r="D37" s="3"/>
    </row>
    <row r="38" spans="4:4" x14ac:dyDescent="0.35">
      <c r="D38" s="3"/>
    </row>
    <row r="39" spans="4:4" x14ac:dyDescent="0.35">
      <c r="D39" s="3"/>
    </row>
    <row r="40" spans="4:4" x14ac:dyDescent="0.35">
      <c r="D40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2554D-C845-44A4-81A0-01C3807B03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Details</vt:lpstr>
      <vt:lpstr>Recon Items</vt:lpstr>
      <vt:lpstr>Supplier Metrics</vt:lpstr>
      <vt:lpstr>Buyer Metrics</vt:lpstr>
      <vt:lpstr>Material Metrics</vt:lpstr>
      <vt:lpstr>receivables</vt:lpstr>
      <vt:lpstr>Last year's</vt:lpstr>
      <vt:lpstr>Revenue - Reco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Recykal RT0095</dc:creator>
  <cp:lastModifiedBy>finance4</cp:lastModifiedBy>
  <cp:lastPrinted>2024-05-14T07:36:53Z</cp:lastPrinted>
  <dcterms:created xsi:type="dcterms:W3CDTF">2015-06-05T18:17:20Z</dcterms:created>
  <dcterms:modified xsi:type="dcterms:W3CDTF">2026-06-23T09:58:19Z</dcterms:modified>
</cp:coreProperties>
</file>