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xl/drawings/drawing6.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harts/chart10.xml" ContentType="application/vnd.openxmlformats-officedocument.drawingml.chart+xml"/>
  <Override PartName="/xl/charts/chart11.xml" ContentType="application/vnd.openxmlformats-officedocument.drawingml.chart+xml"/>
  <Override PartName="/xl/tables/table19.xml" ContentType="application/vnd.openxmlformats-officedocument.spreadsheetml.table+xml"/>
  <Override PartName="/xl/tables/table20.xml" ContentType="application/vnd.openxmlformats-officedocument.spreadsheetml.table+xml"/>
  <Override PartName="/xl/drawings/drawing7.xml" ContentType="application/vnd.openxmlformats-officedocument.drawing+xml"/>
  <Override PartName="/xl/tables/table21.xml" ContentType="application/vnd.openxmlformats-officedocument.spreadsheetml.tab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drawings/drawing8.xml" ContentType="application/vnd.openxmlformats-officedocument.drawing+xml"/>
  <Override PartName="/xl/tables/table35.xml" ContentType="application/vnd.openxmlformats-officedocument.spreadsheetml.table+xml"/>
  <Override PartName="/xl/drawings/drawing9.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iman\Downloads\"/>
    </mc:Choice>
  </mc:AlternateContent>
  <bookViews>
    <workbookView xWindow="0" yWindow="0" windowWidth="30720" windowHeight="12816" activeTab="1"/>
  </bookViews>
  <sheets>
    <sheet name="Home" sheetId="1" r:id="rId1"/>
    <sheet name="HW" sheetId="2" r:id="rId2"/>
    <sheet name="AS" sheetId="3" r:id="rId3"/>
    <sheet name="PA" sheetId="4" r:id="rId4"/>
    <sheet name="MC" sheetId="5" r:id="rId5"/>
    <sheet name="OL" sheetId="6" r:id="rId6"/>
    <sheet name="Performance" sheetId="7" r:id="rId7"/>
    <sheet name="STATS" sheetId="8" r:id="rId8"/>
    <sheet name="RCB" sheetId="9" r:id="rId9"/>
    <sheet name="GT" sheetId="10" r:id="rId10"/>
    <sheet name="SRH" sheetId="11" r:id="rId11"/>
    <sheet name="RR" sheetId="12" r:id="rId12"/>
    <sheet name="MI" sheetId="13" r:id="rId13"/>
    <sheet name="KKR" sheetId="14" r:id="rId14"/>
    <sheet name="DC" sheetId="15" r:id="rId15"/>
    <sheet name="PBSK" sheetId="16" r:id="rId16"/>
    <sheet name="LSG" sheetId="17" r:id="rId17"/>
    <sheet name="CSK" sheetId="18" r:id="rId18"/>
    <sheet name="Points" sheetId="19" r:id="rId19"/>
    <sheet name="Data" sheetId="20" r:id="rId20"/>
    <sheet name="SOLD Players" sheetId="21" r:id="rId21"/>
    <sheet name="IPLMaster" sheetId="22" r:id="rId22"/>
    <sheet name="Extra" sheetId="23" r:id="rId23"/>
    <sheet name="Bowler" sheetId="24" r:id="rId24"/>
    <sheet name="Timeline Data" sheetId="25" r:id="rId25"/>
  </sheets>
  <definedNames>
    <definedName name="_xlnm._FilterDatabase" localSheetId="2" hidden="1">AS!$A$1:$M$17</definedName>
    <definedName name="_xlnm._FilterDatabase" localSheetId="23" hidden="1">Bowler!$A$4:$F$107</definedName>
    <definedName name="_xlnm._FilterDatabase" localSheetId="0" hidden="1">Home!$F$1:$I$6</definedName>
    <definedName name="_xlnm._FilterDatabase" localSheetId="1" hidden="1">HW!$A$1:$M$17</definedName>
    <definedName name="_xlnm._FilterDatabase" localSheetId="21" hidden="1">IPLMaster!$A$1:$H$251</definedName>
    <definedName name="_xlnm._FilterDatabase" localSheetId="4" hidden="1">MC!$A$1:$M$17</definedName>
    <definedName name="_xlnm._FilterDatabase" localSheetId="5" hidden="1">OL!$A$1:$M$17</definedName>
    <definedName name="_xlnm._FilterDatabase" localSheetId="18" hidden="1">Points!$A$4:$H$107</definedName>
    <definedName name="_xlnm._FilterDatabase" localSheetId="7" hidden="1">STATS!$A$1:$E$6</definedName>
    <definedName name="Z_1EE56A46_DDAF_414D_A3FC_8C32C20DF9BB_.wvu.FilterData" localSheetId="20" hidden="1">'SOLD Players'!$A$1:$I$104</definedName>
    <definedName name="Z_A10B6D03_49BC_4A63_8BE5_8D76540803EF_.wvu.FilterData" localSheetId="2" hidden="1">AS!$A$1:$M$17</definedName>
    <definedName name="Z_A10B6D03_49BC_4A63_8BE5_8D76540803EF_.wvu.FilterData" localSheetId="4" hidden="1">MC!$A$1:$M$17</definedName>
    <definedName name="Z_A10B6D03_49BC_4A63_8BE5_8D76540803EF_.wvu.FilterData" localSheetId="5" hidden="1">OL!$A$1:$M$17</definedName>
    <definedName name="Z_B2CB816B_A3F7_4293_B70C_5211F62788CD_.wvu.FilterData" localSheetId="1" hidden="1">HW!$A$1:$M$17</definedName>
  </definedNames>
  <calcPr calcId="162913"/>
  <customWorkbookViews>
    <customWorkbookView name="Group by opted by" guid="{1EE56A46-DDAF-414D-A3FC-8C32C20DF9BB}" maximized="1" windowWidth="0" windowHeight="0" activeSheetId="0"/>
    <customWorkbookView name="Group by Type" guid="{B2CB816B-A3F7-4293-B70C-5211F62788CD}" maximized="1" windowWidth="0" windowHeight="0" activeSheetId="0"/>
    <customWorkbookView name="Group by Team Name" guid="{A10B6D03-49BC-4A63-8BE5-8D76540803EF}" maximized="1" windowWidth="0" windowHeight="0" activeSheetId="0"/>
  </customWorkbookViews>
  <fileRecoveryPr repairLoad="1"/>
</workbook>
</file>

<file path=xl/calcChain.xml><?xml version="1.0" encoding="utf-8"?>
<calcChain xmlns="http://schemas.openxmlformats.org/spreadsheetml/2006/main">
  <c r="E107" i="24" l="1"/>
  <c r="E106" i="24"/>
  <c r="E105" i="24"/>
  <c r="E104" i="24"/>
  <c r="E103" i="24"/>
  <c r="E102" i="24"/>
  <c r="E101" i="24"/>
  <c r="E100" i="24"/>
  <c r="E99" i="24"/>
  <c r="E98" i="24"/>
  <c r="J97" i="24"/>
  <c r="E96" i="24"/>
  <c r="E95" i="24"/>
  <c r="E94" i="24"/>
  <c r="E93" i="24"/>
  <c r="E92" i="24"/>
  <c r="E91" i="24"/>
  <c r="E90" i="24"/>
  <c r="E89" i="24"/>
  <c r="E88" i="24"/>
  <c r="E87" i="24"/>
  <c r="E86" i="24"/>
  <c r="E85" i="24"/>
  <c r="E84" i="24"/>
  <c r="E83" i="24"/>
  <c r="E82" i="24"/>
  <c r="E81" i="24"/>
  <c r="E80" i="24"/>
  <c r="E79" i="24"/>
  <c r="E78" i="24"/>
  <c r="E77" i="24"/>
  <c r="E76" i="24"/>
  <c r="E75" i="24"/>
  <c r="E74" i="24"/>
  <c r="E73" i="24"/>
  <c r="E72" i="24"/>
  <c r="E71" i="24"/>
  <c r="E70" i="24"/>
  <c r="E69" i="24"/>
  <c r="E68" i="24"/>
  <c r="E67" i="24"/>
  <c r="E66" i="24"/>
  <c r="E65" i="24"/>
  <c r="E64" i="24"/>
  <c r="E63" i="24"/>
  <c r="E62" i="24"/>
  <c r="L9" i="24" s="1"/>
  <c r="E61" i="24"/>
  <c r="E60" i="24"/>
  <c r="E59" i="24"/>
  <c r="E58" i="24"/>
  <c r="E57" i="24"/>
  <c r="E56" i="24"/>
  <c r="E55" i="24"/>
  <c r="E54" i="24"/>
  <c r="E53" i="24"/>
  <c r="E52" i="24"/>
  <c r="E51" i="24"/>
  <c r="E50" i="24"/>
  <c r="E49" i="24"/>
  <c r="E48" i="24"/>
  <c r="E47" i="24"/>
  <c r="E46" i="24"/>
  <c r="E45" i="24"/>
  <c r="E44" i="24"/>
  <c r="E43" i="24"/>
  <c r="E42" i="24"/>
  <c r="E41" i="24"/>
  <c r="E40" i="24"/>
  <c r="E39" i="24"/>
  <c r="E38" i="24"/>
  <c r="E37" i="24"/>
  <c r="E36" i="24"/>
  <c r="E35" i="24"/>
  <c r="E34" i="24"/>
  <c r="E33" i="24"/>
  <c r="E32" i="24"/>
  <c r="E31" i="24"/>
  <c r="E30" i="24"/>
  <c r="E29" i="24"/>
  <c r="E28" i="24"/>
  <c r="E27" i="24"/>
  <c r="L6" i="24" s="1"/>
  <c r="E26" i="24"/>
  <c r="E25" i="24"/>
  <c r="E24" i="24"/>
  <c r="E23" i="24"/>
  <c r="E22" i="24"/>
  <c r="E21" i="24"/>
  <c r="E20" i="24"/>
  <c r="E19" i="24"/>
  <c r="E18" i="24"/>
  <c r="E17" i="24"/>
  <c r="E16" i="24"/>
  <c r="E15" i="24"/>
  <c r="E14" i="24"/>
  <c r="E13" i="24"/>
  <c r="E12" i="24"/>
  <c r="E11" i="24"/>
  <c r="E10" i="24"/>
  <c r="E9" i="24"/>
  <c r="E8" i="24"/>
  <c r="E7" i="24"/>
  <c r="E6" i="24"/>
  <c r="E5" i="24"/>
  <c r="C32" i="23"/>
  <c r="C31" i="23"/>
  <c r="D30" i="23"/>
  <c r="C30" i="23"/>
  <c r="C29" i="23"/>
  <c r="C28" i="23"/>
  <c r="C26" i="23"/>
  <c r="C25" i="23"/>
  <c r="C24" i="23"/>
  <c r="C23" i="23"/>
  <c r="E22" i="23"/>
  <c r="C22" i="23"/>
  <c r="C20" i="23"/>
  <c r="C19" i="23"/>
  <c r="E18" i="23"/>
  <c r="C18" i="23"/>
  <c r="C17" i="23"/>
  <c r="C16" i="23"/>
  <c r="C15" i="23"/>
  <c r="C14" i="23"/>
  <c r="C13" i="23"/>
  <c r="C12" i="23"/>
  <c r="C11" i="23"/>
  <c r="C10" i="23"/>
  <c r="C9" i="23"/>
  <c r="C8" i="23"/>
  <c r="C7" i="23"/>
  <c r="C5" i="23"/>
  <c r="G45" i="20"/>
  <c r="G46" i="20" s="1"/>
  <c r="F26" i="20"/>
  <c r="E26" i="20"/>
  <c r="D26" i="20"/>
  <c r="C26" i="20"/>
  <c r="B26" i="20"/>
  <c r="Q6" i="20"/>
  <c r="I6" i="20"/>
  <c r="H6" i="20"/>
  <c r="Q5" i="20"/>
  <c r="I5" i="20"/>
  <c r="H5" i="20"/>
  <c r="Q4" i="20"/>
  <c r="I4" i="20"/>
  <c r="H4" i="20"/>
  <c r="Q3" i="20"/>
  <c r="I3" i="20"/>
  <c r="H3" i="20"/>
  <c r="Q2" i="20"/>
  <c r="I2" i="20"/>
  <c r="H2" i="20"/>
  <c r="N107" i="19"/>
  <c r="H107" i="19" s="1"/>
  <c r="G107" i="19" s="1"/>
  <c r="D13" i="23" s="1"/>
  <c r="N106" i="19"/>
  <c r="H106" i="19" s="1"/>
  <c r="N105" i="19"/>
  <c r="L105" i="19"/>
  <c r="H105" i="19"/>
  <c r="G105" i="19" s="1"/>
  <c r="N104" i="19"/>
  <c r="H104" i="19" s="1"/>
  <c r="L104" i="19"/>
  <c r="N103" i="19"/>
  <c r="H103" i="19"/>
  <c r="E9" i="23" s="1"/>
  <c r="G103" i="19"/>
  <c r="D9" i="23" s="1"/>
  <c r="N102" i="19"/>
  <c r="H102" i="19"/>
  <c r="N101" i="19"/>
  <c r="H101" i="19"/>
  <c r="L101" i="19" s="1"/>
  <c r="N100" i="19"/>
  <c r="H100" i="19" s="1"/>
  <c r="L100" i="19" s="1"/>
  <c r="N99" i="19"/>
  <c r="H99" i="19" s="1"/>
  <c r="N98" i="19"/>
  <c r="H98" i="19"/>
  <c r="N97" i="19"/>
  <c r="K97" i="19"/>
  <c r="H97" i="19"/>
  <c r="E21" i="23" s="1"/>
  <c r="N96" i="19"/>
  <c r="H96" i="19"/>
  <c r="G96" i="19" s="1"/>
  <c r="N95" i="19"/>
  <c r="H95" i="19"/>
  <c r="G95" i="19" s="1"/>
  <c r="D6" i="12" s="1"/>
  <c r="N94" i="19"/>
  <c r="H94" i="19"/>
  <c r="G94" i="19"/>
  <c r="D5" i="12" s="1"/>
  <c r="I5" i="12" s="1"/>
  <c r="N93" i="19"/>
  <c r="H93" i="19" s="1"/>
  <c r="N92" i="19"/>
  <c r="H92" i="19"/>
  <c r="G92" i="19" s="1"/>
  <c r="D7" i="16" s="1"/>
  <c r="N91" i="19"/>
  <c r="H91" i="19"/>
  <c r="N90" i="19"/>
  <c r="H90" i="19"/>
  <c r="G90" i="19"/>
  <c r="D5" i="16" s="1"/>
  <c r="N89" i="19"/>
  <c r="H89" i="19" s="1"/>
  <c r="N88" i="19"/>
  <c r="H88" i="19"/>
  <c r="G88" i="19" s="1"/>
  <c r="N87" i="19"/>
  <c r="H87" i="19"/>
  <c r="N86" i="19"/>
  <c r="H86" i="19"/>
  <c r="G86" i="19"/>
  <c r="E6" i="10" s="1"/>
  <c r="N85" i="19"/>
  <c r="H85" i="19" s="1"/>
  <c r="N84" i="19"/>
  <c r="H84" i="19"/>
  <c r="G84" i="19" s="1"/>
  <c r="D6" i="15" s="1"/>
  <c r="N83" i="19"/>
  <c r="H83" i="19"/>
  <c r="N82" i="19"/>
  <c r="H82" i="19"/>
  <c r="G82" i="19"/>
  <c r="D5" i="18" s="1"/>
  <c r="I5" i="18" s="1"/>
  <c r="N81" i="19"/>
  <c r="H81" i="19" s="1"/>
  <c r="N80" i="19"/>
  <c r="L80" i="19"/>
  <c r="H80" i="19"/>
  <c r="G80" i="19" s="1"/>
  <c r="D18" i="23" s="1"/>
  <c r="N79" i="19"/>
  <c r="L79" i="19"/>
  <c r="H79" i="19"/>
  <c r="E17" i="23" s="1"/>
  <c r="N78" i="19"/>
  <c r="H78" i="19"/>
  <c r="L78" i="19" s="1"/>
  <c r="E15" i="9" s="1"/>
  <c r="H26" i="4" s="1"/>
  <c r="K26" i="4" s="1"/>
  <c r="G78" i="19"/>
  <c r="D15" i="9" s="1"/>
  <c r="N77" i="19"/>
  <c r="H77" i="19"/>
  <c r="N76" i="19"/>
  <c r="H76" i="19"/>
  <c r="E20" i="23" s="1"/>
  <c r="N75" i="19"/>
  <c r="H75" i="19"/>
  <c r="N74" i="19"/>
  <c r="H74" i="19"/>
  <c r="G74" i="19"/>
  <c r="D9" i="11" s="1"/>
  <c r="N73" i="19"/>
  <c r="H73" i="19" s="1"/>
  <c r="N72" i="19"/>
  <c r="H72" i="19"/>
  <c r="G72" i="19" s="1"/>
  <c r="N71" i="19"/>
  <c r="H71" i="19"/>
  <c r="N70" i="19"/>
  <c r="H70" i="19"/>
  <c r="G70" i="19"/>
  <c r="D13" i="16" s="1"/>
  <c r="N69" i="19"/>
  <c r="H69" i="19" s="1"/>
  <c r="N68" i="19"/>
  <c r="H68" i="19"/>
  <c r="G68" i="19" s="1"/>
  <c r="D11" i="13" s="1"/>
  <c r="I9" i="13" s="1"/>
  <c r="N67" i="19"/>
  <c r="H67" i="19"/>
  <c r="N66" i="19"/>
  <c r="H66" i="19"/>
  <c r="G66" i="19"/>
  <c r="D10" i="14" s="1"/>
  <c r="I9" i="14" s="1"/>
  <c r="N65" i="19"/>
  <c r="H65" i="19" s="1"/>
  <c r="N64" i="19"/>
  <c r="H64" i="19"/>
  <c r="G64" i="19" s="1"/>
  <c r="E10" i="10" s="1"/>
  <c r="N63" i="19"/>
  <c r="H63" i="19"/>
  <c r="G63" i="19" s="1"/>
  <c r="D11" i="15" s="1"/>
  <c r="I9" i="15" s="1"/>
  <c r="N62" i="19"/>
  <c r="H62" i="19"/>
  <c r="G62" i="19"/>
  <c r="D13" i="18" s="1"/>
  <c r="N61" i="19"/>
  <c r="H61" i="19" s="1"/>
  <c r="G61" i="19" s="1"/>
  <c r="D12" i="18" s="1"/>
  <c r="I9" i="18" s="1"/>
  <c r="N60" i="19"/>
  <c r="H60" i="19"/>
  <c r="E15" i="23" s="1"/>
  <c r="G60" i="19"/>
  <c r="D15" i="23" s="1"/>
  <c r="N59" i="19"/>
  <c r="H59" i="19"/>
  <c r="N58" i="19"/>
  <c r="H58" i="19"/>
  <c r="E29" i="23" s="1"/>
  <c r="N57" i="19"/>
  <c r="H57" i="19" s="1"/>
  <c r="L57" i="19"/>
  <c r="E12" i="13" s="1"/>
  <c r="N56" i="19"/>
  <c r="H56" i="19" s="1"/>
  <c r="N55" i="19"/>
  <c r="H55" i="19" s="1"/>
  <c r="N54" i="19"/>
  <c r="H54" i="19" s="1"/>
  <c r="N53" i="19"/>
  <c r="H53" i="19"/>
  <c r="N52" i="19"/>
  <c r="H52" i="19" s="1"/>
  <c r="E9" i="9" s="1"/>
  <c r="H13" i="6" s="1"/>
  <c r="N51" i="19"/>
  <c r="H51" i="19" s="1"/>
  <c r="N50" i="19"/>
  <c r="H50" i="19" s="1"/>
  <c r="N49" i="19"/>
  <c r="H49" i="19"/>
  <c r="N48" i="19"/>
  <c r="H48" i="19" s="1"/>
  <c r="N47" i="19"/>
  <c r="H47" i="19" s="1"/>
  <c r="N46" i="19"/>
  <c r="H46" i="19" s="1"/>
  <c r="N45" i="19"/>
  <c r="H45" i="19"/>
  <c r="N44" i="19"/>
  <c r="H44" i="19" s="1"/>
  <c r="N43" i="19"/>
  <c r="H43" i="19" s="1"/>
  <c r="N42" i="19"/>
  <c r="H42" i="19" s="1"/>
  <c r="N41" i="19"/>
  <c r="H41" i="19"/>
  <c r="N40" i="19"/>
  <c r="H40" i="19"/>
  <c r="L40" i="19" s="1"/>
  <c r="E14" i="16" s="1"/>
  <c r="N39" i="19"/>
  <c r="H39" i="19" s="1"/>
  <c r="G39" i="19" s="1"/>
  <c r="D12" i="12" s="1"/>
  <c r="L39" i="19"/>
  <c r="K39" i="19"/>
  <c r="D27" i="23" s="1"/>
  <c r="N38" i="19"/>
  <c r="H38" i="19" s="1"/>
  <c r="G38" i="19" s="1"/>
  <c r="D7" i="12" s="1"/>
  <c r="I6" i="12" s="1"/>
  <c r="N37" i="19"/>
  <c r="H37" i="19"/>
  <c r="G37" i="19" s="1"/>
  <c r="D8" i="9" s="1"/>
  <c r="N36" i="19"/>
  <c r="H36" i="19"/>
  <c r="N35" i="19"/>
  <c r="H35" i="19"/>
  <c r="G35" i="19"/>
  <c r="N34" i="19"/>
  <c r="H34" i="19" s="1"/>
  <c r="N33" i="19"/>
  <c r="H33" i="19"/>
  <c r="G33" i="19" s="1"/>
  <c r="D7" i="13" s="1"/>
  <c r="N32" i="19"/>
  <c r="H32" i="19"/>
  <c r="G32" i="19" s="1"/>
  <c r="D6" i="13" s="1"/>
  <c r="N31" i="19"/>
  <c r="H31" i="19"/>
  <c r="G31" i="19"/>
  <c r="D5" i="13" s="1"/>
  <c r="I6" i="13" s="1"/>
  <c r="N30" i="19"/>
  <c r="H30" i="19" s="1"/>
  <c r="N29" i="19"/>
  <c r="H29" i="19"/>
  <c r="G29" i="19" s="1"/>
  <c r="D7" i="14" s="1"/>
  <c r="N28" i="19"/>
  <c r="H28" i="19"/>
  <c r="N27" i="19"/>
  <c r="H27" i="19"/>
  <c r="G27" i="19"/>
  <c r="E7" i="10" s="1"/>
  <c r="J6" i="10" s="1"/>
  <c r="N26" i="19"/>
  <c r="H26" i="19" s="1"/>
  <c r="N25" i="19"/>
  <c r="H25" i="19"/>
  <c r="G25" i="19" s="1"/>
  <c r="D7" i="18" s="1"/>
  <c r="N24" i="19"/>
  <c r="H24" i="19"/>
  <c r="N23" i="19"/>
  <c r="H23" i="19"/>
  <c r="L23" i="19" s="1"/>
  <c r="N22" i="19"/>
  <c r="H22" i="19"/>
  <c r="E24" i="23" s="1"/>
  <c r="G22" i="19"/>
  <c r="D24" i="23" s="1"/>
  <c r="N21" i="19"/>
  <c r="H21" i="19" s="1"/>
  <c r="G21" i="19"/>
  <c r="D13" i="14" s="1"/>
  <c r="N20" i="19"/>
  <c r="H20" i="19" s="1"/>
  <c r="N19" i="19"/>
  <c r="H19" i="19"/>
  <c r="E8" i="11" s="1"/>
  <c r="H16" i="3" s="1"/>
  <c r="K16" i="3" s="1"/>
  <c r="M76" i="7" s="1"/>
  <c r="G19" i="19"/>
  <c r="N18" i="19"/>
  <c r="H18" i="19" s="1"/>
  <c r="N17" i="19"/>
  <c r="H17" i="19" s="1"/>
  <c r="N16" i="19"/>
  <c r="H16" i="19"/>
  <c r="G16" i="19"/>
  <c r="N15" i="19"/>
  <c r="H15" i="19"/>
  <c r="G15" i="19"/>
  <c r="D9" i="12" s="1"/>
  <c r="I8" i="12" s="1"/>
  <c r="N14" i="19"/>
  <c r="H14" i="19" s="1"/>
  <c r="G14" i="19" s="1"/>
  <c r="D11" i="9" s="1"/>
  <c r="I8" i="9" s="1"/>
  <c r="N13" i="19"/>
  <c r="H13" i="19" s="1"/>
  <c r="N12" i="19"/>
  <c r="H12" i="19"/>
  <c r="G12" i="19"/>
  <c r="D10" i="16" s="1"/>
  <c r="N11" i="19"/>
  <c r="H11" i="19"/>
  <c r="E10" i="13" s="1"/>
  <c r="G11" i="19"/>
  <c r="D10" i="13" s="1"/>
  <c r="N10" i="19"/>
  <c r="H10" i="19" s="1"/>
  <c r="N9" i="19"/>
  <c r="H9" i="19" s="1"/>
  <c r="N8" i="19"/>
  <c r="H8" i="19"/>
  <c r="G8" i="19"/>
  <c r="N7" i="19"/>
  <c r="H7" i="19"/>
  <c r="F9" i="10" s="1"/>
  <c r="H4" i="3" s="1"/>
  <c r="G7" i="19"/>
  <c r="E9" i="10" s="1"/>
  <c r="N6" i="19"/>
  <c r="H6" i="19" s="1"/>
  <c r="N5" i="19"/>
  <c r="H5" i="19" s="1"/>
  <c r="E13" i="18"/>
  <c r="C13" i="18"/>
  <c r="C12" i="18"/>
  <c r="C11" i="18"/>
  <c r="C10" i="18"/>
  <c r="C9" i="18"/>
  <c r="C8" i="18"/>
  <c r="C7" i="18"/>
  <c r="C6" i="18"/>
  <c r="E5" i="18"/>
  <c r="C5" i="18"/>
  <c r="C12" i="17"/>
  <c r="E11" i="17"/>
  <c r="D11" i="17"/>
  <c r="I8" i="17" s="1"/>
  <c r="C11" i="17"/>
  <c r="C10" i="17"/>
  <c r="C9" i="17"/>
  <c r="C8" i="17"/>
  <c r="E7" i="17"/>
  <c r="D7" i="17"/>
  <c r="C7" i="17"/>
  <c r="C6" i="17"/>
  <c r="E5" i="17"/>
  <c r="D5" i="17"/>
  <c r="C5" i="17"/>
  <c r="E13" i="16"/>
  <c r="C13" i="16"/>
  <c r="C12" i="16"/>
  <c r="C11" i="16"/>
  <c r="E10" i="16"/>
  <c r="C10" i="16"/>
  <c r="C9" i="16"/>
  <c r="C8" i="16"/>
  <c r="E7" i="16"/>
  <c r="C7" i="16"/>
  <c r="C6" i="16"/>
  <c r="E5" i="16"/>
  <c r="C5" i="16"/>
  <c r="E11" i="15"/>
  <c r="H4" i="4" s="1"/>
  <c r="C11" i="15"/>
  <c r="C10" i="15"/>
  <c r="C9" i="15"/>
  <c r="C8" i="15"/>
  <c r="C7" i="15"/>
  <c r="E6" i="15"/>
  <c r="C6" i="15"/>
  <c r="C5" i="15"/>
  <c r="E10" i="14"/>
  <c r="C10" i="14"/>
  <c r="C9" i="14"/>
  <c r="C8" i="14"/>
  <c r="E7" i="14"/>
  <c r="C7" i="14"/>
  <c r="C6" i="14"/>
  <c r="C5" i="14"/>
  <c r="E11" i="13"/>
  <c r="C11" i="13"/>
  <c r="C10" i="13"/>
  <c r="C9" i="13"/>
  <c r="C8" i="13"/>
  <c r="E7" i="13"/>
  <c r="C7" i="13"/>
  <c r="C6" i="13"/>
  <c r="E5" i="13"/>
  <c r="C5" i="13"/>
  <c r="C11" i="12"/>
  <c r="E10" i="12"/>
  <c r="D10" i="12"/>
  <c r="C10" i="12"/>
  <c r="E9" i="12"/>
  <c r="C9" i="12"/>
  <c r="C8" i="12"/>
  <c r="E7" i="12"/>
  <c r="C7" i="12"/>
  <c r="E6" i="12"/>
  <c r="C6" i="12"/>
  <c r="E5" i="12"/>
  <c r="C5" i="12"/>
  <c r="C10" i="11"/>
  <c r="E9" i="11"/>
  <c r="C9" i="11"/>
  <c r="D8" i="11"/>
  <c r="C8" i="11"/>
  <c r="C7" i="11"/>
  <c r="C6" i="11"/>
  <c r="C5" i="11"/>
  <c r="C11" i="10"/>
  <c r="F10" i="10"/>
  <c r="C10" i="10"/>
  <c r="C9" i="10"/>
  <c r="J8" i="10"/>
  <c r="C8" i="10"/>
  <c r="F7" i="10"/>
  <c r="C7" i="10"/>
  <c r="F6" i="10"/>
  <c r="C6" i="10"/>
  <c r="C5" i="10"/>
  <c r="E13" i="9"/>
  <c r="D13" i="9"/>
  <c r="C13" i="9"/>
  <c r="C12" i="9"/>
  <c r="E11" i="9"/>
  <c r="C11" i="9"/>
  <c r="C10" i="9"/>
  <c r="C9" i="9"/>
  <c r="E8" i="9"/>
  <c r="C8" i="9"/>
  <c r="C7" i="9"/>
  <c r="E6" i="9"/>
  <c r="D6" i="9"/>
  <c r="C6" i="9"/>
  <c r="C5" i="9"/>
  <c r="D58" i="7"/>
  <c r="N58" i="7" s="1"/>
  <c r="N54" i="7"/>
  <c r="D54" i="7"/>
  <c r="D43" i="7"/>
  <c r="N43" i="7" s="1"/>
  <c r="D34" i="7"/>
  <c r="N34" i="7" s="1"/>
  <c r="D31" i="7"/>
  <c r="M19" i="7"/>
  <c r="J52" i="6"/>
  <c r="K52" i="6" s="1"/>
  <c r="J51" i="6"/>
  <c r="H51" i="6"/>
  <c r="K51" i="6" s="1"/>
  <c r="J50" i="6"/>
  <c r="J24" i="6"/>
  <c r="K23" i="6"/>
  <c r="J23" i="6"/>
  <c r="H23" i="6"/>
  <c r="J22" i="6"/>
  <c r="L16" i="6"/>
  <c r="J16" i="6"/>
  <c r="L15" i="6"/>
  <c r="J15" i="6"/>
  <c r="L14" i="6"/>
  <c r="J14" i="6"/>
  <c r="J13" i="6"/>
  <c r="L12" i="6"/>
  <c r="J12" i="6"/>
  <c r="L11" i="6"/>
  <c r="J11" i="6"/>
  <c r="L10" i="6"/>
  <c r="J10" i="6"/>
  <c r="L9" i="6"/>
  <c r="J9" i="6"/>
  <c r="L8" i="6"/>
  <c r="J8" i="6"/>
  <c r="L7" i="6"/>
  <c r="J7" i="6"/>
  <c r="L6" i="6"/>
  <c r="J6" i="6"/>
  <c r="L5" i="6"/>
  <c r="J5" i="6"/>
  <c r="L4" i="6"/>
  <c r="J4" i="6"/>
  <c r="J3" i="6"/>
  <c r="L2" i="6"/>
  <c r="J2" i="6"/>
  <c r="J24" i="5"/>
  <c r="K24" i="5" s="1"/>
  <c r="H24" i="5"/>
  <c r="J23" i="5"/>
  <c r="K23" i="5" s="1"/>
  <c r="H23" i="5"/>
  <c r="M16" i="5"/>
  <c r="L16" i="5"/>
  <c r="H16" i="5"/>
  <c r="K16" i="5" s="1"/>
  <c r="M61" i="7" s="1"/>
  <c r="L15" i="5"/>
  <c r="K15" i="5"/>
  <c r="M60" i="7" s="1"/>
  <c r="H15" i="5"/>
  <c r="M15" i="5" s="1"/>
  <c r="L14" i="5"/>
  <c r="L13" i="5"/>
  <c r="M13" i="5" s="1"/>
  <c r="H13" i="5"/>
  <c r="K13" i="5" s="1"/>
  <c r="M58" i="7" s="1"/>
  <c r="L12" i="5"/>
  <c r="L11" i="5"/>
  <c r="K11" i="5"/>
  <c r="M56" i="7" s="1"/>
  <c r="H11" i="5"/>
  <c r="L10" i="5"/>
  <c r="L9" i="5"/>
  <c r="K9" i="5"/>
  <c r="M54" i="7" s="1"/>
  <c r="H9" i="5"/>
  <c r="M9" i="5" s="1"/>
  <c r="L8" i="5"/>
  <c r="M7" i="5"/>
  <c r="L7" i="5"/>
  <c r="H7" i="5"/>
  <c r="L6" i="5"/>
  <c r="L5" i="5"/>
  <c r="H5" i="5"/>
  <c r="L4" i="5"/>
  <c r="L3" i="5"/>
  <c r="L2" i="5"/>
  <c r="J53" i="4"/>
  <c r="K52" i="4"/>
  <c r="J52" i="4"/>
  <c r="H52" i="4"/>
  <c r="K51" i="4"/>
  <c r="J51" i="4"/>
  <c r="H51" i="4"/>
  <c r="J26" i="4"/>
  <c r="J25" i="4"/>
  <c r="J24" i="4"/>
  <c r="L16" i="4"/>
  <c r="J16" i="4"/>
  <c r="M15" i="4"/>
  <c r="L15" i="4"/>
  <c r="J15" i="4"/>
  <c r="K15" i="4" s="1"/>
  <c r="M45" i="7" s="1"/>
  <c r="H15" i="4"/>
  <c r="D45" i="7" s="1"/>
  <c r="L14" i="4"/>
  <c r="J14" i="4"/>
  <c r="M13" i="4"/>
  <c r="L13" i="4"/>
  <c r="K13" i="4"/>
  <c r="M43" i="7" s="1"/>
  <c r="J13" i="4"/>
  <c r="H13" i="4"/>
  <c r="L12" i="4"/>
  <c r="J12" i="4"/>
  <c r="L11" i="4"/>
  <c r="J11" i="4"/>
  <c r="H11" i="4"/>
  <c r="D41" i="7" s="1"/>
  <c r="N41" i="7" s="1"/>
  <c r="L10" i="4"/>
  <c r="J10" i="4"/>
  <c r="L9" i="4"/>
  <c r="J9" i="4"/>
  <c r="H9" i="4"/>
  <c r="M9" i="4" s="1"/>
  <c r="L8" i="4"/>
  <c r="J8" i="4"/>
  <c r="L7" i="4"/>
  <c r="J7" i="4"/>
  <c r="K7" i="4" s="1"/>
  <c r="M37" i="7" s="1"/>
  <c r="H7" i="4"/>
  <c r="L6" i="4"/>
  <c r="J6" i="4"/>
  <c r="L5" i="4"/>
  <c r="J5" i="4"/>
  <c r="H5" i="4"/>
  <c r="L4" i="4"/>
  <c r="M4" i="4" s="1"/>
  <c r="K4" i="4"/>
  <c r="M34" i="7" s="1"/>
  <c r="J4" i="4"/>
  <c r="M3" i="4"/>
  <c r="L3" i="4"/>
  <c r="J3" i="4"/>
  <c r="K3" i="4" s="1"/>
  <c r="M33" i="7" s="1"/>
  <c r="H3" i="4"/>
  <c r="D33" i="7" s="1"/>
  <c r="L2" i="4"/>
  <c r="J2" i="4"/>
  <c r="J50" i="3"/>
  <c r="J24" i="3"/>
  <c r="J23" i="3"/>
  <c r="L16" i="3"/>
  <c r="J16" i="3"/>
  <c r="L15" i="3"/>
  <c r="J15" i="3"/>
  <c r="L14" i="3"/>
  <c r="J14" i="3"/>
  <c r="L13" i="3"/>
  <c r="J13" i="3"/>
  <c r="H13" i="3"/>
  <c r="K13" i="3" s="1"/>
  <c r="M73" i="7" s="1"/>
  <c r="L12" i="3"/>
  <c r="M12" i="3" s="1"/>
  <c r="K12" i="3"/>
  <c r="M72" i="7" s="1"/>
  <c r="J12" i="3"/>
  <c r="H12" i="3"/>
  <c r="D72" i="7" s="1"/>
  <c r="L11" i="3"/>
  <c r="J11" i="3"/>
  <c r="H11" i="3"/>
  <c r="D71" i="7" s="1"/>
  <c r="N71" i="7" s="1"/>
  <c r="L10" i="3"/>
  <c r="J10" i="3"/>
  <c r="M9" i="3"/>
  <c r="L9" i="3"/>
  <c r="J9" i="3"/>
  <c r="K9" i="3" s="1"/>
  <c r="M69" i="7" s="1"/>
  <c r="H9" i="3"/>
  <c r="D69" i="7" s="1"/>
  <c r="L8" i="3"/>
  <c r="K8" i="3"/>
  <c r="M68" i="7" s="1"/>
  <c r="J8" i="3"/>
  <c r="H8" i="3"/>
  <c r="L7" i="3"/>
  <c r="J7" i="3"/>
  <c r="L6" i="3"/>
  <c r="J6" i="3"/>
  <c r="L5" i="3"/>
  <c r="J5" i="3"/>
  <c r="H5" i="3"/>
  <c r="D65" i="7" s="1"/>
  <c r="N65" i="7" s="1"/>
  <c r="L4" i="3"/>
  <c r="K4" i="3"/>
  <c r="M64" i="7" s="1"/>
  <c r="J4" i="3"/>
  <c r="L3" i="3"/>
  <c r="J3" i="3"/>
  <c r="L2" i="3"/>
  <c r="J2" i="3"/>
  <c r="J59" i="2"/>
  <c r="J58" i="2"/>
  <c r="J57" i="2"/>
  <c r="J56" i="2"/>
  <c r="J55" i="2"/>
  <c r="H55" i="2"/>
  <c r="K55" i="2" s="1"/>
  <c r="J54" i="2"/>
  <c r="J53" i="2"/>
  <c r="J52" i="2"/>
  <c r="H52" i="2"/>
  <c r="J51" i="2"/>
  <c r="H26" i="2"/>
  <c r="H25" i="2"/>
  <c r="J24" i="2"/>
  <c r="J23" i="2"/>
  <c r="J22" i="2"/>
  <c r="M16" i="2"/>
  <c r="L16" i="2"/>
  <c r="J16" i="2"/>
  <c r="H16" i="2"/>
  <c r="L15" i="2"/>
  <c r="J15" i="2"/>
  <c r="H15" i="2"/>
  <c r="M15" i="2" s="1"/>
  <c r="L14" i="2"/>
  <c r="M14" i="2" s="1"/>
  <c r="J14" i="2"/>
  <c r="K14" i="2" s="1"/>
  <c r="M29" i="7" s="1"/>
  <c r="H14" i="2"/>
  <c r="D29" i="7" s="1"/>
  <c r="N29" i="7" s="1"/>
  <c r="L13" i="2"/>
  <c r="J13" i="2"/>
  <c r="L12" i="2"/>
  <c r="J12" i="2"/>
  <c r="H12" i="2"/>
  <c r="D27" i="7" s="1"/>
  <c r="N27" i="7" s="1"/>
  <c r="L11" i="2"/>
  <c r="J11" i="2"/>
  <c r="L10" i="2"/>
  <c r="K10" i="2"/>
  <c r="M25" i="7" s="1"/>
  <c r="J10" i="2"/>
  <c r="H10" i="2"/>
  <c r="L9" i="2"/>
  <c r="J9" i="2"/>
  <c r="L8" i="2"/>
  <c r="J8" i="2"/>
  <c r="H8" i="2"/>
  <c r="K8" i="2" s="1"/>
  <c r="M23" i="7" s="1"/>
  <c r="L7" i="2"/>
  <c r="J7" i="2"/>
  <c r="L6" i="2"/>
  <c r="K6" i="2"/>
  <c r="M21" i="7" s="1"/>
  <c r="J6" i="2"/>
  <c r="H6" i="2"/>
  <c r="D21" i="7" s="1"/>
  <c r="N21" i="7" s="1"/>
  <c r="L5" i="2"/>
  <c r="J5" i="2"/>
  <c r="L4" i="2"/>
  <c r="J4" i="2"/>
  <c r="H4" i="2"/>
  <c r="K4" i="2" s="1"/>
  <c r="L3" i="2"/>
  <c r="J3" i="2"/>
  <c r="J2" i="2"/>
  <c r="D30" i="1"/>
  <c r="D1" i="1"/>
  <c r="D72" i="8"/>
  <c r="D71" i="8"/>
  <c r="C70" i="8"/>
  <c r="C69" i="8"/>
  <c r="I66" i="8"/>
  <c r="O65" i="8"/>
  <c r="U64" i="8"/>
  <c r="C64" i="8"/>
  <c r="I63" i="8"/>
  <c r="O60" i="8"/>
  <c r="U59" i="8"/>
  <c r="C59" i="8"/>
  <c r="I58" i="8"/>
  <c r="O57" i="8"/>
  <c r="U54" i="8"/>
  <c r="C54" i="8"/>
  <c r="I53" i="8"/>
  <c r="O52" i="8"/>
  <c r="U51" i="8"/>
  <c r="C51" i="8"/>
  <c r="I50" i="8"/>
  <c r="O49" i="8"/>
  <c r="U48" i="8"/>
  <c r="C48" i="8"/>
  <c r="I47" i="8"/>
  <c r="O46" i="8"/>
  <c r="U45" i="8"/>
  <c r="C45" i="8"/>
  <c r="I44" i="8"/>
  <c r="O43" i="8"/>
  <c r="U42" i="8"/>
  <c r="C42" i="8"/>
  <c r="I39" i="8"/>
  <c r="O38" i="8"/>
  <c r="U37" i="8"/>
  <c r="C37" i="8"/>
  <c r="I36" i="8"/>
  <c r="O35" i="8"/>
  <c r="U34" i="8"/>
  <c r="C34" i="8"/>
  <c r="I33" i="8"/>
  <c r="O32" i="8"/>
  <c r="U31" i="8"/>
  <c r="C31" i="8"/>
  <c r="I30" i="8"/>
  <c r="C22" i="8"/>
  <c r="I21" i="8"/>
  <c r="O20" i="8"/>
  <c r="U19" i="8"/>
  <c r="C19" i="8"/>
  <c r="I18" i="8"/>
  <c r="C72" i="8"/>
  <c r="C71" i="8"/>
  <c r="B70" i="8"/>
  <c r="B69" i="8"/>
  <c r="H66" i="8"/>
  <c r="N65" i="8"/>
  <c r="T64" i="8"/>
  <c r="B64" i="8"/>
  <c r="H63" i="8"/>
  <c r="N60" i="8"/>
  <c r="T59" i="8"/>
  <c r="B59" i="8"/>
  <c r="H58" i="8"/>
  <c r="N57" i="8"/>
  <c r="T54" i="8"/>
  <c r="B54" i="8"/>
  <c r="H53" i="8"/>
  <c r="N52" i="8"/>
  <c r="T51" i="8"/>
  <c r="B51" i="8"/>
  <c r="H50" i="8"/>
  <c r="N49" i="8"/>
  <c r="T48" i="8"/>
  <c r="B48" i="8"/>
  <c r="H47" i="8"/>
  <c r="N46" i="8"/>
  <c r="T45" i="8"/>
  <c r="B45" i="8"/>
  <c r="H44" i="8"/>
  <c r="N43" i="8"/>
  <c r="T42" i="8"/>
  <c r="B42" i="8"/>
  <c r="H39" i="8"/>
  <c r="N38" i="8"/>
  <c r="T37" i="8"/>
  <c r="B37" i="8"/>
  <c r="H36" i="8"/>
  <c r="N35" i="8"/>
  <c r="P70" i="8"/>
  <c r="P69" i="8"/>
  <c r="V66" i="8"/>
  <c r="D66" i="8"/>
  <c r="J65" i="8"/>
  <c r="P64" i="8"/>
  <c r="V63" i="8"/>
  <c r="D63" i="8"/>
  <c r="J60" i="8"/>
  <c r="P59" i="8"/>
  <c r="V58" i="8"/>
  <c r="D58" i="8"/>
  <c r="J57" i="8"/>
  <c r="P54" i="8"/>
  <c r="V53" i="8"/>
  <c r="D53" i="8"/>
  <c r="J52" i="8"/>
  <c r="P51" i="8"/>
  <c r="V50" i="8"/>
  <c r="D50" i="8"/>
  <c r="J49" i="8"/>
  <c r="P48" i="8"/>
  <c r="V47" i="8"/>
  <c r="D47" i="8"/>
  <c r="J46" i="8"/>
  <c r="P45" i="8"/>
  <c r="V44" i="8"/>
  <c r="D44" i="8"/>
  <c r="J43" i="8"/>
  <c r="P42" i="8"/>
  <c r="V39" i="8"/>
  <c r="D39" i="8"/>
  <c r="J38" i="8"/>
  <c r="P37" i="8"/>
  <c r="V36" i="8"/>
  <c r="D36" i="8"/>
  <c r="J35" i="8"/>
  <c r="P34" i="8"/>
  <c r="V33" i="8"/>
  <c r="D33" i="8"/>
  <c r="J32" i="8"/>
  <c r="P31" i="8"/>
  <c r="V30" i="8"/>
  <c r="D30" i="8"/>
  <c r="V21" i="8"/>
  <c r="D21" i="8"/>
  <c r="J20" i="8"/>
  <c r="P19" i="8"/>
  <c r="V18" i="8"/>
  <c r="D18" i="8"/>
  <c r="J17" i="8"/>
  <c r="P16" i="8"/>
  <c r="V15" i="8"/>
  <c r="D15" i="8"/>
  <c r="J14" i="8"/>
  <c r="P13" i="8"/>
  <c r="V12" i="8"/>
  <c r="D12" i="8"/>
  <c r="J11" i="8"/>
  <c r="O72" i="8"/>
  <c r="O71" i="8"/>
  <c r="N70" i="8"/>
  <c r="N69" i="8"/>
  <c r="T66" i="8"/>
  <c r="B66" i="8"/>
  <c r="H65" i="8"/>
  <c r="N64" i="8"/>
  <c r="T63" i="8"/>
  <c r="B63" i="8"/>
  <c r="H60" i="8"/>
  <c r="N59" i="8"/>
  <c r="T58" i="8"/>
  <c r="B58" i="8"/>
  <c r="H57" i="8"/>
  <c r="N54" i="8"/>
  <c r="T53" i="8"/>
  <c r="B53" i="8"/>
  <c r="H52" i="8"/>
  <c r="N51" i="8"/>
  <c r="T50" i="8"/>
  <c r="B50" i="8"/>
  <c r="H49" i="8"/>
  <c r="N48" i="8"/>
  <c r="T47" i="8"/>
  <c r="B47" i="8"/>
  <c r="H46" i="8"/>
  <c r="N45" i="8"/>
  <c r="T44" i="8"/>
  <c r="B44" i="8"/>
  <c r="H43" i="8"/>
  <c r="N42" i="8"/>
  <c r="T39" i="8"/>
  <c r="B39" i="8"/>
  <c r="H38" i="8"/>
  <c r="N37" i="8"/>
  <c r="T36" i="8"/>
  <c r="B36" i="8"/>
  <c r="H35" i="8"/>
  <c r="N34" i="8"/>
  <c r="T33" i="8"/>
  <c r="B33" i="8"/>
  <c r="H32" i="8"/>
  <c r="N31" i="8"/>
  <c r="T30" i="8"/>
  <c r="B30" i="8"/>
  <c r="T21" i="8"/>
  <c r="B21" i="8"/>
  <c r="H20" i="8"/>
  <c r="N19" i="8"/>
  <c r="N72" i="8"/>
  <c r="N71" i="8"/>
  <c r="K70" i="8"/>
  <c r="K69" i="8"/>
  <c r="Q66" i="8"/>
  <c r="W65" i="8"/>
  <c r="E65" i="8"/>
  <c r="K64" i="8"/>
  <c r="Q63" i="8"/>
  <c r="W60" i="8"/>
  <c r="E60" i="8"/>
  <c r="K59" i="8"/>
  <c r="Q58" i="8"/>
  <c r="W57" i="8"/>
  <c r="E57" i="8"/>
  <c r="K54" i="8"/>
  <c r="Q53" i="8"/>
  <c r="W52" i="8"/>
  <c r="E52" i="8"/>
  <c r="K51" i="8"/>
  <c r="Q50" i="8"/>
  <c r="W49" i="8"/>
  <c r="E49" i="8"/>
  <c r="K48" i="8"/>
  <c r="Q47" i="8"/>
  <c r="W46" i="8"/>
  <c r="E46" i="8"/>
  <c r="K45" i="8"/>
  <c r="Q44" i="8"/>
  <c r="W43" i="8"/>
  <c r="E43" i="8"/>
  <c r="K42" i="8"/>
  <c r="Q39" i="8"/>
  <c r="W38" i="8"/>
  <c r="E38" i="8"/>
  <c r="K37" i="8"/>
  <c r="Q36" i="8"/>
  <c r="W35" i="8"/>
  <c r="E35" i="8"/>
  <c r="K34" i="8"/>
  <c r="Q33" i="8"/>
  <c r="W32" i="8"/>
  <c r="E32" i="8"/>
  <c r="K31" i="8"/>
  <c r="Q30" i="8"/>
  <c r="E23" i="8"/>
  <c r="Q21" i="8"/>
  <c r="W20" i="8"/>
  <c r="E20" i="8"/>
  <c r="K19" i="8"/>
  <c r="Q18" i="8"/>
  <c r="W17" i="8"/>
  <c r="E17" i="8"/>
  <c r="K16" i="8"/>
  <c r="Q15" i="8"/>
  <c r="W14" i="8"/>
  <c r="E14" i="8"/>
  <c r="K13" i="8"/>
  <c r="Q12" i="8"/>
  <c r="W11" i="8"/>
  <c r="E11" i="8"/>
  <c r="K72" i="8"/>
  <c r="K71" i="8"/>
  <c r="J70" i="8"/>
  <c r="J69" i="8"/>
  <c r="P66" i="8"/>
  <c r="V65" i="8"/>
  <c r="D65" i="8"/>
  <c r="J64" i="8"/>
  <c r="P63" i="8"/>
  <c r="V60" i="8"/>
  <c r="D60" i="8"/>
  <c r="J59" i="8"/>
  <c r="P58" i="8"/>
  <c r="V57" i="8"/>
  <c r="D57" i="8"/>
  <c r="J54" i="8"/>
  <c r="P53" i="8"/>
  <c r="V52" i="8"/>
  <c r="D52" i="8"/>
  <c r="J51" i="8"/>
  <c r="P50" i="8"/>
  <c r="V49" i="8"/>
  <c r="D49" i="8"/>
  <c r="J48" i="8"/>
  <c r="P47" i="8"/>
  <c r="V46" i="8"/>
  <c r="D46" i="8"/>
  <c r="J45" i="8"/>
  <c r="P44" i="8"/>
  <c r="V43" i="8"/>
  <c r="D43" i="8"/>
  <c r="J42" i="8"/>
  <c r="P39" i="8"/>
  <c r="V38" i="8"/>
  <c r="D38" i="8"/>
  <c r="J37" i="8"/>
  <c r="P36" i="8"/>
  <c r="V35" i="8"/>
  <c r="D35" i="8"/>
  <c r="J34" i="8"/>
  <c r="P33" i="8"/>
  <c r="V32" i="8"/>
  <c r="D32" i="8"/>
  <c r="J31" i="8"/>
  <c r="P30" i="8"/>
  <c r="D23" i="8"/>
  <c r="P21" i="8"/>
  <c r="V20" i="8"/>
  <c r="D20" i="8"/>
  <c r="J19" i="8"/>
  <c r="P18" i="8"/>
  <c r="J72" i="8"/>
  <c r="J71" i="8"/>
  <c r="I70" i="8"/>
  <c r="I69" i="8"/>
  <c r="O66" i="8"/>
  <c r="U65" i="8"/>
  <c r="C65" i="8"/>
  <c r="I64" i="8"/>
  <c r="O63" i="8"/>
  <c r="U60" i="8"/>
  <c r="C60" i="8"/>
  <c r="I59" i="8"/>
  <c r="O58" i="8"/>
  <c r="U57" i="8"/>
  <c r="C57" i="8"/>
  <c r="I54" i="8"/>
  <c r="O53" i="8"/>
  <c r="U52" i="8"/>
  <c r="C52" i="8"/>
  <c r="I51" i="8"/>
  <c r="O50" i="8"/>
  <c r="U49" i="8"/>
  <c r="C49" i="8"/>
  <c r="I48" i="8"/>
  <c r="O47" i="8"/>
  <c r="U46" i="8"/>
  <c r="C46" i="8"/>
  <c r="I45" i="8"/>
  <c r="O44" i="8"/>
  <c r="U43" i="8"/>
  <c r="C43" i="8"/>
  <c r="I42" i="8"/>
  <c r="O39" i="8"/>
  <c r="U38" i="8"/>
  <c r="C38" i="8"/>
  <c r="I37" i="8"/>
  <c r="O36" i="8"/>
  <c r="U35" i="8"/>
  <c r="C35" i="8"/>
  <c r="I34" i="8"/>
  <c r="O33" i="8"/>
  <c r="U32" i="8"/>
  <c r="E72" i="8"/>
  <c r="E71" i="8"/>
  <c r="D70" i="8"/>
  <c r="D69" i="8"/>
  <c r="J66" i="8"/>
  <c r="P65" i="8"/>
  <c r="V64" i="8"/>
  <c r="D64" i="8"/>
  <c r="J63" i="8"/>
  <c r="P60" i="8"/>
  <c r="V59" i="8"/>
  <c r="D59" i="8"/>
  <c r="J58" i="8"/>
  <c r="P57" i="8"/>
  <c r="V54" i="8"/>
  <c r="D54" i="8"/>
  <c r="J53" i="8"/>
  <c r="P52" i="8"/>
  <c r="V51" i="8"/>
  <c r="D51" i="8"/>
  <c r="J50" i="8"/>
  <c r="P49" i="8"/>
  <c r="V48" i="8"/>
  <c r="D48" i="8"/>
  <c r="J47" i="8"/>
  <c r="P46" i="8"/>
  <c r="V45" i="8"/>
  <c r="D45" i="8"/>
  <c r="J44" i="8"/>
  <c r="P43" i="8"/>
  <c r="V42" i="8"/>
  <c r="D42" i="8"/>
  <c r="J39" i="8"/>
  <c r="P38" i="8"/>
  <c r="V37" i="8"/>
  <c r="D37" i="8"/>
  <c r="J36" i="8"/>
  <c r="P35" i="8"/>
  <c r="V34" i="8"/>
  <c r="D34" i="8"/>
  <c r="J33" i="8"/>
  <c r="P32" i="8"/>
  <c r="V31" i="8"/>
  <c r="D31" i="8"/>
  <c r="J30" i="8"/>
  <c r="D22" i="8"/>
  <c r="J21" i="8"/>
  <c r="P20" i="8"/>
  <c r="V19" i="8"/>
  <c r="D19" i="8"/>
  <c r="J18" i="8"/>
  <c r="P17" i="8"/>
  <c r="V16" i="8"/>
  <c r="D16" i="8"/>
  <c r="J15" i="8"/>
  <c r="P14" i="8"/>
  <c r="V13" i="8"/>
  <c r="D13" i="8"/>
  <c r="J12" i="8"/>
  <c r="P11" i="8"/>
  <c r="H72" i="8"/>
  <c r="E69" i="8"/>
  <c r="W64" i="8"/>
  <c r="Q60" i="8"/>
  <c r="K58" i="8"/>
  <c r="E54" i="8"/>
  <c r="W51" i="8"/>
  <c r="Q49" i="8"/>
  <c r="K47" i="8"/>
  <c r="E45" i="8"/>
  <c r="W42" i="8"/>
  <c r="Q38" i="8"/>
  <c r="K36" i="8"/>
  <c r="H34" i="8"/>
  <c r="N32" i="8"/>
  <c r="B31" i="8"/>
  <c r="B22" i="8"/>
  <c r="N20" i="8"/>
  <c r="B19" i="8"/>
  <c r="U17" i="8"/>
  <c r="U16" i="8"/>
  <c r="U15" i="8"/>
  <c r="U14" i="8"/>
  <c r="U13" i="8"/>
  <c r="U12" i="8"/>
  <c r="U11" i="8"/>
  <c r="B72" i="8"/>
  <c r="W66" i="8"/>
  <c r="Q64" i="8"/>
  <c r="K60" i="8"/>
  <c r="E58" i="8"/>
  <c r="W53" i="8"/>
  <c r="Q51" i="8"/>
  <c r="K49" i="8"/>
  <c r="E47" i="8"/>
  <c r="W44" i="8"/>
  <c r="Q42" i="8"/>
  <c r="K38" i="8"/>
  <c r="E36" i="8"/>
  <c r="E34" i="8"/>
  <c r="K32" i="8"/>
  <c r="W30" i="8"/>
  <c r="W21" i="8"/>
  <c r="K20" i="8"/>
  <c r="W18" i="8"/>
  <c r="T17" i="8"/>
  <c r="T16" i="8"/>
  <c r="T15" i="8"/>
  <c r="T14" i="8"/>
  <c r="T13" i="8"/>
  <c r="T12" i="8"/>
  <c r="T11" i="8"/>
  <c r="P71" i="8"/>
  <c r="U66" i="8"/>
  <c r="O64" i="8"/>
  <c r="I60" i="8"/>
  <c r="C58" i="8"/>
  <c r="U53" i="8"/>
  <c r="O51" i="8"/>
  <c r="I49" i="8"/>
  <c r="C47" i="8"/>
  <c r="U44" i="8"/>
  <c r="O42" i="8"/>
  <c r="I38" i="8"/>
  <c r="C36" i="8"/>
  <c r="B34" i="8"/>
  <c r="I32" i="8"/>
  <c r="U30" i="8"/>
  <c r="U21" i="8"/>
  <c r="I20" i="8"/>
  <c r="U18" i="8"/>
  <c r="Q17" i="8"/>
  <c r="Q16" i="8"/>
  <c r="P15" i="8"/>
  <c r="Q14" i="8"/>
  <c r="Q13" i="8"/>
  <c r="P12" i="8"/>
  <c r="Q11" i="8"/>
  <c r="I71" i="8"/>
  <c r="N66" i="8"/>
  <c r="H64" i="8"/>
  <c r="B60" i="8"/>
  <c r="T57" i="8"/>
  <c r="N53" i="8"/>
  <c r="H51" i="8"/>
  <c r="B49" i="8"/>
  <c r="T46" i="8"/>
  <c r="N44" i="8"/>
  <c r="H42" i="8"/>
  <c r="B38" i="8"/>
  <c r="T35" i="8"/>
  <c r="W33" i="8"/>
  <c r="C32" i="8"/>
  <c r="O30" i="8"/>
  <c r="O21" i="8"/>
  <c r="C20" i="8"/>
  <c r="T18" i="8"/>
  <c r="O17" i="8"/>
  <c r="O16" i="8"/>
  <c r="O15" i="8"/>
  <c r="O14" i="8"/>
  <c r="O13" i="8"/>
  <c r="O12" i="8"/>
  <c r="O11" i="8"/>
  <c r="H71" i="8"/>
  <c r="K66" i="8"/>
  <c r="E64" i="8"/>
  <c r="W59" i="8"/>
  <c r="Q57" i="8"/>
  <c r="K53" i="8"/>
  <c r="E51" i="8"/>
  <c r="W48" i="8"/>
  <c r="Q46" i="8"/>
  <c r="K44" i="8"/>
  <c r="E42" i="8"/>
  <c r="W37" i="8"/>
  <c r="Q35" i="8"/>
  <c r="U33" i="8"/>
  <c r="B32" i="8"/>
  <c r="N30" i="8"/>
  <c r="N21" i="8"/>
  <c r="B20" i="8"/>
  <c r="O18" i="8"/>
  <c r="N17" i="8"/>
  <c r="N16" i="8"/>
  <c r="N15" i="8"/>
  <c r="N14" i="8"/>
  <c r="N13" i="8"/>
  <c r="N12" i="8"/>
  <c r="N11" i="8"/>
  <c r="B71" i="8"/>
  <c r="E66" i="8"/>
  <c r="W63" i="8"/>
  <c r="Q59" i="8"/>
  <c r="K57" i="8"/>
  <c r="E53" i="8"/>
  <c r="W50" i="8"/>
  <c r="Q48" i="8"/>
  <c r="K46" i="8"/>
  <c r="E44" i="8"/>
  <c r="W39" i="8"/>
  <c r="Q37" i="8"/>
  <c r="K35" i="8"/>
  <c r="N33" i="8"/>
  <c r="W31" i="8"/>
  <c r="K30" i="8"/>
  <c r="K21" i="8"/>
  <c r="W19" i="8"/>
  <c r="N18" i="8"/>
  <c r="K17" i="8"/>
  <c r="J16" i="8"/>
  <c r="K15" i="8"/>
  <c r="K14" i="8"/>
  <c r="J13" i="8"/>
  <c r="K12" i="8"/>
  <c r="K11" i="8"/>
  <c r="O70" i="8"/>
  <c r="C66" i="8"/>
  <c r="U63" i="8"/>
  <c r="O59" i="8"/>
  <c r="I57" i="8"/>
  <c r="C53" i="8"/>
  <c r="U50" i="8"/>
  <c r="O48" i="8"/>
  <c r="I46" i="8"/>
  <c r="C44" i="8"/>
  <c r="U39" i="8"/>
  <c r="O37" i="8"/>
  <c r="I35" i="8"/>
  <c r="K33" i="8"/>
  <c r="T31" i="8"/>
  <c r="H30" i="8"/>
  <c r="H21" i="8"/>
  <c r="T19" i="8"/>
  <c r="K18" i="8"/>
  <c r="I17" i="8"/>
  <c r="I16" i="8"/>
  <c r="I15" i="8"/>
  <c r="I14" i="8"/>
  <c r="I13" i="8"/>
  <c r="I12" i="8"/>
  <c r="I11" i="8"/>
  <c r="H19" i="4"/>
  <c r="H70" i="8"/>
  <c r="T65" i="8"/>
  <c r="N63" i="8"/>
  <c r="H59" i="8"/>
  <c r="B57" i="8"/>
  <c r="T52" i="8"/>
  <c r="N50" i="8"/>
  <c r="H48" i="8"/>
  <c r="B46" i="8"/>
  <c r="T43" i="8"/>
  <c r="N39" i="8"/>
  <c r="H37" i="8"/>
  <c r="B35" i="8"/>
  <c r="H33" i="8"/>
  <c r="Q31" i="8"/>
  <c r="E30" i="8"/>
  <c r="E21" i="8"/>
  <c r="Q19" i="8"/>
  <c r="H18" i="8"/>
  <c r="H17" i="8"/>
  <c r="H16" i="8"/>
  <c r="H15" i="8"/>
  <c r="H14" i="8"/>
  <c r="H13" i="8"/>
  <c r="H12" i="8"/>
  <c r="H11" i="8"/>
  <c r="H19" i="6"/>
  <c r="E70" i="8"/>
  <c r="Q65" i="8"/>
  <c r="K63" i="8"/>
  <c r="E59" i="8"/>
  <c r="W54" i="8"/>
  <c r="Q52" i="8"/>
  <c r="K50" i="8"/>
  <c r="E48" i="8"/>
  <c r="W45" i="8"/>
  <c r="Q43" i="8"/>
  <c r="K39" i="8"/>
  <c r="E37" i="8"/>
  <c r="W34" i="8"/>
  <c r="E33" i="8"/>
  <c r="O31" i="8"/>
  <c r="C30" i="8"/>
  <c r="C21" i="8"/>
  <c r="O19" i="8"/>
  <c r="E18" i="8"/>
  <c r="D17" i="8"/>
  <c r="E16" i="8"/>
  <c r="E15" i="8"/>
  <c r="D14" i="8"/>
  <c r="E13" i="8"/>
  <c r="E12" i="8"/>
  <c r="D11" i="8"/>
  <c r="K65" i="8"/>
  <c r="E63" i="8"/>
  <c r="W58" i="8"/>
  <c r="Q54" i="8"/>
  <c r="K52" i="8"/>
  <c r="E50" i="8"/>
  <c r="W47" i="8"/>
  <c r="Q45" i="8"/>
  <c r="K43" i="8"/>
  <c r="E39" i="8"/>
  <c r="W36" i="8"/>
  <c r="T34" i="8"/>
  <c r="P72" i="8"/>
  <c r="O69" i="8"/>
  <c r="I65" i="8"/>
  <c r="C63" i="8"/>
  <c r="U58" i="8"/>
  <c r="O54" i="8"/>
  <c r="I52" i="8"/>
  <c r="C50" i="8"/>
  <c r="U47" i="8"/>
  <c r="O45" i="8"/>
  <c r="I43" i="8"/>
  <c r="C39" i="8"/>
  <c r="U36" i="8"/>
  <c r="Q34" i="8"/>
  <c r="T32" i="8"/>
  <c r="H31" i="8"/>
  <c r="B23" i="8"/>
  <c r="T20" i="8"/>
  <c r="H19" i="8"/>
  <c r="B18" i="8"/>
  <c r="B17" i="8"/>
  <c r="B16" i="8"/>
  <c r="B15" i="8"/>
  <c r="B14" i="8"/>
  <c r="B13" i="8"/>
  <c r="B12" i="8"/>
  <c r="B11" i="8"/>
  <c r="N58" i="8"/>
  <c r="I31" i="8"/>
  <c r="C16" i="8"/>
  <c r="H54" i="8"/>
  <c r="E31" i="8"/>
  <c r="W15" i="8"/>
  <c r="O34" i="8"/>
  <c r="W16" i="8"/>
  <c r="B52" i="8"/>
  <c r="C23" i="8"/>
  <c r="C15" i="8"/>
  <c r="H20" i="3"/>
  <c r="V11" i="8"/>
  <c r="Q32" i="8"/>
  <c r="T49" i="8"/>
  <c r="E22" i="8"/>
  <c r="V14" i="8"/>
  <c r="V17" i="8"/>
  <c r="N47" i="8"/>
  <c r="U20" i="8"/>
  <c r="C14" i="8"/>
  <c r="H45" i="8"/>
  <c r="Q20" i="8"/>
  <c r="W13" i="8"/>
  <c r="H20" i="2"/>
  <c r="B43" i="8"/>
  <c r="I19" i="8"/>
  <c r="C13" i="8"/>
  <c r="H19" i="5"/>
  <c r="T38" i="8"/>
  <c r="E19" i="8"/>
  <c r="W12" i="8"/>
  <c r="I18" i="2"/>
  <c r="I72" i="8"/>
  <c r="N36" i="8"/>
  <c r="C18" i="8"/>
  <c r="C12" i="8"/>
  <c r="H69" i="8"/>
  <c r="B65" i="8"/>
  <c r="C33" i="8"/>
  <c r="C17" i="8"/>
  <c r="C11" i="8"/>
  <c r="T60" i="8"/>
  <c r="B81" i="8" l="1"/>
  <c r="B80" i="8"/>
  <c r="B83" i="8"/>
  <c r="E120" i="8"/>
  <c r="U69" i="8"/>
  <c r="E112" i="8"/>
  <c r="B82" i="8"/>
  <c r="B84" i="8"/>
  <c r="E118" i="8"/>
  <c r="E125" i="8"/>
  <c r="E121" i="8"/>
  <c r="E123" i="8"/>
  <c r="E111" i="8"/>
  <c r="E116" i="8"/>
  <c r="E114" i="8"/>
  <c r="E119" i="8"/>
  <c r="E117" i="8"/>
  <c r="E115" i="8"/>
  <c r="E113" i="8"/>
  <c r="E122" i="8"/>
  <c r="E124" i="8"/>
  <c r="D13" i="7"/>
  <c r="N13" i="7" s="1"/>
  <c r="K13" i="6"/>
  <c r="M13" i="7" s="1"/>
  <c r="N31" i="7"/>
  <c r="M8" i="2"/>
  <c r="G42" i="19"/>
  <c r="D9" i="18" s="1"/>
  <c r="E9" i="18"/>
  <c r="H3" i="6" s="1"/>
  <c r="L3" i="6"/>
  <c r="K11" i="4"/>
  <c r="M41" i="7" s="1"/>
  <c r="D23" i="7"/>
  <c r="N23" i="7" s="1"/>
  <c r="D68" i="7"/>
  <c r="N68" i="7" s="1"/>
  <c r="M8" i="3"/>
  <c r="M5" i="4"/>
  <c r="K5" i="4"/>
  <c r="M35" i="7" s="1"/>
  <c r="M5" i="5"/>
  <c r="D35" i="7"/>
  <c r="N35" i="7" s="1"/>
  <c r="D73" i="7"/>
  <c r="N73" i="7" s="1"/>
  <c r="M13" i="3"/>
  <c r="K5" i="3"/>
  <c r="M65" i="7" s="1"/>
  <c r="M11" i="3"/>
  <c r="K11" i="3"/>
  <c r="M71" i="7" s="1"/>
  <c r="M11" i="4"/>
  <c r="K5" i="5"/>
  <c r="M50" i="7" s="1"/>
  <c r="D50" i="7"/>
  <c r="N50" i="7" s="1"/>
  <c r="M4" i="3"/>
  <c r="D64" i="7"/>
  <c r="N64" i="7" s="1"/>
  <c r="K12" i="2"/>
  <c r="M27" i="7" s="1"/>
  <c r="M16" i="3"/>
  <c r="D76" i="7"/>
  <c r="N76" i="7" s="1"/>
  <c r="K52" i="2"/>
  <c r="M5" i="3"/>
  <c r="K9" i="4"/>
  <c r="M39" i="7" s="1"/>
  <c r="N45" i="7"/>
  <c r="G52" i="19"/>
  <c r="D9" i="9" s="1"/>
  <c r="L13" i="6"/>
  <c r="M13" i="6" s="1"/>
  <c r="M4" i="2"/>
  <c r="D25" i="7"/>
  <c r="N25" i="7" s="1"/>
  <c r="M10" i="2"/>
  <c r="M12" i="2"/>
  <c r="K15" i="2"/>
  <c r="M30" i="7" s="1"/>
  <c r="N69" i="7"/>
  <c r="N72" i="7"/>
  <c r="N33" i="7"/>
  <c r="D39" i="7"/>
  <c r="N39" i="7" s="1"/>
  <c r="K7" i="5"/>
  <c r="M52" i="7" s="1"/>
  <c r="D52" i="7"/>
  <c r="N52" i="7" s="1"/>
  <c r="D56" i="7"/>
  <c r="N56" i="7" s="1"/>
  <c r="M11" i="5"/>
  <c r="D30" i="7"/>
  <c r="N30" i="7" s="1"/>
  <c r="D11" i="23"/>
  <c r="J105" i="19"/>
  <c r="K16" i="2"/>
  <c r="M31" i="7" s="1"/>
  <c r="D37" i="7"/>
  <c r="N37" i="7" s="1"/>
  <c r="M7" i="4"/>
  <c r="D19" i="7"/>
  <c r="N19" i="7" s="1"/>
  <c r="L99" i="19"/>
  <c r="E14" i="18" s="1"/>
  <c r="H24" i="2" s="1"/>
  <c r="K24" i="2" s="1"/>
  <c r="E23" i="23"/>
  <c r="G99" i="19"/>
  <c r="G13" i="19"/>
  <c r="D11" i="16" s="1"/>
  <c r="E11" i="16"/>
  <c r="H10" i="3" s="1"/>
  <c r="E8" i="15"/>
  <c r="H4" i="6" s="1"/>
  <c r="G43" i="19"/>
  <c r="D8" i="15" s="1"/>
  <c r="G53" i="19"/>
  <c r="D10" i="9" s="1"/>
  <c r="E10" i="9"/>
  <c r="H14" i="6" s="1"/>
  <c r="E25" i="23"/>
  <c r="L20" i="19"/>
  <c r="E14" i="9" s="1"/>
  <c r="H23" i="3" s="1"/>
  <c r="K23" i="3" s="1"/>
  <c r="J20" i="19"/>
  <c r="C14" i="9" s="1"/>
  <c r="G20" i="19"/>
  <c r="G44" i="19"/>
  <c r="D9" i="15" s="1"/>
  <c r="E9" i="15"/>
  <c r="H5" i="6" s="1"/>
  <c r="G100" i="19"/>
  <c r="D5" i="23" s="1"/>
  <c r="E5" i="23"/>
  <c r="H51" i="2" s="1"/>
  <c r="K51" i="2" s="1"/>
  <c r="E7" i="15"/>
  <c r="H4" i="5" s="1"/>
  <c r="G26" i="19"/>
  <c r="D7" i="15" s="1"/>
  <c r="I6" i="15" s="1"/>
  <c r="G45" i="19"/>
  <c r="D10" i="15" s="1"/>
  <c r="E10" i="15"/>
  <c r="H6" i="6" s="1"/>
  <c r="G54" i="19"/>
  <c r="D8" i="12" s="1"/>
  <c r="I7" i="12" s="1"/>
  <c r="E8" i="12"/>
  <c r="H15" i="6" s="1"/>
  <c r="E12" i="17"/>
  <c r="H8" i="4" s="1"/>
  <c r="G67" i="19"/>
  <c r="D12" i="17" s="1"/>
  <c r="I9" i="17" s="1"/>
  <c r="G73" i="19"/>
  <c r="D11" i="12" s="1"/>
  <c r="I9" i="12" s="1"/>
  <c r="E11" i="12"/>
  <c r="H14" i="4" s="1"/>
  <c r="E5" i="15"/>
  <c r="H3" i="2" s="1"/>
  <c r="G83" i="19"/>
  <c r="D5" i="15" s="1"/>
  <c r="I5" i="15" s="1"/>
  <c r="G89" i="19"/>
  <c r="D6" i="17" s="1"/>
  <c r="I5" i="17" s="1"/>
  <c r="E6" i="17"/>
  <c r="H9" i="2" s="1"/>
  <c r="I6" i="9"/>
  <c r="T81" i="8" s="1"/>
  <c r="E6" i="13"/>
  <c r="H10" i="5" s="1"/>
  <c r="J21" i="19"/>
  <c r="C13" i="14" s="1"/>
  <c r="E30" i="23"/>
  <c r="L21" i="19"/>
  <c r="E13" i="14" s="1"/>
  <c r="H24" i="3" s="1"/>
  <c r="K24" i="3" s="1"/>
  <c r="E5" i="11"/>
  <c r="H16" i="6" s="1"/>
  <c r="G55" i="19"/>
  <c r="D5" i="11" s="1"/>
  <c r="I7" i="11" s="1"/>
  <c r="I9" i="11"/>
  <c r="E12" i="23"/>
  <c r="H58" i="2" s="1"/>
  <c r="K58" i="2" s="1"/>
  <c r="L106" i="19"/>
  <c r="G106" i="19"/>
  <c r="D12" i="23" s="1"/>
  <c r="L8" i="24"/>
  <c r="D60" i="7"/>
  <c r="N60" i="7" s="1"/>
  <c r="E12" i="18"/>
  <c r="H2" i="4" s="1"/>
  <c r="E8" i="13"/>
  <c r="H6" i="3" s="1"/>
  <c r="G9" i="19"/>
  <c r="D8" i="13" s="1"/>
  <c r="I8" i="13" s="1"/>
  <c r="G46" i="19"/>
  <c r="E8" i="10" s="1"/>
  <c r="J7" i="10" s="1"/>
  <c r="F8" i="10"/>
  <c r="H7" i="6" s="1"/>
  <c r="L56" i="19"/>
  <c r="E11" i="11" s="1"/>
  <c r="H22" i="6" s="1"/>
  <c r="K22" i="6" s="1"/>
  <c r="E31" i="23"/>
  <c r="G56" i="19"/>
  <c r="L102" i="19"/>
  <c r="E8" i="23"/>
  <c r="H54" i="2" s="1"/>
  <c r="K54" i="2" s="1"/>
  <c r="G102" i="19"/>
  <c r="D8" i="23" s="1"/>
  <c r="G10" i="19"/>
  <c r="D9" i="13" s="1"/>
  <c r="E9" i="13"/>
  <c r="H7" i="3" s="1"/>
  <c r="E12" i="12"/>
  <c r="E27" i="23"/>
  <c r="E8" i="14"/>
  <c r="H8" i="6" s="1"/>
  <c r="G47" i="19"/>
  <c r="D8" i="14" s="1"/>
  <c r="I7" i="14" s="1"/>
  <c r="E13" i="23"/>
  <c r="H59" i="2" s="1"/>
  <c r="K59" i="2" s="1"/>
  <c r="J107" i="19"/>
  <c r="L107" i="19"/>
  <c r="E6" i="14"/>
  <c r="H6" i="5" s="1"/>
  <c r="G28" i="19"/>
  <c r="D6" i="14" s="1"/>
  <c r="I6" i="14" s="1"/>
  <c r="G34" i="19"/>
  <c r="D8" i="16" s="1"/>
  <c r="I6" i="16" s="1"/>
  <c r="E8" i="16"/>
  <c r="H12" i="5" s="1"/>
  <c r="J39" i="19"/>
  <c r="E9" i="14"/>
  <c r="H9" i="6" s="1"/>
  <c r="G48" i="19"/>
  <c r="D9" i="14" s="1"/>
  <c r="G57" i="19"/>
  <c r="E32" i="23"/>
  <c r="J57" i="19"/>
  <c r="C12" i="13" s="1"/>
  <c r="G69" i="19"/>
  <c r="D12" i="16" s="1"/>
  <c r="I9" i="16" s="1"/>
  <c r="E12" i="16"/>
  <c r="H10" i="4" s="1"/>
  <c r="E10" i="11"/>
  <c r="H16" i="4" s="1"/>
  <c r="G75" i="19"/>
  <c r="D10" i="11" s="1"/>
  <c r="G85" i="19"/>
  <c r="E5" i="10" s="1"/>
  <c r="F5" i="10"/>
  <c r="H5" i="2" s="1"/>
  <c r="E6" i="16"/>
  <c r="H11" i="2" s="1"/>
  <c r="G91" i="19"/>
  <c r="D6" i="16" s="1"/>
  <c r="I5" i="16" s="1"/>
  <c r="M6" i="2"/>
  <c r="D61" i="7"/>
  <c r="N61" i="7" s="1"/>
  <c r="G49" i="19"/>
  <c r="D9" i="17" s="1"/>
  <c r="I7" i="17" s="1"/>
  <c r="E9" i="17"/>
  <c r="H10" i="6" s="1"/>
  <c r="J80" i="19"/>
  <c r="L97" i="19"/>
  <c r="D26" i="23"/>
  <c r="G5" i="19"/>
  <c r="D10" i="18" s="1"/>
  <c r="E10" i="18"/>
  <c r="H2" i="3" s="1"/>
  <c r="E6" i="11"/>
  <c r="H14" i="3" s="1"/>
  <c r="G17" i="19"/>
  <c r="D6" i="11" s="1"/>
  <c r="G6" i="19"/>
  <c r="D11" i="18" s="1"/>
  <c r="E11" i="18"/>
  <c r="H3" i="3" s="1"/>
  <c r="I8" i="16"/>
  <c r="E7" i="11"/>
  <c r="H15" i="3" s="1"/>
  <c r="G18" i="19"/>
  <c r="D7" i="11" s="1"/>
  <c r="G41" i="19"/>
  <c r="D8" i="18" s="1"/>
  <c r="E8" i="18"/>
  <c r="H2" i="6" s="1"/>
  <c r="G50" i="19"/>
  <c r="D10" i="17" s="1"/>
  <c r="E10" i="17"/>
  <c r="H11" i="6" s="1"/>
  <c r="L59" i="19"/>
  <c r="J59" i="19"/>
  <c r="G59" i="19"/>
  <c r="D14" i="23" s="1"/>
  <c r="E14" i="23"/>
  <c r="H50" i="6" s="1"/>
  <c r="K50" i="6" s="1"/>
  <c r="E28" i="23"/>
  <c r="L98" i="19"/>
  <c r="E11" i="14" s="1"/>
  <c r="H23" i="2" s="1"/>
  <c r="K23" i="2" s="1"/>
  <c r="G98" i="19"/>
  <c r="J98" i="19" s="1"/>
  <c r="C11" i="14" s="1"/>
  <c r="E6" i="18"/>
  <c r="G24" i="19"/>
  <c r="D6" i="18" s="1"/>
  <c r="I6" i="18" s="1"/>
  <c r="G30" i="19"/>
  <c r="D8" i="17" s="1"/>
  <c r="I6" i="17" s="1"/>
  <c r="E8" i="17"/>
  <c r="H8" i="5" s="1"/>
  <c r="E7" i="9"/>
  <c r="H14" i="5" s="1"/>
  <c r="G36" i="19"/>
  <c r="D7" i="9" s="1"/>
  <c r="E9" i="16"/>
  <c r="H12" i="6" s="1"/>
  <c r="G51" i="19"/>
  <c r="D9" i="16" s="1"/>
  <c r="I7" i="16" s="1"/>
  <c r="F11" i="10"/>
  <c r="H6" i="4" s="1"/>
  <c r="G65" i="19"/>
  <c r="E11" i="10" s="1"/>
  <c r="J9" i="10" s="1"/>
  <c r="G71" i="19"/>
  <c r="D12" i="9" s="1"/>
  <c r="I9" i="9" s="1"/>
  <c r="E12" i="9"/>
  <c r="H12" i="4" s="1"/>
  <c r="L77" i="19"/>
  <c r="E13" i="13" s="1"/>
  <c r="H25" i="4" s="1"/>
  <c r="K25" i="4" s="1"/>
  <c r="G77" i="19"/>
  <c r="D13" i="13" s="1"/>
  <c r="L81" i="19"/>
  <c r="J81" i="19"/>
  <c r="E19" i="23"/>
  <c r="H53" i="4" s="1"/>
  <c r="K53" i="4" s="1"/>
  <c r="G81" i="19"/>
  <c r="D19" i="23" s="1"/>
  <c r="E5" i="14"/>
  <c r="H7" i="2" s="1"/>
  <c r="G87" i="19"/>
  <c r="D5" i="14" s="1"/>
  <c r="I5" i="14" s="1"/>
  <c r="E5" i="9"/>
  <c r="H13" i="2" s="1"/>
  <c r="G93" i="19"/>
  <c r="D5" i="9" s="1"/>
  <c r="I5" i="9" s="1"/>
  <c r="J104" i="19"/>
  <c r="G104" i="19"/>
  <c r="D10" i="23" s="1"/>
  <c r="E10" i="23"/>
  <c r="H56" i="2" s="1"/>
  <c r="K56" i="2" s="1"/>
  <c r="L7" i="24"/>
  <c r="E26" i="23"/>
  <c r="E7" i="18"/>
  <c r="H3" i="5" s="1"/>
  <c r="G40" i="19"/>
  <c r="G58" i="19"/>
  <c r="J60" i="19"/>
  <c r="G76" i="19"/>
  <c r="J78" i="19"/>
  <c r="C15" i="9" s="1"/>
  <c r="G101" i="19"/>
  <c r="D7" i="23" s="1"/>
  <c r="J103" i="19"/>
  <c r="J22" i="19"/>
  <c r="C15" i="18" s="1"/>
  <c r="L60" i="19"/>
  <c r="L103" i="19"/>
  <c r="D15" i="18"/>
  <c r="L22" i="19"/>
  <c r="E15" i="18" s="1"/>
  <c r="H25" i="3" s="1"/>
  <c r="K25" i="3" s="1"/>
  <c r="J40" i="19"/>
  <c r="C14" i="16" s="1"/>
  <c r="J58" i="19"/>
  <c r="C12" i="14" s="1"/>
  <c r="E7" i="23"/>
  <c r="H53" i="2" s="1"/>
  <c r="K53" i="2" s="1"/>
  <c r="E11" i="23"/>
  <c r="H57" i="2" s="1"/>
  <c r="K57" i="2" s="1"/>
  <c r="L58" i="19"/>
  <c r="E12" i="14" s="1"/>
  <c r="H24" i="6" s="1"/>
  <c r="K24" i="6" s="1"/>
  <c r="L76" i="19"/>
  <c r="E12" i="15" s="1"/>
  <c r="H24" i="4" s="1"/>
  <c r="K24" i="4" s="1"/>
  <c r="G79" i="19"/>
  <c r="G97" i="19"/>
  <c r="G23" i="19"/>
  <c r="E16" i="23"/>
  <c r="H50" i="3" s="1"/>
  <c r="K50" i="3" s="1"/>
  <c r="J106" i="19" l="1"/>
  <c r="D24" i="7"/>
  <c r="N24" i="7" s="1"/>
  <c r="K9" i="2"/>
  <c r="M24" i="7" s="1"/>
  <c r="M9" i="2"/>
  <c r="D14" i="7"/>
  <c r="N14" i="7" s="1"/>
  <c r="M14" i="6"/>
  <c r="K14" i="6"/>
  <c r="M14" i="7" s="1"/>
  <c r="M3" i="6"/>
  <c r="K3" i="6"/>
  <c r="M3" i="7" s="1"/>
  <c r="D3" i="7"/>
  <c r="N3" i="7" s="1"/>
  <c r="K4" i="5"/>
  <c r="M49" i="7" s="1"/>
  <c r="D49" i="7"/>
  <c r="N49" i="7" s="1"/>
  <c r="M4" i="5"/>
  <c r="D31" i="23"/>
  <c r="D11" i="11"/>
  <c r="D32" i="23"/>
  <c r="D12" i="13"/>
  <c r="J100" i="19"/>
  <c r="I7" i="15"/>
  <c r="K12" i="4"/>
  <c r="M42" i="7" s="1"/>
  <c r="D42" i="7"/>
  <c r="N42" i="7" s="1"/>
  <c r="M12" i="4"/>
  <c r="J101" i="19"/>
  <c r="K6" i="4"/>
  <c r="M36" i="7" s="1"/>
  <c r="D36" i="7"/>
  <c r="N36" i="7" s="1"/>
  <c r="M6" i="4"/>
  <c r="M8" i="6"/>
  <c r="K8" i="6"/>
  <c r="M8" i="7" s="1"/>
  <c r="D8" i="7"/>
  <c r="N8" i="7" s="1"/>
  <c r="D14" i="16"/>
  <c r="D22" i="23"/>
  <c r="D12" i="7"/>
  <c r="N12" i="7" s="1"/>
  <c r="M12" i="6"/>
  <c r="K12" i="6"/>
  <c r="M12" i="7" s="1"/>
  <c r="M7" i="6"/>
  <c r="D7" i="7"/>
  <c r="N7" i="7" s="1"/>
  <c r="K7" i="6"/>
  <c r="M7" i="7" s="1"/>
  <c r="M3" i="2"/>
  <c r="K3" i="2"/>
  <c r="M18" i="7" s="1"/>
  <c r="D18" i="7"/>
  <c r="N18" i="7" s="1"/>
  <c r="D4" i="7"/>
  <c r="N4" i="7" s="1"/>
  <c r="M4" i="6"/>
  <c r="K4" i="6"/>
  <c r="M4" i="7" s="1"/>
  <c r="F12" i="10"/>
  <c r="L2" i="2"/>
  <c r="C21" i="23"/>
  <c r="D9" i="7"/>
  <c r="N9" i="7" s="1"/>
  <c r="M9" i="6"/>
  <c r="K9" i="6"/>
  <c r="M9" i="7" s="1"/>
  <c r="E126" i="8"/>
  <c r="U71" i="8" s="1"/>
  <c r="M10" i="4"/>
  <c r="D40" i="7"/>
  <c r="N40" i="7" s="1"/>
  <c r="K10" i="4"/>
  <c r="M40" i="7" s="1"/>
  <c r="K6" i="6"/>
  <c r="M6" i="7" s="1"/>
  <c r="D6" i="7"/>
  <c r="N6" i="7" s="1"/>
  <c r="M6" i="6"/>
  <c r="D28" i="7"/>
  <c r="N28" i="7" s="1"/>
  <c r="K13" i="2"/>
  <c r="M28" i="7" s="1"/>
  <c r="M13" i="2"/>
  <c r="K3" i="3"/>
  <c r="M63" i="7" s="1"/>
  <c r="D63" i="7"/>
  <c r="N63" i="7" s="1"/>
  <c r="M3" i="3"/>
  <c r="M7" i="2"/>
  <c r="K7" i="2"/>
  <c r="M22" i="7" s="1"/>
  <c r="D22" i="7"/>
  <c r="N22" i="7" s="1"/>
  <c r="I8" i="11"/>
  <c r="D44" i="7"/>
  <c r="N44" i="7" s="1"/>
  <c r="M14" i="4"/>
  <c r="K14" i="4"/>
  <c r="M44" i="7" s="1"/>
  <c r="D16" i="23"/>
  <c r="J23" i="19"/>
  <c r="C12" i="12"/>
  <c r="C27" i="23"/>
  <c r="M7" i="3"/>
  <c r="K7" i="3"/>
  <c r="M67" i="7" s="1"/>
  <c r="D67" i="7"/>
  <c r="N67" i="7" s="1"/>
  <c r="T84" i="8"/>
  <c r="D5" i="7"/>
  <c r="N5" i="7" s="1"/>
  <c r="M5" i="6"/>
  <c r="K5" i="6"/>
  <c r="M5" i="7" s="1"/>
  <c r="D75" i="7"/>
  <c r="N75" i="7" s="1"/>
  <c r="K15" i="3"/>
  <c r="M75" i="7" s="1"/>
  <c r="M15" i="3"/>
  <c r="J56" i="19"/>
  <c r="C11" i="11" s="1"/>
  <c r="D29" i="23"/>
  <c r="D12" i="14"/>
  <c r="D33" i="23"/>
  <c r="M3" i="5"/>
  <c r="D48" i="7"/>
  <c r="N48" i="7" s="1"/>
  <c r="K3" i="5"/>
  <c r="M48" i="7" s="1"/>
  <c r="D21" i="23"/>
  <c r="E12" i="10"/>
  <c r="J5" i="10" s="1"/>
  <c r="T80" i="8" s="1"/>
  <c r="D20" i="7"/>
  <c r="N20" i="7" s="1"/>
  <c r="M5" i="2"/>
  <c r="K5" i="2"/>
  <c r="M20" i="7" s="1"/>
  <c r="K6" i="3"/>
  <c r="M66" i="7" s="1"/>
  <c r="D66" i="7"/>
  <c r="N66" i="7" s="1"/>
  <c r="M6" i="3"/>
  <c r="D16" i="7"/>
  <c r="N16" i="7" s="1"/>
  <c r="M16" i="6"/>
  <c r="K16" i="6"/>
  <c r="M16" i="7" s="1"/>
  <c r="D23" i="23"/>
  <c r="D14" i="18"/>
  <c r="M10" i="6"/>
  <c r="K10" i="6"/>
  <c r="M10" i="7" s="1"/>
  <c r="D10" i="7"/>
  <c r="N10" i="7" s="1"/>
  <c r="D53" i="7"/>
  <c r="N53" i="7" s="1"/>
  <c r="M8" i="5"/>
  <c r="K8" i="5"/>
  <c r="M53" i="7" s="1"/>
  <c r="D57" i="7"/>
  <c r="N57" i="7" s="1"/>
  <c r="M12" i="5"/>
  <c r="K12" i="5"/>
  <c r="M57" i="7" s="1"/>
  <c r="D17" i="23"/>
  <c r="J79" i="19"/>
  <c r="I8" i="18"/>
  <c r="D32" i="7"/>
  <c r="N32" i="7" s="1"/>
  <c r="H18" i="4"/>
  <c r="M2" i="4"/>
  <c r="H17" i="4"/>
  <c r="K2" i="4"/>
  <c r="M32" i="7" s="1"/>
  <c r="M8" i="4"/>
  <c r="K8" i="4"/>
  <c r="M38" i="7" s="1"/>
  <c r="D38" i="7"/>
  <c r="N38" i="7" s="1"/>
  <c r="D25" i="23"/>
  <c r="D14" i="9"/>
  <c r="D28" i="23"/>
  <c r="D11" i="14"/>
  <c r="K10" i="5"/>
  <c r="M55" i="7" s="1"/>
  <c r="M10" i="5"/>
  <c r="D55" i="7"/>
  <c r="N55" i="7" s="1"/>
  <c r="K11" i="2"/>
  <c r="M26" i="7" s="1"/>
  <c r="D26" i="7"/>
  <c r="N26" i="7" s="1"/>
  <c r="M11" i="2"/>
  <c r="H18" i="3"/>
  <c r="K2" i="3"/>
  <c r="M62" i="7" s="1"/>
  <c r="M2" i="3"/>
  <c r="D62" i="7"/>
  <c r="N62" i="7" s="1"/>
  <c r="H17" i="3"/>
  <c r="J77" i="19"/>
  <c r="C13" i="13" s="1"/>
  <c r="H18" i="6"/>
  <c r="H17" i="6"/>
  <c r="M2" i="6"/>
  <c r="K2" i="6"/>
  <c r="M2" i="7" s="1"/>
  <c r="D2" i="7"/>
  <c r="N2" i="7" s="1"/>
  <c r="M15" i="6"/>
  <c r="K15" i="6"/>
  <c r="M15" i="7" s="1"/>
  <c r="D15" i="7"/>
  <c r="N15" i="7" s="1"/>
  <c r="J99" i="19"/>
  <c r="C14" i="18" s="1"/>
  <c r="I7" i="9"/>
  <c r="D12" i="15"/>
  <c r="D20" i="23"/>
  <c r="J76" i="19"/>
  <c r="C12" i="15" s="1"/>
  <c r="M10" i="3"/>
  <c r="D70" i="7"/>
  <c r="N70" i="7" s="1"/>
  <c r="K10" i="3"/>
  <c r="M70" i="7" s="1"/>
  <c r="M14" i="5"/>
  <c r="K14" i="5"/>
  <c r="M59" i="7" s="1"/>
  <c r="D59" i="7"/>
  <c r="N59" i="7" s="1"/>
  <c r="K14" i="3"/>
  <c r="M74" i="7" s="1"/>
  <c r="M14" i="3"/>
  <c r="D74" i="7"/>
  <c r="N74" i="7" s="1"/>
  <c r="K11" i="6"/>
  <c r="M11" i="7" s="1"/>
  <c r="M11" i="6"/>
  <c r="D11" i="7"/>
  <c r="N11" i="7" s="1"/>
  <c r="H2" i="5"/>
  <c r="I7" i="18"/>
  <c r="T82" i="8" s="1"/>
  <c r="J97" i="19"/>
  <c r="C12" i="10" s="1"/>
  <c r="D46" i="7"/>
  <c r="N46" i="7" s="1"/>
  <c r="M16" i="4"/>
  <c r="K16" i="4"/>
  <c r="M46" i="7" s="1"/>
  <c r="M6" i="5"/>
  <c r="D51" i="7"/>
  <c r="N51" i="7" s="1"/>
  <c r="K6" i="5"/>
  <c r="M51" i="7" s="1"/>
  <c r="J102" i="19"/>
  <c r="C5" i="8" l="1"/>
  <c r="T91" i="8"/>
  <c r="L6" i="1" s="1"/>
  <c r="O6" i="1"/>
  <c r="G5" i="1"/>
  <c r="J19" i="4"/>
  <c r="C84" i="8" s="1"/>
  <c r="M2" i="5"/>
  <c r="K2" i="5"/>
  <c r="M47" i="7" s="1"/>
  <c r="D47" i="7"/>
  <c r="N47" i="7" s="1"/>
  <c r="H18" i="5"/>
  <c r="H17" i="5"/>
  <c r="H2" i="2"/>
  <c r="H22" i="2"/>
  <c r="K22" i="2" s="1"/>
  <c r="T83" i="8"/>
  <c r="T89" i="8"/>
  <c r="L4" i="1" s="1"/>
  <c r="C3" i="8"/>
  <c r="G3" i="1"/>
  <c r="O4" i="1"/>
  <c r="J19" i="6"/>
  <c r="C82" i="8" s="1"/>
  <c r="C4" i="8"/>
  <c r="T90" i="8"/>
  <c r="L5" i="1" s="1"/>
  <c r="G4" i="1"/>
  <c r="O5" i="1"/>
  <c r="J20" i="3"/>
  <c r="C83" i="8" s="1"/>
  <c r="D3" i="8"/>
  <c r="H3" i="1"/>
  <c r="D5" i="8"/>
  <c r="H5" i="1"/>
  <c r="D4" i="8"/>
  <c r="H4" i="1"/>
  <c r="T88" i="8" l="1"/>
  <c r="L3" i="1" s="1"/>
  <c r="C6" i="8"/>
  <c r="O3" i="1"/>
  <c r="G6" i="1"/>
  <c r="J19" i="5"/>
  <c r="C81" i="8" s="1"/>
  <c r="D17" i="7"/>
  <c r="N17" i="7" s="1"/>
  <c r="K2" i="2"/>
  <c r="M17" i="7" s="1"/>
  <c r="H18" i="2"/>
  <c r="H19" i="2"/>
  <c r="M2" i="2"/>
  <c r="D6" i="8"/>
  <c r="H6" i="1"/>
  <c r="T87" i="8" l="1"/>
  <c r="L2" i="1" s="1"/>
  <c r="C2" i="8"/>
  <c r="O2" i="1"/>
  <c r="G2" i="1"/>
  <c r="J20" i="2"/>
  <c r="C80" i="8" s="1"/>
  <c r="D2" i="8"/>
  <c r="H2" i="1"/>
  <c r="I6" i="1"/>
  <c r="E6" i="8"/>
  <c r="J2" i="8" s="1"/>
  <c r="I2" i="1" l="1"/>
  <c r="I5" i="1"/>
  <c r="I3" i="1"/>
  <c r="I4" i="1"/>
  <c r="E2" i="8"/>
  <c r="H2" i="8" s="1"/>
  <c r="E5" i="8"/>
  <c r="T2" i="8" s="1"/>
  <c r="E3" i="8"/>
  <c r="N2" i="8" s="1"/>
  <c r="E4" i="8"/>
  <c r="P2" i="8" s="1"/>
  <c r="L5" i="24"/>
  <c r="H97" i="24"/>
  <c r="E97" i="24"/>
</calcChain>
</file>

<file path=xl/sharedStrings.xml><?xml version="1.0" encoding="utf-8"?>
<sst xmlns="http://schemas.openxmlformats.org/spreadsheetml/2006/main" count="4582" uniqueCount="581">
  <si>
    <t>TEAM NAME</t>
  </si>
  <si>
    <t>TOP 12</t>
  </si>
  <si>
    <t>TOTAL</t>
  </si>
  <si>
    <t>RANK</t>
  </si>
  <si>
    <t>Team</t>
  </si>
  <si>
    <t>Points Gained Today</t>
  </si>
  <si>
    <t>Avg Increase</t>
  </si>
  <si>
    <t>Himanshu Warriors</t>
  </si>
  <si>
    <t>HW</t>
  </si>
  <si>
    <t>Onkar Legends</t>
  </si>
  <si>
    <t>MC</t>
  </si>
  <si>
    <t>Abhishek Strikers</t>
  </si>
  <si>
    <t>OL</t>
  </si>
  <si>
    <t>Pranav Astra</t>
  </si>
  <si>
    <t>AS</t>
  </si>
  <si>
    <t>Mehul Challengers</t>
  </si>
  <si>
    <t>PA</t>
  </si>
  <si>
    <r>
      <rPr>
        <sz val="23"/>
        <color rgb="FFCCCCCC"/>
        <rFont val="Impact"/>
      </rPr>
      <t>IPL -</t>
    </r>
    <r>
      <rPr>
        <sz val="22"/>
        <color rgb="FFCCCCCC"/>
        <rFont val="Pacifico"/>
      </rPr>
      <t xml:space="preserve"> </t>
    </r>
    <r>
      <rPr>
        <b/>
        <sz val="23"/>
        <color rgb="FFCCCCCC"/>
        <rFont val="Oswald"/>
      </rPr>
      <t>Crayons</t>
    </r>
    <r>
      <rPr>
        <b/>
        <sz val="23"/>
        <color rgb="FFFFFFFF"/>
        <rFont val="Oswald"/>
      </rPr>
      <t xml:space="preserve">   </t>
    </r>
    <r>
      <rPr>
        <sz val="22"/>
        <color rgb="FFF8F9FA"/>
        <rFont val="Lexend"/>
      </rPr>
      <t>x</t>
    </r>
    <r>
      <rPr>
        <sz val="22"/>
        <color rgb="FF3D85C6"/>
        <rFont val="Lexend"/>
      </rPr>
      <t xml:space="preserve">  </t>
    </r>
    <r>
      <rPr>
        <sz val="22"/>
        <color rgb="FFFFD966"/>
        <rFont val="Lexend"/>
      </rPr>
      <t xml:space="preserve">S2    </t>
    </r>
    <r>
      <rPr>
        <sz val="22"/>
        <color rgb="FF000000"/>
        <rFont val="Lexend"/>
      </rPr>
      <t>.</t>
    </r>
  </si>
  <si>
    <t>Days Completed</t>
  </si>
  <si>
    <t xml:space="preserve">
</t>
  </si>
  <si>
    <t>Himanshu Warriors Dominance: Himanshu Warriors finished at the top of the table with 9,002 points. Their success was driven by top performers like Shubman Gill (1,178 points) and KR (1,109 points).
Steady Growth for Runners-up: Onkar Legends and Abhishek Strikers had a competitive run, finishing with 8,341 and 8,155 points respectively. Notably, Vaibhav Suryavanshi from Abhishek Strikers was one of the highest individual scorers with 1,211 points.
Performance Gap: Mehul Challengers trailed the group, finishing with 6,245 points, despite a strong individual performance from Bhuvneshwar Kumar (1,051 points).</t>
  </si>
  <si>
    <t>Rules for Auction</t>
  </si>
  <si>
    <t>Player Selection Rules:</t>
  </si>
  <si>
    <t>•</t>
  </si>
  <si>
    <t>Minimum Players: Each team must buy a minimum of 15 players during the auction.</t>
  </si>
  <si>
    <t>Overseas Players: Each team must have at least 3 overseas players.</t>
  </si>
  <si>
    <t>Bowlers</t>
  </si>
  <si>
    <t>Uncapped Players: Each team must include at least 3 uncapped players.</t>
  </si>
  <si>
    <t>Batters</t>
  </si>
  <si>
    <t>Special Rules:</t>
  </si>
  <si>
    <t>All-rounders</t>
  </si>
  <si>
    <t>Bowlers: Minimum 3 bowlers.</t>
  </si>
  <si>
    <t>Wicketkeeper</t>
  </si>
  <si>
    <t>Batters: Minimum 3 batters.</t>
  </si>
  <si>
    <t>Overseas</t>
  </si>
  <si>
    <t>All-rounders: Minimum 2 all-rounders.</t>
  </si>
  <si>
    <t>Uncapped</t>
  </si>
  <si>
    <t>Wicketkeeper: Minimum 1 wicketkeeper.</t>
  </si>
  <si>
    <t>Player List Submission: After the auction, each team must submit a final list of 15 players, adhering to the above rules. This list will be used for point calculation during the IPL tournament. Top 12 will be considered!</t>
  </si>
  <si>
    <t>Auction Participation:</t>
  </si>
  <si>
    <r>
      <rPr>
        <sz val="10"/>
        <color theme="1"/>
        <rFont val="Lexend"/>
      </rPr>
      <t xml:space="preserve">Entry Fee: Each participant must pay an entry fee of </t>
    </r>
    <r>
      <rPr>
        <sz val="10"/>
        <color rgb="FF274E13"/>
        <rFont val="Lexend"/>
      </rPr>
      <t xml:space="preserve">₹1000 </t>
    </r>
    <r>
      <rPr>
        <sz val="10"/>
        <color theme="1"/>
        <rFont val="Lexend"/>
      </rPr>
      <t>to join the auction.</t>
    </r>
  </si>
  <si>
    <t>Winning Amount: The total collected entry fees will be distributed among the winners:</t>
  </si>
  <si>
    <r>
      <rPr>
        <sz val="10"/>
        <color theme="1"/>
        <rFont val="Lexend"/>
      </rPr>
      <t>1st Position: Team with the highest points at the end of the IPL tournament. (</t>
    </r>
    <r>
      <rPr>
        <sz val="10"/>
        <color rgb="FFCC4125"/>
        <rFont val="Lexend"/>
      </rPr>
      <t>Winning amount: Rs.3000</t>
    </r>
    <r>
      <rPr>
        <sz val="10"/>
        <color theme="1"/>
        <rFont val="Lexend"/>
      </rPr>
      <t>)</t>
    </r>
  </si>
  <si>
    <r>
      <rPr>
        <sz val="10"/>
        <color theme="1"/>
        <rFont val="Lexend"/>
      </rPr>
      <t>Runner-Up: Team with the second-highest points.(</t>
    </r>
    <r>
      <rPr>
        <sz val="10"/>
        <color rgb="FFCC4125"/>
        <rFont val="Lexend"/>
      </rPr>
      <t>Winning amount: Rs.2000</t>
    </r>
    <r>
      <rPr>
        <sz val="10"/>
        <color theme="1"/>
        <rFont val="Lexend"/>
      </rPr>
      <t>)</t>
    </r>
  </si>
  <si>
    <t>Points Calculation and Winner:</t>
  </si>
  <si>
    <t>Points will be calculated based on the performance of the selected players throughout the IPL tournament.</t>
  </si>
  <si>
    <t>The team with the highest cumulative points will win 1st position, and the second-highest scorer will be declared the runner-up.</t>
  </si>
  <si>
    <t>Replacement Rules:</t>
  </si>
  <si>
    <t>Each team must pre-select three players as potential replacements.</t>
  </si>
  <si>
    <t>A capped player can be replaced only by another capped player.</t>
  </si>
  <si>
    <t>An uncapped player can be replaced only by another uncapped player.</t>
  </si>
  <si>
    <t>Any replacement must not violate the original team-composition rules, which remain unchanged</t>
  </si>
  <si>
    <r>
      <rPr>
        <sz val="10"/>
        <color theme="1"/>
        <rFont val="Lexend"/>
      </rPr>
      <t>Replacement points will be calculated from the day Replacement happened. 
Past player points will not be replaced. (</t>
    </r>
    <r>
      <rPr>
        <b/>
        <sz val="9"/>
        <color rgb="FFCC4125"/>
        <rFont val="Lexend"/>
      </rPr>
      <t>past player pt + replaced player pt</t>
    </r>
    <r>
      <rPr>
        <sz val="10"/>
        <color theme="1"/>
        <rFont val="Lexend"/>
      </rPr>
      <t>)</t>
    </r>
  </si>
  <si>
    <t>Only one replacement allowed for 1 team per season</t>
  </si>
  <si>
    <t>In short: replacements are like-for-like, and the team balance stays exactly as defined.</t>
  </si>
  <si>
    <t>General Guidelines:</t>
  </si>
  <si>
    <t>Ensure all team selections meet the mandatory player composition.</t>
  </si>
  <si>
    <t>Be strategic in picking players to maximize points.</t>
  </si>
  <si>
    <t>Happy Bidding and may the best team win!</t>
  </si>
  <si>
    <t>Note:</t>
  </si>
  <si>
    <t>In the event of an injury or if a player is ruled out, they can be replaced (without trade) before the IPL starts, i.e., before March 23rd.</t>
  </si>
  <si>
    <r>
      <rPr>
        <b/>
        <sz val="18"/>
        <color rgb="FFCCCCCC"/>
        <rFont val="Calibri"/>
      </rPr>
      <t>Tournament Timeline</t>
    </r>
    <r>
      <rPr>
        <b/>
        <sz val="14"/>
        <color rgb="FFFFFFFF"/>
        <rFont val="Calibri"/>
      </rPr>
      <t xml:space="preserve">
</t>
    </r>
    <r>
      <rPr>
        <b/>
        <sz val="10"/>
        <color rgb="FFFFFFFF"/>
        <rFont val="Calibri"/>
      </rPr>
      <t xml:space="preserve">
</t>
    </r>
    <r>
      <rPr>
        <b/>
        <sz val="15"/>
        <color rgb="FFFFFFFF"/>
        <rFont val="Calibri"/>
      </rPr>
      <t>Phase 1: Early Race (27 Mar – 2 Apr)</t>
    </r>
    <r>
      <rPr>
        <b/>
        <sz val="12"/>
        <color rgb="FFFFFFFF"/>
        <rFont val="Calibri"/>
      </rPr>
      <t xml:space="preserve">
</t>
    </r>
    <r>
      <rPr>
        <b/>
        <sz val="10"/>
        <color rgb="FFFFFFFF"/>
        <rFont val="Calibri"/>
      </rPr>
      <t xml:space="preserve">
</t>
    </r>
    <r>
      <rPr>
        <sz val="12"/>
        <color rgb="FFFFFFFF"/>
        <rFont val="Calibri"/>
      </rPr>
      <t xml:space="preserve">27 Mar
Abhishek Strikers started strongly and led the table, followed by Pranav Astra and Himanshu Warriors.
28–30 Mar
Abhishek Strikers maintained control, but Mehul Challengers surged dramatically and moved into second place by 30 Mar.
1 Apr: A major shift occurred. Himanshu Warriors exploded with a huge points jump and briefly moved to the top.
2 Apr 
Pranav Astra responded immediately and claimed the lead, showing early consistency and becoming the first serious challenger to Abhishek Strikers.
Leaderboard Trend
27 Mar – 30 Mar: Abhishek Strikers
1 Apr: Himanshu Warriors
2 Apr: Pranav Astra
</t>
    </r>
    <r>
      <rPr>
        <b/>
        <sz val="10"/>
        <color rgb="FFFFFFFF"/>
        <rFont val="Calibri"/>
      </rPr>
      <t xml:space="preserve">
</t>
    </r>
    <r>
      <rPr>
        <b/>
        <sz val="14"/>
        <color rgb="FFFFFFFF"/>
        <rFont val="Calibri"/>
      </rPr>
      <t xml:space="preserve">
</t>
    </r>
    <r>
      <rPr>
        <b/>
        <sz val="15"/>
        <color rgb="FFFFFFFF"/>
        <rFont val="Calibri"/>
      </rPr>
      <t>Phase 2: Abhishek Strikers' Dominance (4 Apr – 11 Apr)</t>
    </r>
    <r>
      <rPr>
        <b/>
        <sz val="12"/>
        <color rgb="FFFFFFFF"/>
        <rFont val="Calibri"/>
      </rPr>
      <t xml:space="preserve">
</t>
    </r>
    <r>
      <rPr>
        <sz val="10"/>
        <color rgb="FFFFFFFF"/>
        <rFont val="Calibri"/>
      </rPr>
      <t xml:space="preserve">
</t>
    </r>
    <r>
      <rPr>
        <sz val="12"/>
        <color rgb="FFFFFFFF"/>
        <rFont val="Calibri"/>
      </rPr>
      <t>On 4 Apr, 
Abhishek Strikers produced a massive jump and reclaimed first place.
From 4 Apr to 11 Apr
They controlled the tournament comfortably.
Mehul Challengers and Himanshu Warriors stayed competitive, while Onkar Legends gradually climbed from the lower half.
Pranav Astra remained close enough to threaten but could not overtake.
Leaderboard Trend
4 Apr – 11 Apr
Abhishek Strikers held a 8-day reign.</t>
    </r>
    <r>
      <rPr>
        <b/>
        <sz val="12"/>
        <color rgb="FFFFFFFF"/>
        <rFont val="Calibri"/>
      </rPr>
      <t xml:space="preserve">
</t>
    </r>
    <r>
      <rPr>
        <b/>
        <sz val="10"/>
        <color rgb="FFFFFFFF"/>
        <rFont val="Calibri"/>
      </rPr>
      <t xml:space="preserve">
</t>
    </r>
    <r>
      <rPr>
        <b/>
        <sz val="15"/>
        <color rgb="FFFFFFFF"/>
        <rFont val="Calibri"/>
      </rPr>
      <t>Phase 3: Rise of Pranav Astra (12 Apr – 20 Apr)</t>
    </r>
    <r>
      <rPr>
        <b/>
        <sz val="12"/>
        <color rgb="FFFFFFFF"/>
        <rFont val="Calibri"/>
      </rPr>
      <t xml:space="preserve">
</t>
    </r>
    <r>
      <rPr>
        <b/>
        <sz val="10"/>
        <color rgb="FFFFFFFF"/>
        <rFont val="Calibri"/>
      </rPr>
      <t xml:space="preserve">
</t>
    </r>
    <r>
      <rPr>
        <sz val="12"/>
        <color rgb="FFFFFFFF"/>
        <rFont val="Calibri"/>
      </rPr>
      <t>12 Apr became the first major turning point.
Pranav Astra overtook Abhishek Strikers and took control of the tournament.
From 12 Apr onward, Pranav Astra consistently expanded their lead.
Himanshu Warriors and Onkar Legends also accelerated.
Mehul Challengers started falling behind the leading pack.
Key Moments
18–19 Apr
Himanshu Warriors and Onkar Legends both crossed 3,000-point territory and began closing on Pranav Astra.
Despite pressure, Pranav Astra defended first place for over a week.
Leaderboard Trend
12 Apr – 20 Apr 
Pranav Astra led for 9 consecutive days.</t>
    </r>
    <r>
      <rPr>
        <b/>
        <sz val="10"/>
        <color rgb="FFFFFFFF"/>
        <rFont val="Calibri"/>
      </rPr>
      <t xml:space="preserve">
</t>
    </r>
    <r>
      <rPr>
        <b/>
        <sz val="15"/>
        <color rgb="FFFFFFFF"/>
        <rFont val="Calibri"/>
      </rPr>
      <t>Phase 4: The Four-Team Battle (21 Apr – 2 May)</t>
    </r>
    <r>
      <rPr>
        <b/>
        <sz val="12"/>
        <color rgb="FFFFFFFF"/>
        <rFont val="Calibri"/>
      </rPr>
      <t xml:space="preserve">
</t>
    </r>
    <r>
      <rPr>
        <b/>
        <sz val="10"/>
        <color rgb="FFFFFFFF"/>
        <rFont val="Calibri"/>
      </rPr>
      <t xml:space="preserve">
</t>
    </r>
    <r>
      <rPr>
        <sz val="12"/>
        <color rgb="FFFFFFFF"/>
        <rFont val="Calibri"/>
      </rPr>
      <t>The tournament entered its most competitive phase.
21 Apr
Abhishek Strikers and Onkar Legends became tied on points.
The top four teams were separated by relatively small margins.
22–25 Apr
Himanshu Warriors launched a strong surge.
Abhishek Strikers mounted a comeback.
Pranav Astra's lead began shrinking.
26 Apr
A historic day.
Abhishek Strikers overtook Pranav Astra and moved into first place.
28 Apr
Himanshu Warriors overtook everyone and became the new leader.
30 Apr – 2 May
Himanshu Warriors consolidated first place.
Pranav Astra, Abhishek Strikers, and Onkar Legends were all within striking distance.
26–27 Apr: Abhishek Strikers
28 Apr – 2 May: Himanshu Warriors</t>
    </r>
    <r>
      <rPr>
        <b/>
        <sz val="10"/>
        <color rgb="FFFFFFFF"/>
        <rFont val="Calibri"/>
      </rPr>
      <t xml:space="preserve">
</t>
    </r>
    <r>
      <rPr>
        <b/>
        <sz val="14"/>
        <color rgb="FFFFFFFF"/>
        <rFont val="Calibri"/>
      </rPr>
      <t xml:space="preserve">
</t>
    </r>
    <r>
      <rPr>
        <b/>
        <sz val="15"/>
        <color rgb="FFFFFFFF"/>
        <rFont val="Calibri"/>
      </rPr>
      <t>Phase 5: Three-Way Championship Fight (3 May – 18 May)</t>
    </r>
    <r>
      <rPr>
        <b/>
        <sz val="10"/>
        <color rgb="FFFFFFFF"/>
        <rFont val="Calibri"/>
      </rPr>
      <t xml:space="preserve">
</t>
    </r>
    <r>
      <rPr>
        <sz val="10"/>
        <color rgb="FFFFFFFF"/>
        <rFont val="Calibri"/>
      </rPr>
      <t xml:space="preserve">
</t>
    </r>
    <r>
      <rPr>
        <sz val="12"/>
        <color rgb="FFFFFFFF"/>
        <rFont val="Calibri"/>
      </rPr>
      <t>This was arguably the most exciting portion of the tournament.
3 May
Himanshu Warriors crossed 5,300 points and extended their lead.
Onkar Legends made a huge jump and emerged as a title contender.
8–12 May
Onkar Legends kept gaining ground.
Abhishek Strikers remained competitive.
Mehul Challengers continued scoring but could not match the pace of the top teams.
18 May
Onkar Legends reached 6,905 points.
Abhishek Strikers were close behind at 6,896.
Just 9 points separated them.
The battle for second place was extremely intense.
Throughout this period, Himanshu Warriors remained in first.</t>
    </r>
    <r>
      <rPr>
        <b/>
        <sz val="10"/>
        <color rgb="FFFFFFFF"/>
        <rFont val="Calibri"/>
      </rPr>
      <t xml:space="preserve">
</t>
    </r>
    <r>
      <rPr>
        <b/>
        <sz val="11"/>
        <color rgb="FFFFFFFF"/>
        <rFont val="Calibri"/>
      </rPr>
      <t xml:space="preserve">
</t>
    </r>
    <r>
      <rPr>
        <b/>
        <sz val="15"/>
        <color rgb="FFFFFFFF"/>
        <rFont val="Calibri"/>
      </rPr>
      <t>Phase 6: Himanshu Warriors Pull Away (19 May – 31 May)</t>
    </r>
    <r>
      <rPr>
        <b/>
        <sz val="12"/>
        <color rgb="FFFFFFFF"/>
        <rFont val="Calibri"/>
      </rPr>
      <t xml:space="preserve">
</t>
    </r>
    <r>
      <rPr>
        <b/>
        <sz val="10"/>
        <color rgb="FFFFFFFF"/>
        <rFont val="Calibri"/>
      </rPr>
      <t xml:space="preserve">
</t>
    </r>
    <r>
      <rPr>
        <sz val="12"/>
        <color rgb="FFFFFFFF"/>
        <rFont val="Calibri"/>
      </rPr>
      <t>19–23 May 
Himanshu Warriors accelerated again.
Onkar Legends overtook Abhishek Strikers and firmly established themselves as second.
24–27 May
Onkar Legends crossed 8,000 points.
Abhishek Strikers attempted a late comeback.
Pranav Astra remained competitive but could not catch the leading trio.
29–31 May
Himanshu Warriors crossed 9,000 points.
Onkar Legends secured second place.
Abhishek Strikers held third despite a late charge.
Pranav Astra finished fourth.
Mehul Challengers ended fifth after an impressive early tournament but slower growth later.</t>
    </r>
  </si>
  <si>
    <t>Sr no.</t>
  </si>
  <si>
    <t>Name</t>
  </si>
  <si>
    <t>Type</t>
  </si>
  <si>
    <t>Capped/Uncapped</t>
  </si>
  <si>
    <t>Bid Taken(cr)</t>
  </si>
  <si>
    <t>Points</t>
  </si>
  <si>
    <t>IPL</t>
  </si>
  <si>
    <t>Number</t>
  </si>
  <si>
    <t>Value</t>
  </si>
  <si>
    <t>Compare</t>
  </si>
  <si>
    <t>Diff</t>
  </si>
  <si>
    <t>Khaleel Ahmed + Rabada</t>
  </si>
  <si>
    <t>Bowler</t>
  </si>
  <si>
    <t>CSK + GT</t>
  </si>
  <si>
    <t>Tristan Stubbs</t>
  </si>
  <si>
    <t>Batter</t>
  </si>
  <si>
    <t>Yes</t>
  </si>
  <si>
    <t>DC</t>
  </si>
  <si>
    <t>Kuldeep Yadav</t>
  </si>
  <si>
    <t>Shubman Gill</t>
  </si>
  <si>
    <t>GT</t>
  </si>
  <si>
    <t>Mohammad Siraj</t>
  </si>
  <si>
    <t>Angkrish Raghuvanshi</t>
  </si>
  <si>
    <t>KKR</t>
  </si>
  <si>
    <t>Mitchell Marsh</t>
  </si>
  <si>
    <t>All-Rounder</t>
  </si>
  <si>
    <t>LSG</t>
  </si>
  <si>
    <t>Nicholas Pooran</t>
  </si>
  <si>
    <t>Marcus Stoinis</t>
  </si>
  <si>
    <t>PBSK</t>
  </si>
  <si>
    <t>Prabhsimran Singh</t>
  </si>
  <si>
    <t>Shashank Singh</t>
  </si>
  <si>
    <t>Jitesh Sharma</t>
  </si>
  <si>
    <t>RCB</t>
  </si>
  <si>
    <t>Jofra Archer</t>
  </si>
  <si>
    <t>RR</t>
  </si>
  <si>
    <t>Ravindra Jadeja</t>
  </si>
  <si>
    <t>Mohammed Shami</t>
  </si>
  <si>
    <t>Total</t>
  </si>
  <si>
    <t>Missed Top 12 Combo</t>
  </si>
  <si>
    <t>Diffrence</t>
  </si>
  <si>
    <t>Kagiso Rabada</t>
  </si>
  <si>
    <t>Rinku Singh</t>
  </si>
  <si>
    <t>Kartik Sharma</t>
  </si>
  <si>
    <t>CSK</t>
  </si>
  <si>
    <t>KA</t>
  </si>
  <si>
    <t>KR</t>
  </si>
  <si>
    <t>Slow start but explosive growth from April onward.</t>
  </si>
  <si>
    <t>Took first place on 1 Apr.</t>
  </si>
  <si>
    <t>Regained the lead permanently on 28 Apr.</t>
  </si>
  <si>
    <t>Recorded the highest final score.</t>
  </si>
  <si>
    <t>Strongest late-tournament performer.</t>
  </si>
  <si>
    <t>Story: The ultimate comeback champions. And also one and only Defending champoin.</t>
  </si>
  <si>
    <t>Ashutosh Sharma</t>
  </si>
  <si>
    <t>Ben Duckett</t>
  </si>
  <si>
    <t>Corbin Bosch</t>
  </si>
  <si>
    <t>MI</t>
  </si>
  <si>
    <t>Tim David</t>
  </si>
  <si>
    <t>Cooper Connolly</t>
  </si>
  <si>
    <t>Liam Livingstone</t>
  </si>
  <si>
    <t>SRH</t>
  </si>
  <si>
    <t>Vyshak Vijaykumar</t>
  </si>
  <si>
    <t>Suyash Sharma</t>
  </si>
  <si>
    <t>David Miller</t>
  </si>
  <si>
    <t>Bid Taken</t>
  </si>
  <si>
    <t>diff</t>
  </si>
  <si>
    <t>Shivam Dube</t>
  </si>
  <si>
    <t>Sanju Samson</t>
  </si>
  <si>
    <t>Sai Sudharsan</t>
  </si>
  <si>
    <t>Mohsin Khan</t>
  </si>
  <si>
    <t>Tilak Varma</t>
  </si>
  <si>
    <t>Quinton de Kock</t>
  </si>
  <si>
    <t>Jasprit Bumrah</t>
  </si>
  <si>
    <t>Harpreet Brar</t>
  </si>
  <si>
    <t>Yuzvendra Chahal</t>
  </si>
  <si>
    <t>Romario Shepherd</t>
  </si>
  <si>
    <t>Vaibhav Suryavanshi</t>
  </si>
  <si>
    <t>Ravi Bishnoi</t>
  </si>
  <si>
    <t>Abhishek Sharma</t>
  </si>
  <si>
    <t>Ishan Kishan</t>
  </si>
  <si>
    <t>Pat Cummins</t>
  </si>
  <si>
    <t>Tournament leader at the start.</t>
  </si>
  <si>
    <t>Dominated early April.</t>
  </si>
  <si>
    <t>Rasikh Dar</t>
  </si>
  <si>
    <t>Lost the lead to Pranav Astra.</t>
  </si>
  <si>
    <t>Matheesha Pathirana</t>
  </si>
  <si>
    <t>Capped</t>
  </si>
  <si>
    <t>Mounted several comebacks and briefly returned to first in late April.</t>
  </si>
  <si>
    <t>Nathan Ellis</t>
  </si>
  <si>
    <t>Finished third.</t>
  </si>
  <si>
    <t>Story: Early king who fought until the very end.</t>
  </si>
  <si>
    <t>Yudhvir Singh</t>
  </si>
  <si>
    <t>Dewald Brevis</t>
  </si>
  <si>
    <t>Noor Ahmad</t>
  </si>
  <si>
    <t>Auqib Nabi</t>
  </si>
  <si>
    <t>Jos Buttler</t>
  </si>
  <si>
    <t>Prasidh Krishna</t>
  </si>
  <si>
    <t>Vaibhav Arora</t>
  </si>
  <si>
    <t>Aiden Markram</t>
  </si>
  <si>
    <t>Will Jacks</t>
  </si>
  <si>
    <t>Nehal Wadhera</t>
  </si>
  <si>
    <t>Shreyas Iyer</t>
  </si>
  <si>
    <t>Devdutt Padikkal</t>
  </si>
  <si>
    <t>Virat Kohli</t>
  </si>
  <si>
    <t>Riyan Parag</t>
  </si>
  <si>
    <t>Harshal Patel</t>
  </si>
  <si>
    <t>Heinrich Klaasen</t>
  </si>
  <si>
    <t>One of the most consistent teams.</t>
  </si>
  <si>
    <t>Nitish Rana</t>
  </si>
  <si>
    <t>Dominated mid-April.</t>
  </si>
  <si>
    <t>Trent Boult</t>
  </si>
  <si>
    <t>Led for the longest uninterrupted stretch.</t>
  </si>
  <si>
    <t>Venkatesh Iyer</t>
  </si>
  <si>
    <t>capped</t>
  </si>
  <si>
    <t>Stayed in the title race deep into the tournament.</t>
  </si>
  <si>
    <t>Eventually overtaken by faster-growing rivals.</t>
  </si>
  <si>
    <t>Story: The mid-season powerhouse.</t>
  </si>
  <si>
    <t>yash Dayal</t>
  </si>
  <si>
    <t>Shardul Thakur</t>
  </si>
  <si>
    <t>Rahul Chahar</t>
  </si>
  <si>
    <t/>
  </si>
  <si>
    <t>Ayush Mhatre + Sandeep Sharma</t>
  </si>
  <si>
    <t>CSK + RR</t>
  </si>
  <si>
    <t>MS Dhoni</t>
  </si>
  <si>
    <t>YES</t>
  </si>
  <si>
    <t>Mitchell Starc</t>
  </si>
  <si>
    <t>Glenn Phillips</t>
  </si>
  <si>
    <t>Sunil Narine</t>
  </si>
  <si>
    <t>Ajinkya Rahane</t>
  </si>
  <si>
    <t>Ayush Badoni</t>
  </si>
  <si>
    <t>Hardik Pandya</t>
  </si>
  <si>
    <t>Suryakumar Yadav</t>
  </si>
  <si>
    <t>Rohit Sharma</t>
  </si>
  <si>
    <t>Priyansh Arya</t>
  </si>
  <si>
    <t>Phil Salt</t>
  </si>
  <si>
    <t>Bhuvneshwar Kumar</t>
  </si>
  <si>
    <t>Josh Hazlewood</t>
  </si>
  <si>
    <t>Shimron Hetmyer</t>
  </si>
  <si>
    <t>Excellent early momentum.</t>
  </si>
  <si>
    <t>Reached second place during the opening weeks.</t>
  </si>
  <si>
    <t>Could not sustain the pace set by the leading teams.</t>
  </si>
  <si>
    <t>Sandeep Sharma</t>
  </si>
  <si>
    <t>Continued steady growth but gradually fell behind.</t>
  </si>
  <si>
    <t>Marco Jansen</t>
  </si>
  <si>
    <t>Story: Fast starter, steady finisher.</t>
  </si>
  <si>
    <t>Prashant Veer</t>
  </si>
  <si>
    <t>Ruturaj Gaikwad</t>
  </si>
  <si>
    <t>Axar Patel</t>
  </si>
  <si>
    <t>Abhishek Porel</t>
  </si>
  <si>
    <t>yes</t>
  </si>
  <si>
    <t>KL Rahul</t>
  </si>
  <si>
    <t>Rashid Khan</t>
  </si>
  <si>
    <t>Cameron Green</t>
  </si>
  <si>
    <t>Varun Chakaravarthy</t>
  </si>
  <si>
    <t>Digvesh Singh</t>
  </si>
  <si>
    <t>Rishabh Pant</t>
  </si>
  <si>
    <t>Arshdeep Singh</t>
  </si>
  <si>
    <t>Krunal Pandya</t>
  </si>
  <si>
    <t>Rajat Patidar</t>
  </si>
  <si>
    <t>Yashaswi Jaiswal</t>
  </si>
  <si>
    <t>Travis Head</t>
  </si>
  <si>
    <t>Began near the bottom.</t>
  </si>
  <si>
    <t>Consistently climbed throughout April.</t>
  </si>
  <si>
    <t>Nitish Kumar Reddy</t>
  </si>
  <si>
    <t>Never truly dominated the lead but became stronger every week.</t>
  </si>
  <si>
    <t>Naman Dhir</t>
  </si>
  <si>
    <t>Finished second after one of the tournament's best long-term growth curves.</t>
  </si>
  <si>
    <t>Finn Allen</t>
  </si>
  <si>
    <t>Story: The tournament's biggest climber.</t>
  </si>
  <si>
    <t>Rahul Tewatia</t>
  </si>
  <si>
    <t>Jason Holder</t>
  </si>
  <si>
    <t>Efficiency</t>
  </si>
  <si>
    <t>Khaleel + Rabada</t>
  </si>
  <si>
    <t>CSK/GT</t>
  </si>
  <si>
    <t>Ayush Mhatre</t>
  </si>
  <si>
    <t>Sr.No.</t>
  </si>
  <si>
    <t>Team Name</t>
  </si>
  <si>
    <t>Ranking</t>
  </si>
  <si>
    <r>
      <rPr>
        <b/>
        <sz val="15"/>
        <color rgb="FFFFFFFF"/>
        <rFont val="Impact"/>
      </rPr>
      <t>----</t>
    </r>
    <r>
      <rPr>
        <b/>
        <sz val="15"/>
        <color rgb="FFFFFFFF"/>
        <rFont val="Comfortaa"/>
      </rPr>
      <t xml:space="preserve"> TOP PERFORMER </t>
    </r>
    <r>
      <rPr>
        <b/>
        <sz val="15"/>
        <color rgb="FFFFFFFF"/>
        <rFont val="Impact"/>
      </rPr>
      <t>----</t>
    </r>
  </si>
  <si>
    <r>
      <rPr>
        <b/>
        <sz val="15"/>
        <color rgb="FFFFFFFF"/>
        <rFont val="Impact"/>
      </rPr>
      <t>----</t>
    </r>
    <r>
      <rPr>
        <b/>
        <sz val="15"/>
        <color rgb="FFFFFFFF"/>
        <rFont val="Comfortaa"/>
      </rPr>
      <t xml:space="preserve">  TOP BATTER </t>
    </r>
    <r>
      <rPr>
        <b/>
        <sz val="15"/>
        <color rgb="FFFFFFFF"/>
        <rFont val="Impact"/>
      </rPr>
      <t>----</t>
    </r>
  </si>
  <si>
    <r>
      <rPr>
        <b/>
        <sz val="15"/>
        <color rgb="FFFFFFFF"/>
        <rFont val="Impact"/>
      </rPr>
      <t xml:space="preserve">---- </t>
    </r>
    <r>
      <rPr>
        <b/>
        <sz val="15"/>
        <color rgb="FFFFFFFF"/>
        <rFont val="Comfortaa"/>
      </rPr>
      <t xml:space="preserve">TOP BOWLER </t>
    </r>
    <r>
      <rPr>
        <b/>
        <sz val="15"/>
        <color rgb="FFFFFFFF"/>
        <rFont val="Impact"/>
      </rPr>
      <t>----</t>
    </r>
  </si>
  <si>
    <r>
      <rPr>
        <b/>
        <sz val="15"/>
        <color rgb="FFFFFFFF"/>
        <rFont val="Impact"/>
      </rPr>
      <t xml:space="preserve">---- </t>
    </r>
    <r>
      <rPr>
        <b/>
        <sz val="15"/>
        <color rgb="FFFFFFFF"/>
        <rFont val="Comfortaa"/>
      </rPr>
      <t xml:space="preserve">TOP ALL-ROUNDER </t>
    </r>
    <r>
      <rPr>
        <b/>
        <sz val="15"/>
        <color rgb="FFFFFFFF"/>
        <rFont val="Impact"/>
      </rPr>
      <t>----</t>
    </r>
  </si>
  <si>
    <r>
      <rPr>
        <b/>
        <sz val="15"/>
        <color rgb="FFFFFFFF"/>
        <rFont val="Impact"/>
      </rPr>
      <t>----</t>
    </r>
    <r>
      <rPr>
        <b/>
        <sz val="15"/>
        <color rgb="FFFFFFFF"/>
        <rFont val="Comfortaa"/>
      </rPr>
      <t xml:space="preserve"> Team Wise: TOP 1 PERFORMER </t>
    </r>
    <r>
      <rPr>
        <b/>
        <sz val="15"/>
        <color rgb="FFFFFFFF"/>
        <rFont val="Impact"/>
      </rPr>
      <t>----</t>
    </r>
  </si>
  <si>
    <r>
      <rPr>
        <b/>
        <sz val="15"/>
        <color rgb="FFFFFFFF"/>
        <rFont val="Impact"/>
      </rPr>
      <t>----</t>
    </r>
    <r>
      <rPr>
        <b/>
        <sz val="15"/>
        <color rgb="FFFFFFFF"/>
        <rFont val="Comfortaa"/>
      </rPr>
      <t xml:space="preserve"> Team Wise: TOP 1 BATTER</t>
    </r>
    <r>
      <rPr>
        <b/>
        <sz val="15"/>
        <color rgb="FFFFFFFF"/>
        <rFont val="Impact"/>
      </rPr>
      <t>----</t>
    </r>
  </si>
  <si>
    <r>
      <rPr>
        <b/>
        <sz val="15"/>
        <color rgb="FFFFFFFF"/>
        <rFont val="Impact"/>
      </rPr>
      <t>----</t>
    </r>
    <r>
      <rPr>
        <b/>
        <sz val="15"/>
        <color rgb="FFFFFFFF"/>
        <rFont val="Comfortaa"/>
      </rPr>
      <t xml:space="preserve"> Team Wise: TOP 1 BOWLER</t>
    </r>
    <r>
      <rPr>
        <b/>
        <sz val="15"/>
        <color rgb="FFFFFFFF"/>
        <rFont val="Impact"/>
      </rPr>
      <t>----</t>
    </r>
  </si>
  <si>
    <r>
      <rPr>
        <b/>
        <sz val="15"/>
        <color rgb="FFFFFFFF"/>
        <rFont val="Impact"/>
      </rPr>
      <t>----</t>
    </r>
    <r>
      <rPr>
        <b/>
        <sz val="15"/>
        <color rgb="FFFFFFFF"/>
        <rFont val="Comfortaa"/>
      </rPr>
      <t xml:space="preserve"> Team Wise: TOP 1 ALL-ROUNDER </t>
    </r>
    <r>
      <rPr>
        <b/>
        <sz val="15"/>
        <color rgb="FFFFFFFF"/>
        <rFont val="Impact"/>
      </rPr>
      <t>----</t>
    </r>
  </si>
  <si>
    <t>PP</t>
  </si>
  <si>
    <t>AKL</t>
  </si>
  <si>
    <r>
      <rPr>
        <b/>
        <sz val="15"/>
        <color rgb="FFFFFFFF"/>
        <rFont val="Impact"/>
      </rPr>
      <t>----</t>
    </r>
    <r>
      <rPr>
        <b/>
        <sz val="15"/>
        <color rgb="FFFFFFFF"/>
        <rFont val="Comfortaa"/>
      </rPr>
      <t xml:space="preserve"> TOP VALUE FOR MONEY </t>
    </r>
    <r>
      <rPr>
        <b/>
        <sz val="15"/>
        <color rgb="FFFFFFFF"/>
        <rFont val="Impact"/>
      </rPr>
      <t>----</t>
    </r>
  </si>
  <si>
    <r>
      <rPr>
        <b/>
        <sz val="15"/>
        <color rgb="FFFFFFFF"/>
        <rFont val="Impact"/>
      </rPr>
      <t>----</t>
    </r>
    <r>
      <rPr>
        <b/>
        <sz val="15"/>
        <color rgb="FFFFFFFF"/>
        <rFont val="Comfortaa"/>
      </rPr>
      <t xml:space="preserve">  TOP BATTER: VFM </t>
    </r>
    <r>
      <rPr>
        <b/>
        <sz val="15"/>
        <color rgb="FFFFFFFF"/>
        <rFont val="Impact"/>
      </rPr>
      <t>----</t>
    </r>
  </si>
  <si>
    <r>
      <rPr>
        <b/>
        <sz val="15"/>
        <color rgb="FFFFFFFF"/>
        <rFont val="Impact"/>
      </rPr>
      <t xml:space="preserve">---- </t>
    </r>
    <r>
      <rPr>
        <b/>
        <sz val="15"/>
        <color rgb="FFFFFFFF"/>
        <rFont val="Comfortaa"/>
      </rPr>
      <t xml:space="preserve">TOP BOWLER: VFM </t>
    </r>
    <r>
      <rPr>
        <b/>
        <sz val="15"/>
        <color rgb="FFFFFFFF"/>
        <rFont val="Impact"/>
      </rPr>
      <t>----</t>
    </r>
  </si>
  <si>
    <r>
      <rPr>
        <b/>
        <sz val="15"/>
        <color rgb="FFFFFFFF"/>
        <rFont val="Impact"/>
      </rPr>
      <t xml:space="preserve">---- </t>
    </r>
    <r>
      <rPr>
        <b/>
        <sz val="15"/>
        <color rgb="FFFFFFFF"/>
        <rFont val="Comfortaa"/>
      </rPr>
      <t xml:space="preserve">TOP ALL-ROUNDER: VFM </t>
    </r>
    <r>
      <rPr>
        <b/>
        <sz val="15"/>
        <color rgb="FFFFFFFF"/>
        <rFont val="Impact"/>
      </rPr>
      <t>----</t>
    </r>
  </si>
  <si>
    <r>
      <rPr>
        <b/>
        <sz val="10"/>
        <color theme="0"/>
        <rFont val="Arial"/>
      </rPr>
      <t>Sr.No</t>
    </r>
    <r>
      <rPr>
        <b/>
        <sz val="10"/>
        <color theme="0"/>
        <rFont val="Arial"/>
      </rPr>
      <t>.</t>
    </r>
  </si>
  <si>
    <r>
      <rPr>
        <b/>
        <sz val="10"/>
        <color theme="0"/>
        <rFont val="Arial"/>
      </rPr>
      <t>Sr.No</t>
    </r>
    <r>
      <rPr>
        <b/>
        <sz val="10"/>
        <color theme="0"/>
        <rFont val="Arial"/>
      </rPr>
      <t>.</t>
    </r>
  </si>
  <si>
    <r>
      <rPr>
        <b/>
        <sz val="10"/>
        <color theme="0"/>
        <rFont val="Arial"/>
      </rPr>
      <t>Sr.No</t>
    </r>
    <r>
      <rPr>
        <b/>
        <sz val="10"/>
        <color theme="0"/>
        <rFont val="Arial"/>
      </rPr>
      <t>.</t>
    </r>
  </si>
  <si>
    <r>
      <rPr>
        <b/>
        <sz val="15"/>
        <color rgb="FFFFFFFF"/>
        <rFont val="Impact"/>
      </rPr>
      <t xml:space="preserve">---- </t>
    </r>
    <r>
      <rPr>
        <b/>
        <sz val="15"/>
        <color rgb="FFFFFFFF"/>
        <rFont val="Comfortaa"/>
      </rPr>
      <t xml:space="preserve"> HW: Uncapped Players </t>
    </r>
    <r>
      <rPr>
        <b/>
        <sz val="15"/>
        <color rgb="FFFFFFFF"/>
        <rFont val="Impact"/>
      </rPr>
      <t>----</t>
    </r>
  </si>
  <si>
    <r>
      <rPr>
        <b/>
        <sz val="15"/>
        <color rgb="FF000000"/>
        <rFont val="Impact"/>
      </rPr>
      <t xml:space="preserve">---- </t>
    </r>
    <r>
      <rPr>
        <b/>
        <sz val="15"/>
        <color rgb="FF000000"/>
        <rFont val="Comfortaa"/>
      </rPr>
      <t xml:space="preserve"> PA: Uncapped Players </t>
    </r>
    <r>
      <rPr>
        <b/>
        <sz val="15"/>
        <color rgb="FF000000"/>
        <rFont val="Impact"/>
      </rPr>
      <t>----</t>
    </r>
  </si>
  <si>
    <r>
      <rPr>
        <b/>
        <sz val="15"/>
        <color rgb="FF000000"/>
        <rFont val="Impact"/>
      </rPr>
      <t xml:space="preserve">---- </t>
    </r>
    <r>
      <rPr>
        <b/>
        <sz val="15"/>
        <color rgb="FF000000"/>
        <rFont val="Comfortaa"/>
      </rPr>
      <t xml:space="preserve"> MC: Uncapped Players </t>
    </r>
    <r>
      <rPr>
        <b/>
        <sz val="15"/>
        <color rgb="FF000000"/>
        <rFont val="Impact"/>
      </rPr>
      <t>----</t>
    </r>
  </si>
  <si>
    <r>
      <rPr>
        <b/>
        <sz val="15"/>
        <color rgb="FFFFFFFF"/>
        <rFont val="Impact"/>
      </rPr>
      <t xml:space="preserve">---- </t>
    </r>
    <r>
      <rPr>
        <b/>
        <sz val="15"/>
        <color rgb="FFFFFFFF"/>
        <rFont val="Comfortaa"/>
      </rPr>
      <t xml:space="preserve"> AS: Uncapped Players </t>
    </r>
    <r>
      <rPr>
        <b/>
        <sz val="15"/>
        <color rgb="FFFFFFFF"/>
        <rFont val="Impact"/>
      </rPr>
      <t>----</t>
    </r>
  </si>
  <si>
    <r>
      <rPr>
        <b/>
        <sz val="15"/>
        <color rgb="FF000000"/>
        <rFont val="Impact"/>
      </rPr>
      <t xml:space="preserve">---- </t>
    </r>
    <r>
      <rPr>
        <b/>
        <sz val="15"/>
        <color rgb="FF000000"/>
        <rFont val="Comfortaa"/>
      </rPr>
      <t xml:space="preserve"> OL: Uncapped Players </t>
    </r>
    <r>
      <rPr>
        <b/>
        <sz val="15"/>
        <color rgb="FF000000"/>
        <rFont val="Impact"/>
      </rPr>
      <t>----</t>
    </r>
  </si>
  <si>
    <r>
      <rPr>
        <b/>
        <sz val="15"/>
        <color rgb="FFFFFFFF"/>
        <rFont val="Impact"/>
      </rPr>
      <t xml:space="preserve">---- </t>
    </r>
    <r>
      <rPr>
        <b/>
        <sz val="15"/>
        <color rgb="FFFFFFFF"/>
        <rFont val="Comfortaa"/>
      </rPr>
      <t xml:space="preserve"> HW: Not Counted Players </t>
    </r>
    <r>
      <rPr>
        <b/>
        <sz val="15"/>
        <color rgb="FFFFFFFF"/>
        <rFont val="Impact"/>
      </rPr>
      <t>----</t>
    </r>
  </si>
  <si>
    <r>
      <rPr>
        <b/>
        <sz val="15"/>
        <color rgb="FF000000"/>
        <rFont val="Impact"/>
      </rPr>
      <t xml:space="preserve">---- </t>
    </r>
    <r>
      <rPr>
        <b/>
        <sz val="15"/>
        <color rgb="FF000000"/>
        <rFont val="Comfortaa"/>
      </rPr>
      <t xml:space="preserve"> PA: Not Counted Players </t>
    </r>
    <r>
      <rPr>
        <b/>
        <sz val="15"/>
        <color rgb="FF000000"/>
        <rFont val="Impact"/>
      </rPr>
      <t>----</t>
    </r>
  </si>
  <si>
    <r>
      <rPr>
        <b/>
        <sz val="15"/>
        <color rgb="FF000000"/>
        <rFont val="Impact"/>
      </rPr>
      <t xml:space="preserve">---- </t>
    </r>
    <r>
      <rPr>
        <b/>
        <sz val="15"/>
        <color rgb="FF000000"/>
        <rFont val="Comfortaa"/>
      </rPr>
      <t xml:space="preserve"> MC: Not Counted Players </t>
    </r>
    <r>
      <rPr>
        <b/>
        <sz val="15"/>
        <color rgb="FF000000"/>
        <rFont val="Impact"/>
      </rPr>
      <t>----</t>
    </r>
  </si>
  <si>
    <r>
      <rPr>
        <b/>
        <sz val="15"/>
        <color rgb="FFFFFFFF"/>
        <rFont val="Impact"/>
      </rPr>
      <t xml:space="preserve">---- </t>
    </r>
    <r>
      <rPr>
        <b/>
        <sz val="15"/>
        <color rgb="FFFFFFFF"/>
        <rFont val="Comfortaa"/>
      </rPr>
      <t xml:space="preserve"> AS: Not Counted Players </t>
    </r>
    <r>
      <rPr>
        <b/>
        <sz val="15"/>
        <color rgb="FFFFFFFF"/>
        <rFont val="Impact"/>
      </rPr>
      <t>----</t>
    </r>
  </si>
  <si>
    <r>
      <rPr>
        <b/>
        <sz val="15"/>
        <color rgb="FF000000"/>
        <rFont val="Impact"/>
      </rPr>
      <t xml:space="preserve">---- </t>
    </r>
    <r>
      <rPr>
        <b/>
        <sz val="15"/>
        <color rgb="FF000000"/>
        <rFont val="Comfortaa"/>
      </rPr>
      <t xml:space="preserve"> OL: Not Counted Players </t>
    </r>
    <r>
      <rPr>
        <b/>
        <sz val="15"/>
        <color rgb="FF000000"/>
        <rFont val="Impact"/>
      </rPr>
      <t>----</t>
    </r>
  </si>
  <si>
    <t>----  Top Performing Extras ----</t>
  </si>
  <si>
    <t>Crayon Dream Team</t>
  </si>
  <si>
    <t>Crayon Uncapped Team</t>
  </si>
  <si>
    <t>*Above datais are according to players sold in auction</t>
  </si>
  <si>
    <t>This game may be habit-forming or financially risky. Play responsibly.</t>
  </si>
  <si>
    <r>
      <rPr>
        <b/>
        <sz val="14"/>
        <color rgb="FFB4A7D6"/>
        <rFont val="Arial"/>
      </rPr>
      <t>Tournament Story</t>
    </r>
    <r>
      <rPr>
        <sz val="11"/>
        <color rgb="FFFFFFFF"/>
        <rFont val="Arial"/>
      </rPr>
      <t xml:space="preserve">
The tournament began under the banner of </t>
    </r>
    <r>
      <rPr>
        <b/>
        <i/>
        <sz val="11"/>
        <color rgb="FF4A86E8"/>
        <rFont val="Arial"/>
      </rPr>
      <t>Abhishek Strikers</t>
    </r>
    <r>
      <rPr>
        <sz val="11"/>
        <color rgb="FFFFFFFF"/>
        <rFont val="Arial"/>
      </rPr>
      <t xml:space="preserve">, who stormed out of the gates and controlled the early standings. For nearly two weeks, they looked unstoppable, fending off challenges from </t>
    </r>
    <r>
      <rPr>
        <b/>
        <i/>
        <sz val="11"/>
        <color rgb="FFFF9900"/>
        <rFont val="Arial"/>
      </rPr>
      <t>Mehul Challengers</t>
    </r>
    <r>
      <rPr>
        <sz val="11"/>
        <color rgb="FFFFFFFF"/>
        <rFont val="Arial"/>
      </rPr>
      <t xml:space="preserve"> and a steadily improving </t>
    </r>
    <r>
      <rPr>
        <b/>
        <i/>
        <sz val="11"/>
        <color rgb="FFFFE599"/>
        <rFont val="Arial"/>
      </rPr>
      <t>Pranav Astra</t>
    </r>
    <r>
      <rPr>
        <sz val="11"/>
        <color rgb="FFFFFFFF"/>
        <rFont val="Arial"/>
      </rPr>
      <t xml:space="preserve">.
Then came the first shock. On 1 April, </t>
    </r>
    <r>
      <rPr>
        <b/>
        <i/>
        <sz val="11"/>
        <color rgb="FF999999"/>
        <rFont val="Arial"/>
      </rPr>
      <t>Himanshu Warriors</t>
    </r>
    <r>
      <rPr>
        <sz val="11"/>
        <color rgb="FFFFFFFF"/>
        <rFont val="Arial"/>
      </rPr>
      <t xml:space="preserve"> unleashed a massive scoring surge and briefly captured first place. But the battle was only beginning. </t>
    </r>
    <r>
      <rPr>
        <b/>
        <i/>
        <sz val="11"/>
        <color rgb="FF4A86E8"/>
        <rFont val="Arial"/>
      </rPr>
      <t>Abhishek Strikers</t>
    </r>
    <r>
      <rPr>
        <sz val="11"/>
        <color rgb="FFFFFFFF"/>
        <rFont val="Arial"/>
      </rPr>
      <t xml:space="preserve"> fought back, reclaiming control before </t>
    </r>
    <r>
      <rPr>
        <b/>
        <i/>
        <sz val="11"/>
        <color rgb="FFFFE599"/>
        <rFont val="Arial"/>
      </rPr>
      <t>Pranav Astra</t>
    </r>
    <r>
      <rPr>
        <sz val="11"/>
        <color rgb="FFFFFFFF"/>
        <rFont val="Arial"/>
      </rPr>
      <t xml:space="preserve"> launched their own assault on 12 April and seized the crown.
For the next nine days, </t>
    </r>
    <r>
      <rPr>
        <b/>
        <i/>
        <sz val="11"/>
        <color rgb="FFFFE599"/>
        <rFont val="Arial"/>
      </rPr>
      <t>Pranav Astra</t>
    </r>
    <r>
      <rPr>
        <sz val="11"/>
        <color rgb="FFFFFFFF"/>
        <rFont val="Arial"/>
      </rPr>
      <t xml:space="preserve"> ruled the leaderboard. Their consistency made them look like clear favorites, while </t>
    </r>
    <r>
      <rPr>
        <b/>
        <i/>
        <sz val="11"/>
        <color rgb="FFB7B7B7"/>
        <rFont val="Arial"/>
      </rPr>
      <t>Himanshu Warriors</t>
    </r>
    <r>
      <rPr>
        <sz val="11"/>
        <color rgb="FFFFFFFF"/>
        <rFont val="Arial"/>
      </rPr>
      <t xml:space="preserve">, </t>
    </r>
    <r>
      <rPr>
        <b/>
        <i/>
        <sz val="11"/>
        <color rgb="FFEA9999"/>
        <rFont val="Arial"/>
      </rPr>
      <t>Onkar Legends</t>
    </r>
    <r>
      <rPr>
        <sz val="11"/>
        <color rgb="FFFFFFFF"/>
        <rFont val="Arial"/>
      </rPr>
      <t xml:space="preserve">, and </t>
    </r>
    <r>
      <rPr>
        <b/>
        <i/>
        <sz val="11"/>
        <color rgb="FF4A86E8"/>
        <rFont val="Arial"/>
      </rPr>
      <t>Abhishek Strikers</t>
    </r>
    <r>
      <rPr>
        <sz val="11"/>
        <color rgb="FFFFFFFF"/>
        <rFont val="Arial"/>
      </rPr>
      <t xml:space="preserve"> fought fiercely behind them. Every week brought new twists, and the gap between the contenders continued to shrink.
Late April changed everything. </t>
    </r>
    <r>
      <rPr>
        <b/>
        <i/>
        <sz val="11"/>
        <color rgb="FF4A86E8"/>
        <rFont val="Arial"/>
      </rPr>
      <t>Abhishek Strikers</t>
    </r>
    <r>
      <rPr>
        <sz val="11"/>
        <color rgb="FFFFFFFF"/>
        <rFont val="Arial"/>
      </rPr>
      <t xml:space="preserve"> mounted a remarkable comeback and briefly returned to the summit on 26 April. Yet their celebration was short-lived. Just two days later, </t>
    </r>
    <r>
      <rPr>
        <b/>
        <i/>
        <sz val="11"/>
        <color rgb="FF999999"/>
        <rFont val="Arial"/>
      </rPr>
      <t>Himanshu Warriors</t>
    </r>
    <r>
      <rPr>
        <sz val="11"/>
        <color rgb="FFFFFFFF"/>
        <rFont val="Arial"/>
      </rPr>
      <t xml:space="preserve"> surged ahead once more—and this time they never looked back.
Meanwhile, </t>
    </r>
    <r>
      <rPr>
        <b/>
        <i/>
        <sz val="11"/>
        <color rgb="FFEA9999"/>
        <rFont val="Arial"/>
      </rPr>
      <t>Onkar Legends</t>
    </r>
    <r>
      <rPr>
        <sz val="11"/>
        <color rgb="FFFFFFFF"/>
        <rFont val="Arial"/>
      </rPr>
      <t xml:space="preserve"> quietly produced the tournament's most impressive rise. Starting near the bottom, they climbed relentlessly, overtaking rivals one by one until they became the closest challenger to the leaders.
As May unfolded, the championship became a three-way fight between </t>
    </r>
    <r>
      <rPr>
        <b/>
        <i/>
        <sz val="11"/>
        <color rgb="FF999999"/>
        <rFont val="Arial"/>
      </rPr>
      <t>Himanshu Warriors</t>
    </r>
    <r>
      <rPr>
        <sz val="11"/>
        <color rgb="FFFFFFFF"/>
        <rFont val="Arial"/>
      </rPr>
      <t xml:space="preserve">, </t>
    </r>
    <r>
      <rPr>
        <b/>
        <i/>
        <sz val="11"/>
        <color rgb="FFEA9999"/>
        <rFont val="Arial"/>
      </rPr>
      <t>Onkar Legends</t>
    </r>
    <r>
      <rPr>
        <sz val="11"/>
        <color rgb="FFFFFFFF"/>
        <rFont val="Arial"/>
      </rPr>
      <t xml:space="preserve">, and </t>
    </r>
    <r>
      <rPr>
        <b/>
        <i/>
        <sz val="11"/>
        <color rgb="FF4A86E8"/>
        <rFont val="Arial"/>
      </rPr>
      <t>Abhishek Strikers</t>
    </r>
    <r>
      <rPr>
        <sz val="11"/>
        <color rgb="FFFFFFFF"/>
        <rFont val="Arial"/>
      </rPr>
      <t xml:space="preserve">. </t>
    </r>
    <r>
      <rPr>
        <b/>
        <i/>
        <sz val="11"/>
        <color rgb="FFFFE599"/>
        <rFont val="Arial"/>
      </rPr>
      <t xml:space="preserve">Pranav Astra </t>
    </r>
    <r>
      <rPr>
        <sz val="11"/>
        <color rgb="FFFFFFFF"/>
        <rFont val="Arial"/>
      </rPr>
      <t xml:space="preserve">remained dangerous, but the momentum had shifted. Every scoring update seemed to tighten the race before </t>
    </r>
    <r>
      <rPr>
        <b/>
        <i/>
        <sz val="11"/>
        <color rgb="FF999999"/>
        <rFont val="Arial"/>
      </rPr>
      <t>Himanshu Warriors</t>
    </r>
    <r>
      <rPr>
        <sz val="11"/>
        <color rgb="FFFFFFFF"/>
        <rFont val="Arial"/>
      </rPr>
      <t xml:space="preserve"> delivered one final push.
When the tournament ended on 31 May, </t>
    </r>
    <r>
      <rPr>
        <b/>
        <i/>
        <sz val="11"/>
        <color rgb="FF999999"/>
        <rFont val="Arial"/>
      </rPr>
      <t>Himanshu Warriors</t>
    </r>
    <r>
      <rPr>
        <sz val="11"/>
        <color rgb="FFFFFFFF"/>
        <rFont val="Arial"/>
      </rPr>
      <t xml:space="preserve"> stood atop the mountain with</t>
    </r>
    <r>
      <rPr>
        <b/>
        <sz val="11"/>
        <color rgb="FFFFFFFF"/>
        <rFont val="Arial"/>
      </rPr>
      <t xml:space="preserve"> 9,002 points</t>
    </r>
    <r>
      <rPr>
        <sz val="11"/>
        <color rgb="FFFFFFFF"/>
        <rFont val="Arial"/>
      </rPr>
      <t xml:space="preserve">. </t>
    </r>
    <r>
      <rPr>
        <b/>
        <i/>
        <sz val="11"/>
        <color rgb="FFEA9999"/>
        <rFont val="Arial"/>
      </rPr>
      <t>Onkar Legends</t>
    </r>
    <r>
      <rPr>
        <sz val="11"/>
        <color rgb="FFFFFFFF"/>
        <rFont val="Arial"/>
      </rPr>
      <t xml:space="preserve"> completed an extraordinary climb to second, </t>
    </r>
    <r>
      <rPr>
        <b/>
        <i/>
        <sz val="11"/>
        <color rgb="FFEA9999"/>
        <rFont val="Arial"/>
      </rPr>
      <t>Abhishek Strikers</t>
    </r>
    <r>
      <rPr>
        <sz val="11"/>
        <color rgb="FFFFFFFF"/>
        <rFont val="Arial"/>
      </rPr>
      <t xml:space="preserve"> secured third after their long battle at the front, and </t>
    </r>
    <r>
      <rPr>
        <b/>
        <i/>
        <sz val="11"/>
        <color rgb="FFFFE599"/>
        <rFont val="Arial"/>
      </rPr>
      <t>Pranav Astra's</t>
    </r>
    <r>
      <rPr>
        <sz val="11"/>
        <color rgb="FFFFFFFF"/>
        <rFont val="Arial"/>
      </rPr>
      <t xml:space="preserve"> dominant mid-season run became one of the defining chapters of an unforgettable competition.</t>
    </r>
  </si>
  <si>
    <t>Missed Top 12 Points</t>
  </si>
  <si>
    <t>Points Gained Today Overall</t>
  </si>
  <si>
    <t>Points Gained Today Top12</t>
  </si>
  <si>
    <t>Copyright © IPL 2026 All Rights Reserved.</t>
  </si>
  <si>
    <t xml:space="preserve">Last Match </t>
  </si>
  <si>
    <t>Match Date</t>
  </si>
  <si>
    <t>15 Apr</t>
  </si>
  <si>
    <t>22 May</t>
  </si>
  <si>
    <t>Sr. No</t>
  </si>
  <si>
    <t>Player Name</t>
  </si>
  <si>
    <t>Old Pts</t>
  </si>
  <si>
    <t>Match Pts</t>
  </si>
  <si>
    <t>Pts</t>
  </si>
  <si>
    <t>Points Gained</t>
  </si>
  <si>
    <t>#1</t>
  </si>
  <si>
    <t>Rasikh Salam</t>
  </si>
  <si>
    <t>#2</t>
  </si>
  <si>
    <t>Last Match</t>
  </si>
  <si>
    <t>17 Apr</t>
  </si>
  <si>
    <t>21 May</t>
  </si>
  <si>
    <t>Mohammed Siraj</t>
  </si>
  <si>
    <t>14 Apr</t>
  </si>
  <si>
    <t>24 May</t>
  </si>
  <si>
    <t>Yashasvi Jaiswal</t>
  </si>
  <si>
    <t>Vaibhav Sooryavanshi</t>
  </si>
  <si>
    <t>16 Apr</t>
  </si>
  <si>
    <t>#3</t>
  </si>
  <si>
    <t>Abishek Porel</t>
  </si>
  <si>
    <t>PK</t>
  </si>
  <si>
    <t>23 May</t>
  </si>
  <si>
    <t>Mohammad Shami</t>
  </si>
  <si>
    <t>Khaleel Ahmed</t>
  </si>
  <si>
    <t>70+43</t>
  </si>
  <si>
    <t>Dot Balls</t>
  </si>
  <si>
    <t>Fantasy Points</t>
  </si>
  <si>
    <t xml:space="preserve">Old </t>
  </si>
  <si>
    <t xml:space="preserve">Match </t>
  </si>
  <si>
    <t>Total Points</t>
  </si>
  <si>
    <t>SP</t>
  </si>
  <si>
    <t>PT</t>
  </si>
  <si>
    <t xml:space="preserve">    OL                       SP                         PT</t>
  </si>
  <si>
    <r>
      <rPr>
        <sz val="7"/>
        <color theme="1"/>
        <rFont val="Roboto"/>
      </rPr>
      <t xml:space="preserve">1           </t>
    </r>
    <r>
      <rPr>
        <sz val="11"/>
        <color theme="1"/>
        <rFont val="Roboto"/>
      </rPr>
      <t>311</t>
    </r>
  </si>
  <si>
    <r>
      <rPr>
        <sz val="7"/>
        <color theme="1"/>
        <rFont val="Roboto"/>
      </rPr>
      <t xml:space="preserve">16     </t>
    </r>
    <r>
      <rPr>
        <sz val="11"/>
        <color theme="1"/>
        <rFont val="Roboto"/>
      </rPr>
      <t xml:space="preserve"> =29+163</t>
    </r>
  </si>
  <si>
    <t>Vijaykumar Vyshak</t>
  </si>
  <si>
    <t>Past Pt</t>
  </si>
  <si>
    <t>Data</t>
  </si>
  <si>
    <t>Date</t>
  </si>
  <si>
    <t>March</t>
  </si>
  <si>
    <t>April</t>
  </si>
  <si>
    <t>May</t>
  </si>
  <si>
    <t>Total Days</t>
  </si>
  <si>
    <t>Key Turning Points</t>
  </si>
  <si>
    <t>1. 1 April – Himanshu Warriors' Breakthrough</t>
  </si>
  <si>
    <t>A massive scoring day propelled Himanshu Warriors from the chasing pack into first place for the first time.</t>
  </si>
  <si>
    <t>2. 4 April – Abhishek Strikers Reclaim Control</t>
  </si>
  <si>
    <t>A huge jump restored Abhishek Strikers to the top and began their longest leadership spell.</t>
  </si>
  <si>
    <t>3. 12 April – Pranav Astra Takes Over</t>
  </si>
  <si>
    <t>Pranav Astra overtook everyone and launched the tournament's longest sustained period of dominance.</t>
  </si>
  <si>
    <t>4. 26 April – Abhishek Strikers' Comeback</t>
  </si>
  <si>
    <t>After trailing for nearly two weeks, Abhishek Strikers fought back and briefly reclaimed first.</t>
  </si>
  <si>
    <t>5. 28 April – Himanshu Warriors Become Permanent Leaders</t>
  </si>
  <si>
    <t>This was arguably the championship-defining moment. Once Himanshu Warriors took the lead, they never surrendered it.</t>
  </si>
  <si>
    <t>6. Mid-May – Onkar Legends' Rise</t>
  </si>
  <si>
    <t>After spending much of the tournament outside first place, Onkar Legends surged into a strong second-place position and became the biggest threat to Himanshu Warriors.</t>
  </si>
  <si>
    <t>SR NO.</t>
  </si>
  <si>
    <t>Opted by</t>
  </si>
  <si>
    <t>All-rounder</t>
  </si>
  <si>
    <t>Yash Dayal</t>
  </si>
  <si>
    <t>Sr. No.</t>
  </si>
  <si>
    <t>Base Price</t>
  </si>
  <si>
    <t>₹ 2,00,00,000</t>
  </si>
  <si>
    <t>No</t>
  </si>
  <si>
    <t>Anshul Kamboj</t>
  </si>
  <si>
    <t>₹ 30,00,000</t>
  </si>
  <si>
    <t>₹ 1,25,00,000</t>
  </si>
  <si>
    <t>Jamie Overton</t>
  </si>
  <si>
    <t>₹ 1,50,00,000</t>
  </si>
  <si>
    <t>Shreyas Gopal</t>
  </si>
  <si>
    <t>Mukesh Choudhary</t>
  </si>
  <si>
    <t>₹ 50,00,000</t>
  </si>
  <si>
    <t>₹ 1,00,00,000</t>
  </si>
  <si>
    <t>Akeal Hosein</t>
  </si>
  <si>
    <t>Matt Henry</t>
  </si>
  <si>
    <t>Matthew Short</t>
  </si>
  <si>
    <t>Sarfaraz Khan</t>
  </si>
  <si>
    <t>₹ 75,00,000</t>
  </si>
  <si>
    <t>Zak Foulkes</t>
  </si>
  <si>
    <t>Urvil Patel</t>
  </si>
  <si>
    <t>Gurjapneet Singh</t>
  </si>
  <si>
    <t>Ramakrishna Ghosh</t>
  </si>
  <si>
    <t>Aman Khan</t>
  </si>
  <si>
    <t>T. Natarajan</t>
  </si>
  <si>
    <t>Sameer Rizvi</t>
  </si>
  <si>
    <t>Dushmantha Chameera</t>
  </si>
  <si>
    <t>Vipraj Nigam</t>
  </si>
  <si>
    <t>Karun Nair</t>
  </si>
  <si>
    <t>Pathum Nissanka</t>
  </si>
  <si>
    <t>Kyle Jamieson</t>
  </si>
  <si>
    <t>Lungi Ngidi</t>
  </si>
  <si>
    <t>Prithvi Shaw</t>
  </si>
  <si>
    <t>Sahil Parakh</t>
  </si>
  <si>
    <t>Mukesh Kumar</t>
  </si>
  <si>
    <t>Madhav Tiwari</t>
  </si>
  <si>
    <t>Tripurana Vijay</t>
  </si>
  <si>
    <t>Ajay Mandal</t>
  </si>
  <si>
    <t>Washington Sundar</t>
  </si>
  <si>
    <t>R. Sai Kishore</t>
  </si>
  <si>
    <t>Mohd. Arshad Khan</t>
  </si>
  <si>
    <t>Ishant Sharma</t>
  </si>
  <si>
    <t>Anuj Rawat</t>
  </si>
  <si>
    <t>Shahrukh Khan</t>
  </si>
  <si>
    <t>Tom Banton</t>
  </si>
  <si>
    <t>Gurnoor Singh Brar</t>
  </si>
  <si>
    <t>Jayant Yadav</t>
  </si>
  <si>
    <t>Kumar Kushagra</t>
  </si>
  <si>
    <t>Manav Suthar</t>
  </si>
  <si>
    <t>Nishant Sindhu</t>
  </si>
  <si>
    <t>Ashok Sharma</t>
  </si>
  <si>
    <t>Luke Wood</t>
  </si>
  <si>
    <t>Prithvi Raj</t>
  </si>
  <si>
    <t>Rovman Powell</t>
  </si>
  <si>
    <t>Umran Malik</t>
  </si>
  <si>
    <t>Manish Pandey</t>
  </si>
  <si>
    <t>Anukul Roy</t>
  </si>
  <si>
    <t>Harshit Rana</t>
  </si>
  <si>
    <t>Ramandeep Singh</t>
  </si>
  <si>
    <t>Rachin Ravindra</t>
  </si>
  <si>
    <t>Tim Seifert</t>
  </si>
  <si>
    <t>Akash Deep</t>
  </si>
  <si>
    <t>Rahul Tripathi</t>
  </si>
  <si>
    <t>Mustafizur Rahman</t>
  </si>
  <si>
    <t>Tejasvi Dahiya</t>
  </si>
  <si>
    <t>Sarthak Ranjan</t>
  </si>
  <si>
    <t>Daksh Kamra</t>
  </si>
  <si>
    <t>Prashant Solanki</t>
  </si>
  <si>
    <t>Kartik Tyagi</t>
  </si>
  <si>
    <t>Avesh Khan</t>
  </si>
  <si>
    <t>Abdul Samad</t>
  </si>
  <si>
    <t>Shahbaz Ahamad</t>
  </si>
  <si>
    <t>Matthew Breetzke</t>
  </si>
  <si>
    <t>M. Siddharth</t>
  </si>
  <si>
    <t>Prince Yadav</t>
  </si>
  <si>
    <t>Akash Singh</t>
  </si>
  <si>
    <t>Mayank Yadav</t>
  </si>
  <si>
    <t>Josh Inglis</t>
  </si>
  <si>
    <t>Wanindu Hasaranga</t>
  </si>
  <si>
    <t>Anrich Nortje</t>
  </si>
  <si>
    <t>Arshin Kulkarni</t>
  </si>
  <si>
    <t>Himmat Singh</t>
  </si>
  <si>
    <t>Mukul Choudhary</t>
  </si>
  <si>
    <t>Akshat Raghuwanshi</t>
  </si>
  <si>
    <t>Naman Tiwari</t>
  </si>
  <si>
    <t>Arjun Tendulkar</t>
  </si>
  <si>
    <t>Deepak Chahar</t>
  </si>
  <si>
    <t>Mitchell Santner</t>
  </si>
  <si>
    <t>Ryan Rickelton</t>
  </si>
  <si>
    <t>Robin Minz</t>
  </si>
  <si>
    <t>Ashwani Kumar</t>
  </si>
  <si>
    <t>Sherfane Rutherford</t>
  </si>
  <si>
    <t>AM Ghazanfar</t>
  </si>
  <si>
    <t>Mayank Markande</t>
  </si>
  <si>
    <t>Raj Bawa</t>
  </si>
  <si>
    <t>Atharva Ankolekar</t>
  </si>
  <si>
    <t>Mayank Rawat</t>
  </si>
  <si>
    <t>Danish Malewar</t>
  </si>
  <si>
    <t>Mohd Izhar</t>
  </si>
  <si>
    <t>Raghu Sharma</t>
  </si>
  <si>
    <t>Azmatullah Omarzai</t>
  </si>
  <si>
    <t>Lockie Ferguson</t>
  </si>
  <si>
    <t>Yash Thakur</t>
  </si>
  <si>
    <t>Ben Dwarshuis</t>
  </si>
  <si>
    <t>Mitchell Owen</t>
  </si>
  <si>
    <t>Xavier Bartlett</t>
  </si>
  <si>
    <t>Vishnu Vinod</t>
  </si>
  <si>
    <t>Suryansh Shedge</t>
  </si>
  <si>
    <t>Musheer Khan</t>
  </si>
  <si>
    <t>Harnoor Pannu</t>
  </si>
  <si>
    <t>Pravin Dubey</t>
  </si>
  <si>
    <t>Pyla Avinash</t>
  </si>
  <si>
    <t>Vishal Nishad</t>
  </si>
  <si>
    <t>Jacob Bethell</t>
  </si>
  <si>
    <t>Swapnil Singh</t>
  </si>
  <si>
    <t>Mangesh Yadav</t>
  </si>
  <si>
    <t>Vihaan Malhotra</t>
  </si>
  <si>
    <t>₹ 30,00,003</t>
  </si>
  <si>
    <t>Jordan Cox</t>
  </si>
  <si>
    <t>Jacob Duffy</t>
  </si>
  <si>
    <t>Nuwan Thushara</t>
  </si>
  <si>
    <t>Abhinandan Singh</t>
  </si>
  <si>
    <t>Satvik Deswal</t>
  </si>
  <si>
    <t>₹ 30,00,001</t>
  </si>
  <si>
    <t>Kanishk Chouhan</t>
  </si>
  <si>
    <t>₹ 30,00,002</t>
  </si>
  <si>
    <t>Vicky Ostwal</t>
  </si>
  <si>
    <t>₹ 30,00,004</t>
  </si>
  <si>
    <t>Shubham Dubey</t>
  </si>
  <si>
    <t>Dhruv Jurel</t>
  </si>
  <si>
    <t>Tushar Deshpande</t>
  </si>
  <si>
    <t>Sam Curran</t>
  </si>
  <si>
    <t>Donovan Ferreira</t>
  </si>
  <si>
    <t>Lhuan-dre Pretorius</t>
  </si>
  <si>
    <t>Nandre Burger</t>
  </si>
  <si>
    <t>Adam Milne</t>
  </si>
  <si>
    <t>Kwena Maphaka</t>
  </si>
  <si>
    <t>Kuldeep Sen</t>
  </si>
  <si>
    <t>Vignesh Puthur</t>
  </si>
  <si>
    <t>Ravi Singh</t>
  </si>
  <si>
    <t>Aman Rao</t>
  </si>
  <si>
    <t>Sushant Mishra</t>
  </si>
  <si>
    <t>Yash Raj Punja</t>
  </si>
  <si>
    <t>Brijesh Sharma</t>
  </si>
  <si>
    <t>Kamindu Mendis</t>
  </si>
  <si>
    <t>Aniket Verma</t>
  </si>
  <si>
    <t>Jaydev Unadkat</t>
  </si>
  <si>
    <t>Zeeshan Ansari</t>
  </si>
  <si>
    <t>Krains Fuletra</t>
  </si>
  <si>
    <t>Salil Arora</t>
  </si>
  <si>
    <t>Eshan Malinga</t>
  </si>
  <si>
    <t>Shivam Mavi</t>
  </si>
  <si>
    <t>Jack Edwards</t>
  </si>
  <si>
    <t>Brydon Carse</t>
  </si>
  <si>
    <t>Shivang Kumar</t>
  </si>
  <si>
    <t>Harsh Dubey</t>
  </si>
  <si>
    <t>Ravichandran Smaran</t>
  </si>
  <si>
    <t>Onkar Tarmale</t>
  </si>
  <si>
    <t>Amit Kumar</t>
  </si>
  <si>
    <t>Sakib Hussain</t>
  </si>
  <si>
    <t>Praful Hinge</t>
  </si>
  <si>
    <t>Extras</t>
  </si>
  <si>
    <t xml:space="preserve">Tim David </t>
  </si>
  <si>
    <t>DOT BALLS</t>
  </si>
  <si>
    <t>Card Title</t>
  </si>
  <si>
    <t>Start Date</t>
  </si>
  <si>
    <t>End Date</t>
  </si>
  <si>
    <t>Phase</t>
  </si>
  <si>
    <t>Description</t>
  </si>
  <si>
    <t>Abhishek Strikers lead</t>
  </si>
  <si>
    <t>27-Mar-2024</t>
  </si>
  <si>
    <t>Phase 1: Early Race</t>
  </si>
  <si>
    <t>Abhishek Strikers started strongly and led the table, followed by Pranav Astra and Himanshu Warriors.</t>
  </si>
  <si>
    <t>To insert the Timeline view:
1. Highlight A1:E20
2. Click Insert &gt; Timeline
3. Click OK</t>
  </si>
  <si>
    <t>Mehul Challengers surge</t>
  </si>
  <si>
    <t>28-Mar-2024</t>
  </si>
  <si>
    <t>30-Mar-2024</t>
  </si>
  <si>
    <t>Abhishek Strikers maintained control, but Mehul Challengers surged dramatically and moved into second place by 30 Mar.</t>
  </si>
  <si>
    <t>Himanshu Warriors jump</t>
  </si>
  <si>
    <t>1-Apr-2024</t>
  </si>
  <si>
    <t>A major shift occurred. Himanshu Warriors exploded with a huge points jump and briefly moved to the top.</t>
  </si>
  <si>
    <t>Pranav Astra claims lead</t>
  </si>
  <si>
    <t>2-Apr-2024</t>
  </si>
  <si>
    <t>Pranav Astra responded immediately and claimed the lead, showing early consistency and becoming the first serious challenger to Abhishek Strikers.</t>
  </si>
  <si>
    <t>Abhishek Strikers reclaim first</t>
  </si>
  <si>
    <t>4-Apr-2024</t>
  </si>
  <si>
    <t>Phase 2: Abhishek Strikers' Dominance</t>
  </si>
  <si>
    <t>Abhishek Strikers produced a massive jump and reclaimed first place.</t>
  </si>
  <si>
    <t>Abhishek Strikers dominance</t>
  </si>
  <si>
    <t>11-Apr-2024</t>
  </si>
  <si>
    <t>They controlled the tournament comfortably. Mehul Challengers and Himanshu Warriors stayed competitive, while Onkar Legends gradually climbed from the lower half. Pranav Astra remained close enough to threaten but could not overtake.</t>
  </si>
  <si>
    <t>Pranav Astra takes control</t>
  </si>
  <si>
    <t>12-Apr-2024</t>
  </si>
  <si>
    <t>Phase 3: Rise of Pranav Astra</t>
  </si>
  <si>
    <t>12 Apr became the first major turning point. Pranav Astra overtook Abhishek Strikers and took control of the tournament.</t>
  </si>
  <si>
    <t>HW &amp; OL close in</t>
  </si>
  <si>
    <t>18-Apr-2024</t>
  </si>
  <si>
    <t>19-Apr-2024</t>
  </si>
  <si>
    <t>Himanshu Warriors and Onkar Legends both crossed 3,000-point territory and began closing on Pranav Astra. Despite pressure, Pranav Astra defended first place for over a week.</t>
  </si>
  <si>
    <t>Top teams tighten</t>
  </si>
  <si>
    <t>21-Apr-2024</t>
  </si>
  <si>
    <t>Phase 4: The Four-Team Battle</t>
  </si>
  <si>
    <t>Abhishek Strikers and Onkar Legends became tied on points. The top four teams were separated by relatively small margins.</t>
  </si>
  <si>
    <t>HW surge &amp; AS comeback</t>
  </si>
  <si>
    <t>22-Apr-2024</t>
  </si>
  <si>
    <t>25-Apr-2024</t>
  </si>
  <si>
    <t>Himanshu Warriors launched a strong surge. Abhishek Strikers mounted a comeback. Pranav Astra's lead began shrinking.</t>
  </si>
  <si>
    <t>AS takes first place</t>
  </si>
  <si>
    <t>26-Apr-2024</t>
  </si>
  <si>
    <t>A historic day. Abhishek Strikers overtook Pranav Astra and moved into first place.</t>
  </si>
  <si>
    <t>HW becomes leader</t>
  </si>
  <si>
    <t>28-Apr-2024</t>
  </si>
  <si>
    <t>Himanshu Warriors overtook everyone and became the new leader.</t>
  </si>
  <si>
    <t>HW consolidates lead</t>
  </si>
  <si>
    <t>30-Apr-2024</t>
  </si>
  <si>
    <t>2-May-2024</t>
  </si>
  <si>
    <t>Himanshu Warriors consolidated first place. Pranav Astra, Abhishek Strikers, and Onkar Legends were all within striking distance.</t>
  </si>
  <si>
    <t>HW extends lead, OL jumps</t>
  </si>
  <si>
    <t>3-May-2024</t>
  </si>
  <si>
    <t>Phase 5: Three-Way Championship Fight</t>
  </si>
  <si>
    <t>Himanshu Warriors crossed 5,300 points and extended their lead. Onkar Legends made a huge jump and emerged as a title contender.</t>
  </si>
  <si>
    <t>OL gains ground</t>
  </si>
  <si>
    <t>8-May-2024</t>
  </si>
  <si>
    <t>12-May-2024</t>
  </si>
  <si>
    <t>Onkar Legends kept gaining ground. Abhishek Strikers remained competitive. Mehul Challengers continued scoring but could not match the pace of the top teams.</t>
  </si>
  <si>
    <t>OL &amp; AS close battle</t>
  </si>
  <si>
    <t>18-May-2024</t>
  </si>
  <si>
    <t>Onkar Legends reached 6,905 points. Abhishek Strikers were close behind at 6,896. Just 9 points separated them.</t>
  </si>
  <si>
    <t>HW accelerates, OL second</t>
  </si>
  <si>
    <t>19-May-2024</t>
  </si>
  <si>
    <t>23-May-2024</t>
  </si>
  <si>
    <t>Phase 6: Himanshu Warriors Pull Away</t>
  </si>
  <si>
    <t>Himanshu Warriors accelerated again. Onkar Legends overtook Abhishek Strikers and firmly established themselves as second.</t>
  </si>
  <si>
    <t>OL crosses 8k</t>
  </si>
  <si>
    <t>24-May-2024</t>
  </si>
  <si>
    <t>27-May-2024</t>
  </si>
  <si>
    <t>Onkar Legends crossed 8,000 points. Abhishek Strikers attempted a late comeback. Pranav Astra remained competitive but could not catch the leading trio.</t>
  </si>
  <si>
    <t>Final Standings</t>
  </si>
  <si>
    <t>29-May-2024</t>
  </si>
  <si>
    <t>31-May-2024</t>
  </si>
  <si>
    <t>Himanshu Warriors crossed 9,000 points. Onkar Legends secured second place. Abhishek Strikers held third despite a late charge. Pranav Astra finished fourth. Mehul Challengers ended fifth after an impressive early tournament but slower growth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</si>
</sst>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0"/>
    <numFmt numFmtId="165" formatCode="[$May ]#,##0"/>
    <numFmt numFmtId="166" formatCode="[$₹]#,##0.00"/>
    <numFmt numFmtId="167" formatCode="dmmm"/>
    <numFmt numFmtId="168" formatCode="yyyy\-mm\-dd"/>
    <numFmt numFmtId="169" formatCode="dd/mm"/>
  </numFmts>
  <fonts count="168">
    <font>
      <sz val="10"/>
      <color rgb="FF000000"/>
      <name val="Arial"/>
      <scheme val="minor"/>
    </font>
    <font>
      <sz val="10"/>
      <color theme="1"/>
      <name val="Arial"/>
      <scheme val="minor"/>
    </font>
    <font>
      <sz val="10"/>
      <name val="Arial"/>
    </font>
    <font>
      <b/>
      <sz val="13"/>
      <color rgb="FFFFFFFF"/>
      <name val="Oswald"/>
    </font>
    <font>
      <sz val="17"/>
      <color rgb="FFFFFFFF"/>
      <name val="Lexend"/>
    </font>
    <font>
      <sz val="16"/>
      <color rgb="FFFFFFFF"/>
      <name val="Bree Serif"/>
    </font>
    <font>
      <b/>
      <sz val="15"/>
      <color rgb="FFF3F3F3"/>
      <name val="Lexend"/>
    </font>
    <font>
      <b/>
      <sz val="13"/>
      <color theme="1"/>
      <name val="Oswald"/>
    </font>
    <font>
      <b/>
      <sz val="13"/>
      <color theme="1"/>
      <name val="Lobster"/>
    </font>
    <font>
      <b/>
      <i/>
      <sz val="14"/>
      <color theme="1"/>
      <name val="Lato"/>
    </font>
    <font>
      <b/>
      <sz val="16"/>
      <color rgb="FFF3F3F3"/>
      <name val="Merriweather"/>
    </font>
    <font>
      <sz val="15"/>
      <color rgb="FFF3F3F3"/>
      <name val="Pacifico"/>
    </font>
    <font>
      <sz val="17"/>
      <color rgb="FFF3F3F3"/>
      <name val="Lobster"/>
    </font>
    <font>
      <b/>
      <sz val="18"/>
      <color rgb="FF000000"/>
      <name val="EB Garamond"/>
    </font>
    <font>
      <sz val="22"/>
      <color rgb="FFFFD966"/>
      <name val="Lexend"/>
    </font>
    <font>
      <sz val="11"/>
      <color rgb="FFFFFFFF"/>
      <name val="Arial"/>
      <scheme val="minor"/>
    </font>
    <font>
      <b/>
      <sz val="11"/>
      <color rgb="FFFFFFFF"/>
      <name val="Arial"/>
      <scheme val="minor"/>
    </font>
    <font>
      <sz val="13"/>
      <color rgb="FFFFFFFF"/>
      <name val="Arial"/>
      <scheme val="minor"/>
    </font>
    <font>
      <b/>
      <sz val="13"/>
      <color rgb="FFFFFFFF"/>
      <name val="Lexend"/>
    </font>
    <font>
      <sz val="12"/>
      <color rgb="FFFFFFFF"/>
      <name val="Arial"/>
      <scheme val="minor"/>
    </font>
    <font>
      <b/>
      <sz val="10"/>
      <color rgb="FFFFFFFF"/>
      <name val="Lexend"/>
    </font>
    <font>
      <b/>
      <sz val="10"/>
      <color theme="1"/>
      <name val="Lexend"/>
    </font>
    <font>
      <sz val="10"/>
      <color theme="1"/>
      <name val="Lexend"/>
    </font>
    <font>
      <b/>
      <sz val="11"/>
      <color rgb="FF000000"/>
      <name val="Calibri"/>
    </font>
    <font>
      <i/>
      <sz val="9"/>
      <color theme="1"/>
      <name val="Lexend"/>
    </font>
    <font>
      <b/>
      <sz val="15"/>
      <color rgb="FFFFFFFF"/>
      <name val="Roboto"/>
    </font>
    <font>
      <i/>
      <sz val="10"/>
      <color theme="1"/>
      <name val="Lexend"/>
    </font>
    <font>
      <sz val="10"/>
      <color rgb="FFCC4125"/>
      <name val="Lexend"/>
    </font>
    <font>
      <b/>
      <sz val="10"/>
      <color rgb="FFCC4125"/>
      <name val="Lexend"/>
    </font>
    <font>
      <b/>
      <sz val="10"/>
      <color rgb="FFFFFFFF"/>
      <name val="Calibri"/>
    </font>
    <font>
      <b/>
      <sz val="14"/>
      <color theme="1"/>
      <name val="Calibri"/>
    </font>
    <font>
      <sz val="12"/>
      <color rgb="FF000000"/>
      <name val="Calibri"/>
    </font>
    <font>
      <sz val="12"/>
      <color theme="1"/>
      <name val="Arial"/>
      <scheme val="minor"/>
    </font>
    <font>
      <sz val="11"/>
      <color rgb="FF9900FF"/>
      <name val="Calibri"/>
    </font>
    <font>
      <sz val="10"/>
      <color rgb="FF1C1C1C"/>
      <name val="Helvetica_neueregular"/>
    </font>
    <font>
      <sz val="11"/>
      <color rgb="FF000000"/>
      <name val="Calibri"/>
    </font>
    <font>
      <sz val="11"/>
      <color rgb="FFFFFFFF"/>
      <name val="Calibri"/>
    </font>
    <font>
      <sz val="10"/>
      <color rgb="FFFFFFFF"/>
      <name val="Arial"/>
    </font>
    <font>
      <sz val="11"/>
      <color rgb="FF9C0006"/>
      <name val="Calibri"/>
    </font>
    <font>
      <b/>
      <sz val="12"/>
      <color theme="1"/>
      <name val="Arial"/>
      <scheme val="minor"/>
    </font>
    <font>
      <b/>
      <sz val="12"/>
      <color rgb="FF1C1C1C"/>
      <name val="Helvetica_neueregular"/>
    </font>
    <font>
      <sz val="11"/>
      <color rgb="FF9C6500"/>
      <name val="Calibri"/>
    </font>
    <font>
      <b/>
      <sz val="18"/>
      <color theme="1"/>
      <name val="Arial"/>
      <scheme val="minor"/>
    </font>
    <font>
      <b/>
      <sz val="12"/>
      <color theme="1"/>
      <name val="Calibri"/>
    </font>
    <font>
      <sz val="11"/>
      <color theme="1"/>
      <name val="Arial"/>
      <scheme val="minor"/>
    </font>
    <font>
      <sz val="14"/>
      <color rgb="FFF3F3F3"/>
      <name val="Lobster"/>
    </font>
    <font>
      <sz val="10"/>
      <color theme="1"/>
      <name val="Arial"/>
    </font>
    <font>
      <sz val="11"/>
      <color theme="1"/>
      <name val="Arial"/>
    </font>
    <font>
      <sz val="11"/>
      <color theme="1"/>
      <name val="Calibri"/>
    </font>
    <font>
      <b/>
      <sz val="13"/>
      <color theme="1"/>
      <name val="Arial"/>
    </font>
    <font>
      <sz val="8"/>
      <color theme="1"/>
      <name val="Calibri"/>
    </font>
    <font>
      <sz val="8"/>
      <color theme="1"/>
      <name val="Arial"/>
    </font>
    <font>
      <sz val="12"/>
      <color rgb="FF000000"/>
      <name val="Arial"/>
      <scheme val="minor"/>
    </font>
    <font>
      <sz val="10"/>
      <color theme="9"/>
      <name val="Arial"/>
      <scheme val="minor"/>
    </font>
    <font>
      <sz val="12"/>
      <color rgb="FFFF9900"/>
      <name val="Arial"/>
      <scheme val="minor"/>
    </font>
    <font>
      <sz val="12"/>
      <color rgb="FFFFE599"/>
      <name val="Arial"/>
      <scheme val="minor"/>
    </font>
    <font>
      <sz val="12"/>
      <color rgb="FF9FC5E8"/>
      <name val="Arial"/>
      <scheme val="minor"/>
    </font>
    <font>
      <sz val="12"/>
      <color rgb="FFFFFF00"/>
      <name val="Arial"/>
      <scheme val="minor"/>
    </font>
    <font>
      <sz val="12"/>
      <color rgb="FFF1C232"/>
      <name val="Arial"/>
      <scheme val="minor"/>
    </font>
    <font>
      <sz val="12"/>
      <color rgb="FF351C75"/>
      <name val="Arial"/>
      <scheme val="minor"/>
    </font>
    <font>
      <sz val="12"/>
      <color rgb="FF5B0F00"/>
      <name val="Arial"/>
      <scheme val="minor"/>
    </font>
    <font>
      <b/>
      <sz val="12"/>
      <color rgb="FF000000"/>
      <name val="Arial"/>
      <scheme val="minor"/>
    </font>
    <font>
      <b/>
      <sz val="13"/>
      <color theme="1"/>
      <name val="Arial"/>
      <scheme val="minor"/>
    </font>
    <font>
      <b/>
      <sz val="10"/>
      <color theme="1"/>
      <name val="Arial"/>
    </font>
    <font>
      <b/>
      <sz val="11"/>
      <color theme="1"/>
      <name val="Arial"/>
      <scheme val="minor"/>
    </font>
    <font>
      <sz val="12"/>
      <color rgb="FFFFFFFF"/>
      <name val="Calibri"/>
    </font>
    <font>
      <sz val="12"/>
      <color rgb="FFFF00FF"/>
      <name val="Arial"/>
      <scheme val="minor"/>
    </font>
    <font>
      <sz val="14"/>
      <color rgb="FFF3F3F3"/>
      <name val="Pacifico"/>
    </font>
    <font>
      <sz val="12"/>
      <color rgb="FFF3F3F3"/>
      <name val="Arial"/>
      <scheme val="minor"/>
    </font>
    <font>
      <sz val="12"/>
      <color theme="1"/>
      <name val="Calibri"/>
    </font>
    <font>
      <b/>
      <sz val="13"/>
      <color rgb="FFF3F3F3"/>
      <name val="Merriweather"/>
    </font>
    <font>
      <b/>
      <sz val="10"/>
      <color rgb="FF434343"/>
      <name val="Arial"/>
    </font>
    <font>
      <b/>
      <sz val="11"/>
      <color rgb="FF434343"/>
      <name val="Roboto"/>
    </font>
    <font>
      <sz val="14"/>
      <color theme="1"/>
      <name val="Calibri"/>
    </font>
    <font>
      <b/>
      <sz val="12"/>
      <color theme="1"/>
      <name val="Cambria"/>
    </font>
    <font>
      <sz val="13"/>
      <color theme="1"/>
      <name val="Oswald"/>
    </font>
    <font>
      <b/>
      <sz val="14"/>
      <color rgb="FFF3F3F3"/>
      <name val="Lexend"/>
    </font>
    <font>
      <b/>
      <sz val="13"/>
      <color rgb="FFF3F3F3"/>
      <name val="Lexend"/>
    </font>
    <font>
      <b/>
      <sz val="14"/>
      <color rgb="FFFFFFFF"/>
      <name val="Lobster"/>
    </font>
    <font>
      <b/>
      <sz val="14"/>
      <color rgb="FFF3F3F3"/>
      <name val="Lobster"/>
    </font>
    <font>
      <b/>
      <sz val="14"/>
      <color rgb="FF000000"/>
      <name val="Bree Serif"/>
    </font>
    <font>
      <b/>
      <sz val="13"/>
      <color rgb="FF000000"/>
      <name val="Bree Serif"/>
    </font>
    <font>
      <sz val="16"/>
      <color rgb="FFF3F3F3"/>
      <name val="Pacifico"/>
    </font>
    <font>
      <sz val="13"/>
      <color rgb="FFF3F3F3"/>
      <name val="Pacifico"/>
    </font>
    <font>
      <b/>
      <sz val="15"/>
      <color rgb="FFFFFFFF"/>
      <name val="Comfortaa"/>
    </font>
    <font>
      <b/>
      <sz val="10"/>
      <color rgb="FFFFFFFF"/>
      <name val="Arial"/>
      <scheme val="minor"/>
    </font>
    <font>
      <b/>
      <sz val="13"/>
      <color rgb="FFFFFFFF"/>
      <name val="Arial"/>
      <scheme val="minor"/>
    </font>
    <font>
      <b/>
      <sz val="12"/>
      <color theme="1"/>
      <name val="Merriweather"/>
    </font>
    <font>
      <b/>
      <sz val="12"/>
      <color theme="1"/>
      <name val="Oswald"/>
    </font>
    <font>
      <b/>
      <sz val="13"/>
      <color rgb="FFFFFFFF"/>
      <name val="Arial"/>
    </font>
    <font>
      <b/>
      <sz val="10"/>
      <color theme="1"/>
      <name val="Oswald"/>
    </font>
    <font>
      <b/>
      <sz val="12"/>
      <color rgb="FFFFFFFF"/>
      <name val="Arial"/>
      <scheme val="minor"/>
    </font>
    <font>
      <b/>
      <sz val="10"/>
      <color theme="0"/>
      <name val="Arial"/>
      <scheme val="minor"/>
    </font>
    <font>
      <b/>
      <sz val="15"/>
      <color rgb="FF000000"/>
      <name val="Comfortaa"/>
    </font>
    <font>
      <sz val="10"/>
      <color rgb="FF20124D"/>
      <name val="Arial"/>
      <scheme val="minor"/>
    </font>
    <font>
      <b/>
      <sz val="13"/>
      <color rgb="FFFFFFFF"/>
      <name val="Bree Serif"/>
    </font>
    <font>
      <sz val="14"/>
      <color theme="0"/>
      <name val="Impact"/>
    </font>
    <font>
      <b/>
      <sz val="11"/>
      <color rgb="FFFFFFFF"/>
      <name val="Bree Serif"/>
    </font>
    <font>
      <sz val="12"/>
      <color theme="0"/>
      <name val="Impact"/>
    </font>
    <font>
      <sz val="9"/>
      <color rgb="FFFFFFFF"/>
      <name val="Nunito"/>
    </font>
    <font>
      <sz val="8"/>
      <color theme="1"/>
      <name val="Nunito"/>
    </font>
    <font>
      <sz val="12"/>
      <color rgb="FFFFFFFF"/>
      <name val="Lexend"/>
    </font>
    <font>
      <sz val="10"/>
      <color rgb="FFFFFFFF"/>
      <name val="Arial"/>
      <scheme val="minor"/>
    </font>
    <font>
      <sz val="14"/>
      <color theme="1"/>
      <name val="Roboto Mono"/>
    </font>
    <font>
      <b/>
      <sz val="15"/>
      <color rgb="FFFFFFFF"/>
      <name val="Roboto Mono"/>
    </font>
    <font>
      <b/>
      <sz val="10"/>
      <color theme="1"/>
      <name val="Arial"/>
      <scheme val="minor"/>
    </font>
    <font>
      <b/>
      <sz val="10"/>
      <color theme="1"/>
      <name val="Roboto"/>
    </font>
    <font>
      <i/>
      <sz val="11"/>
      <color rgb="FF1F1F1F"/>
      <name val="Roboto"/>
    </font>
    <font>
      <sz val="11"/>
      <color rgb="FF3F3F76"/>
      <name val="Calibri"/>
    </font>
    <font>
      <sz val="7"/>
      <color theme="1"/>
      <name val="Arial"/>
      <scheme val="minor"/>
    </font>
    <font>
      <sz val="11"/>
      <color rgb="FF434343"/>
      <name val="Oswald"/>
    </font>
    <font>
      <sz val="7"/>
      <color theme="1"/>
      <name val="Roboto"/>
    </font>
    <font>
      <sz val="11"/>
      <color rgb="FFFFFFFF"/>
      <name val="Oswald"/>
    </font>
    <font>
      <sz val="11"/>
      <color rgb="FF000000"/>
      <name val="Oswald"/>
    </font>
    <font>
      <b/>
      <sz val="10"/>
      <color rgb="FFFFFFFF"/>
      <name val="Arial"/>
      <scheme val="minor"/>
    </font>
    <font>
      <b/>
      <i/>
      <sz val="11"/>
      <color theme="1"/>
      <name val="Lato"/>
    </font>
    <font>
      <i/>
      <sz val="9"/>
      <color theme="1"/>
      <name val="Arial"/>
      <scheme val="minor"/>
    </font>
    <font>
      <sz val="9"/>
      <color theme="1"/>
      <name val="Arial"/>
      <scheme val="minor"/>
    </font>
    <font>
      <b/>
      <sz val="24"/>
      <color theme="1"/>
      <name val="Arial"/>
      <scheme val="minor"/>
    </font>
    <font>
      <b/>
      <sz val="14"/>
      <color theme="1"/>
      <name val="Arial"/>
      <scheme val="minor"/>
    </font>
    <font>
      <b/>
      <sz val="13"/>
      <color rgb="FFFFFFFF"/>
      <name val="Calibri"/>
    </font>
    <font>
      <sz val="10"/>
      <color rgb="FF1C1C1C"/>
      <name val="Arial"/>
    </font>
    <font>
      <sz val="10"/>
      <color rgb="FF000000"/>
      <name val="Roboto Mono"/>
    </font>
    <font>
      <sz val="10"/>
      <color rgb="FFFFFFFF"/>
      <name val="Roboto Mono"/>
    </font>
    <font>
      <sz val="10"/>
      <color rgb="FF9C0006"/>
      <name val="Roboto Mono"/>
    </font>
    <font>
      <sz val="10"/>
      <color theme="1"/>
      <name val="Roboto Mono"/>
    </font>
    <font>
      <sz val="10"/>
      <color rgb="FFFFE599"/>
      <name val="Roboto Mono"/>
    </font>
    <font>
      <sz val="11"/>
      <color rgb="FF434343"/>
      <name val="Arial"/>
    </font>
    <font>
      <sz val="11"/>
      <color rgb="FF000000"/>
      <name val="Arial"/>
    </font>
    <font>
      <sz val="11"/>
      <color rgb="FFF3F3F3"/>
      <name val="Arial"/>
    </font>
    <font>
      <sz val="11"/>
      <color rgb="FFFFFFFF"/>
      <name val="Arial"/>
    </font>
    <font>
      <sz val="11"/>
      <color rgb="FFFFE599"/>
      <name val="Arial"/>
    </font>
    <font>
      <sz val="11"/>
      <color rgb="FF9FC5E8"/>
      <name val="Arial"/>
    </font>
    <font>
      <sz val="11"/>
      <color rgb="FFFFFF00"/>
      <name val="Arial"/>
    </font>
    <font>
      <sz val="11"/>
      <color rgb="FFF1C232"/>
      <name val="Arial"/>
    </font>
    <font>
      <sz val="11"/>
      <color rgb="FF351C75"/>
      <name val="Arial"/>
    </font>
    <font>
      <sz val="11"/>
      <color rgb="FF5B0F00"/>
      <name val="Arial"/>
    </font>
    <font>
      <sz val="11"/>
      <color rgb="FF9900FF"/>
      <name val="Arial"/>
    </font>
    <font>
      <sz val="11"/>
      <color rgb="FF9C0006"/>
      <name val="Arial"/>
    </font>
    <font>
      <sz val="11"/>
      <color rgb="FF9C6500"/>
      <name val="Arial"/>
    </font>
    <font>
      <b/>
      <sz val="10"/>
      <color rgb="FFFFFFFF"/>
      <name val="Montserrat"/>
    </font>
    <font>
      <sz val="23"/>
      <color rgb="FFCCCCCC"/>
      <name val="Impact"/>
    </font>
    <font>
      <sz val="22"/>
      <color rgb="FFCCCCCC"/>
      <name val="Pacifico"/>
    </font>
    <font>
      <b/>
      <sz val="23"/>
      <color rgb="FFCCCCCC"/>
      <name val="Oswald"/>
    </font>
    <font>
      <b/>
      <sz val="23"/>
      <color rgb="FFFFFFFF"/>
      <name val="Oswald"/>
    </font>
    <font>
      <sz val="22"/>
      <color rgb="FFF8F9FA"/>
      <name val="Lexend"/>
    </font>
    <font>
      <sz val="22"/>
      <color rgb="FF3D85C6"/>
      <name val="Lexend"/>
    </font>
    <font>
      <sz val="22"/>
      <color rgb="FF000000"/>
      <name val="Lexend"/>
    </font>
    <font>
      <sz val="10"/>
      <color rgb="FF274E13"/>
      <name val="Lexend"/>
    </font>
    <font>
      <b/>
      <sz val="9"/>
      <color rgb="FFCC4125"/>
      <name val="Lexend"/>
    </font>
    <font>
      <b/>
      <sz val="18"/>
      <color rgb="FFCCCCCC"/>
      <name val="Calibri"/>
    </font>
    <font>
      <b/>
      <sz val="14"/>
      <color rgb="FFFFFFFF"/>
      <name val="Calibri"/>
    </font>
    <font>
      <b/>
      <sz val="15"/>
      <color rgb="FFFFFFFF"/>
      <name val="Calibri"/>
    </font>
    <font>
      <b/>
      <sz val="12"/>
      <color rgb="FFFFFFFF"/>
      <name val="Calibri"/>
    </font>
    <font>
      <sz val="10"/>
      <color rgb="FFFFFFFF"/>
      <name val="Calibri"/>
    </font>
    <font>
      <b/>
      <sz val="11"/>
      <color rgb="FFFFFFFF"/>
      <name val="Calibri"/>
    </font>
    <font>
      <b/>
      <sz val="15"/>
      <color rgb="FFFFFFFF"/>
      <name val="Impact"/>
    </font>
    <font>
      <b/>
      <sz val="10"/>
      <color theme="0"/>
      <name val="Arial"/>
    </font>
    <font>
      <b/>
      <sz val="15"/>
      <color rgb="FF000000"/>
      <name val="Impact"/>
    </font>
    <font>
      <b/>
      <sz val="14"/>
      <color rgb="FFB4A7D6"/>
      <name val="Arial"/>
    </font>
    <font>
      <b/>
      <i/>
      <sz val="11"/>
      <color rgb="FF4A86E8"/>
      <name val="Arial"/>
    </font>
    <font>
      <b/>
      <i/>
      <sz val="11"/>
      <color rgb="FFFF9900"/>
      <name val="Arial"/>
    </font>
    <font>
      <b/>
      <i/>
      <sz val="11"/>
      <color rgb="FFFFE599"/>
      <name val="Arial"/>
    </font>
    <font>
      <b/>
      <i/>
      <sz val="11"/>
      <color rgb="FF999999"/>
      <name val="Arial"/>
    </font>
    <font>
      <b/>
      <i/>
      <sz val="11"/>
      <color rgb="FFB7B7B7"/>
      <name val="Arial"/>
    </font>
    <font>
      <b/>
      <i/>
      <sz val="11"/>
      <color rgb="FFEA9999"/>
      <name val="Arial"/>
    </font>
    <font>
      <b/>
      <sz val="11"/>
      <color rgb="FFFFFFFF"/>
      <name val="Arial"/>
    </font>
    <font>
      <sz val="11"/>
      <color theme="1"/>
      <name val="Roboto"/>
    </font>
  </fonts>
  <fills count="85">
    <fill>
      <patternFill patternType="none"/>
    </fill>
    <fill>
      <patternFill patternType="gray125"/>
    </fill>
    <fill>
      <patternFill patternType="solid">
        <fgColor rgb="FF000000"/>
        <bgColor rgb="FF000000"/>
      </patternFill>
    </fill>
    <fill>
      <patternFill patternType="solid">
        <fgColor rgb="FF434343"/>
        <bgColor rgb="FF434343"/>
      </patternFill>
    </fill>
    <fill>
      <patternFill patternType="solid">
        <fgColor rgb="FF999999"/>
        <bgColor rgb="FF999999"/>
      </patternFill>
    </fill>
    <fill>
      <patternFill patternType="solid">
        <fgColor rgb="FF0C343D"/>
        <bgColor rgb="FF0C343D"/>
      </patternFill>
    </fill>
    <fill>
      <patternFill patternType="solid">
        <fgColor rgb="FFFFFFFF"/>
        <bgColor rgb="FFFFFFFF"/>
      </patternFill>
    </fill>
    <fill>
      <patternFill patternType="solid">
        <fgColor rgb="FFE06666"/>
        <bgColor rgb="FFE06666"/>
      </patternFill>
    </fill>
    <fill>
      <patternFill patternType="solid">
        <fgColor rgb="FFD9D9D9"/>
        <bgColor rgb="FFD9D9D9"/>
      </patternFill>
    </fill>
    <fill>
      <patternFill patternType="solid">
        <fgColor rgb="FFE69138"/>
        <bgColor rgb="FFE69138"/>
      </patternFill>
    </fill>
    <fill>
      <patternFill patternType="solid">
        <fgColor rgb="FF3D85C6"/>
        <bgColor rgb="FF3D85C6"/>
      </patternFill>
    </fill>
    <fill>
      <patternFill patternType="solid">
        <fgColor rgb="FFF1C232"/>
        <bgColor rgb="FFF1C232"/>
      </patternFill>
    </fill>
    <fill>
      <patternFill patternType="solid">
        <fgColor rgb="FF4A86E8"/>
        <bgColor rgb="FF4A86E8"/>
      </patternFill>
    </fill>
    <fill>
      <patternFill patternType="solid">
        <fgColor rgb="FFA61C00"/>
        <bgColor rgb="FFA61C00"/>
      </patternFill>
    </fill>
    <fill>
      <patternFill patternType="solid">
        <fgColor rgb="FFB6D7A8"/>
        <bgColor rgb="FFB6D7A8"/>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D9D2E9"/>
        <bgColor rgb="FFD9D2E9"/>
      </patternFill>
    </fill>
    <fill>
      <patternFill patternType="solid">
        <fgColor rgb="FFEAD1DC"/>
        <bgColor rgb="FFEAD1DC"/>
      </patternFill>
    </fill>
    <fill>
      <patternFill patternType="solid">
        <fgColor rgb="FFFFD966"/>
        <bgColor rgb="FFFFD966"/>
      </patternFill>
    </fill>
    <fill>
      <patternFill patternType="solid">
        <fgColor rgb="FFD9EAD3"/>
        <bgColor rgb="FFD9EAD3"/>
      </patternFill>
    </fill>
    <fill>
      <patternFill patternType="solid">
        <fgColor rgb="FFFFEB9C"/>
        <bgColor rgb="FFFFEB9C"/>
      </patternFill>
    </fill>
    <fill>
      <patternFill patternType="solid">
        <fgColor rgb="FF8E7CC3"/>
        <bgColor rgb="FF8E7CC3"/>
      </patternFill>
    </fill>
    <fill>
      <patternFill patternType="solid">
        <fgColor rgb="FFF9CB9C"/>
        <bgColor rgb="FFF9CB9C"/>
      </patternFill>
    </fill>
    <fill>
      <patternFill patternType="solid">
        <fgColor rgb="FFDDEBF7"/>
        <bgColor rgb="FFDDEBF7"/>
      </patternFill>
    </fill>
    <fill>
      <patternFill patternType="solid">
        <fgColor rgb="FF5B9BD5"/>
        <bgColor rgb="FF5B9BD5"/>
      </patternFill>
    </fill>
    <fill>
      <patternFill patternType="solid">
        <fgColor rgb="FF7030A0"/>
        <bgColor rgb="FF7030A0"/>
      </patternFill>
    </fill>
    <fill>
      <patternFill patternType="solid">
        <fgColor rgb="FF8EA9DB"/>
        <bgColor rgb="FF8EA9DB"/>
      </patternFill>
    </fill>
    <fill>
      <patternFill patternType="solid">
        <fgColor rgb="FFFFC7CE"/>
        <bgColor rgb="FFFFC7CE"/>
      </patternFill>
    </fill>
    <fill>
      <patternFill patternType="solid">
        <fgColor rgb="FFFF0000"/>
        <bgColor rgb="FFFF0000"/>
      </patternFill>
    </fill>
    <fill>
      <patternFill patternType="solid">
        <fgColor rgb="FFFF99CC"/>
        <bgColor rgb="FFFF99CC"/>
      </patternFill>
    </fill>
    <fill>
      <patternFill patternType="solid">
        <fgColor rgb="FFC6E0B4"/>
        <bgColor rgb="FFC6E0B4"/>
      </patternFill>
    </fill>
    <fill>
      <patternFill patternType="solid">
        <fgColor rgb="FFEA9999"/>
        <bgColor rgb="FFEA9999"/>
      </patternFill>
    </fill>
    <fill>
      <patternFill patternType="solid">
        <fgColor rgb="FF4472C4"/>
        <bgColor rgb="FF4472C4"/>
      </patternFill>
    </fill>
    <fill>
      <patternFill patternType="solid">
        <fgColor rgb="FFFF9900"/>
        <bgColor rgb="FFFF9900"/>
      </patternFill>
    </fill>
    <fill>
      <patternFill patternType="solid">
        <fgColor rgb="FF00B0F0"/>
        <bgColor rgb="FF00B0F0"/>
      </patternFill>
    </fill>
    <fill>
      <patternFill patternType="solid">
        <fgColor rgb="FF6FA8DC"/>
        <bgColor rgb="FF6FA8DC"/>
      </patternFill>
    </fill>
    <fill>
      <patternFill patternType="solid">
        <fgColor rgb="FF9FC5E8"/>
        <bgColor rgb="FF9FC5E8"/>
      </patternFill>
    </fill>
    <fill>
      <patternFill patternType="solid">
        <fgColor rgb="FFF4CCCC"/>
        <bgColor rgb="FFF4CCCC"/>
      </patternFill>
    </fill>
    <fill>
      <patternFill patternType="solid">
        <fgColor rgb="FF6D9EEB"/>
        <bgColor rgb="FF6D9EEB"/>
      </patternFill>
    </fill>
    <fill>
      <patternFill patternType="solid">
        <fgColor rgb="FFD5A6BD"/>
        <bgColor rgb="FFD5A6BD"/>
      </patternFill>
    </fill>
    <fill>
      <patternFill patternType="solid">
        <fgColor rgb="FFFCE5CD"/>
        <bgColor rgb="FFFCE5CD"/>
      </patternFill>
    </fill>
    <fill>
      <patternFill patternType="solid">
        <fgColor rgb="FFB4A7D6"/>
        <bgColor rgb="FFB4A7D6"/>
      </patternFill>
    </fill>
    <fill>
      <patternFill patternType="solid">
        <fgColor rgb="FF76A5AF"/>
        <bgColor rgb="FF76A5AF"/>
      </patternFill>
    </fill>
    <fill>
      <patternFill patternType="solid">
        <fgColor rgb="FFC27BA0"/>
        <bgColor rgb="FFC27BA0"/>
      </patternFill>
    </fill>
    <fill>
      <patternFill patternType="solid">
        <fgColor rgb="FF674EA7"/>
        <bgColor rgb="FF674EA7"/>
      </patternFill>
    </fill>
    <fill>
      <patternFill patternType="solid">
        <fgColor rgb="FF9C0006"/>
        <bgColor rgb="FF9C0006"/>
      </patternFill>
    </fill>
    <fill>
      <patternFill patternType="solid">
        <fgColor rgb="FF1155CC"/>
        <bgColor rgb="FF1155CC"/>
      </patternFill>
    </fill>
    <fill>
      <patternFill patternType="solid">
        <fgColor theme="5"/>
        <bgColor theme="5"/>
      </patternFill>
    </fill>
    <fill>
      <patternFill patternType="solid">
        <fgColor rgb="FFCC4125"/>
        <bgColor rgb="FFCC4125"/>
      </patternFill>
    </fill>
    <fill>
      <patternFill patternType="solid">
        <fgColor rgb="FFDD7E6B"/>
        <bgColor rgb="FFDD7E6B"/>
      </patternFill>
    </fill>
    <fill>
      <patternFill patternType="solid">
        <fgColor rgb="FFBDD7EE"/>
        <bgColor rgb="FFBDD7EE"/>
      </patternFill>
    </fill>
    <fill>
      <patternFill patternType="solid">
        <fgColor rgb="FF783F04"/>
        <bgColor rgb="FF783F04"/>
      </patternFill>
    </fill>
    <fill>
      <patternFill patternType="solid">
        <fgColor rgb="FFC9DAF8"/>
        <bgColor rgb="FFC9DAF8"/>
      </patternFill>
    </fill>
    <fill>
      <patternFill patternType="solid">
        <fgColor rgb="FF3C78D8"/>
        <bgColor rgb="FF3C78D8"/>
      </patternFill>
    </fill>
    <fill>
      <patternFill patternType="solid">
        <fgColor rgb="FFCC0000"/>
        <bgColor rgb="FFCC0000"/>
      </patternFill>
    </fill>
    <fill>
      <patternFill patternType="solid">
        <fgColor rgb="FFFF00FF"/>
        <bgColor rgb="FFFF00FF"/>
      </patternFill>
    </fill>
    <fill>
      <patternFill patternType="solid">
        <fgColor rgb="FF00FFFF"/>
        <bgColor rgb="FF00FFFF"/>
      </patternFill>
    </fill>
    <fill>
      <patternFill patternType="solid">
        <fgColor rgb="FFFFFF00"/>
        <bgColor rgb="FFFFFF00"/>
      </patternFill>
    </fill>
    <fill>
      <patternFill patternType="solid">
        <fgColor rgb="FF0B5394"/>
        <bgColor rgb="FF0B5394"/>
      </patternFill>
    </fill>
    <fill>
      <patternFill patternType="solid">
        <fgColor rgb="FF351C75"/>
        <bgColor rgb="FF351C75"/>
      </patternFill>
    </fill>
    <fill>
      <patternFill patternType="solid">
        <fgColor theme="8"/>
        <bgColor theme="8"/>
      </patternFill>
    </fill>
    <fill>
      <patternFill patternType="solid">
        <fgColor rgb="FFF8F9FA"/>
        <bgColor rgb="FFF8F9FA"/>
      </patternFill>
    </fill>
    <fill>
      <patternFill patternType="solid">
        <fgColor rgb="FF20124D"/>
        <bgColor rgb="FF20124D"/>
      </patternFill>
    </fill>
    <fill>
      <patternFill patternType="solid">
        <fgColor rgb="FF0070C0"/>
        <bgColor rgb="FF0070C0"/>
      </patternFill>
    </fill>
    <fill>
      <patternFill patternType="solid">
        <fgColor rgb="FFF6F8F9"/>
        <bgColor rgb="FFF6F8F9"/>
      </patternFill>
    </fill>
    <fill>
      <patternFill patternType="solid">
        <fgColor rgb="FF980000"/>
        <bgColor rgb="FF980000"/>
      </patternFill>
    </fill>
    <fill>
      <patternFill patternType="solid">
        <fgColor rgb="FFCCCCCC"/>
        <bgColor rgb="FFCCCCCC"/>
      </patternFill>
    </fill>
    <fill>
      <patternFill patternType="solid">
        <fgColor rgb="FF6AA84F"/>
        <bgColor rgb="FF6AA84F"/>
      </patternFill>
    </fill>
    <fill>
      <patternFill patternType="solid">
        <fgColor rgb="FF93C47D"/>
        <bgColor rgb="FF93C47D"/>
      </patternFill>
    </fill>
    <fill>
      <patternFill patternType="solid">
        <fgColor rgb="FF666666"/>
        <bgColor rgb="FF666666"/>
      </patternFill>
    </fill>
    <fill>
      <patternFill patternType="solid">
        <fgColor rgb="FF1C4587"/>
        <bgColor rgb="FF1C4587"/>
      </patternFill>
    </fill>
    <fill>
      <patternFill patternType="solid">
        <fgColor rgb="FF4F81BD"/>
        <bgColor rgb="FF4F81BD"/>
      </patternFill>
    </fill>
    <fill>
      <patternFill patternType="solid">
        <fgColor rgb="FFFFCC99"/>
        <bgColor rgb="FFFFCC99"/>
      </patternFill>
    </fill>
    <fill>
      <patternFill patternType="solid">
        <fgColor rgb="FF073763"/>
        <bgColor rgb="FF073763"/>
      </patternFill>
    </fill>
    <fill>
      <patternFill patternType="solid">
        <fgColor rgb="FFB7B7B7"/>
        <bgColor rgb="FFB7B7B7"/>
      </patternFill>
    </fill>
    <fill>
      <patternFill patternType="solid">
        <fgColor rgb="FFEFEFEF"/>
        <bgColor rgb="FFEFEFEF"/>
      </patternFill>
    </fill>
    <fill>
      <patternFill patternType="solid">
        <fgColor rgb="FFFFF2CC"/>
        <bgColor rgb="FFFFF2CC"/>
      </patternFill>
    </fill>
    <fill>
      <patternFill patternType="solid">
        <fgColor rgb="FF134F5C"/>
        <bgColor rgb="FF134F5C"/>
      </patternFill>
    </fill>
    <fill>
      <patternFill patternType="solid">
        <fgColor rgb="FFFF7C80"/>
        <bgColor rgb="FFFF7C80"/>
      </patternFill>
    </fill>
    <fill>
      <patternFill patternType="solid">
        <fgColor rgb="FFF4B084"/>
        <bgColor rgb="FFF4B084"/>
      </patternFill>
    </fill>
    <fill>
      <patternFill patternType="solid">
        <fgColor rgb="FFFF6D01"/>
        <bgColor rgb="FFFF6D01"/>
      </patternFill>
    </fill>
    <fill>
      <patternFill patternType="solid">
        <fgColor rgb="FFEA4335"/>
        <bgColor rgb="FFEA4335"/>
      </patternFill>
    </fill>
    <fill>
      <patternFill patternType="solid">
        <fgColor rgb="FF435E91"/>
        <bgColor rgb="FF435E91"/>
      </patternFill>
    </fill>
  </fills>
  <borders count="294">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B7E1CD"/>
      </left>
      <right style="thick">
        <color rgb="FF93C47D"/>
      </right>
      <top style="thick">
        <color rgb="FF000000"/>
      </top>
      <bottom style="thick">
        <color rgb="FFB7E1CD"/>
      </bottom>
      <diagonal/>
    </border>
    <border>
      <left style="thick">
        <color rgb="FF93C47D"/>
      </left>
      <right style="thick">
        <color rgb="FF93C47D"/>
      </right>
      <top style="thick">
        <color rgb="FF000000"/>
      </top>
      <bottom style="thick">
        <color rgb="FFB7E1CD"/>
      </bottom>
      <diagonal/>
    </border>
    <border>
      <left style="thick">
        <color rgb="FF000000"/>
      </left>
      <right style="thick">
        <color rgb="FFB7E1CD"/>
      </right>
      <top style="thick">
        <color rgb="FF000000"/>
      </top>
      <bottom style="thick">
        <color rgb="FFB7E1CD"/>
      </bottom>
      <diagonal/>
    </border>
    <border>
      <left style="thick">
        <color rgb="FF000000"/>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style="thick">
        <color rgb="FFB7E1CD"/>
      </left>
      <right style="thin">
        <color rgb="FF000000"/>
      </right>
      <top/>
      <bottom style="thick">
        <color rgb="FFFFFFFF"/>
      </bottom>
      <diagonal/>
    </border>
    <border>
      <left style="thin">
        <color rgb="FF000000"/>
      </left>
      <right style="thin">
        <color rgb="FF000000"/>
      </right>
      <top/>
      <bottom style="thin">
        <color rgb="FF000000"/>
      </bottom>
      <diagonal/>
    </border>
    <border>
      <left style="thin">
        <color rgb="FF000000"/>
      </left>
      <right style="thick">
        <color rgb="FFB7E1CD"/>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B7E1CD"/>
      </right>
      <top style="thin">
        <color rgb="FF000000"/>
      </top>
      <bottom style="thin">
        <color rgb="FF000000"/>
      </bottom>
      <diagonal/>
    </border>
    <border>
      <left style="thick">
        <color rgb="FFB7E1CD"/>
      </left>
      <right style="thin">
        <color rgb="FF000000"/>
      </right>
      <top/>
      <bottom style="thick">
        <color rgb="FFB7E1CD"/>
      </bottom>
      <diagonal/>
    </border>
    <border>
      <left style="thin">
        <color rgb="FF000000"/>
      </left>
      <right style="thin">
        <color rgb="FF000000"/>
      </right>
      <top style="thin">
        <color rgb="FF000000"/>
      </top>
      <bottom style="thick">
        <color rgb="FFB7E1CD"/>
      </bottom>
      <diagonal/>
    </border>
    <border>
      <left style="thin">
        <color rgb="FF000000"/>
      </left>
      <right style="thick">
        <color rgb="FFB7E1CD"/>
      </right>
      <top style="thin">
        <color rgb="FF000000"/>
      </top>
      <bottom style="thick">
        <color rgb="FFB7E1CD"/>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ck">
        <color rgb="FF000000"/>
      </right>
      <top/>
      <bottom style="thin">
        <color rgb="FF000000"/>
      </bottom>
      <diagonal/>
    </border>
    <border>
      <left/>
      <right/>
      <top/>
      <bottom style="thin">
        <color rgb="FF000000"/>
      </bottom>
      <diagonal/>
    </border>
    <border>
      <left/>
      <right style="thick">
        <color rgb="FF000000"/>
      </right>
      <top style="thin">
        <color rgb="FF000000"/>
      </top>
      <bottom style="thin">
        <color rgb="FF000000"/>
      </bottom>
      <diagonal/>
    </border>
    <border>
      <left style="thick">
        <color rgb="FF000000"/>
      </left>
      <right style="thick">
        <color rgb="FF434343"/>
      </right>
      <top/>
      <bottom style="thick">
        <color rgb="FF000000"/>
      </bottom>
      <diagonal/>
    </border>
    <border>
      <left style="thick">
        <color rgb="FF000000"/>
      </left>
      <right style="thick">
        <color rgb="FF434343"/>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right style="thick">
        <color rgb="FF000000"/>
      </right>
      <top style="thick">
        <color rgb="FF000000"/>
      </top>
      <bottom style="thick">
        <color rgb="FF434343"/>
      </bottom>
      <diagonal/>
    </border>
    <border>
      <left style="thick">
        <color rgb="FF000000"/>
      </left>
      <right style="thick">
        <color rgb="FF434343"/>
      </right>
      <top style="thick">
        <color rgb="FF000000"/>
      </top>
      <bottom style="thick">
        <color rgb="FF434343"/>
      </bottom>
      <diagonal/>
    </border>
    <border>
      <left style="thick">
        <color rgb="FF000000"/>
      </left>
      <right style="thick">
        <color rgb="FF000000"/>
      </right>
      <top/>
      <bottom style="thick">
        <color rgb="FF000000"/>
      </bottom>
      <diagonal/>
    </border>
    <border>
      <left style="thick">
        <color rgb="FF000000"/>
      </left>
      <right/>
      <top/>
      <bottom style="thin">
        <color rgb="FF000000"/>
      </bottom>
      <diagonal/>
    </border>
    <border>
      <left/>
      <right style="thick">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ck">
        <color rgb="FF3C78D8"/>
      </left>
      <right/>
      <top style="thick">
        <color rgb="FF3C78D8"/>
      </top>
      <bottom/>
      <diagonal/>
    </border>
    <border>
      <left/>
      <right/>
      <top style="thick">
        <color rgb="FF3C78D8"/>
      </top>
      <bottom/>
      <diagonal/>
    </border>
    <border>
      <left/>
      <right style="thick">
        <color rgb="FF3C78D8"/>
      </right>
      <top style="thick">
        <color rgb="FF3C78D8"/>
      </top>
      <bottom/>
      <diagonal/>
    </border>
    <border>
      <left style="thick">
        <color rgb="FF3C78D8"/>
      </left>
      <right/>
      <top/>
      <bottom/>
      <diagonal/>
    </border>
    <border>
      <left/>
      <right style="thick">
        <color rgb="FF3C78D8"/>
      </right>
      <top/>
      <bottom/>
      <diagonal/>
    </border>
    <border>
      <left style="thick">
        <color rgb="FF3C78D8"/>
      </left>
      <right/>
      <top/>
      <bottom style="thick">
        <color rgb="FF3C78D8"/>
      </bottom>
      <diagonal/>
    </border>
    <border>
      <left/>
      <right/>
      <top/>
      <bottom style="thick">
        <color rgb="FF3C78D8"/>
      </bottom>
      <diagonal/>
    </border>
    <border>
      <left/>
      <right style="thick">
        <color rgb="FF3C78D8"/>
      </right>
      <top/>
      <bottom style="thick">
        <color rgb="FF3C78D8"/>
      </bottom>
      <diagonal/>
    </border>
    <border>
      <left style="thin">
        <color rgb="FFD2D2DF"/>
      </left>
      <right style="thin">
        <color rgb="FFD2D2DF"/>
      </right>
      <top style="thin">
        <color rgb="FFD2D2DF"/>
      </top>
      <bottom style="thin">
        <color rgb="FFD2D2DF"/>
      </bottom>
      <diagonal/>
    </border>
    <border>
      <left style="thick">
        <color rgb="FFBF9000"/>
      </left>
      <right/>
      <top style="thick">
        <color rgb="FFBF9000"/>
      </top>
      <bottom/>
      <diagonal/>
    </border>
    <border>
      <left/>
      <right/>
      <top style="thick">
        <color rgb="FFBF9000"/>
      </top>
      <bottom/>
      <diagonal/>
    </border>
    <border>
      <left/>
      <right style="thick">
        <color rgb="FFBF9000"/>
      </right>
      <top style="thick">
        <color rgb="FFBF9000"/>
      </top>
      <bottom/>
      <diagonal/>
    </border>
    <border>
      <left style="thick">
        <color rgb="FFBF9000"/>
      </left>
      <right/>
      <top/>
      <bottom/>
      <diagonal/>
    </border>
    <border>
      <left/>
      <right style="thick">
        <color rgb="FFBF9000"/>
      </right>
      <top/>
      <bottom/>
      <diagonal/>
    </border>
    <border>
      <left style="thick">
        <color rgb="FFBF9000"/>
      </left>
      <right/>
      <top/>
      <bottom style="thick">
        <color rgb="FFBF9000"/>
      </bottom>
      <diagonal/>
    </border>
    <border>
      <left/>
      <right/>
      <top/>
      <bottom style="thick">
        <color rgb="FFBF9000"/>
      </bottom>
      <diagonal/>
    </border>
    <border>
      <left/>
      <right style="thick">
        <color rgb="FFBF9000"/>
      </right>
      <top/>
      <bottom style="thick">
        <color rgb="FFBF9000"/>
      </bottom>
      <diagonal/>
    </border>
    <border>
      <left style="thick">
        <color rgb="FFB45F06"/>
      </left>
      <right/>
      <top style="thick">
        <color rgb="FFB45F06"/>
      </top>
      <bottom/>
      <diagonal/>
    </border>
    <border>
      <left/>
      <right/>
      <top style="thick">
        <color rgb="FFB45F06"/>
      </top>
      <bottom/>
      <diagonal/>
    </border>
    <border>
      <left/>
      <right style="thick">
        <color rgb="FFB45F06"/>
      </right>
      <top style="thick">
        <color rgb="FFB45F06"/>
      </top>
      <bottom/>
      <diagonal/>
    </border>
    <border>
      <left style="thick">
        <color rgb="FFB45F06"/>
      </left>
      <right/>
      <top/>
      <bottom/>
      <diagonal/>
    </border>
    <border>
      <left/>
      <right style="thick">
        <color rgb="FFB45F06"/>
      </right>
      <top/>
      <bottom/>
      <diagonal/>
    </border>
    <border>
      <left style="thick">
        <color rgb="FFB45F06"/>
      </left>
      <right/>
      <top/>
      <bottom style="thick">
        <color rgb="FFB45F06"/>
      </bottom>
      <diagonal/>
    </border>
    <border>
      <left/>
      <right/>
      <top/>
      <bottom style="thick">
        <color rgb="FFB45F06"/>
      </bottom>
      <diagonal/>
    </border>
    <border>
      <left/>
      <right style="thick">
        <color rgb="FFB45F06"/>
      </right>
      <top/>
      <bottom style="thick">
        <color rgb="FFB45F06"/>
      </bottom>
      <diagonal/>
    </border>
    <border>
      <left style="thick">
        <color rgb="FF990000"/>
      </left>
      <right/>
      <top style="thick">
        <color rgb="FF990000"/>
      </top>
      <bottom/>
      <diagonal/>
    </border>
    <border>
      <left/>
      <right/>
      <top style="thick">
        <color rgb="FF990000"/>
      </top>
      <bottom/>
      <diagonal/>
    </border>
    <border>
      <left/>
      <right style="thick">
        <color rgb="FF990000"/>
      </right>
      <top style="thick">
        <color rgb="FF990000"/>
      </top>
      <bottom/>
      <diagonal/>
    </border>
    <border>
      <left style="thick">
        <color rgb="FF990000"/>
      </left>
      <right/>
      <top/>
      <bottom/>
      <diagonal/>
    </border>
    <border>
      <left/>
      <right style="thick">
        <color rgb="FF990000"/>
      </right>
      <top/>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ck">
        <color rgb="FF990000"/>
      </left>
      <right/>
      <top/>
      <bottom style="thick">
        <color rgb="FF990000"/>
      </bottom>
      <diagonal/>
    </border>
    <border>
      <left/>
      <right/>
      <top/>
      <bottom style="thick">
        <color rgb="FF990000"/>
      </bottom>
      <diagonal/>
    </border>
    <border>
      <left/>
      <right style="thick">
        <color rgb="FF990000"/>
      </right>
      <top/>
      <bottom style="thick">
        <color rgb="FF990000"/>
      </bottom>
      <diagonal/>
    </border>
    <border>
      <left style="thick">
        <color rgb="FF990000"/>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style="thin">
        <color rgb="FF000000"/>
      </left>
      <right style="thin">
        <color rgb="FF000000"/>
      </right>
      <top style="thick">
        <color rgb="FFFFFFFF"/>
      </top>
      <bottom style="thin">
        <color rgb="FF000000"/>
      </bottom>
      <diagonal/>
    </border>
    <border>
      <left/>
      <right style="thin">
        <color rgb="FF000000"/>
      </right>
      <top style="thick">
        <color rgb="FFFFFFFF"/>
      </top>
      <bottom style="thin">
        <color rgb="FF000000"/>
      </bottom>
      <diagonal/>
    </border>
    <border>
      <left style="thin">
        <color rgb="FF000000"/>
      </left>
      <right style="thick">
        <color rgb="FFFFFFFF"/>
      </right>
      <top style="thick">
        <color rgb="FFFFFFFF"/>
      </top>
      <bottom style="thin">
        <color rgb="FF000000"/>
      </bottom>
      <diagonal/>
    </border>
    <border>
      <left style="thick">
        <color rgb="FFFFFFFF"/>
      </left>
      <right/>
      <top style="thick">
        <color rgb="FFFFFFFF"/>
      </top>
      <bottom/>
      <diagonal/>
    </border>
    <border>
      <left/>
      <right style="thick">
        <color rgb="FFFFFFFF"/>
      </right>
      <top style="thick">
        <color rgb="FFFFFFFF"/>
      </top>
      <bottom/>
      <diagonal/>
    </border>
    <border>
      <left/>
      <right/>
      <top style="thick">
        <color rgb="FFFFFFFF"/>
      </top>
      <bottom/>
      <diagonal/>
    </border>
    <border>
      <left style="thin">
        <color rgb="FF000000"/>
      </left>
      <right style="thick">
        <color rgb="FFFFFFFF"/>
      </right>
      <top style="thin">
        <color rgb="FF000000"/>
      </top>
      <bottom style="thin">
        <color rgb="FF000000"/>
      </bottom>
      <diagonal/>
    </border>
    <border>
      <left style="thick">
        <color rgb="FFFFFFFF"/>
      </left>
      <right/>
      <top/>
      <bottom/>
      <diagonal/>
    </border>
    <border>
      <left/>
      <right style="thick">
        <color rgb="FFFFFFFF"/>
      </right>
      <top/>
      <bottom/>
      <diagonal/>
    </border>
    <border>
      <left style="thin">
        <color rgb="FF000000"/>
      </left>
      <right style="thin">
        <color rgb="FF000000"/>
      </right>
      <top style="thin">
        <color rgb="FF000000"/>
      </top>
      <bottom style="thick">
        <color rgb="FFFFFFFF"/>
      </bottom>
      <diagonal/>
    </border>
    <border>
      <left/>
      <right style="thin">
        <color rgb="FF000000"/>
      </right>
      <top style="thin">
        <color rgb="FF000000"/>
      </top>
      <bottom style="thick">
        <color rgb="FFFFFFFF"/>
      </bottom>
      <diagonal/>
    </border>
    <border>
      <left style="thin">
        <color rgb="FF000000"/>
      </left>
      <right style="thick">
        <color rgb="FFFFFFFF"/>
      </right>
      <top style="thin">
        <color rgb="FF000000"/>
      </top>
      <bottom style="thick">
        <color rgb="FFFFFFFF"/>
      </bottom>
      <diagonal/>
    </border>
    <border>
      <left style="thick">
        <color rgb="FFFFFFFF"/>
      </left>
      <right/>
      <top/>
      <bottom style="thick">
        <color rgb="FFFFFFFF"/>
      </bottom>
      <diagonal/>
    </border>
    <border>
      <left/>
      <right style="thick">
        <color rgb="FFFFFFFF"/>
      </right>
      <top/>
      <bottom style="thick">
        <color rgb="FFFFFFFF"/>
      </bottom>
      <diagonal/>
    </border>
    <border>
      <left/>
      <right/>
      <top/>
      <bottom style="thick">
        <color rgb="FFFFFFFF"/>
      </bottom>
      <diagonal/>
    </border>
    <border>
      <left style="thick">
        <color rgb="FF990000"/>
      </left>
      <right/>
      <top style="thick">
        <color rgb="FFFFFFFF"/>
      </top>
      <bottom style="thin">
        <color rgb="FF000000"/>
      </bottom>
      <diagonal/>
    </border>
    <border>
      <left/>
      <right/>
      <top style="thick">
        <color rgb="FFFFFFFF"/>
      </top>
      <bottom style="thin">
        <color rgb="FF000000"/>
      </bottom>
      <diagonal/>
    </border>
    <border>
      <left/>
      <right style="thick">
        <color rgb="FFFFFFFF"/>
      </right>
      <top style="thick">
        <color rgb="FFFFFFFF"/>
      </top>
      <bottom style="thin">
        <color rgb="FF000000"/>
      </bottom>
      <diagonal/>
    </border>
    <border>
      <left style="thick">
        <color rgb="FFFFFFFF"/>
      </left>
      <right/>
      <top style="thick">
        <color rgb="FFFFFFFF"/>
      </top>
      <bottom style="thin">
        <color rgb="FF000000"/>
      </bottom>
      <diagonal/>
    </border>
    <border>
      <left style="thick">
        <color rgb="FF990000"/>
      </left>
      <right style="thin">
        <color rgb="FF000000"/>
      </right>
      <top style="thin">
        <color rgb="FF000000"/>
      </top>
      <bottom style="thin">
        <color rgb="FF000000"/>
      </bottom>
      <diagonal/>
    </border>
    <border>
      <left style="thick">
        <color rgb="FFFFFFFF"/>
      </left>
      <right style="thin">
        <color rgb="FF000000"/>
      </right>
      <top style="thin">
        <color rgb="FF000000"/>
      </top>
      <bottom style="thin">
        <color rgb="FF000000"/>
      </bottom>
      <diagonal/>
    </border>
    <border>
      <left style="thick">
        <color rgb="FF990000"/>
      </left>
      <right style="thin">
        <color rgb="FF000000"/>
      </right>
      <top style="thin">
        <color rgb="FF000000"/>
      </top>
      <bottom style="thick">
        <color rgb="FFFFFFFF"/>
      </bottom>
      <diagonal/>
    </border>
    <border>
      <left style="thick">
        <color rgb="FFFFFFFF"/>
      </left>
      <right style="thin">
        <color rgb="FF000000"/>
      </right>
      <top style="thin">
        <color rgb="FF000000"/>
      </top>
      <bottom style="thick">
        <color rgb="FFFFFFFF"/>
      </bottom>
      <diagonal/>
    </border>
    <border>
      <left style="thick">
        <color rgb="FF990000"/>
      </left>
      <right style="thin">
        <color rgb="FF000000"/>
      </right>
      <top/>
      <bottom style="thin">
        <color rgb="FF000000"/>
      </bottom>
      <diagonal/>
    </border>
    <border>
      <left style="thick">
        <color rgb="FFFFFFFF"/>
      </left>
      <right style="thin">
        <color rgb="FF000000"/>
      </right>
      <top/>
      <bottom style="thin">
        <color rgb="FF000000"/>
      </bottom>
      <diagonal/>
    </border>
    <border>
      <left style="thick">
        <color rgb="FFFFFFFF"/>
      </left>
      <right style="thick">
        <color rgb="FFFFFFFF"/>
      </right>
      <top/>
      <bottom style="thin">
        <color rgb="FF000000"/>
      </bottom>
      <diagonal/>
    </border>
    <border>
      <left style="thick">
        <color rgb="FFFFFFFF"/>
      </left>
      <right style="thick">
        <color rgb="FFFFFFFF"/>
      </right>
      <top style="thin">
        <color rgb="FF000000"/>
      </top>
      <bottom style="thin">
        <color rgb="FF000000"/>
      </bottom>
      <diagonal/>
    </border>
    <border>
      <left style="thick">
        <color rgb="FFFFFFFF"/>
      </left>
      <right style="thick">
        <color rgb="FFFFFFFF"/>
      </right>
      <top style="thin">
        <color rgb="FF000000"/>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990000"/>
      </left>
      <right/>
      <top style="thick">
        <color rgb="FF990000"/>
      </top>
      <bottom style="thick">
        <color rgb="FF990000"/>
      </bottom>
      <diagonal/>
    </border>
    <border>
      <left/>
      <right/>
      <top style="thick">
        <color rgb="FF990000"/>
      </top>
      <bottom style="thick">
        <color rgb="FF990000"/>
      </bottom>
      <diagonal/>
    </border>
    <border>
      <left/>
      <right style="thick">
        <color rgb="FF990000"/>
      </right>
      <top style="thick">
        <color rgb="FF990000"/>
      </top>
      <bottom style="thick">
        <color rgb="FF99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medium">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medium">
        <color rgb="FF000000"/>
      </right>
      <top style="thin">
        <color rgb="FF000000"/>
      </top>
      <bottom style="thick">
        <color rgb="FF000000"/>
      </bottom>
      <diagonal/>
    </border>
    <border>
      <left style="thin">
        <color rgb="FF000000"/>
      </left>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medium">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F3F3F3"/>
      </left>
      <right style="thin">
        <color rgb="FFF3F3F3"/>
      </right>
      <top/>
      <bottom style="thin">
        <color rgb="FFF3F3F3"/>
      </bottom>
      <diagonal/>
    </border>
    <border>
      <left style="thin">
        <color rgb="FF000000"/>
      </left>
      <right/>
      <top/>
      <bottom style="thin">
        <color rgb="FF000000"/>
      </bottom>
      <diagonal/>
    </border>
    <border>
      <left style="thick">
        <color rgb="FF4A86E8"/>
      </left>
      <right style="thin">
        <color rgb="FF666666"/>
      </right>
      <top/>
      <bottom style="thin">
        <color rgb="FF666666"/>
      </bottom>
      <diagonal/>
    </border>
    <border>
      <left style="thin">
        <color rgb="FF666666"/>
      </left>
      <right style="thin">
        <color rgb="FF666666"/>
      </right>
      <top/>
      <bottom style="thin">
        <color rgb="FF666666"/>
      </bottom>
      <diagonal/>
    </border>
    <border>
      <left style="thin">
        <color rgb="FF666666"/>
      </left>
      <right style="thick">
        <color rgb="FF4A86E8"/>
      </right>
      <top/>
      <bottom style="thin">
        <color rgb="FF666666"/>
      </bottom>
      <diagonal/>
    </border>
    <border>
      <left/>
      <right style="thick">
        <color rgb="FF4A86E8"/>
      </right>
      <top/>
      <bottom style="thin">
        <color rgb="FF666666"/>
      </bottom>
      <diagonal/>
    </border>
    <border>
      <left style="thick">
        <color rgb="FF4A86E8"/>
      </left>
      <right/>
      <top/>
      <bottom/>
      <diagonal/>
    </border>
    <border>
      <left/>
      <right style="thick">
        <color rgb="FF4A86E8"/>
      </right>
      <top/>
      <bottom/>
      <diagonal/>
    </border>
    <border>
      <left style="thick">
        <color rgb="FF000000"/>
      </left>
      <right style="thick">
        <color rgb="FF000000"/>
      </right>
      <top/>
      <bottom style="thin">
        <color rgb="FF000000"/>
      </bottom>
      <diagonal/>
    </border>
    <border>
      <left style="thin">
        <color rgb="FFF3F3F3"/>
      </left>
      <right style="thin">
        <color rgb="FFF3F3F3"/>
      </right>
      <top style="thin">
        <color rgb="FFF3F3F3"/>
      </top>
      <bottom style="thin">
        <color rgb="FFF3F3F3"/>
      </bottom>
      <diagonal/>
    </border>
    <border>
      <left style="thick">
        <color rgb="FF4A86E8"/>
      </left>
      <right style="thin">
        <color rgb="FF666666"/>
      </right>
      <top style="thin">
        <color rgb="FF666666"/>
      </top>
      <bottom style="thin">
        <color rgb="FF666666"/>
      </bottom>
      <diagonal/>
    </border>
    <border>
      <left style="thin">
        <color rgb="FF666666"/>
      </left>
      <right style="thin">
        <color rgb="FF666666"/>
      </right>
      <top style="thin">
        <color rgb="FF666666"/>
      </top>
      <bottom style="thin">
        <color rgb="FF666666"/>
      </bottom>
      <diagonal/>
    </border>
    <border>
      <left style="thin">
        <color rgb="FF666666"/>
      </left>
      <right style="thick">
        <color rgb="FF4A86E8"/>
      </right>
      <top style="thin">
        <color rgb="FF666666"/>
      </top>
      <bottom style="thin">
        <color rgb="FF666666"/>
      </bottom>
      <diagonal/>
    </border>
    <border>
      <left/>
      <right style="thick">
        <color rgb="FF4A86E8"/>
      </right>
      <top style="thin">
        <color rgb="FF666666"/>
      </top>
      <bottom style="thin">
        <color rgb="FF666666"/>
      </bottom>
      <diagonal/>
    </border>
    <border>
      <left style="thick">
        <color rgb="FF000000"/>
      </left>
      <right style="thick">
        <color rgb="FF000000"/>
      </right>
      <top style="thin">
        <color rgb="FF000000"/>
      </top>
      <bottom style="thin">
        <color rgb="FF000000"/>
      </bottom>
      <diagonal/>
    </border>
    <border>
      <left style="thin">
        <color rgb="FF000000"/>
      </left>
      <right/>
      <top/>
      <bottom/>
      <diagonal/>
    </border>
    <border>
      <left style="thick">
        <color rgb="FF4A86E8"/>
      </left>
      <right style="thin">
        <color rgb="FF666666"/>
      </right>
      <top style="thin">
        <color rgb="FF666666"/>
      </top>
      <bottom style="thick">
        <color rgb="FF4A86E8"/>
      </bottom>
      <diagonal/>
    </border>
    <border>
      <left style="thin">
        <color rgb="FF666666"/>
      </left>
      <right style="thin">
        <color rgb="FF666666"/>
      </right>
      <top style="thin">
        <color rgb="FF666666"/>
      </top>
      <bottom style="thick">
        <color rgb="FF4A86E8"/>
      </bottom>
      <diagonal/>
    </border>
    <border>
      <left style="thin">
        <color rgb="FF000000"/>
      </left>
      <right style="thin">
        <color rgb="FF000000"/>
      </right>
      <top style="thin">
        <color rgb="FF000000"/>
      </top>
      <bottom style="thick">
        <color rgb="FF4A86E8"/>
      </bottom>
      <diagonal/>
    </border>
    <border>
      <left style="thin">
        <color rgb="FF666666"/>
      </left>
      <right style="thick">
        <color rgb="FF4A86E8"/>
      </right>
      <top style="thin">
        <color rgb="FF666666"/>
      </top>
      <bottom style="thick">
        <color rgb="FF4A86E8"/>
      </bottom>
      <diagonal/>
    </border>
    <border>
      <left/>
      <right style="thick">
        <color rgb="FF4A86E8"/>
      </right>
      <top style="thin">
        <color rgb="FF666666"/>
      </top>
      <bottom style="thick">
        <color rgb="FF4A86E8"/>
      </bottom>
      <diagonal/>
    </border>
    <border>
      <left style="thick">
        <color rgb="FF4A86E8"/>
      </left>
      <right/>
      <top/>
      <bottom style="thick">
        <color rgb="FF4A86E8"/>
      </bottom>
      <diagonal/>
    </border>
    <border>
      <left/>
      <right/>
      <top/>
      <bottom style="thick">
        <color rgb="FF4A86E8"/>
      </bottom>
      <diagonal/>
    </border>
    <border>
      <left/>
      <right style="thick">
        <color rgb="FF4A86E8"/>
      </right>
      <top/>
      <bottom style="thick">
        <color rgb="FF4A86E8"/>
      </bottom>
      <diagonal/>
    </border>
    <border>
      <left style="thick">
        <color rgb="FF000000"/>
      </left>
      <right/>
      <top/>
      <bottom style="thin">
        <color rgb="FF7F7F7F"/>
      </bottom>
      <diagonal/>
    </border>
    <border>
      <left/>
      <right/>
      <top/>
      <bottom style="thin">
        <color rgb="FF7F7F7F"/>
      </bottom>
      <diagonal/>
    </border>
    <border>
      <left style="thick">
        <color rgb="FF000000"/>
      </left>
      <right style="thick">
        <color rgb="FF000000"/>
      </right>
      <top/>
      <bottom style="thin">
        <color rgb="FF7F7F7F"/>
      </bottom>
      <diagonal/>
    </border>
    <border>
      <left style="thick">
        <color rgb="FF4A86E8"/>
      </left>
      <right style="thick">
        <color rgb="FF4A86E8"/>
      </right>
      <top style="thick">
        <color rgb="FF4A86E8"/>
      </top>
      <bottom style="thick">
        <color rgb="FF4A86E8"/>
      </bottom>
      <diagonal/>
    </border>
    <border>
      <left style="thin">
        <color rgb="FFF3F3F3"/>
      </left>
      <right style="thin">
        <color rgb="FFF3F3F3"/>
      </right>
      <top style="thin">
        <color rgb="FFF3F3F3"/>
      </top>
      <bottom/>
      <diagonal/>
    </border>
    <border>
      <left style="thick">
        <color rgb="FFFF9900"/>
      </left>
      <right style="thin">
        <color rgb="FF666666"/>
      </right>
      <top style="thick">
        <color rgb="FFFF9900"/>
      </top>
      <bottom style="thin">
        <color rgb="FF666666"/>
      </bottom>
      <diagonal/>
    </border>
    <border>
      <left style="thin">
        <color rgb="FF666666"/>
      </left>
      <right style="thin">
        <color rgb="FF666666"/>
      </right>
      <top style="thick">
        <color rgb="FFFF9900"/>
      </top>
      <bottom style="thin">
        <color rgb="FF666666"/>
      </bottom>
      <diagonal/>
    </border>
    <border>
      <left style="thin">
        <color rgb="FF000000"/>
      </left>
      <right style="thin">
        <color rgb="FF000000"/>
      </right>
      <top style="thick">
        <color rgb="FFFF9900"/>
      </top>
      <bottom style="thin">
        <color rgb="FF000000"/>
      </bottom>
      <diagonal/>
    </border>
    <border>
      <left style="thin">
        <color rgb="FF666666"/>
      </left>
      <right style="thick">
        <color rgb="FFFF9900"/>
      </right>
      <top style="thick">
        <color rgb="FFFF9900"/>
      </top>
      <bottom style="thin">
        <color rgb="FF666666"/>
      </bottom>
      <diagonal/>
    </border>
    <border>
      <left style="thick">
        <color rgb="FFFF9900"/>
      </left>
      <right style="thick">
        <color rgb="FFFF9900"/>
      </right>
      <top style="thick">
        <color rgb="FFFF9900"/>
      </top>
      <bottom style="thin">
        <color rgb="FF666666"/>
      </bottom>
      <diagonal/>
    </border>
    <border>
      <left style="thick">
        <color rgb="FFFF9900"/>
      </left>
      <right/>
      <top/>
      <bottom/>
      <diagonal/>
    </border>
    <border>
      <left/>
      <right style="thick">
        <color rgb="FFFF9900"/>
      </right>
      <top/>
      <bottom/>
      <diagonal/>
    </border>
    <border>
      <left style="thick">
        <color rgb="FFFF9900"/>
      </left>
      <right style="thin">
        <color rgb="FF666666"/>
      </right>
      <top style="thin">
        <color rgb="FF666666"/>
      </top>
      <bottom style="thin">
        <color rgb="FF666666"/>
      </bottom>
      <diagonal/>
    </border>
    <border>
      <left style="thin">
        <color rgb="FF666666"/>
      </left>
      <right style="thick">
        <color rgb="FFFF9900"/>
      </right>
      <top style="thin">
        <color rgb="FF666666"/>
      </top>
      <bottom style="thin">
        <color rgb="FF666666"/>
      </bottom>
      <diagonal/>
    </border>
    <border>
      <left style="thick">
        <color rgb="FFFF9900"/>
      </left>
      <right style="thick">
        <color rgb="FFFF9900"/>
      </right>
      <top style="thin">
        <color rgb="FF666666"/>
      </top>
      <bottom style="thin">
        <color rgb="FF666666"/>
      </bottom>
      <diagonal/>
    </border>
    <border>
      <left style="thick">
        <color rgb="FFFF9900"/>
      </left>
      <right style="thin">
        <color rgb="FF666666"/>
      </right>
      <top style="thin">
        <color rgb="FF666666"/>
      </top>
      <bottom style="thick">
        <color rgb="FFFF9900"/>
      </bottom>
      <diagonal/>
    </border>
    <border>
      <left style="thin">
        <color rgb="FF666666"/>
      </left>
      <right style="thin">
        <color rgb="FF666666"/>
      </right>
      <top style="thin">
        <color rgb="FF666666"/>
      </top>
      <bottom style="thick">
        <color rgb="FFFF9900"/>
      </bottom>
      <diagonal/>
    </border>
    <border>
      <left style="thin">
        <color rgb="FF000000"/>
      </left>
      <right style="thin">
        <color rgb="FF000000"/>
      </right>
      <top style="thin">
        <color rgb="FF000000"/>
      </top>
      <bottom style="thick">
        <color rgb="FFFF9900"/>
      </bottom>
      <diagonal/>
    </border>
    <border>
      <left style="thin">
        <color rgb="FF666666"/>
      </left>
      <right style="thick">
        <color rgb="FFFF9900"/>
      </right>
      <top style="thin">
        <color rgb="FF666666"/>
      </top>
      <bottom style="thick">
        <color rgb="FFFF9900"/>
      </bottom>
      <diagonal/>
    </border>
    <border>
      <left style="thick">
        <color rgb="FFFF9900"/>
      </left>
      <right style="thick">
        <color rgb="FFFF9900"/>
      </right>
      <top style="thin">
        <color rgb="FF666666"/>
      </top>
      <bottom style="thick">
        <color rgb="FFFF9900"/>
      </bottom>
      <diagonal/>
    </border>
    <border>
      <left style="thick">
        <color rgb="FFFF9900"/>
      </left>
      <right/>
      <top/>
      <bottom style="thick">
        <color rgb="FFFF9900"/>
      </bottom>
      <diagonal/>
    </border>
    <border>
      <left/>
      <right/>
      <top/>
      <bottom style="thick">
        <color rgb="FFFF9900"/>
      </bottom>
      <diagonal/>
    </border>
    <border>
      <left/>
      <right style="thick">
        <color rgb="FFFF9900"/>
      </right>
      <top/>
      <bottom style="thick">
        <color rgb="FFFF9900"/>
      </bottom>
      <diagonal/>
    </border>
    <border>
      <left style="thick">
        <color rgb="FF000000"/>
      </left>
      <right style="thin">
        <color rgb="FF7F7F7F"/>
      </right>
      <top/>
      <bottom style="thin">
        <color rgb="FF7F7F7F"/>
      </bottom>
      <diagonal/>
    </border>
    <border>
      <left/>
      <right style="thin">
        <color rgb="FF7F7F7F"/>
      </right>
      <top/>
      <bottom style="thin">
        <color rgb="FF7F7F7F"/>
      </bottom>
      <diagonal/>
    </border>
    <border>
      <left style="thin">
        <color rgb="FF7F7F7F"/>
      </left>
      <right/>
      <top/>
      <bottom style="thin">
        <color rgb="FF7F7F7F"/>
      </bottom>
      <diagonal/>
    </border>
    <border>
      <left style="thick">
        <color rgb="FFFF9900"/>
      </left>
      <right style="thick">
        <color rgb="FFFF9900"/>
      </right>
      <top style="thick">
        <color rgb="FFFF9900"/>
      </top>
      <bottom style="thick">
        <color rgb="FFFF9900"/>
      </bottom>
      <diagonal/>
    </border>
    <border>
      <left style="thick">
        <color rgb="FF000000"/>
      </left>
      <right style="thin">
        <color rgb="FF7F7F7F"/>
      </right>
      <top/>
      <bottom/>
      <diagonal/>
    </border>
    <border>
      <left/>
      <right style="thin">
        <color rgb="FF7F7F7F"/>
      </right>
      <top/>
      <bottom/>
      <diagonal/>
    </border>
    <border>
      <left style="thin">
        <color rgb="FF7F7F7F"/>
      </left>
      <right/>
      <top/>
      <bottom/>
      <diagonal/>
    </border>
    <border>
      <left style="thick">
        <color rgb="FFFF0000"/>
      </left>
      <right style="thin">
        <color rgb="FF666666"/>
      </right>
      <top style="thick">
        <color rgb="FFFF0000"/>
      </top>
      <bottom style="thin">
        <color rgb="FF666666"/>
      </bottom>
      <diagonal/>
    </border>
    <border>
      <left style="thin">
        <color rgb="FF666666"/>
      </left>
      <right style="thin">
        <color rgb="FF666666"/>
      </right>
      <top style="thick">
        <color rgb="FFFF0000"/>
      </top>
      <bottom style="thin">
        <color rgb="FF666666"/>
      </bottom>
      <diagonal/>
    </border>
    <border>
      <left style="thin">
        <color rgb="FF000000"/>
      </left>
      <right style="thin">
        <color rgb="FF000000"/>
      </right>
      <top style="thick">
        <color rgb="FFFF0000"/>
      </top>
      <bottom style="thin">
        <color rgb="FF000000"/>
      </bottom>
      <diagonal/>
    </border>
    <border>
      <left style="thin">
        <color rgb="FF666666"/>
      </left>
      <right style="thick">
        <color rgb="FFFF0000"/>
      </right>
      <top style="thick">
        <color rgb="FFFF0000"/>
      </top>
      <bottom style="thin">
        <color rgb="FF666666"/>
      </bottom>
      <diagonal/>
    </border>
    <border>
      <left style="thick">
        <color rgb="FFFF0000"/>
      </left>
      <right style="thick">
        <color rgb="FFFF0000"/>
      </right>
      <top style="thick">
        <color rgb="FFFF0000"/>
      </top>
      <bottom style="thin">
        <color rgb="FF666666"/>
      </bottom>
      <diagonal/>
    </border>
    <border>
      <left style="thick">
        <color rgb="FFFF0000"/>
      </left>
      <right/>
      <top/>
      <bottom/>
      <diagonal/>
    </border>
    <border>
      <left/>
      <right style="thick">
        <color rgb="FFFF0000"/>
      </right>
      <top/>
      <bottom/>
      <diagonal/>
    </border>
    <border>
      <left style="thick">
        <color rgb="FFFF0000"/>
      </left>
      <right style="thin">
        <color rgb="FF666666"/>
      </right>
      <top style="thin">
        <color rgb="FF666666"/>
      </top>
      <bottom style="thin">
        <color rgb="FF666666"/>
      </bottom>
      <diagonal/>
    </border>
    <border>
      <left style="thin">
        <color rgb="FF666666"/>
      </left>
      <right style="thick">
        <color rgb="FFFF0000"/>
      </right>
      <top style="thin">
        <color rgb="FF666666"/>
      </top>
      <bottom style="thin">
        <color rgb="FF666666"/>
      </bottom>
      <diagonal/>
    </border>
    <border>
      <left style="thick">
        <color rgb="FFFF0000"/>
      </left>
      <right style="thick">
        <color rgb="FFFF0000"/>
      </right>
      <top style="thin">
        <color rgb="FF666666"/>
      </top>
      <bottom style="thin">
        <color rgb="FF666666"/>
      </bottom>
      <diagonal/>
    </border>
    <border>
      <left style="thick">
        <color rgb="FFFF0000"/>
      </left>
      <right style="thin">
        <color rgb="FF666666"/>
      </right>
      <top style="thin">
        <color rgb="FF666666"/>
      </top>
      <bottom style="thick">
        <color rgb="FFFF0000"/>
      </bottom>
      <diagonal/>
    </border>
    <border>
      <left style="thin">
        <color rgb="FF666666"/>
      </left>
      <right style="thin">
        <color rgb="FF666666"/>
      </right>
      <top style="thin">
        <color rgb="FF666666"/>
      </top>
      <bottom style="thick">
        <color rgb="FFFF0000"/>
      </bottom>
      <diagonal/>
    </border>
    <border>
      <left style="thin">
        <color rgb="FF000000"/>
      </left>
      <right style="thin">
        <color rgb="FF000000"/>
      </right>
      <top style="thin">
        <color rgb="FF000000"/>
      </top>
      <bottom style="thick">
        <color rgb="FFFF0000"/>
      </bottom>
      <diagonal/>
    </border>
    <border>
      <left style="thin">
        <color rgb="FF666666"/>
      </left>
      <right style="thick">
        <color rgb="FFFF0000"/>
      </right>
      <top style="thin">
        <color rgb="FF666666"/>
      </top>
      <bottom style="thick">
        <color rgb="FFFF0000"/>
      </bottom>
      <diagonal/>
    </border>
    <border>
      <left style="thick">
        <color rgb="FFFF0000"/>
      </left>
      <right style="thick">
        <color rgb="FFFF0000"/>
      </right>
      <top style="thin">
        <color rgb="FF666666"/>
      </top>
      <bottom style="thick">
        <color rgb="FFFF0000"/>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thick">
        <color rgb="FFFF0000"/>
      </left>
      <right style="thick">
        <color rgb="FFFF0000"/>
      </right>
      <top style="thick">
        <color rgb="FFFF0000"/>
      </top>
      <bottom style="thick">
        <color rgb="FFFF0000"/>
      </bottom>
      <diagonal/>
    </border>
    <border>
      <left style="thick">
        <color rgb="FFFFD966"/>
      </left>
      <right style="thin">
        <color rgb="FF666666"/>
      </right>
      <top style="thick">
        <color rgb="FFFFD966"/>
      </top>
      <bottom style="thin">
        <color rgb="FF666666"/>
      </bottom>
      <diagonal/>
    </border>
    <border>
      <left style="thin">
        <color rgb="FF666666"/>
      </left>
      <right style="thin">
        <color rgb="FF666666"/>
      </right>
      <top style="thick">
        <color rgb="FFFFD966"/>
      </top>
      <bottom style="thin">
        <color rgb="FF666666"/>
      </bottom>
      <diagonal/>
    </border>
    <border>
      <left style="thin">
        <color rgb="FF000000"/>
      </left>
      <right style="thin">
        <color rgb="FF000000"/>
      </right>
      <top style="thick">
        <color rgb="FFFFD966"/>
      </top>
      <bottom style="thin">
        <color rgb="FF000000"/>
      </bottom>
      <diagonal/>
    </border>
    <border>
      <left style="thin">
        <color rgb="FF666666"/>
      </left>
      <right style="thick">
        <color rgb="FFFFD966"/>
      </right>
      <top style="thick">
        <color rgb="FFFFD966"/>
      </top>
      <bottom style="thin">
        <color rgb="FF666666"/>
      </bottom>
      <diagonal/>
    </border>
    <border>
      <left style="thick">
        <color rgb="FFFFD966"/>
      </left>
      <right style="thick">
        <color rgb="FFFFD966"/>
      </right>
      <top style="thick">
        <color rgb="FFFFD966"/>
      </top>
      <bottom style="thin">
        <color rgb="FF666666"/>
      </bottom>
      <diagonal/>
    </border>
    <border>
      <left style="thick">
        <color rgb="FFFFD966"/>
      </left>
      <right/>
      <top/>
      <bottom/>
      <diagonal/>
    </border>
    <border>
      <left/>
      <right style="thick">
        <color rgb="FFFFD966"/>
      </right>
      <top/>
      <bottom/>
      <diagonal/>
    </border>
    <border>
      <left style="thick">
        <color rgb="FFFFD966"/>
      </left>
      <right style="thin">
        <color rgb="FF666666"/>
      </right>
      <top style="thin">
        <color rgb="FF666666"/>
      </top>
      <bottom style="thin">
        <color rgb="FF666666"/>
      </bottom>
      <diagonal/>
    </border>
    <border>
      <left style="thin">
        <color rgb="FF666666"/>
      </left>
      <right style="thick">
        <color rgb="FFFFD966"/>
      </right>
      <top style="thin">
        <color rgb="FF666666"/>
      </top>
      <bottom style="thin">
        <color rgb="FF666666"/>
      </bottom>
      <diagonal/>
    </border>
    <border>
      <left style="thick">
        <color rgb="FFFFD966"/>
      </left>
      <right style="thick">
        <color rgb="FFFFD966"/>
      </right>
      <top style="thin">
        <color rgb="FF666666"/>
      </top>
      <bottom style="thin">
        <color rgb="FF666666"/>
      </bottom>
      <diagonal/>
    </border>
    <border>
      <left style="thick">
        <color rgb="FFFFD966"/>
      </left>
      <right style="thin">
        <color rgb="FF666666"/>
      </right>
      <top style="thin">
        <color rgb="FF666666"/>
      </top>
      <bottom style="thick">
        <color rgb="FFFFD966"/>
      </bottom>
      <diagonal/>
    </border>
    <border>
      <left style="thin">
        <color rgb="FF666666"/>
      </left>
      <right style="thin">
        <color rgb="FF666666"/>
      </right>
      <top style="thin">
        <color rgb="FF666666"/>
      </top>
      <bottom style="thick">
        <color rgb="FFFFD966"/>
      </bottom>
      <diagonal/>
    </border>
    <border>
      <left style="thin">
        <color rgb="FF000000"/>
      </left>
      <right style="thin">
        <color rgb="FF000000"/>
      </right>
      <top style="thin">
        <color rgb="FF000000"/>
      </top>
      <bottom style="thick">
        <color rgb="FFFFD966"/>
      </bottom>
      <diagonal/>
    </border>
    <border>
      <left style="thin">
        <color rgb="FF666666"/>
      </left>
      <right style="thick">
        <color rgb="FFFFD966"/>
      </right>
      <top style="thin">
        <color rgb="FF666666"/>
      </top>
      <bottom style="thick">
        <color rgb="FFFFD966"/>
      </bottom>
      <diagonal/>
    </border>
    <border>
      <left style="thick">
        <color rgb="FFFFD966"/>
      </left>
      <right style="thick">
        <color rgb="FFFFD966"/>
      </right>
      <top style="thin">
        <color rgb="FF666666"/>
      </top>
      <bottom style="thick">
        <color rgb="FFFFD966"/>
      </bottom>
      <diagonal/>
    </border>
    <border>
      <left style="thick">
        <color rgb="FFFFD966"/>
      </left>
      <right/>
      <top/>
      <bottom style="thick">
        <color rgb="FFFFD966"/>
      </bottom>
      <diagonal/>
    </border>
    <border>
      <left/>
      <right/>
      <top/>
      <bottom style="thick">
        <color rgb="FFFFD966"/>
      </bottom>
      <diagonal/>
    </border>
    <border>
      <left/>
      <right style="thick">
        <color rgb="FFFFD966"/>
      </right>
      <top/>
      <bottom style="thick">
        <color rgb="FFFFD966"/>
      </bottom>
      <diagonal/>
    </border>
    <border>
      <left style="thick">
        <color rgb="FFFFD966"/>
      </left>
      <right style="thick">
        <color rgb="FFFFD966"/>
      </right>
      <top style="thick">
        <color rgb="FFFFD966"/>
      </top>
      <bottom style="thick">
        <color rgb="FFFFD966"/>
      </bottom>
      <diagonal/>
    </border>
    <border>
      <left style="thick">
        <color rgb="FF666666"/>
      </left>
      <right style="thin">
        <color rgb="FF000000"/>
      </right>
      <top style="thick">
        <color rgb="FF666666"/>
      </top>
      <bottom style="thin">
        <color rgb="FF000000"/>
      </bottom>
      <diagonal/>
    </border>
    <border>
      <left style="thin">
        <color rgb="FF000000"/>
      </left>
      <right style="thin">
        <color rgb="FF000000"/>
      </right>
      <top style="thick">
        <color rgb="FF666666"/>
      </top>
      <bottom style="thin">
        <color rgb="FF000000"/>
      </bottom>
      <diagonal/>
    </border>
    <border>
      <left style="thin">
        <color rgb="FF000000"/>
      </left>
      <right style="thick">
        <color rgb="FF666666"/>
      </right>
      <top style="thick">
        <color rgb="FF666666"/>
      </top>
      <bottom style="thin">
        <color rgb="FF000000"/>
      </bottom>
      <diagonal/>
    </border>
    <border>
      <left style="thick">
        <color rgb="FF666666"/>
      </left>
      <right style="thick">
        <color rgb="FF666666"/>
      </right>
      <top style="thick">
        <color rgb="FF666666"/>
      </top>
      <bottom style="thin">
        <color rgb="FF434343"/>
      </bottom>
      <diagonal/>
    </border>
    <border>
      <left style="thick">
        <color rgb="FF666666"/>
      </left>
      <right/>
      <top/>
      <bottom/>
      <diagonal/>
    </border>
    <border>
      <left/>
      <right style="thick">
        <color rgb="FF666666"/>
      </right>
      <top/>
      <bottom/>
      <diagonal/>
    </border>
    <border>
      <left style="thick">
        <color rgb="FF666666"/>
      </left>
      <right style="thin">
        <color rgb="FF000000"/>
      </right>
      <top style="thin">
        <color rgb="FF000000"/>
      </top>
      <bottom style="thin">
        <color rgb="FF000000"/>
      </bottom>
      <diagonal/>
    </border>
    <border>
      <left style="thin">
        <color rgb="FF000000"/>
      </left>
      <right style="thick">
        <color rgb="FF666666"/>
      </right>
      <top style="thin">
        <color rgb="FF000000"/>
      </top>
      <bottom style="thin">
        <color rgb="FF000000"/>
      </bottom>
      <diagonal/>
    </border>
    <border>
      <left style="thick">
        <color rgb="FF666666"/>
      </left>
      <right style="thick">
        <color rgb="FF666666"/>
      </right>
      <top style="thin">
        <color rgb="FF000000"/>
      </top>
      <bottom style="thin">
        <color rgb="FF000000"/>
      </bottom>
      <diagonal/>
    </border>
    <border>
      <left style="thick">
        <color rgb="FF666666"/>
      </left>
      <right style="thin">
        <color rgb="FF000000"/>
      </right>
      <top style="thin">
        <color rgb="FF000000"/>
      </top>
      <bottom style="thick">
        <color rgb="FF666666"/>
      </bottom>
      <diagonal/>
    </border>
    <border>
      <left style="thin">
        <color rgb="FF000000"/>
      </left>
      <right style="thin">
        <color rgb="FF000000"/>
      </right>
      <top style="thin">
        <color rgb="FF000000"/>
      </top>
      <bottom style="thick">
        <color rgb="FF666666"/>
      </bottom>
      <diagonal/>
    </border>
    <border>
      <left style="thin">
        <color rgb="FF000000"/>
      </left>
      <right style="thick">
        <color rgb="FF666666"/>
      </right>
      <top style="thin">
        <color rgb="FF000000"/>
      </top>
      <bottom style="thick">
        <color rgb="FF666666"/>
      </bottom>
      <diagonal/>
    </border>
    <border>
      <left style="thick">
        <color rgb="FF666666"/>
      </left>
      <right style="thick">
        <color rgb="FF666666"/>
      </right>
      <top style="thin">
        <color rgb="FF000000"/>
      </top>
      <bottom style="thick">
        <color rgb="FF666666"/>
      </bottom>
      <diagonal/>
    </border>
    <border>
      <left style="thick">
        <color rgb="FF666666"/>
      </left>
      <right/>
      <top/>
      <bottom style="thick">
        <color rgb="FF666666"/>
      </bottom>
      <diagonal/>
    </border>
    <border>
      <left/>
      <right/>
      <top/>
      <bottom style="thick">
        <color rgb="FF666666"/>
      </bottom>
      <diagonal/>
    </border>
    <border>
      <left/>
      <right style="thick">
        <color rgb="FF666666"/>
      </right>
      <top/>
      <bottom style="thick">
        <color rgb="FF666666"/>
      </bottom>
      <diagonal/>
    </border>
    <border>
      <left/>
      <right/>
      <top style="thick">
        <color rgb="FF666666"/>
      </top>
      <bottom style="thin">
        <color rgb="FF7F7F7F"/>
      </bottom>
      <diagonal/>
    </border>
    <border>
      <left style="thick">
        <color rgb="FF666666"/>
      </left>
      <right style="thick">
        <color rgb="FF666666"/>
      </right>
      <top style="thick">
        <color rgb="FF666666"/>
      </top>
      <bottom style="thick">
        <color rgb="FF666666"/>
      </bottom>
      <diagonal/>
    </border>
    <border>
      <left style="thin">
        <color rgb="FFF3F3F3"/>
      </left>
      <right style="thin">
        <color rgb="FFF3F3F3"/>
      </right>
      <top style="thin">
        <color rgb="FFF3F3F3"/>
      </top>
      <bottom style="thick">
        <color rgb="FF000000"/>
      </bottom>
      <diagonal/>
    </border>
    <border>
      <left style="thick">
        <color rgb="FF000000"/>
      </left>
      <right style="thin">
        <color rgb="FF7F7F7F"/>
      </right>
      <top/>
      <bottom style="thick">
        <color rgb="FF000000"/>
      </bottom>
      <diagonal/>
    </border>
    <border>
      <left/>
      <right style="thin">
        <color rgb="FF7F7F7F"/>
      </right>
      <top/>
      <bottom style="thick">
        <color rgb="FF000000"/>
      </bottom>
      <diagonal/>
    </border>
    <border>
      <left style="thick">
        <color rgb="FF000000"/>
      </left>
      <right style="thick">
        <color rgb="FF000000"/>
      </right>
      <top style="thin">
        <color rgb="FF000000"/>
      </top>
      <bottom style="thick">
        <color rgb="FF000000"/>
      </bottom>
      <diagonal/>
    </border>
    <border>
      <left style="thick">
        <color rgb="FF000000"/>
      </left>
      <right style="thick">
        <color rgb="FF000000"/>
      </right>
      <top style="thick">
        <color rgb="FF000000"/>
      </top>
      <bottom style="thin">
        <color rgb="FF000000"/>
      </bottom>
      <diagonal/>
    </border>
    <border>
      <left/>
      <right style="thin">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7F7F7F"/>
      </left>
      <right style="thick">
        <color rgb="FF3D85C6"/>
      </right>
      <top style="thick">
        <color rgb="FF3D85C6"/>
      </top>
      <bottom style="thin">
        <color rgb="FF7F7F7F"/>
      </bottom>
      <diagonal/>
    </border>
    <border>
      <left style="thin">
        <color rgb="FF7F7F7F"/>
      </left>
      <right style="thin">
        <color rgb="FF7F7F7F"/>
      </right>
      <top style="thick">
        <color rgb="FF3D85C6"/>
      </top>
      <bottom style="thin">
        <color rgb="FF7F7F7F"/>
      </bottom>
      <diagonal/>
    </border>
    <border>
      <left style="thin">
        <color rgb="FF7F7F7F"/>
      </left>
      <right style="thick">
        <color rgb="FF3D85C6"/>
      </right>
      <top style="thin">
        <color rgb="FF7F7F7F"/>
      </top>
      <bottom style="thin">
        <color rgb="FF7F7F7F"/>
      </bottom>
      <diagonal/>
    </border>
    <border>
      <left style="thin">
        <color rgb="FF000000"/>
      </left>
      <right style="thin">
        <color rgb="FF000000"/>
      </right>
      <top/>
      <bottom/>
      <diagonal/>
    </border>
    <border>
      <left style="thin">
        <color rgb="FF7F7F7F"/>
      </left>
      <right style="thick">
        <color rgb="FF3D85C6"/>
      </right>
      <top style="thin">
        <color rgb="FF7F7F7F"/>
      </top>
      <bottom style="thick">
        <color rgb="FF3D85C6"/>
      </bottom>
      <diagonal/>
    </border>
    <border>
      <left style="thin">
        <color rgb="FF7F7F7F"/>
      </left>
      <right style="thin">
        <color rgb="FF7F7F7F"/>
      </right>
      <top style="thin">
        <color rgb="FF7F7F7F"/>
      </top>
      <bottom style="thick">
        <color rgb="FF3D85C6"/>
      </bottom>
      <diagonal/>
    </border>
    <border>
      <left style="thin">
        <color rgb="FF7F7F7F"/>
      </left>
      <right style="thick">
        <color rgb="FF3D85C6"/>
      </right>
      <top/>
      <bottom style="thin">
        <color rgb="FF7F7F7F"/>
      </bottom>
      <diagonal/>
    </border>
    <border>
      <left style="thin">
        <color rgb="FF7F7F7F"/>
      </left>
      <right style="thin">
        <color rgb="FF7F7F7F"/>
      </right>
      <top/>
      <bottom style="thin">
        <color rgb="FF7F7F7F"/>
      </bottom>
      <diagonal/>
    </border>
    <border>
      <left style="thin">
        <color rgb="FF7F7F7F"/>
      </left>
      <right style="thick">
        <color rgb="FF3D85C6"/>
      </right>
      <top style="thin">
        <color rgb="FF7F7F7F"/>
      </top>
      <bottom/>
      <diagonal/>
    </border>
    <border>
      <left style="thin">
        <color rgb="FF7F7F7F"/>
      </left>
      <right style="thin">
        <color rgb="FF7F7F7F"/>
      </right>
      <top style="thin">
        <color rgb="FF7F7F7F"/>
      </top>
      <bottom/>
      <diagonal/>
    </border>
    <border>
      <left style="thin">
        <color rgb="FF7F7F7F"/>
      </left>
      <right style="thick">
        <color rgb="FFFF9900"/>
      </right>
      <top style="thick">
        <color rgb="FFFF9900"/>
      </top>
      <bottom style="thin">
        <color rgb="FF7F7F7F"/>
      </bottom>
      <diagonal/>
    </border>
    <border>
      <left style="thin">
        <color rgb="FF434343"/>
      </left>
      <right style="thin">
        <color rgb="FF434343"/>
      </right>
      <top style="thick">
        <color rgb="FFFF9900"/>
      </top>
      <bottom style="thin">
        <color rgb="FF434343"/>
      </bottom>
      <diagonal/>
    </border>
    <border>
      <left style="thin">
        <color rgb="FF7F7F7F"/>
      </left>
      <right style="thick">
        <color rgb="FFFF9900"/>
      </right>
      <top style="thin">
        <color rgb="FF7F7F7F"/>
      </top>
      <bottom style="thin">
        <color rgb="FF7F7F7F"/>
      </bottom>
      <diagonal/>
    </border>
    <border>
      <left style="thin">
        <color rgb="FF434343"/>
      </left>
      <right style="thin">
        <color rgb="FF434343"/>
      </right>
      <top/>
      <bottom style="thin">
        <color rgb="FF434343"/>
      </bottom>
      <diagonal/>
    </border>
    <border>
      <left style="thin">
        <color rgb="FF7F7F7F"/>
      </left>
      <right style="thick">
        <color rgb="FFFF9900"/>
      </right>
      <top style="thin">
        <color rgb="FF7F7F7F"/>
      </top>
      <bottom style="thick">
        <color rgb="FFFF9900"/>
      </bottom>
      <diagonal/>
    </border>
    <border>
      <left style="thin">
        <color rgb="FF434343"/>
      </left>
      <right style="thin">
        <color rgb="FF434343"/>
      </right>
      <top/>
      <bottom style="thick">
        <color rgb="FFFF9900"/>
      </bottom>
      <diagonal/>
    </border>
    <border>
      <left style="thin">
        <color rgb="FF7F7F7F"/>
      </left>
      <right style="thin">
        <color rgb="FF7F7F7F"/>
      </right>
      <top/>
      <bottom/>
      <diagonal/>
    </border>
    <border>
      <left style="thin">
        <color rgb="FF7F7F7F"/>
      </left>
      <right style="thick">
        <color rgb="FFE06666"/>
      </right>
      <top style="thick">
        <color rgb="FFE06666"/>
      </top>
      <bottom style="thin">
        <color rgb="FF7F7F7F"/>
      </bottom>
      <diagonal/>
    </border>
    <border>
      <left style="thin">
        <color rgb="FF434343"/>
      </left>
      <right style="thin">
        <color rgb="FF434343"/>
      </right>
      <top style="thick">
        <color rgb="FFE06666"/>
      </top>
      <bottom style="thin">
        <color rgb="FF434343"/>
      </bottom>
      <diagonal/>
    </border>
    <border>
      <left style="thin">
        <color rgb="FF7F7F7F"/>
      </left>
      <right style="thick">
        <color rgb="FFE06666"/>
      </right>
      <top style="thin">
        <color rgb="FF7F7F7F"/>
      </top>
      <bottom style="thin">
        <color rgb="FF7F7F7F"/>
      </bottom>
      <diagonal/>
    </border>
    <border>
      <left style="thin">
        <color rgb="FF7F7F7F"/>
      </left>
      <right style="thick">
        <color rgb="FFE06666"/>
      </right>
      <top style="thin">
        <color rgb="FF7F7F7F"/>
      </top>
      <bottom style="thick">
        <color rgb="FFE06666"/>
      </bottom>
      <diagonal/>
    </border>
    <border>
      <left style="thin">
        <color rgb="FF434343"/>
      </left>
      <right style="thin">
        <color rgb="FF434343"/>
      </right>
      <top/>
      <bottom style="thick">
        <color rgb="FFE06666"/>
      </bottom>
      <diagonal/>
    </border>
    <border>
      <left style="thin">
        <color rgb="FF7F7F7F"/>
      </left>
      <right style="thick">
        <color rgb="FFF1C232"/>
      </right>
      <top style="thick">
        <color rgb="FFF1C232"/>
      </top>
      <bottom style="thin">
        <color rgb="FF7F7F7F"/>
      </bottom>
      <diagonal/>
    </border>
    <border>
      <left style="thin">
        <color rgb="FF434343"/>
      </left>
      <right style="thin">
        <color rgb="FF434343"/>
      </right>
      <top style="thick">
        <color rgb="FFF1C232"/>
      </top>
      <bottom style="thin">
        <color rgb="FF434343"/>
      </bottom>
      <diagonal/>
    </border>
    <border>
      <left style="thin">
        <color rgb="FF7F7F7F"/>
      </left>
      <right style="thick">
        <color rgb="FFF1C232"/>
      </right>
      <top style="thin">
        <color rgb="FF7F7F7F"/>
      </top>
      <bottom style="thin">
        <color rgb="FF7F7F7F"/>
      </bottom>
      <diagonal/>
    </border>
    <border>
      <left style="thin">
        <color rgb="FF7F7F7F"/>
      </left>
      <right style="thick">
        <color rgb="FFF1C232"/>
      </right>
      <top style="thin">
        <color rgb="FF7F7F7F"/>
      </top>
      <bottom style="thick">
        <color rgb="FFF1C232"/>
      </bottom>
      <diagonal/>
    </border>
    <border>
      <left style="thin">
        <color rgb="FF434343"/>
      </left>
      <right style="thin">
        <color rgb="FF434343"/>
      </right>
      <top/>
      <bottom style="thick">
        <color rgb="FFF1C232"/>
      </bottom>
      <diagonal/>
    </border>
    <border>
      <left style="thin">
        <color rgb="FF7F7F7F"/>
      </left>
      <right style="thick">
        <color rgb="FF666666"/>
      </right>
      <top style="thick">
        <color rgb="FF666666"/>
      </top>
      <bottom style="thin">
        <color rgb="FF7F7F7F"/>
      </bottom>
      <diagonal/>
    </border>
    <border>
      <left style="thin">
        <color rgb="FF434343"/>
      </left>
      <right style="thin">
        <color rgb="FF434343"/>
      </right>
      <top style="thick">
        <color rgb="FF666666"/>
      </top>
      <bottom style="thin">
        <color rgb="FF434343"/>
      </bottom>
      <diagonal/>
    </border>
    <border>
      <left style="thin">
        <color rgb="FF7F7F7F"/>
      </left>
      <right style="thick">
        <color rgb="FF666666"/>
      </right>
      <top style="thin">
        <color rgb="FF7F7F7F"/>
      </top>
      <bottom style="thin">
        <color rgb="FF7F7F7F"/>
      </bottom>
      <diagonal/>
    </border>
    <border>
      <left style="thin">
        <color rgb="FF7F7F7F"/>
      </left>
      <right style="thick">
        <color rgb="FF666666"/>
      </right>
      <top style="thin">
        <color rgb="FF7F7F7F"/>
      </top>
      <bottom style="thick">
        <color rgb="FF666666"/>
      </bottom>
      <diagonal/>
    </border>
    <border>
      <left style="thin">
        <color rgb="FF434343"/>
      </left>
      <right style="thin">
        <color rgb="FF434343"/>
      </right>
      <top/>
      <bottom style="thick">
        <color rgb="FF666666"/>
      </bottom>
      <diagonal/>
    </border>
    <border>
      <left style="thin">
        <color rgb="FF000000"/>
      </left>
      <right style="thin">
        <color rgb="FF000000"/>
      </right>
      <top style="thin">
        <color rgb="FF414141"/>
      </top>
      <bottom style="thin">
        <color rgb="FF000000"/>
      </bottom>
      <diagonal/>
    </border>
  </borders>
  <cellStyleXfs count="1">
    <xf numFmtId="0" fontId="0" fillId="0" borderId="0"/>
  </cellStyleXfs>
  <cellXfs count="1142">
    <xf numFmtId="0" fontId="0" fillId="0" borderId="0" xfId="0" applyFont="1" applyAlignment="1"/>
    <xf numFmtId="0" fontId="4" fillId="5" borderId="4" xfId="0" applyFont="1" applyFill="1" applyBorder="1" applyAlignment="1">
      <alignment horizontal="center"/>
    </xf>
    <xf numFmtId="0" fontId="5" fillId="5" borderId="5" xfId="0" applyFont="1" applyFill="1" applyBorder="1" applyAlignment="1">
      <alignment horizontal="center"/>
    </xf>
    <xf numFmtId="0" fontId="4" fillId="5" borderId="6" xfId="0" applyFont="1" applyFill="1" applyBorder="1" applyAlignment="1">
      <alignment horizontal="center"/>
    </xf>
    <xf numFmtId="0" fontId="4" fillId="5" borderId="7" xfId="0" applyFont="1" applyFill="1" applyBorder="1" applyAlignment="1">
      <alignment horizontal="center"/>
    </xf>
    <xf numFmtId="0" fontId="4" fillId="5" borderId="7" xfId="0" applyFont="1" applyFill="1" applyBorder="1" applyAlignment="1">
      <alignment horizontal="center"/>
    </xf>
    <xf numFmtId="0" fontId="6" fillId="3" borderId="10" xfId="0" applyFont="1" applyFill="1" applyBorder="1" applyAlignment="1">
      <alignment horizontal="left" vertical="center"/>
    </xf>
    <xf numFmtId="0" fontId="7"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6" fillId="3" borderId="7" xfId="0" applyFont="1" applyFill="1" applyBorder="1" applyAlignment="1">
      <alignment horizontal="center" vertical="center"/>
    </xf>
    <xf numFmtId="164" fontId="9" fillId="0" borderId="7" xfId="0" applyNumberFormat="1" applyFont="1" applyBorder="1" applyAlignment="1">
      <alignment horizontal="center" vertical="center"/>
    </xf>
    <xf numFmtId="0" fontId="10" fillId="7" borderId="10" xfId="0" applyFont="1" applyFill="1" applyBorder="1" applyAlignment="1">
      <alignment horizontal="left" vertical="center"/>
    </xf>
    <xf numFmtId="0" fontId="7" fillId="8" borderId="13" xfId="0" applyFont="1" applyFill="1" applyBorder="1" applyAlignment="1">
      <alignment horizontal="center" vertical="center"/>
    </xf>
    <xf numFmtId="0" fontId="8" fillId="8" borderId="14" xfId="0" applyFont="1" applyFill="1" applyBorder="1" applyAlignment="1">
      <alignment horizontal="center" vertical="center"/>
    </xf>
    <xf numFmtId="0" fontId="11" fillId="9" borderId="7" xfId="0" applyFont="1" applyFill="1" applyBorder="1" applyAlignment="1">
      <alignment horizontal="center" vertical="center"/>
    </xf>
    <xf numFmtId="0" fontId="12" fillId="10" borderId="10" xfId="0" applyFont="1" applyFill="1" applyBorder="1" applyAlignment="1">
      <alignment horizontal="left" vertical="center"/>
    </xf>
    <xf numFmtId="0" fontId="7" fillId="6" borderId="13" xfId="0" applyFont="1" applyFill="1" applyBorder="1" applyAlignment="1">
      <alignment horizontal="center" vertical="center"/>
    </xf>
    <xf numFmtId="0" fontId="8" fillId="6" borderId="14" xfId="0" applyFont="1" applyFill="1" applyBorder="1" applyAlignment="1">
      <alignment horizontal="center" vertical="center"/>
    </xf>
    <xf numFmtId="0" fontId="10" fillId="7" borderId="7" xfId="0" applyFont="1" applyFill="1" applyBorder="1" applyAlignment="1">
      <alignment horizontal="center" vertical="center"/>
    </xf>
    <xf numFmtId="0" fontId="13" fillId="11" borderId="10" xfId="0" applyFont="1" applyFill="1" applyBorder="1" applyAlignment="1">
      <alignment horizontal="left" vertical="center"/>
    </xf>
    <xf numFmtId="3" fontId="7" fillId="8" borderId="13" xfId="0" applyNumberFormat="1" applyFont="1" applyFill="1" applyBorder="1" applyAlignment="1">
      <alignment horizontal="center" vertical="center"/>
    </xf>
    <xf numFmtId="0" fontId="12" fillId="10" borderId="7" xfId="0" applyFont="1" applyFill="1" applyBorder="1" applyAlignment="1">
      <alignment horizontal="center" vertical="center"/>
    </xf>
    <xf numFmtId="0" fontId="11" fillId="9" borderId="15" xfId="0" applyFont="1" applyFill="1" applyBorder="1" applyAlignment="1">
      <alignment horizontal="left" vertical="center"/>
    </xf>
    <xf numFmtId="0" fontId="7" fillId="6" borderId="16" xfId="0" applyFont="1" applyFill="1" applyBorder="1" applyAlignment="1">
      <alignment horizontal="center" vertical="center"/>
    </xf>
    <xf numFmtId="0" fontId="8" fillId="6" borderId="17" xfId="0" applyFont="1" applyFill="1" applyBorder="1" applyAlignment="1">
      <alignment horizontal="center" vertical="center"/>
    </xf>
    <xf numFmtId="0" fontId="13" fillId="11" borderId="7" xfId="0" applyFont="1" applyFill="1" applyBorder="1" applyAlignment="1">
      <alignment horizontal="center" vertical="center"/>
    </xf>
    <xf numFmtId="0" fontId="15" fillId="3" borderId="0" xfId="0" applyFont="1" applyFill="1" applyAlignment="1">
      <alignment horizontal="left" vertical="center" wrapText="1"/>
    </xf>
    <xf numFmtId="0" fontId="1" fillId="0" borderId="8" xfId="0" applyFont="1" applyBorder="1"/>
    <xf numFmtId="0" fontId="1" fillId="0" borderId="0" xfId="0" applyFont="1" applyAlignment="1">
      <alignment vertical="top"/>
    </xf>
    <xf numFmtId="0" fontId="1" fillId="0" borderId="9" xfId="0" applyFont="1" applyBorder="1"/>
    <xf numFmtId="0" fontId="17" fillId="3" borderId="0" xfId="0" applyFont="1" applyFill="1" applyAlignment="1">
      <alignment horizontal="left" vertical="center" wrapText="1"/>
    </xf>
    <xf numFmtId="0" fontId="22" fillId="14" borderId="7" xfId="0" applyFont="1" applyFill="1" applyBorder="1" applyAlignment="1">
      <alignment horizontal="center" vertical="center"/>
    </xf>
    <xf numFmtId="0" fontId="22" fillId="14" borderId="24" xfId="0" applyFont="1" applyFill="1" applyBorder="1" applyAlignment="1">
      <alignment vertical="center" wrapText="1"/>
    </xf>
    <xf numFmtId="0" fontId="22" fillId="14" borderId="26" xfId="0" applyFont="1" applyFill="1" applyBorder="1" applyAlignment="1">
      <alignment vertical="center" wrapText="1"/>
    </xf>
    <xf numFmtId="0" fontId="23" fillId="15" borderId="20" xfId="0" applyFont="1" applyFill="1" applyBorder="1" applyAlignment="1">
      <alignment horizontal="center"/>
    </xf>
    <xf numFmtId="0" fontId="23" fillId="15" borderId="27" xfId="0" applyFont="1" applyFill="1" applyBorder="1" applyAlignment="1">
      <alignment horizontal="center"/>
    </xf>
    <xf numFmtId="0" fontId="23" fillId="15" borderId="23" xfId="0" applyFont="1" applyFill="1" applyBorder="1" applyAlignment="1">
      <alignment horizontal="center"/>
    </xf>
    <xf numFmtId="0" fontId="23" fillId="15" borderId="28" xfId="0" applyFont="1" applyFill="1" applyBorder="1" applyAlignment="1">
      <alignment horizontal="center"/>
    </xf>
    <xf numFmtId="0" fontId="24" fillId="14" borderId="26" xfId="0" applyFont="1" applyFill="1" applyBorder="1" applyAlignment="1">
      <alignment vertical="center" wrapText="1"/>
    </xf>
    <xf numFmtId="0" fontId="23" fillId="15" borderId="31" xfId="0" applyFont="1" applyFill="1" applyBorder="1" applyAlignment="1">
      <alignment horizontal="center"/>
    </xf>
    <xf numFmtId="0" fontId="23" fillId="15" borderId="32" xfId="0" applyFont="1" applyFill="1" applyBorder="1" applyAlignment="1">
      <alignment horizontal="center"/>
    </xf>
    <xf numFmtId="0" fontId="22" fillId="14" borderId="35" xfId="0" applyFont="1" applyFill="1" applyBorder="1" applyAlignment="1">
      <alignment vertical="center" wrapText="1"/>
    </xf>
    <xf numFmtId="0" fontId="22" fillId="16" borderId="7" xfId="0" applyFont="1" applyFill="1" applyBorder="1" applyAlignment="1">
      <alignment horizontal="center" vertical="center"/>
    </xf>
    <xf numFmtId="0" fontId="22" fillId="16" borderId="24" xfId="0" applyFont="1" applyFill="1" applyBorder="1" applyAlignment="1">
      <alignment vertical="center" wrapText="1"/>
    </xf>
    <xf numFmtId="0" fontId="22" fillId="16" borderId="26" xfId="0" applyFont="1" applyFill="1" applyBorder="1" applyAlignment="1">
      <alignment vertical="center" wrapText="1"/>
    </xf>
    <xf numFmtId="0" fontId="22" fillId="16" borderId="35" xfId="0" applyFont="1" applyFill="1" applyBorder="1" applyAlignment="1">
      <alignment vertical="center" wrapText="1"/>
    </xf>
    <xf numFmtId="0" fontId="22" fillId="17" borderId="7" xfId="0" applyFont="1" applyFill="1" applyBorder="1" applyAlignment="1">
      <alignment horizontal="center" vertical="center"/>
    </xf>
    <xf numFmtId="0" fontId="22" fillId="17" borderId="24" xfId="0" applyFont="1" applyFill="1" applyBorder="1" applyAlignment="1">
      <alignment vertical="center" wrapText="1"/>
    </xf>
    <xf numFmtId="0" fontId="22" fillId="17" borderId="35" xfId="0" applyFont="1" applyFill="1" applyBorder="1" applyAlignment="1">
      <alignment vertical="center" wrapText="1"/>
    </xf>
    <xf numFmtId="0" fontId="22" fillId="18" borderId="7" xfId="0" applyFont="1" applyFill="1" applyBorder="1" applyAlignment="1">
      <alignment horizontal="center" vertical="center"/>
    </xf>
    <xf numFmtId="0" fontId="22" fillId="18" borderId="24" xfId="0" applyFont="1" applyFill="1" applyBorder="1" applyAlignment="1">
      <alignment vertical="center" wrapText="1"/>
    </xf>
    <xf numFmtId="0" fontId="22" fillId="18" borderId="26" xfId="0" applyFont="1" applyFill="1" applyBorder="1" applyAlignment="1">
      <alignment vertical="center" wrapText="1"/>
    </xf>
    <xf numFmtId="0" fontId="22" fillId="18" borderId="35" xfId="0" applyFont="1" applyFill="1" applyBorder="1" applyAlignment="1">
      <alignment vertical="center" wrapText="1"/>
    </xf>
    <xf numFmtId="0" fontId="22" fillId="19" borderId="7" xfId="0" applyFont="1" applyFill="1" applyBorder="1" applyAlignment="1">
      <alignment horizontal="center" vertical="center"/>
    </xf>
    <xf numFmtId="0" fontId="22" fillId="19" borderId="24" xfId="0" applyFont="1" applyFill="1" applyBorder="1" applyAlignment="1">
      <alignment vertical="center" wrapText="1"/>
    </xf>
    <xf numFmtId="0" fontId="22" fillId="19" borderId="26" xfId="0" applyFont="1" applyFill="1" applyBorder="1" applyAlignment="1">
      <alignment vertical="center" wrapText="1"/>
    </xf>
    <xf numFmtId="0" fontId="27" fillId="19" borderId="7" xfId="0" applyFont="1" applyFill="1" applyBorder="1" applyAlignment="1">
      <alignment horizontal="center" vertical="center"/>
    </xf>
    <xf numFmtId="0" fontId="28" fillId="19" borderId="35" xfId="0" applyFont="1" applyFill="1" applyBorder="1" applyAlignment="1">
      <alignment vertical="center" wrapText="1"/>
    </xf>
    <xf numFmtId="0" fontId="22" fillId="3" borderId="21" xfId="0" applyFont="1" applyFill="1" applyBorder="1" applyAlignment="1">
      <alignment vertical="center"/>
    </xf>
    <xf numFmtId="0" fontId="30" fillId="0" borderId="0" xfId="0" applyFont="1" applyAlignment="1">
      <alignment horizontal="center"/>
    </xf>
    <xf numFmtId="4" fontId="30" fillId="0" borderId="0" xfId="0" applyNumberFormat="1" applyFont="1" applyAlignment="1">
      <alignment horizontal="center"/>
    </xf>
    <xf numFmtId="0" fontId="30" fillId="0" borderId="0" xfId="0" applyFont="1" applyAlignment="1">
      <alignment horizontal="left" vertical="center"/>
    </xf>
    <xf numFmtId="0" fontId="30" fillId="0" borderId="0" xfId="0" applyFont="1" applyAlignment="1">
      <alignment horizontal="center"/>
    </xf>
    <xf numFmtId="0" fontId="1" fillId="21" borderId="13" xfId="0" applyFont="1" applyFill="1" applyBorder="1" applyAlignment="1">
      <alignment vertical="center"/>
    </xf>
    <xf numFmtId="0" fontId="31" fillId="0" borderId="13" xfId="0" applyFont="1" applyBorder="1" applyAlignment="1"/>
    <xf numFmtId="0" fontId="31" fillId="7" borderId="13" xfId="0" applyFont="1" applyFill="1" applyBorder="1" applyAlignment="1">
      <alignment horizontal="center"/>
    </xf>
    <xf numFmtId="0" fontId="31" fillId="0" borderId="13" xfId="0" applyFont="1" applyBorder="1" applyAlignment="1">
      <alignment horizontal="center"/>
    </xf>
    <xf numFmtId="166" fontId="31" fillId="0" borderId="13" xfId="0" applyNumberFormat="1" applyFont="1" applyBorder="1" applyAlignment="1">
      <alignment horizontal="center"/>
    </xf>
    <xf numFmtId="0" fontId="32" fillId="0" borderId="13" xfId="0" applyFont="1" applyBorder="1" applyAlignment="1">
      <alignment vertical="center"/>
    </xf>
    <xf numFmtId="0" fontId="33" fillId="22" borderId="13" xfId="0" applyFont="1" applyFill="1" applyBorder="1" applyAlignment="1">
      <alignment horizontal="center" vertical="center"/>
    </xf>
    <xf numFmtId="4" fontId="34" fillId="0" borderId="13" xfId="0" applyNumberFormat="1" applyFont="1" applyBorder="1" applyAlignment="1">
      <alignment vertical="center"/>
    </xf>
    <xf numFmtId="1" fontId="34" fillId="0" borderId="36" xfId="0" applyNumberFormat="1" applyFont="1" applyBorder="1" applyAlignment="1">
      <alignment horizontal="left" vertical="center"/>
    </xf>
    <xf numFmtId="0" fontId="34" fillId="0" borderId="7" xfId="0" applyFont="1" applyBorder="1" applyAlignment="1">
      <alignment horizontal="left" vertical="center"/>
    </xf>
    <xf numFmtId="0" fontId="34" fillId="0" borderId="0" xfId="0" applyFont="1" applyAlignment="1">
      <alignment horizontal="left" vertical="center"/>
    </xf>
    <xf numFmtId="0" fontId="31" fillId="23" borderId="37" xfId="0" applyFont="1" applyFill="1" applyBorder="1" applyAlignment="1">
      <alignment horizontal="center"/>
    </xf>
    <xf numFmtId="0" fontId="31" fillId="24" borderId="13" xfId="0" applyFont="1" applyFill="1" applyBorder="1" applyAlignment="1">
      <alignment horizontal="center"/>
    </xf>
    <xf numFmtId="0" fontId="35" fillId="25" borderId="13" xfId="0" applyFont="1" applyFill="1" applyBorder="1" applyAlignment="1">
      <alignment horizontal="center" vertical="center"/>
    </xf>
    <xf numFmtId="0" fontId="35" fillId="25" borderId="13" xfId="0" applyFont="1" applyFill="1" applyBorder="1" applyAlignment="1">
      <alignment horizontal="center" vertical="center"/>
    </xf>
    <xf numFmtId="0" fontId="31" fillId="23" borderId="13" xfId="0" applyFont="1" applyFill="1" applyBorder="1" applyAlignment="1">
      <alignment horizontal="center"/>
    </xf>
    <xf numFmtId="0" fontId="32" fillId="0" borderId="13" xfId="0" applyFont="1" applyBorder="1" applyAlignment="1">
      <alignment vertical="center"/>
    </xf>
    <xf numFmtId="0" fontId="36" fillId="26" borderId="13" xfId="0" applyFont="1" applyFill="1" applyBorder="1" applyAlignment="1">
      <alignment horizontal="center" vertical="center"/>
    </xf>
    <xf numFmtId="0" fontId="36" fillId="26" borderId="13" xfId="0" applyFont="1" applyFill="1" applyBorder="1" applyAlignment="1">
      <alignment horizontal="center" vertical="center"/>
    </xf>
    <xf numFmtId="0" fontId="31" fillId="23" borderId="38" xfId="0" applyFont="1" applyFill="1" applyBorder="1" applyAlignment="1">
      <alignment horizontal="center"/>
    </xf>
    <xf numFmtId="0" fontId="37" fillId="27" borderId="13" xfId="0" applyFont="1" applyFill="1" applyBorder="1" applyAlignment="1">
      <alignment horizontal="center" vertical="center"/>
    </xf>
    <xf numFmtId="0" fontId="31" fillId="18" borderId="13" xfId="0" applyFont="1" applyFill="1" applyBorder="1" applyAlignment="1">
      <alignment horizontal="center"/>
    </xf>
    <xf numFmtId="0" fontId="36" fillId="28" borderId="13" xfId="0" applyFont="1" applyFill="1" applyBorder="1" applyAlignment="1">
      <alignment horizontal="center" vertical="center"/>
    </xf>
    <xf numFmtId="0" fontId="31" fillId="0" borderId="13" xfId="0" applyFont="1" applyBorder="1" applyAlignment="1">
      <alignment horizontal="center" vertical="center"/>
    </xf>
    <xf numFmtId="166" fontId="31" fillId="0" borderId="13" xfId="0" applyNumberFormat="1" applyFont="1" applyBorder="1" applyAlignment="1">
      <alignment horizontal="center" vertical="center"/>
    </xf>
    <xf numFmtId="0" fontId="38" fillId="29" borderId="13" xfId="0" applyFont="1" applyFill="1" applyBorder="1" applyAlignment="1">
      <alignment horizontal="center" vertical="center"/>
    </xf>
    <xf numFmtId="0" fontId="37" fillId="30" borderId="13" xfId="0" applyFont="1" applyFill="1" applyBorder="1" applyAlignment="1">
      <alignment horizontal="center" vertical="center"/>
    </xf>
    <xf numFmtId="0" fontId="37" fillId="31" borderId="13" xfId="0" applyFont="1" applyFill="1" applyBorder="1" applyAlignment="1">
      <alignment horizontal="center" vertical="center"/>
    </xf>
    <xf numFmtId="0" fontId="36" fillId="28" borderId="13" xfId="0" applyFont="1" applyFill="1" applyBorder="1" applyAlignment="1">
      <alignment horizontal="center" vertical="center"/>
    </xf>
    <xf numFmtId="1" fontId="34" fillId="0" borderId="13" xfId="0" applyNumberFormat="1" applyFont="1" applyBorder="1" applyAlignment="1">
      <alignment horizontal="left" vertical="center"/>
    </xf>
    <xf numFmtId="0" fontId="1" fillId="6" borderId="36" xfId="0" applyFont="1" applyFill="1" applyBorder="1" applyAlignment="1"/>
    <xf numFmtId="0" fontId="35" fillId="6" borderId="39" xfId="0" applyFont="1" applyFill="1" applyBorder="1" applyAlignment="1"/>
    <xf numFmtId="0" fontId="35" fillId="6" borderId="39" xfId="0" applyFont="1" applyFill="1" applyBorder="1" applyAlignment="1">
      <alignment horizontal="center"/>
    </xf>
    <xf numFmtId="0" fontId="39" fillId="32" borderId="13" xfId="0" applyFont="1" applyFill="1" applyBorder="1" applyAlignment="1">
      <alignment horizontal="right"/>
    </xf>
    <xf numFmtId="0" fontId="39" fillId="32" borderId="13" xfId="0" applyFont="1" applyFill="1" applyBorder="1"/>
    <xf numFmtId="4" fontId="34" fillId="0" borderId="0" xfId="0" applyNumberFormat="1" applyFont="1" applyAlignment="1"/>
    <xf numFmtId="0" fontId="1" fillId="0" borderId="0" xfId="0" applyFont="1" applyAlignment="1">
      <alignment horizontal="center"/>
    </xf>
    <xf numFmtId="0" fontId="40" fillId="32" borderId="13" xfId="0" applyFont="1" applyFill="1" applyBorder="1" applyAlignment="1">
      <alignment horizontal="right"/>
    </xf>
    <xf numFmtId="0" fontId="1" fillId="0" borderId="0" xfId="0" applyFont="1" applyAlignment="1">
      <alignment vertical="center"/>
    </xf>
    <xf numFmtId="0" fontId="32" fillId="32" borderId="13" xfId="0" applyFont="1" applyFill="1" applyBorder="1"/>
    <xf numFmtId="0" fontId="1" fillId="24" borderId="13" xfId="0" applyFont="1" applyFill="1" applyBorder="1" applyAlignment="1">
      <alignment vertical="center"/>
    </xf>
    <xf numFmtId="0" fontId="31" fillId="24" borderId="13" xfId="0" applyFont="1" applyFill="1" applyBorder="1" applyAlignment="1"/>
    <xf numFmtId="166" fontId="31" fillId="24" borderId="13" xfId="0" applyNumberFormat="1" applyFont="1" applyFill="1" applyBorder="1" applyAlignment="1">
      <alignment horizontal="center"/>
    </xf>
    <xf numFmtId="0" fontId="32" fillId="24" borderId="13" xfId="0" applyFont="1" applyFill="1" applyBorder="1" applyAlignment="1">
      <alignment vertical="center"/>
    </xf>
    <xf numFmtId="4" fontId="34" fillId="24" borderId="13" xfId="0" applyNumberFormat="1" applyFont="1" applyFill="1" applyBorder="1" applyAlignment="1">
      <alignment vertical="center"/>
    </xf>
    <xf numFmtId="1" fontId="34" fillId="24" borderId="13" xfId="0" applyNumberFormat="1" applyFont="1" applyFill="1" applyBorder="1" applyAlignment="1">
      <alignment horizontal="left" vertical="center"/>
    </xf>
    <xf numFmtId="0" fontId="1" fillId="0" borderId="13" xfId="0" applyFont="1" applyBorder="1" applyAlignment="1">
      <alignment vertical="center"/>
    </xf>
    <xf numFmtId="0" fontId="37" fillId="27" borderId="13" xfId="0" applyFont="1" applyFill="1" applyBorder="1" applyAlignment="1">
      <alignment horizontal="center" vertical="center"/>
    </xf>
    <xf numFmtId="0" fontId="31" fillId="24" borderId="38" xfId="0" applyFont="1" applyFill="1" applyBorder="1" applyAlignment="1">
      <alignment horizontal="center"/>
    </xf>
    <xf numFmtId="0" fontId="41" fillId="22" borderId="13" xfId="0" applyFont="1" applyFill="1" applyBorder="1" applyAlignment="1">
      <alignment horizontal="center" vertical="center"/>
    </xf>
    <xf numFmtId="0" fontId="1" fillId="21" borderId="0" xfId="0" applyFont="1" applyFill="1" applyAlignment="1">
      <alignment vertical="center"/>
    </xf>
    <xf numFmtId="0" fontId="1" fillId="0" borderId="0" xfId="0" applyFont="1" applyAlignment="1">
      <alignment vertical="center"/>
    </xf>
    <xf numFmtId="166" fontId="1" fillId="0" borderId="0" xfId="0" applyNumberFormat="1" applyFont="1" applyAlignment="1">
      <alignment vertical="center"/>
    </xf>
    <xf numFmtId="0" fontId="1" fillId="0" borderId="0" xfId="0" applyFont="1" applyAlignment="1">
      <alignment vertical="center"/>
    </xf>
    <xf numFmtId="1" fontId="34" fillId="0" borderId="0" xfId="0" applyNumberFormat="1" applyFont="1" applyAlignment="1">
      <alignment horizontal="left" vertical="center"/>
    </xf>
    <xf numFmtId="0" fontId="1" fillId="0" borderId="0" xfId="0" applyFont="1" applyAlignment="1">
      <alignment vertical="center"/>
    </xf>
    <xf numFmtId="0" fontId="1" fillId="0" borderId="0" xfId="0" applyFont="1" applyAlignment="1">
      <alignment vertical="center"/>
    </xf>
    <xf numFmtId="166" fontId="1" fillId="0" borderId="0" xfId="0" applyNumberFormat="1" applyFont="1" applyAlignment="1">
      <alignment vertical="center"/>
    </xf>
    <xf numFmtId="4" fontId="1" fillId="0" borderId="0" xfId="0" applyNumberFormat="1" applyFont="1"/>
    <xf numFmtId="0" fontId="42" fillId="0" borderId="0" xfId="0" applyFont="1" applyAlignment="1"/>
    <xf numFmtId="0" fontId="42" fillId="0" borderId="0" xfId="0" applyFont="1"/>
    <xf numFmtId="0" fontId="1" fillId="0" borderId="13" xfId="0" applyFont="1" applyBorder="1" applyAlignment="1">
      <alignment vertical="center"/>
    </xf>
    <xf numFmtId="0" fontId="31" fillId="18" borderId="37" xfId="0" applyFont="1" applyFill="1" applyBorder="1" applyAlignment="1">
      <alignment horizontal="center"/>
    </xf>
    <xf numFmtId="0" fontId="31" fillId="0" borderId="40" xfId="0" applyFont="1" applyBorder="1" applyAlignment="1">
      <alignment horizontal="center" vertical="center"/>
    </xf>
    <xf numFmtId="166" fontId="31" fillId="0" borderId="40" xfId="0" applyNumberFormat="1" applyFont="1" applyBorder="1" applyAlignment="1">
      <alignment horizontal="center" vertical="center"/>
    </xf>
    <xf numFmtId="0" fontId="35" fillId="25" borderId="40" xfId="0" applyFont="1" applyFill="1" applyBorder="1" applyAlignment="1">
      <alignment horizontal="center" vertical="center"/>
    </xf>
    <xf numFmtId="0" fontId="1" fillId="33" borderId="13" xfId="0" applyFont="1" applyFill="1" applyBorder="1" applyAlignment="1">
      <alignment vertical="center"/>
    </xf>
    <xf numFmtId="0" fontId="1" fillId="33" borderId="13" xfId="0" applyFont="1" applyFill="1" applyBorder="1" applyAlignment="1">
      <alignment vertical="center"/>
    </xf>
    <xf numFmtId="0" fontId="31" fillId="33" borderId="13" xfId="0" applyFont="1" applyFill="1" applyBorder="1" applyAlignment="1">
      <alignment horizontal="center" vertical="center"/>
    </xf>
    <xf numFmtId="166" fontId="31" fillId="33" borderId="13" xfId="0" applyNumberFormat="1" applyFont="1" applyFill="1" applyBorder="1" applyAlignment="1">
      <alignment horizontal="center" vertical="center"/>
    </xf>
    <xf numFmtId="4" fontId="34" fillId="33" borderId="13" xfId="0" applyNumberFormat="1" applyFont="1" applyFill="1" applyBorder="1" applyAlignment="1">
      <alignment vertical="center"/>
    </xf>
    <xf numFmtId="1" fontId="34" fillId="33" borderId="13" xfId="0" applyNumberFormat="1" applyFont="1" applyFill="1" applyBorder="1" applyAlignment="1">
      <alignment horizontal="left" vertical="center"/>
    </xf>
    <xf numFmtId="0" fontId="31" fillId="0" borderId="13" xfId="0" applyFont="1" applyBorder="1" applyAlignment="1">
      <alignment horizontal="center" vertical="center"/>
    </xf>
    <xf numFmtId="166" fontId="31" fillId="0" borderId="13" xfId="0" applyNumberFormat="1" applyFont="1" applyBorder="1" applyAlignment="1">
      <alignment horizontal="center" vertical="center"/>
    </xf>
    <xf numFmtId="0" fontId="36" fillId="34" borderId="13" xfId="0" applyFont="1" applyFill="1" applyBorder="1" applyAlignment="1">
      <alignment horizontal="center" vertical="center"/>
    </xf>
    <xf numFmtId="0" fontId="1" fillId="14" borderId="13" xfId="0" applyFont="1" applyFill="1" applyBorder="1" applyAlignment="1">
      <alignment vertical="center"/>
    </xf>
    <xf numFmtId="0" fontId="37" fillId="30" borderId="13" xfId="0" applyFont="1" applyFill="1" applyBorder="1" applyAlignment="1">
      <alignment horizontal="center" vertical="center"/>
    </xf>
    <xf numFmtId="0" fontId="38" fillId="29" borderId="13" xfId="0" applyFont="1" applyFill="1" applyBorder="1" applyAlignment="1">
      <alignment horizontal="center" vertical="center"/>
    </xf>
    <xf numFmtId="0" fontId="37" fillId="35" borderId="13" xfId="0" applyFont="1" applyFill="1" applyBorder="1" applyAlignment="1">
      <alignment horizontal="center" vertical="center"/>
    </xf>
    <xf numFmtId="0" fontId="31" fillId="7" borderId="38" xfId="0" applyFont="1" applyFill="1" applyBorder="1" applyAlignment="1">
      <alignment horizontal="center"/>
    </xf>
    <xf numFmtId="0" fontId="1" fillId="21" borderId="0" xfId="0" applyFont="1" applyFill="1" applyAlignment="1">
      <alignment vertical="center"/>
    </xf>
    <xf numFmtId="0" fontId="1" fillId="0" borderId="0" xfId="0" applyFont="1"/>
    <xf numFmtId="0" fontId="43" fillId="0" borderId="0" xfId="0" applyFont="1" applyAlignment="1">
      <alignment horizontal="center"/>
    </xf>
    <xf numFmtId="0" fontId="43" fillId="0" borderId="0" xfId="0" applyFont="1" applyAlignment="1">
      <alignment horizontal="center"/>
    </xf>
    <xf numFmtId="0" fontId="1" fillId="0" borderId="13" xfId="0" applyFont="1" applyBorder="1" applyAlignment="1">
      <alignment vertical="center"/>
    </xf>
    <xf numFmtId="0" fontId="44" fillId="0" borderId="13" xfId="0" applyFont="1" applyBorder="1" applyAlignment="1">
      <alignment vertical="center"/>
    </xf>
    <xf numFmtId="0" fontId="15" fillId="23" borderId="13" xfId="0" applyFont="1" applyFill="1" applyBorder="1" applyAlignment="1">
      <alignment vertical="center"/>
    </xf>
    <xf numFmtId="166" fontId="44" fillId="0" borderId="13" xfId="0" applyNumberFormat="1" applyFont="1" applyBorder="1" applyAlignment="1">
      <alignment vertical="center"/>
    </xf>
    <xf numFmtId="0" fontId="44" fillId="0" borderId="13" xfId="0" applyFont="1" applyBorder="1" applyAlignment="1">
      <alignment vertical="center"/>
    </xf>
    <xf numFmtId="0" fontId="44" fillId="15" borderId="13" xfId="0" applyFont="1" applyFill="1" applyBorder="1" applyAlignment="1">
      <alignment vertical="center"/>
    </xf>
    <xf numFmtId="4" fontId="44" fillId="0" borderId="13" xfId="0" applyNumberFormat="1" applyFont="1" applyBorder="1" applyAlignment="1">
      <alignment vertical="center"/>
    </xf>
    <xf numFmtId="0" fontId="1" fillId="0" borderId="0" xfId="0" applyFont="1" applyAlignment="1">
      <alignment horizontal="center" vertical="center"/>
    </xf>
    <xf numFmtId="0" fontId="1" fillId="0" borderId="0" xfId="0" applyFont="1" applyAlignment="1">
      <alignment horizontal="center" vertical="center"/>
    </xf>
    <xf numFmtId="0" fontId="44" fillId="18" borderId="13" xfId="0" applyFont="1" applyFill="1" applyBorder="1" applyAlignment="1">
      <alignment vertical="center"/>
    </xf>
    <xf numFmtId="0" fontId="44" fillId="36" borderId="13" xfId="0" applyFont="1" applyFill="1" applyBorder="1" applyAlignment="1">
      <alignment vertical="center"/>
    </xf>
    <xf numFmtId="0" fontId="44" fillId="38" borderId="13" xfId="0" applyFont="1" applyFill="1" applyBorder="1" applyAlignment="1">
      <alignment vertical="center"/>
    </xf>
    <xf numFmtId="0" fontId="15" fillId="7" borderId="13" xfId="0" applyFont="1" applyFill="1" applyBorder="1" applyAlignment="1">
      <alignment vertical="center"/>
    </xf>
    <xf numFmtId="0" fontId="44" fillId="39" borderId="13" xfId="0" applyFont="1" applyFill="1" applyBorder="1" applyAlignment="1">
      <alignment vertical="center"/>
    </xf>
    <xf numFmtId="0" fontId="44" fillId="40" borderId="13" xfId="0" applyFont="1" applyFill="1" applyBorder="1" applyAlignment="1">
      <alignment vertical="center"/>
    </xf>
    <xf numFmtId="0" fontId="44" fillId="0" borderId="13" xfId="0" applyFont="1" applyBorder="1" applyAlignment="1">
      <alignment vertical="center"/>
    </xf>
    <xf numFmtId="0" fontId="46" fillId="0" borderId="0" xfId="0" applyFont="1" applyAlignment="1"/>
    <xf numFmtId="0" fontId="47" fillId="0" borderId="13" xfId="0" applyFont="1" applyBorder="1" applyAlignment="1"/>
    <xf numFmtId="0" fontId="44" fillId="7" borderId="13" xfId="0" applyFont="1" applyFill="1" applyBorder="1" applyAlignment="1">
      <alignment vertical="center"/>
    </xf>
    <xf numFmtId="0" fontId="44" fillId="41" borderId="13" xfId="0" applyFont="1" applyFill="1" applyBorder="1" applyAlignment="1">
      <alignment vertical="center"/>
    </xf>
    <xf numFmtId="0" fontId="44" fillId="42" borderId="13" xfId="0" applyFont="1" applyFill="1" applyBorder="1" applyAlignment="1">
      <alignment vertical="center"/>
    </xf>
    <xf numFmtId="0" fontId="1" fillId="0" borderId="0" xfId="0" applyFont="1" applyAlignment="1">
      <alignment vertical="center"/>
    </xf>
    <xf numFmtId="0" fontId="44" fillId="0" borderId="0" xfId="0" applyFont="1" applyAlignment="1">
      <alignment vertical="center"/>
    </xf>
    <xf numFmtId="0" fontId="48" fillId="0" borderId="0" xfId="0" applyFont="1" applyAlignment="1"/>
    <xf numFmtId="0" fontId="48" fillId="35" borderId="0" xfId="0" applyFont="1" applyFill="1" applyAlignment="1"/>
    <xf numFmtId="0" fontId="49" fillId="0" borderId="13" xfId="0" applyFont="1" applyBorder="1" applyAlignment="1"/>
    <xf numFmtId="0" fontId="44" fillId="0" borderId="0" xfId="0" applyFont="1"/>
    <xf numFmtId="0" fontId="49" fillId="0" borderId="13" xfId="0" applyFont="1" applyBorder="1" applyAlignment="1"/>
    <xf numFmtId="0" fontId="50" fillId="0" borderId="49" xfId="0" applyFont="1" applyBorder="1" applyAlignment="1"/>
    <xf numFmtId="1" fontId="49" fillId="0" borderId="13" xfId="0" applyNumberFormat="1" applyFont="1" applyBorder="1" applyAlignment="1"/>
    <xf numFmtId="1" fontId="32" fillId="32" borderId="13" xfId="0" applyNumberFormat="1" applyFont="1" applyFill="1" applyBorder="1"/>
    <xf numFmtId="0" fontId="30" fillId="0" borderId="0" xfId="0" applyFont="1" applyAlignment="1">
      <alignment horizontal="left"/>
    </xf>
    <xf numFmtId="0" fontId="44" fillId="23" borderId="13" xfId="0" applyFont="1" applyFill="1" applyBorder="1" applyAlignment="1">
      <alignment vertical="center"/>
    </xf>
    <xf numFmtId="0" fontId="1" fillId="0" borderId="13" xfId="0" applyFont="1" applyBorder="1" applyAlignment="1"/>
    <xf numFmtId="0" fontId="44" fillId="0" borderId="13" xfId="0" applyFont="1" applyBorder="1" applyAlignment="1"/>
    <xf numFmtId="0" fontId="15" fillId="7" borderId="13" xfId="0" applyFont="1" applyFill="1" applyBorder="1" applyAlignment="1"/>
    <xf numFmtId="166" fontId="44" fillId="0" borderId="13" xfId="0" applyNumberFormat="1" applyFont="1" applyBorder="1" applyAlignment="1"/>
    <xf numFmtId="0" fontId="44" fillId="15" borderId="13" xfId="0" applyFont="1" applyFill="1" applyBorder="1" applyAlignment="1"/>
    <xf numFmtId="0" fontId="44" fillId="0" borderId="13" xfId="0" applyFont="1" applyBorder="1" applyAlignment="1"/>
    <xf numFmtId="0" fontId="44" fillId="0" borderId="13" xfId="0" applyFont="1" applyBorder="1" applyAlignment="1"/>
    <xf numFmtId="0" fontId="51" fillId="0" borderId="49" xfId="0" applyFont="1" applyBorder="1"/>
    <xf numFmtId="0" fontId="46" fillId="0" borderId="0" xfId="0" applyFont="1"/>
    <xf numFmtId="166" fontId="34" fillId="0" borderId="13" xfId="0" applyNumberFormat="1" applyFont="1" applyBorder="1" applyAlignment="1">
      <alignment horizontal="left" vertical="center"/>
    </xf>
    <xf numFmtId="0" fontId="43" fillId="0" borderId="0" xfId="0" applyFont="1" applyAlignment="1">
      <alignment horizontal="center" vertical="center"/>
    </xf>
    <xf numFmtId="0" fontId="43" fillId="0" borderId="0" xfId="0" applyFont="1" applyAlignment="1">
      <alignment horizontal="center" vertical="center"/>
    </xf>
    <xf numFmtId="0" fontId="1" fillId="0" borderId="13" xfId="0" applyFont="1" applyBorder="1" applyAlignment="1">
      <alignment vertical="center"/>
    </xf>
    <xf numFmtId="4" fontId="32" fillId="23" borderId="13" xfId="0" applyNumberFormat="1" applyFont="1" applyFill="1" applyBorder="1" applyAlignment="1">
      <alignment vertical="center"/>
    </xf>
    <xf numFmtId="4" fontId="32" fillId="33" borderId="13" xfId="0" applyNumberFormat="1" applyFont="1" applyFill="1" applyBorder="1" applyAlignment="1">
      <alignment vertical="center"/>
    </xf>
    <xf numFmtId="4" fontId="32" fillId="23" borderId="13" xfId="0" applyNumberFormat="1" applyFont="1" applyFill="1" applyBorder="1" applyAlignment="1">
      <alignment horizontal="center" vertical="center"/>
    </xf>
    <xf numFmtId="3" fontId="32" fillId="23" borderId="13" xfId="0" applyNumberFormat="1" applyFont="1" applyFill="1" applyBorder="1" applyAlignment="1">
      <alignment vertical="center"/>
    </xf>
    <xf numFmtId="4" fontId="32" fillId="20" borderId="13" xfId="0" applyNumberFormat="1" applyFont="1" applyFill="1" applyBorder="1" applyAlignment="1">
      <alignment vertical="center"/>
    </xf>
    <xf numFmtId="3" fontId="32" fillId="39" borderId="13" xfId="0" applyNumberFormat="1" applyFont="1" applyFill="1" applyBorder="1" applyAlignment="1">
      <alignment vertical="center"/>
    </xf>
    <xf numFmtId="0" fontId="32" fillId="39" borderId="0" xfId="0" applyFont="1" applyFill="1" applyAlignment="1">
      <alignment vertical="center"/>
    </xf>
    <xf numFmtId="3" fontId="32" fillId="39" borderId="0" xfId="0" applyNumberFormat="1" applyFont="1" applyFill="1" applyAlignment="1">
      <alignment vertical="center"/>
    </xf>
    <xf numFmtId="4" fontId="32" fillId="43" borderId="13" xfId="0" applyNumberFormat="1" applyFont="1" applyFill="1" applyBorder="1" applyAlignment="1">
      <alignment vertical="center"/>
    </xf>
    <xf numFmtId="4" fontId="52" fillId="20" borderId="13" xfId="0" applyNumberFormat="1" applyFont="1" applyFill="1" applyBorder="1" applyAlignment="1">
      <alignment vertical="center"/>
    </xf>
    <xf numFmtId="3" fontId="32" fillId="16" borderId="13" xfId="0" applyNumberFormat="1" applyFont="1" applyFill="1" applyBorder="1" applyAlignment="1">
      <alignment vertical="center"/>
    </xf>
    <xf numFmtId="4" fontId="32" fillId="38" borderId="13" xfId="0" applyNumberFormat="1" applyFont="1" applyFill="1" applyBorder="1" applyAlignment="1">
      <alignment vertical="center"/>
    </xf>
    <xf numFmtId="4" fontId="54" fillId="6" borderId="13" xfId="0" applyNumberFormat="1" applyFont="1" applyFill="1" applyBorder="1" applyAlignment="1">
      <alignment vertical="center"/>
    </xf>
    <xf numFmtId="4" fontId="19" fillId="40" borderId="13" xfId="0" applyNumberFormat="1" applyFont="1" applyFill="1" applyBorder="1" applyAlignment="1">
      <alignment vertical="center"/>
    </xf>
    <xf numFmtId="3" fontId="32" fillId="15" borderId="13" xfId="0" applyNumberFormat="1" applyFont="1" applyFill="1" applyBorder="1" applyAlignment="1">
      <alignment vertical="center"/>
    </xf>
    <xf numFmtId="4" fontId="55" fillId="44" borderId="13" xfId="0" applyNumberFormat="1" applyFont="1" applyFill="1" applyBorder="1" applyAlignment="1">
      <alignment vertical="center"/>
    </xf>
    <xf numFmtId="3" fontId="32" fillId="7" borderId="13" xfId="0" applyNumberFormat="1" applyFont="1" applyFill="1" applyBorder="1" applyAlignment="1">
      <alignment vertical="center"/>
    </xf>
    <xf numFmtId="0" fontId="53" fillId="0" borderId="0" xfId="0" applyFont="1"/>
    <xf numFmtId="3" fontId="32" fillId="45" borderId="13" xfId="0" applyNumberFormat="1" applyFont="1" applyFill="1" applyBorder="1" applyAlignment="1">
      <alignment vertical="center"/>
    </xf>
    <xf numFmtId="4" fontId="55" fillId="46" borderId="13" xfId="0" applyNumberFormat="1" applyFont="1" applyFill="1" applyBorder="1" applyAlignment="1">
      <alignment vertical="center"/>
    </xf>
    <xf numFmtId="4" fontId="56" fillId="47" borderId="13" xfId="0" applyNumberFormat="1" applyFont="1" applyFill="1" applyBorder="1" applyAlignment="1">
      <alignment vertical="center"/>
    </xf>
    <xf numFmtId="0" fontId="31" fillId="0" borderId="13" xfId="0" applyFont="1" applyBorder="1" applyAlignment="1"/>
    <xf numFmtId="4" fontId="57" fillId="48" borderId="13" xfId="0" applyNumberFormat="1" applyFont="1" applyFill="1" applyBorder="1" applyAlignment="1">
      <alignment vertical="center"/>
    </xf>
    <xf numFmtId="3" fontId="32" fillId="38" borderId="13" xfId="0" applyNumberFormat="1" applyFont="1" applyFill="1" applyBorder="1" applyAlignment="1">
      <alignment vertical="center"/>
    </xf>
    <xf numFmtId="4" fontId="58" fillId="49" borderId="13" xfId="0" applyNumberFormat="1" applyFont="1" applyFill="1" applyBorder="1" applyAlignment="1">
      <alignment vertical="center"/>
    </xf>
    <xf numFmtId="4" fontId="55" fillId="50" borderId="13" xfId="0" applyNumberFormat="1" applyFont="1" applyFill="1" applyBorder="1" applyAlignment="1">
      <alignment vertical="center"/>
    </xf>
    <xf numFmtId="3" fontId="32" fillId="51" borderId="13" xfId="0" applyNumberFormat="1" applyFont="1" applyFill="1" applyBorder="1" applyAlignment="1">
      <alignment vertical="center"/>
    </xf>
    <xf numFmtId="3" fontId="32" fillId="40" borderId="13" xfId="0" applyNumberFormat="1" applyFont="1" applyFill="1" applyBorder="1" applyAlignment="1">
      <alignment vertical="center"/>
    </xf>
    <xf numFmtId="4" fontId="59" fillId="31" borderId="13" xfId="0" applyNumberFormat="1" applyFont="1" applyFill="1" applyBorder="1" applyAlignment="1">
      <alignment vertical="center"/>
    </xf>
    <xf numFmtId="4" fontId="60" fillId="35" borderId="13" xfId="0" applyNumberFormat="1" applyFont="1" applyFill="1" applyBorder="1" applyAlignment="1">
      <alignment vertical="center"/>
    </xf>
    <xf numFmtId="3" fontId="32" fillId="44" borderId="13" xfId="0" applyNumberFormat="1" applyFont="1" applyFill="1" applyBorder="1" applyAlignment="1">
      <alignment vertical="center"/>
    </xf>
    <xf numFmtId="0" fontId="1" fillId="0" borderId="0" xfId="0" applyFont="1" applyAlignment="1">
      <alignment vertical="center"/>
    </xf>
    <xf numFmtId="0" fontId="61" fillId="52" borderId="0" xfId="0" applyFont="1" applyFill="1" applyAlignment="1">
      <alignment horizontal="center" vertical="center"/>
    </xf>
    <xf numFmtId="0" fontId="32" fillId="0" borderId="0" xfId="0" applyFont="1" applyAlignment="1">
      <alignment horizontal="center" vertical="center"/>
    </xf>
    <xf numFmtId="0" fontId="39" fillId="44" borderId="13" xfId="0" applyFont="1" applyFill="1" applyBorder="1" applyAlignment="1">
      <alignment vertical="center"/>
    </xf>
    <xf numFmtId="3" fontId="62" fillId="0" borderId="13" xfId="0" applyNumberFormat="1" applyFont="1" applyBorder="1" applyAlignment="1">
      <alignment vertical="center"/>
    </xf>
    <xf numFmtId="0" fontId="39" fillId="44" borderId="0" xfId="0" applyFont="1" applyFill="1" applyAlignment="1">
      <alignment vertical="center"/>
    </xf>
    <xf numFmtId="3" fontId="39" fillId="44" borderId="0" xfId="0" applyNumberFormat="1" applyFont="1" applyFill="1" applyAlignment="1">
      <alignment vertical="center"/>
    </xf>
    <xf numFmtId="0" fontId="63" fillId="0" borderId="13" xfId="0" applyFont="1" applyBorder="1" applyAlignment="1"/>
    <xf numFmtId="3" fontId="64" fillId="0" borderId="13" xfId="0" applyNumberFormat="1" applyFont="1" applyBorder="1" applyAlignment="1">
      <alignment vertical="center"/>
    </xf>
    <xf numFmtId="0" fontId="39" fillId="32" borderId="13" xfId="0" applyFont="1" applyFill="1" applyBorder="1" applyAlignment="1">
      <alignment vertical="center"/>
    </xf>
    <xf numFmtId="3" fontId="32" fillId="32" borderId="13" xfId="0" applyNumberFormat="1" applyFont="1" applyFill="1" applyBorder="1" applyAlignment="1">
      <alignment vertical="center"/>
    </xf>
    <xf numFmtId="0" fontId="1" fillId="6" borderId="0" xfId="0" applyFont="1" applyFill="1"/>
    <xf numFmtId="0" fontId="31" fillId="0" borderId="13" xfId="0" applyFont="1" applyBorder="1" applyAlignment="1"/>
    <xf numFmtId="166" fontId="31" fillId="0" borderId="13" xfId="0" applyNumberFormat="1" applyFont="1" applyBorder="1" applyAlignment="1"/>
    <xf numFmtId="0" fontId="31" fillId="0" borderId="13" xfId="0" applyFont="1" applyBorder="1" applyAlignment="1"/>
    <xf numFmtId="4" fontId="34" fillId="0" borderId="13" xfId="0" applyNumberFormat="1" applyFont="1" applyBorder="1" applyAlignment="1">
      <alignment vertical="center"/>
    </xf>
    <xf numFmtId="0" fontId="31" fillId="0" borderId="0" xfId="0" applyFont="1" applyAlignment="1"/>
    <xf numFmtId="0" fontId="31" fillId="0" borderId="0" xfId="0" applyFont="1" applyAlignment="1"/>
    <xf numFmtId="4" fontId="34" fillId="0" borderId="0" xfId="0" applyNumberFormat="1" applyFont="1" applyAlignment="1">
      <alignment vertical="center"/>
    </xf>
    <xf numFmtId="0" fontId="1" fillId="0" borderId="0" xfId="0" quotePrefix="1" applyFont="1" applyAlignment="1"/>
    <xf numFmtId="0" fontId="65" fillId="7" borderId="13" xfId="0" applyFont="1" applyFill="1" applyBorder="1" applyAlignment="1"/>
    <xf numFmtId="0" fontId="31" fillId="53" borderId="13" xfId="0" applyFont="1" applyFill="1" applyBorder="1" applyAlignment="1">
      <alignment horizontal="center"/>
    </xf>
    <xf numFmtId="0" fontId="66" fillId="20" borderId="13" xfId="0" applyFont="1" applyFill="1" applyBorder="1" applyAlignment="1">
      <alignment vertical="center"/>
    </xf>
    <xf numFmtId="0" fontId="32" fillId="0" borderId="13" xfId="0" applyFont="1" applyBorder="1" applyAlignment="1">
      <alignment vertical="center"/>
    </xf>
    <xf numFmtId="0" fontId="32" fillId="0" borderId="13" xfId="0" applyFont="1" applyBorder="1" applyAlignment="1">
      <alignment vertical="center"/>
    </xf>
    <xf numFmtId="0" fontId="32" fillId="0" borderId="0" xfId="0" applyFont="1" applyAlignment="1">
      <alignment vertical="center"/>
    </xf>
    <xf numFmtId="0" fontId="32" fillId="20" borderId="13" xfId="0" applyFont="1" applyFill="1" applyBorder="1" applyAlignment="1">
      <alignment vertical="center"/>
    </xf>
    <xf numFmtId="0" fontId="31" fillId="39" borderId="13" xfId="0" applyFont="1" applyFill="1" applyBorder="1" applyAlignment="1"/>
    <xf numFmtId="0" fontId="32" fillId="54" borderId="13" xfId="0" applyFont="1" applyFill="1" applyBorder="1" applyAlignment="1">
      <alignment vertical="center"/>
    </xf>
    <xf numFmtId="0" fontId="32" fillId="37" borderId="13" xfId="0" applyFont="1" applyFill="1" applyBorder="1" applyAlignment="1">
      <alignment vertical="center"/>
    </xf>
    <xf numFmtId="0" fontId="65" fillId="55" borderId="13" xfId="0" applyFont="1" applyFill="1" applyBorder="1" applyAlignment="1"/>
    <xf numFmtId="0" fontId="68" fillId="46" borderId="13" xfId="0" applyFont="1" applyFill="1" applyBorder="1" applyAlignment="1">
      <alignment vertical="center"/>
    </xf>
    <xf numFmtId="0" fontId="32" fillId="33" borderId="13" xfId="0" applyFont="1" applyFill="1" applyBorder="1" applyAlignment="1">
      <alignment vertical="center"/>
    </xf>
    <xf numFmtId="0" fontId="32" fillId="55" borderId="13" xfId="0" applyFont="1" applyFill="1" applyBorder="1" applyAlignment="1">
      <alignment vertical="center"/>
    </xf>
    <xf numFmtId="0" fontId="32" fillId="56" borderId="13" xfId="0" applyFont="1" applyFill="1" applyBorder="1" applyAlignment="1">
      <alignment vertical="center"/>
    </xf>
    <xf numFmtId="0" fontId="32" fillId="57" borderId="13" xfId="0" applyFont="1" applyFill="1" applyBorder="1" applyAlignment="1">
      <alignment vertical="center"/>
    </xf>
    <xf numFmtId="0" fontId="31" fillId="0" borderId="0" xfId="0" applyFont="1" applyAlignment="1"/>
    <xf numFmtId="0" fontId="31" fillId="37" borderId="0" xfId="0" applyFont="1" applyFill="1" applyAlignment="1"/>
    <xf numFmtId="0" fontId="40" fillId="32" borderId="13" xfId="0" applyFont="1" applyFill="1" applyBorder="1" applyAlignment="1">
      <alignment horizontal="center" vertical="center"/>
    </xf>
    <xf numFmtId="0" fontId="62" fillId="0" borderId="13" xfId="0" applyFont="1" applyBorder="1" applyAlignment="1">
      <alignment horizontal="right" vertical="center"/>
    </xf>
    <xf numFmtId="0" fontId="40" fillId="32" borderId="13" xfId="0" applyFont="1" applyFill="1" applyBorder="1" applyAlignment="1">
      <alignment horizontal="center"/>
    </xf>
    <xf numFmtId="0" fontId="62" fillId="0" borderId="13" xfId="0" applyFont="1" applyBorder="1" applyAlignment="1">
      <alignment horizontal="right"/>
    </xf>
    <xf numFmtId="0" fontId="62" fillId="0" borderId="0" xfId="0" applyFont="1" applyAlignment="1">
      <alignment horizontal="right"/>
    </xf>
    <xf numFmtId="0" fontId="63" fillId="0" borderId="13" xfId="0" applyFont="1" applyBorder="1" applyAlignment="1"/>
    <xf numFmtId="3" fontId="64" fillId="0" borderId="13" xfId="0" applyNumberFormat="1" applyFont="1" applyBorder="1"/>
    <xf numFmtId="3" fontId="32" fillId="32" borderId="13" xfId="0" applyNumberFormat="1" applyFont="1" applyFill="1" applyBorder="1"/>
    <xf numFmtId="0" fontId="31" fillId="57" borderId="13" xfId="0" applyFont="1" applyFill="1" applyBorder="1" applyAlignment="1">
      <alignment horizontal="center"/>
    </xf>
    <xf numFmtId="0" fontId="69" fillId="0" borderId="0" xfId="0" applyFont="1" applyAlignment="1">
      <alignment horizontal="center"/>
    </xf>
    <xf numFmtId="0" fontId="31" fillId="58" borderId="13" xfId="0" applyFont="1" applyFill="1" applyBorder="1" applyAlignment="1"/>
    <xf numFmtId="0" fontId="32" fillId="35" borderId="13" xfId="0" applyFont="1" applyFill="1" applyBorder="1" applyAlignment="1">
      <alignment vertical="center"/>
    </xf>
    <xf numFmtId="0" fontId="32" fillId="59" borderId="13" xfId="0" applyFont="1" applyFill="1" applyBorder="1" applyAlignment="1">
      <alignment vertical="center"/>
    </xf>
    <xf numFmtId="1" fontId="34" fillId="0" borderId="13" xfId="0" applyNumberFormat="1" applyFont="1" applyBorder="1" applyAlignment="1">
      <alignment horizontal="center" vertical="center"/>
    </xf>
    <xf numFmtId="0" fontId="34" fillId="0" borderId="0" xfId="0" applyFont="1" applyAlignment="1">
      <alignment horizontal="center" vertical="center"/>
    </xf>
    <xf numFmtId="0" fontId="31" fillId="20" borderId="13" xfId="0" applyFont="1" applyFill="1" applyBorder="1" applyAlignment="1"/>
    <xf numFmtId="0" fontId="32" fillId="38" borderId="13" xfId="0" applyFont="1" applyFill="1" applyBorder="1" applyAlignment="1">
      <alignment vertical="center"/>
    </xf>
    <xf numFmtId="0" fontId="31" fillId="0" borderId="71" xfId="0" applyFont="1" applyBorder="1" applyAlignment="1"/>
    <xf numFmtId="0" fontId="31" fillId="35" borderId="72" xfId="0" applyFont="1" applyFill="1" applyBorder="1" applyAlignment="1"/>
    <xf numFmtId="0" fontId="31" fillId="35" borderId="13" xfId="0" applyFont="1" applyFill="1" applyBorder="1" applyAlignment="1"/>
    <xf numFmtId="0" fontId="31" fillId="30" borderId="13" xfId="0" applyFont="1" applyFill="1" applyBorder="1" applyAlignment="1"/>
    <xf numFmtId="0" fontId="19" fillId="60" borderId="13" xfId="0" applyFont="1" applyFill="1" applyBorder="1" applyAlignment="1">
      <alignment vertical="center"/>
    </xf>
    <xf numFmtId="0" fontId="19" fillId="61" borderId="13" xfId="0" applyFont="1" applyFill="1" applyBorder="1" applyAlignment="1">
      <alignment vertical="center"/>
    </xf>
    <xf numFmtId="166" fontId="31" fillId="0" borderId="13" xfId="0" applyNumberFormat="1" applyFont="1" applyBorder="1" applyAlignment="1">
      <alignment horizontal="center"/>
    </xf>
    <xf numFmtId="0" fontId="32" fillId="7" borderId="13" xfId="0" applyFont="1" applyFill="1" applyBorder="1" applyAlignment="1">
      <alignment vertical="center"/>
    </xf>
    <xf numFmtId="0" fontId="32" fillId="57" borderId="13" xfId="0" applyFont="1" applyFill="1" applyBorder="1" applyAlignment="1">
      <alignment vertical="center"/>
    </xf>
    <xf numFmtId="0" fontId="32" fillId="62" borderId="13" xfId="0" applyFont="1" applyFill="1" applyBorder="1" applyAlignment="1">
      <alignment vertical="center"/>
    </xf>
    <xf numFmtId="0" fontId="31" fillId="35" borderId="0" xfId="0" applyFont="1" applyFill="1" applyAlignment="1"/>
    <xf numFmtId="0" fontId="32" fillId="0" borderId="13" xfId="0" applyFont="1" applyBorder="1" applyAlignment="1"/>
    <xf numFmtId="0" fontId="32" fillId="0" borderId="0" xfId="0" applyFont="1" applyAlignment="1"/>
    <xf numFmtId="0" fontId="71" fillId="63" borderId="13" xfId="0" applyFont="1" applyFill="1" applyBorder="1" applyAlignment="1"/>
    <xf numFmtId="3" fontId="72" fillId="63" borderId="13" xfId="0" applyNumberFormat="1" applyFont="1" applyFill="1" applyBorder="1" applyAlignment="1">
      <alignment horizontal="right"/>
    </xf>
    <xf numFmtId="0" fontId="73" fillId="0" borderId="0" xfId="0" applyFont="1" applyAlignment="1">
      <alignment horizontal="center"/>
    </xf>
    <xf numFmtId="0" fontId="31" fillId="0" borderId="13" xfId="0" applyFont="1" applyBorder="1" applyAlignment="1">
      <alignment horizontal="center" vertical="center"/>
    </xf>
    <xf numFmtId="0" fontId="32" fillId="55" borderId="13" xfId="0" applyFont="1" applyFill="1" applyBorder="1" applyAlignment="1">
      <alignment vertical="center"/>
    </xf>
    <xf numFmtId="0" fontId="31" fillId="0" borderId="71" xfId="0" applyFont="1" applyBorder="1" applyAlignment="1">
      <alignment horizontal="center" vertical="center"/>
    </xf>
    <xf numFmtId="0" fontId="31" fillId="0" borderId="72" xfId="0" applyFont="1" applyBorder="1" applyAlignment="1">
      <alignment horizontal="center" vertical="center"/>
    </xf>
    <xf numFmtId="4" fontId="1" fillId="0" borderId="0" xfId="0" applyNumberFormat="1" applyFont="1" applyAlignment="1">
      <alignment horizontal="center"/>
    </xf>
    <xf numFmtId="0" fontId="31" fillId="0" borderId="13" xfId="0" applyFont="1" applyBorder="1" applyAlignment="1">
      <alignment horizontal="center" vertical="center"/>
    </xf>
    <xf numFmtId="0" fontId="31" fillId="0" borderId="0" xfId="0" applyFont="1" applyAlignment="1"/>
    <xf numFmtId="0" fontId="31" fillId="0" borderId="0" xfId="0" applyFont="1" applyAlignment="1">
      <alignment horizontal="center" vertical="center"/>
    </xf>
    <xf numFmtId="0" fontId="31" fillId="0" borderId="0" xfId="0" applyFont="1" applyAlignment="1">
      <alignment horizontal="center" vertical="center"/>
    </xf>
    <xf numFmtId="166" fontId="31" fillId="0" borderId="0" xfId="0" applyNumberFormat="1" applyFont="1" applyAlignment="1">
      <alignment horizontal="center"/>
    </xf>
    <xf numFmtId="0" fontId="32" fillId="0" borderId="0" xfId="0" applyFont="1" applyAlignment="1">
      <alignment vertical="center"/>
    </xf>
    <xf numFmtId="1" fontId="34" fillId="0" borderId="0" xfId="0" applyNumberFormat="1" applyFont="1" applyAlignment="1">
      <alignment horizontal="center" vertical="center"/>
    </xf>
    <xf numFmtId="0" fontId="43" fillId="0" borderId="0" xfId="0" applyFont="1" applyAlignment="1">
      <alignment horizontal="left"/>
    </xf>
    <xf numFmtId="49" fontId="43" fillId="0" borderId="0" xfId="0" applyNumberFormat="1" applyFont="1" applyAlignment="1">
      <alignment horizontal="left"/>
    </xf>
    <xf numFmtId="49" fontId="43" fillId="0" borderId="0" xfId="0" applyNumberFormat="1" applyFont="1" applyAlignment="1">
      <alignment horizontal="center" vertical="center"/>
    </xf>
    <xf numFmtId="0" fontId="43" fillId="0" borderId="0" xfId="0" applyFont="1" applyAlignment="1">
      <alignment horizontal="left"/>
    </xf>
    <xf numFmtId="0" fontId="74" fillId="7" borderId="13" xfId="0" applyFont="1" applyFill="1" applyBorder="1" applyAlignment="1">
      <alignment horizontal="center" vertical="center"/>
    </xf>
    <xf numFmtId="0" fontId="32" fillId="59" borderId="13" xfId="0" applyFont="1" applyFill="1" applyBorder="1" applyAlignment="1">
      <alignment horizontal="center" vertical="center"/>
    </xf>
    <xf numFmtId="1" fontId="31" fillId="18" borderId="0" xfId="0" applyNumberFormat="1" applyFont="1" applyFill="1" applyAlignment="1"/>
    <xf numFmtId="2" fontId="31" fillId="18" borderId="0" xfId="0" applyNumberFormat="1" applyFont="1" applyFill="1" applyAlignment="1"/>
    <xf numFmtId="0" fontId="32" fillId="38" borderId="13" xfId="0" applyFont="1" applyFill="1" applyBorder="1" applyAlignment="1">
      <alignment horizontal="center" vertical="center"/>
    </xf>
    <xf numFmtId="0" fontId="19" fillId="60" borderId="13" xfId="0" applyFont="1" applyFill="1" applyBorder="1" applyAlignment="1">
      <alignment horizontal="center" vertical="center"/>
    </xf>
    <xf numFmtId="0" fontId="19" fillId="61" borderId="13" xfId="0" applyFont="1" applyFill="1" applyBorder="1" applyAlignment="1">
      <alignment horizontal="center" vertical="center"/>
    </xf>
    <xf numFmtId="0" fontId="31" fillId="39" borderId="13" xfId="0" applyFont="1" applyFill="1" applyBorder="1" applyAlignment="1">
      <alignment horizontal="center" vertical="center"/>
    </xf>
    <xf numFmtId="0" fontId="32" fillId="0" borderId="13" xfId="0" applyFont="1" applyBorder="1" applyAlignment="1">
      <alignment horizontal="center" vertical="center"/>
    </xf>
    <xf numFmtId="0" fontId="32" fillId="7" borderId="13" xfId="0" applyFont="1" applyFill="1" applyBorder="1" applyAlignment="1">
      <alignment horizontal="center" vertical="center"/>
    </xf>
    <xf numFmtId="0" fontId="32" fillId="57" borderId="13" xfId="0" applyFont="1" applyFill="1" applyBorder="1" applyAlignment="1">
      <alignment horizontal="center" vertical="center"/>
    </xf>
    <xf numFmtId="0" fontId="32" fillId="62" borderId="13" xfId="0" applyFont="1" applyFill="1" applyBorder="1" applyAlignment="1">
      <alignment horizontal="center" vertical="center"/>
    </xf>
    <xf numFmtId="0" fontId="74" fillId="4" borderId="13" xfId="0" applyFont="1" applyFill="1" applyBorder="1" applyAlignment="1">
      <alignment horizontal="center" vertical="center"/>
    </xf>
    <xf numFmtId="0" fontId="74" fillId="20" borderId="13" xfId="0" applyFont="1" applyFill="1" applyBorder="1" applyAlignment="1">
      <alignment horizontal="center" vertical="center"/>
    </xf>
    <xf numFmtId="4" fontId="32" fillId="20" borderId="13" xfId="0" applyNumberFormat="1" applyFont="1" applyFill="1" applyBorder="1" applyAlignment="1">
      <alignment horizontal="center" vertical="center"/>
    </xf>
    <xf numFmtId="3" fontId="1" fillId="0" borderId="13" xfId="0" applyNumberFormat="1" applyFont="1" applyBorder="1" applyAlignment="1">
      <alignment vertical="center"/>
    </xf>
    <xf numFmtId="3" fontId="31" fillId="18" borderId="0" xfId="0" applyNumberFormat="1" applyFont="1" applyFill="1" applyAlignment="1"/>
    <xf numFmtId="4" fontId="52" fillId="20" borderId="13" xfId="0" applyNumberFormat="1" applyFont="1" applyFill="1" applyBorder="1" applyAlignment="1">
      <alignment horizontal="center" vertical="center"/>
    </xf>
    <xf numFmtId="4" fontId="19" fillId="40" borderId="13" xfId="0" applyNumberFormat="1" applyFont="1" applyFill="1" applyBorder="1" applyAlignment="1">
      <alignment horizontal="center" vertical="center"/>
    </xf>
    <xf numFmtId="4" fontId="55" fillId="44" borderId="13" xfId="0" applyNumberFormat="1" applyFont="1" applyFill="1" applyBorder="1" applyAlignment="1">
      <alignment horizontal="center" vertical="center"/>
    </xf>
    <xf numFmtId="4" fontId="55" fillId="46" borderId="13" xfId="0" applyNumberFormat="1" applyFont="1" applyFill="1" applyBorder="1" applyAlignment="1">
      <alignment horizontal="center" vertical="center"/>
    </xf>
    <xf numFmtId="4" fontId="56" fillId="47" borderId="13" xfId="0" applyNumberFormat="1" applyFont="1" applyFill="1" applyBorder="1" applyAlignment="1">
      <alignment horizontal="center" vertical="center"/>
    </xf>
    <xf numFmtId="4" fontId="57" fillId="48" borderId="13" xfId="0" applyNumberFormat="1" applyFont="1" applyFill="1" applyBorder="1" applyAlignment="1">
      <alignment horizontal="center" vertical="center"/>
    </xf>
    <xf numFmtId="4" fontId="58" fillId="49" borderId="13" xfId="0" applyNumberFormat="1" applyFont="1" applyFill="1" applyBorder="1" applyAlignment="1">
      <alignment horizontal="center" vertical="center"/>
    </xf>
    <xf numFmtId="4" fontId="55" fillId="50" borderId="13" xfId="0" applyNumberFormat="1" applyFont="1" applyFill="1" applyBorder="1" applyAlignment="1">
      <alignment horizontal="center" vertical="center"/>
    </xf>
    <xf numFmtId="4" fontId="59" fillId="31" borderId="13" xfId="0" applyNumberFormat="1" applyFont="1" applyFill="1" applyBorder="1" applyAlignment="1">
      <alignment horizontal="center" vertical="center"/>
    </xf>
    <xf numFmtId="4" fontId="60" fillId="35" borderId="13" xfId="0" applyNumberFormat="1" applyFont="1" applyFill="1" applyBorder="1" applyAlignment="1">
      <alignment horizontal="center" vertical="center"/>
    </xf>
    <xf numFmtId="0" fontId="74" fillId="62" borderId="13" xfId="0" applyFont="1" applyFill="1" applyBorder="1" applyAlignment="1">
      <alignment horizontal="center" vertical="center"/>
    </xf>
    <xf numFmtId="0" fontId="32" fillId="20" borderId="13" xfId="0" applyFont="1" applyFill="1" applyBorder="1" applyAlignment="1">
      <alignment horizontal="center" vertical="center"/>
    </xf>
    <xf numFmtId="0" fontId="31" fillId="18" borderId="0" xfId="0" applyFont="1" applyFill="1" applyAlignment="1"/>
    <xf numFmtId="0" fontId="32" fillId="54" borderId="13" xfId="0" applyFont="1" applyFill="1" applyBorder="1" applyAlignment="1">
      <alignment horizontal="center" vertical="center"/>
    </xf>
    <xf numFmtId="0" fontId="32" fillId="37" borderId="13" xfId="0" applyFont="1" applyFill="1" applyBorder="1" applyAlignment="1">
      <alignment horizontal="center" vertical="center"/>
    </xf>
    <xf numFmtId="0" fontId="68" fillId="46" borderId="13" xfId="0" applyFont="1" applyFill="1" applyBorder="1" applyAlignment="1">
      <alignment horizontal="center" vertical="center"/>
    </xf>
    <xf numFmtId="0" fontId="32" fillId="33" borderId="13" xfId="0" applyFont="1" applyFill="1" applyBorder="1" applyAlignment="1">
      <alignment horizontal="center" vertical="center"/>
    </xf>
    <xf numFmtId="0" fontId="32" fillId="55" borderId="13" xfId="0" applyFont="1" applyFill="1" applyBorder="1" applyAlignment="1">
      <alignment horizontal="center" vertical="center"/>
    </xf>
    <xf numFmtId="0" fontId="32" fillId="0" borderId="13" xfId="0" applyFont="1" applyBorder="1" applyAlignment="1">
      <alignment horizontal="center" vertical="center"/>
    </xf>
    <xf numFmtId="0" fontId="32" fillId="56" borderId="13" xfId="0" applyFont="1" applyFill="1" applyBorder="1" applyAlignment="1">
      <alignment horizontal="center" vertical="center"/>
    </xf>
    <xf numFmtId="0" fontId="32" fillId="57" borderId="13" xfId="0" applyFont="1" applyFill="1" applyBorder="1" applyAlignment="1">
      <alignment horizontal="center" vertical="center"/>
    </xf>
    <xf numFmtId="0" fontId="74" fillId="40" borderId="13" xfId="0" applyFont="1" applyFill="1" applyBorder="1" applyAlignment="1">
      <alignment horizontal="center" vertical="center"/>
    </xf>
    <xf numFmtId="0" fontId="44" fillId="15" borderId="13" xfId="0" applyFont="1" applyFill="1" applyBorder="1" applyAlignment="1">
      <alignment horizontal="center" vertical="center"/>
    </xf>
    <xf numFmtId="4" fontId="31" fillId="18" borderId="0" xfId="0" applyNumberFormat="1" applyFont="1" applyFill="1" applyAlignment="1"/>
    <xf numFmtId="0" fontId="44" fillId="38" borderId="13" xfId="0" applyFont="1" applyFill="1" applyBorder="1" applyAlignment="1">
      <alignment horizontal="center" vertical="center"/>
    </xf>
    <xf numFmtId="0" fontId="44" fillId="39" borderId="13" xfId="0" applyFont="1" applyFill="1" applyBorder="1" applyAlignment="1">
      <alignment horizontal="center" vertical="center"/>
    </xf>
    <xf numFmtId="0" fontId="44" fillId="40" borderId="13" xfId="0" applyFont="1" applyFill="1" applyBorder="1" applyAlignment="1">
      <alignment horizontal="center" vertical="center"/>
    </xf>
    <xf numFmtId="0" fontId="44" fillId="0" borderId="13" xfId="0" applyFont="1" applyBorder="1" applyAlignment="1">
      <alignment horizontal="center" vertical="center"/>
    </xf>
    <xf numFmtId="0" fontId="44" fillId="7" borderId="13" xfId="0" applyFont="1" applyFill="1" applyBorder="1" applyAlignment="1">
      <alignment horizontal="center" vertical="center"/>
    </xf>
    <xf numFmtId="0" fontId="44" fillId="41" borderId="13" xfId="0" applyFont="1" applyFill="1" applyBorder="1" applyAlignment="1">
      <alignment horizontal="center" vertical="center"/>
    </xf>
    <xf numFmtId="0" fontId="44" fillId="42" borderId="13" xfId="0" applyFont="1" applyFill="1" applyBorder="1" applyAlignment="1">
      <alignment horizontal="center" vertical="center"/>
    </xf>
    <xf numFmtId="0" fontId="44" fillId="42" borderId="13" xfId="0" applyFont="1" applyFill="1" applyBorder="1" applyAlignment="1">
      <alignment horizontal="center" vertical="center"/>
    </xf>
    <xf numFmtId="0" fontId="1" fillId="0" borderId="0" xfId="0" applyFont="1" applyAlignment="1">
      <alignment horizontal="left"/>
    </xf>
    <xf numFmtId="0" fontId="75" fillId="0" borderId="0" xfId="0" applyFont="1" applyAlignment="1">
      <alignment horizontal="center" vertical="center"/>
    </xf>
    <xf numFmtId="2" fontId="1" fillId="0" borderId="0" xfId="0" applyNumberFormat="1" applyFont="1"/>
    <xf numFmtId="49" fontId="64" fillId="0" borderId="66" xfId="0" applyNumberFormat="1" applyFont="1" applyBorder="1" applyAlignment="1">
      <alignment horizontal="left" vertical="center"/>
    </xf>
    <xf numFmtId="0" fontId="62" fillId="0" borderId="67" xfId="0" applyFont="1" applyBorder="1" applyAlignment="1">
      <alignment horizontal="left" vertical="center"/>
    </xf>
    <xf numFmtId="49" fontId="62" fillId="0" borderId="67" xfId="0" applyNumberFormat="1" applyFont="1" applyBorder="1" applyAlignment="1">
      <alignment horizontal="left" vertical="center"/>
    </xf>
    <xf numFmtId="0" fontId="1" fillId="64" borderId="67" xfId="0" applyFont="1" applyFill="1" applyBorder="1"/>
    <xf numFmtId="0" fontId="1" fillId="64" borderId="68" xfId="0" applyFont="1" applyFill="1" applyBorder="1"/>
    <xf numFmtId="0" fontId="76" fillId="3" borderId="76" xfId="0" applyFont="1" applyFill="1" applyBorder="1" applyAlignment="1">
      <alignment horizontal="center" vertical="center"/>
    </xf>
    <xf numFmtId="0" fontId="77" fillId="3" borderId="77" xfId="0" applyFont="1" applyFill="1" applyBorder="1" applyAlignment="1">
      <alignment vertical="center"/>
    </xf>
    <xf numFmtId="0" fontId="7" fillId="0" borderId="78" xfId="0" applyFont="1" applyBorder="1" applyAlignment="1">
      <alignment horizontal="center" vertical="center"/>
    </xf>
    <xf numFmtId="0" fontId="7" fillId="0" borderId="79" xfId="0" applyFont="1" applyBorder="1" applyAlignment="1">
      <alignment horizontal="center" vertical="center"/>
    </xf>
    <xf numFmtId="0" fontId="7" fillId="0" borderId="80" xfId="0" applyFont="1" applyBorder="1" applyAlignment="1">
      <alignment horizontal="center" vertical="center"/>
    </xf>
    <xf numFmtId="0" fontId="1" fillId="64" borderId="0" xfId="0" applyFont="1" applyFill="1"/>
    <xf numFmtId="0" fontId="1" fillId="64" borderId="70" xfId="0" applyFont="1" applyFill="1" applyBorder="1"/>
    <xf numFmtId="0" fontId="1" fillId="66" borderId="0" xfId="0" applyFont="1" applyFill="1"/>
    <xf numFmtId="0" fontId="70" fillId="7" borderId="76" xfId="0" applyFont="1" applyFill="1" applyBorder="1" applyAlignment="1">
      <alignment horizontal="center" vertical="center"/>
    </xf>
    <xf numFmtId="0" fontId="70" fillId="7" borderId="77" xfId="0" applyFont="1" applyFill="1" applyBorder="1" applyAlignment="1">
      <alignment vertical="center"/>
    </xf>
    <xf numFmtId="0" fontId="7" fillId="0" borderId="13" xfId="0" applyFont="1" applyBorder="1" applyAlignment="1">
      <alignment horizontal="center" vertical="center"/>
    </xf>
    <xf numFmtId="0" fontId="7" fillId="0" borderId="37" xfId="0" applyFont="1" applyBorder="1" applyAlignment="1">
      <alignment horizontal="center" vertical="center"/>
    </xf>
    <xf numFmtId="0" fontId="7" fillId="0" borderId="84" xfId="0" applyFont="1" applyBorder="1" applyAlignment="1">
      <alignment horizontal="center" vertical="center"/>
    </xf>
    <xf numFmtId="0" fontId="45" fillId="10" borderId="76" xfId="0" applyFont="1" applyFill="1" applyBorder="1" applyAlignment="1">
      <alignment horizontal="center" vertical="center"/>
    </xf>
    <xf numFmtId="0" fontId="45" fillId="10" borderId="77" xfId="0" applyFont="1" applyFill="1" applyBorder="1" applyAlignment="1">
      <alignment vertical="center"/>
    </xf>
    <xf numFmtId="0" fontId="80" fillId="11" borderId="76" xfId="0" applyFont="1" applyFill="1" applyBorder="1" applyAlignment="1">
      <alignment horizontal="center" vertical="center"/>
    </xf>
    <xf numFmtId="0" fontId="81" fillId="11" borderId="77" xfId="0" applyFont="1" applyFill="1" applyBorder="1" applyAlignment="1">
      <alignment vertical="center"/>
    </xf>
    <xf numFmtId="3" fontId="7" fillId="0" borderId="13" xfId="0" applyNumberFormat="1" applyFont="1" applyBorder="1" applyAlignment="1">
      <alignment horizontal="center" vertical="center"/>
    </xf>
    <xf numFmtId="3" fontId="7" fillId="0" borderId="37" xfId="0" applyNumberFormat="1" applyFont="1" applyBorder="1" applyAlignment="1">
      <alignment horizontal="center" vertical="center"/>
    </xf>
    <xf numFmtId="0" fontId="82" fillId="9" borderId="76" xfId="0" applyFont="1" applyFill="1" applyBorder="1" applyAlignment="1">
      <alignment horizontal="center" vertical="center"/>
    </xf>
    <xf numFmtId="0" fontId="83" fillId="9" borderId="77" xfId="0" applyFont="1" applyFill="1" applyBorder="1" applyAlignment="1">
      <alignment vertical="center"/>
    </xf>
    <xf numFmtId="0" fontId="7" fillId="0" borderId="87" xfId="0" applyFont="1" applyBorder="1" applyAlignment="1">
      <alignment horizontal="center" vertical="center"/>
    </xf>
    <xf numFmtId="0" fontId="7" fillId="0" borderId="88" xfId="0" applyFont="1" applyBorder="1" applyAlignment="1">
      <alignment horizontal="center" vertical="center"/>
    </xf>
    <xf numFmtId="0" fontId="7" fillId="0" borderId="89" xfId="0" applyFont="1" applyBorder="1" applyAlignment="1">
      <alignment horizontal="center" vertical="center"/>
    </xf>
    <xf numFmtId="0" fontId="1" fillId="64" borderId="69" xfId="0" applyFont="1" applyFill="1" applyBorder="1"/>
    <xf numFmtId="0" fontId="1" fillId="64" borderId="0" xfId="0" applyFont="1" applyFill="1"/>
    <xf numFmtId="0" fontId="1" fillId="0" borderId="69" xfId="0" applyFont="1" applyBorder="1"/>
    <xf numFmtId="0" fontId="1" fillId="64" borderId="0" xfId="0" applyFont="1" applyFill="1" applyAlignment="1">
      <alignment vertical="center"/>
    </xf>
    <xf numFmtId="0" fontId="85" fillId="67" borderId="97" xfId="0" applyFont="1" applyFill="1" applyBorder="1" applyAlignment="1">
      <alignment horizontal="left" vertical="center"/>
    </xf>
    <xf numFmtId="0" fontId="86" fillId="67" borderId="13" xfId="0" applyFont="1" applyFill="1" applyBorder="1" applyAlignment="1">
      <alignment horizontal="left" vertical="center"/>
    </xf>
    <xf numFmtId="0" fontId="86" fillId="67" borderId="13" xfId="0" applyFont="1" applyFill="1" applyBorder="1" applyAlignment="1">
      <alignment horizontal="center" vertical="center"/>
    </xf>
    <xf numFmtId="0" fontId="86" fillId="67" borderId="84" xfId="0" applyFont="1" applyFill="1" applyBorder="1" applyAlignment="1">
      <alignment horizontal="center" vertical="center"/>
    </xf>
    <xf numFmtId="0" fontId="85" fillId="67" borderId="98" xfId="0" applyFont="1" applyFill="1" applyBorder="1" applyAlignment="1">
      <alignment horizontal="left" vertical="center"/>
    </xf>
    <xf numFmtId="0" fontId="87" fillId="39" borderId="97" xfId="0" applyFont="1" applyFill="1" applyBorder="1" applyAlignment="1">
      <alignment vertical="center"/>
    </xf>
    <xf numFmtId="0" fontId="87" fillId="39" borderId="13" xfId="0" applyFont="1" applyFill="1" applyBorder="1" applyAlignment="1">
      <alignment vertical="center"/>
    </xf>
    <xf numFmtId="0" fontId="87" fillId="39" borderId="13" xfId="0" applyFont="1" applyFill="1" applyBorder="1" applyAlignment="1">
      <alignment horizontal="center" vertical="center"/>
    </xf>
    <xf numFmtId="3" fontId="88" fillId="39" borderId="84" xfId="0" applyNumberFormat="1" applyFont="1" applyFill="1" applyBorder="1" applyAlignment="1">
      <alignment horizontal="center" vertical="center"/>
    </xf>
    <xf numFmtId="0" fontId="87" fillId="39" borderId="98" xfId="0" applyFont="1" applyFill="1" applyBorder="1" applyAlignment="1">
      <alignment vertical="center"/>
    </xf>
    <xf numFmtId="0" fontId="87" fillId="39" borderId="13" xfId="0" applyFont="1" applyFill="1" applyBorder="1" applyAlignment="1">
      <alignment horizontal="left" vertical="center"/>
    </xf>
    <xf numFmtId="0" fontId="87" fillId="39" borderId="99" xfId="0" applyFont="1" applyFill="1" applyBorder="1" applyAlignment="1">
      <alignment vertical="center"/>
    </xf>
    <xf numFmtId="0" fontId="87" fillId="39" borderId="87" xfId="0" applyFont="1" applyFill="1" applyBorder="1" applyAlignment="1">
      <alignment vertical="center"/>
    </xf>
    <xf numFmtId="0" fontId="87" fillId="39" borderId="87" xfId="0" applyFont="1" applyFill="1" applyBorder="1" applyAlignment="1">
      <alignment horizontal="center" vertical="center"/>
    </xf>
    <xf numFmtId="3" fontId="88" fillId="39" borderId="89" xfId="0" applyNumberFormat="1" applyFont="1" applyFill="1" applyBorder="1" applyAlignment="1">
      <alignment horizontal="center" vertical="center"/>
    </xf>
    <xf numFmtId="0" fontId="87" fillId="39" borderId="100" xfId="0" applyFont="1" applyFill="1" applyBorder="1" applyAlignment="1">
      <alignment vertical="center"/>
    </xf>
    <xf numFmtId="0" fontId="87" fillId="39" borderId="87" xfId="0" applyFont="1" applyFill="1" applyBorder="1" applyAlignment="1">
      <alignment horizontal="left" vertical="center"/>
    </xf>
    <xf numFmtId="0" fontId="87" fillId="39" borderId="101" xfId="0" applyFont="1" applyFill="1" applyBorder="1" applyAlignment="1">
      <alignment vertical="center"/>
    </xf>
    <xf numFmtId="0" fontId="87" fillId="39" borderId="11" xfId="0" applyFont="1" applyFill="1" applyBorder="1" applyAlignment="1">
      <alignment vertical="center"/>
    </xf>
    <xf numFmtId="0" fontId="87" fillId="39" borderId="11" xfId="0" applyFont="1" applyFill="1" applyBorder="1" applyAlignment="1">
      <alignment horizontal="center" vertical="center"/>
    </xf>
    <xf numFmtId="3" fontId="88" fillId="39" borderId="11" xfId="0" applyNumberFormat="1" applyFont="1" applyFill="1" applyBorder="1" applyAlignment="1">
      <alignment horizontal="center" vertical="center"/>
    </xf>
    <xf numFmtId="0" fontId="87" fillId="39" borderId="11" xfId="0" applyFont="1" applyFill="1" applyBorder="1" applyAlignment="1">
      <alignment vertical="center"/>
    </xf>
    <xf numFmtId="3" fontId="88" fillId="39" borderId="13" xfId="0" applyNumberFormat="1" applyFont="1" applyFill="1" applyBorder="1" applyAlignment="1">
      <alignment horizontal="center" vertical="center"/>
    </xf>
    <xf numFmtId="0" fontId="87" fillId="39" borderId="13" xfId="0" applyFont="1" applyFill="1" applyBorder="1" applyAlignment="1">
      <alignment vertical="center"/>
    </xf>
    <xf numFmtId="0" fontId="84" fillId="66" borderId="0" xfId="0" applyFont="1" applyFill="1" applyAlignment="1">
      <alignment horizontal="center" vertical="center"/>
    </xf>
    <xf numFmtId="0" fontId="84" fillId="66" borderId="69" xfId="0" applyFont="1" applyFill="1" applyBorder="1" applyAlignment="1">
      <alignment horizontal="center" vertical="center"/>
    </xf>
    <xf numFmtId="0" fontId="84" fillId="64" borderId="69" xfId="0" applyFont="1" applyFill="1" applyBorder="1" applyAlignment="1">
      <alignment horizontal="center" vertical="center"/>
    </xf>
    <xf numFmtId="0" fontId="84" fillId="64" borderId="0" xfId="0" applyFont="1" applyFill="1" applyAlignment="1">
      <alignment horizontal="center" vertical="center"/>
    </xf>
    <xf numFmtId="0" fontId="86" fillId="67" borderId="97" xfId="0" applyFont="1" applyFill="1" applyBorder="1" applyAlignment="1">
      <alignment horizontal="left" vertical="center"/>
    </xf>
    <xf numFmtId="0" fontId="86" fillId="67" borderId="98" xfId="0" applyFont="1" applyFill="1" applyBorder="1" applyAlignment="1">
      <alignment horizontal="left" vertical="center"/>
    </xf>
    <xf numFmtId="0" fontId="89" fillId="67" borderId="98" xfId="0" applyFont="1" applyFill="1" applyBorder="1" applyAlignment="1">
      <alignment vertical="center"/>
    </xf>
    <xf numFmtId="0" fontId="89" fillId="67" borderId="13" xfId="0" applyFont="1" applyFill="1" applyBorder="1" applyAlignment="1">
      <alignment vertical="center"/>
    </xf>
    <xf numFmtId="0" fontId="89" fillId="67" borderId="13" xfId="0" applyFont="1" applyFill="1" applyBorder="1" applyAlignment="1">
      <alignment horizontal="center" vertical="center"/>
    </xf>
    <xf numFmtId="0" fontId="89" fillId="67" borderId="84" xfId="0" applyFont="1" applyFill="1" applyBorder="1" applyAlignment="1">
      <alignment horizontal="center" vertical="center"/>
    </xf>
    <xf numFmtId="0" fontId="87" fillId="68" borderId="97" xfId="0" applyFont="1" applyFill="1" applyBorder="1" applyAlignment="1">
      <alignment vertical="center"/>
    </xf>
    <xf numFmtId="0" fontId="87" fillId="68" borderId="13" xfId="0" applyFont="1" applyFill="1" applyBorder="1" applyAlignment="1">
      <alignment vertical="center"/>
    </xf>
    <xf numFmtId="0" fontId="87" fillId="68" borderId="13" xfId="0" applyFont="1" applyFill="1" applyBorder="1" applyAlignment="1">
      <alignment horizontal="center" vertical="center"/>
    </xf>
    <xf numFmtId="0" fontId="88" fillId="68" borderId="84" xfId="0" applyFont="1" applyFill="1" applyBorder="1" applyAlignment="1">
      <alignment horizontal="center" vertical="center"/>
    </xf>
    <xf numFmtId="0" fontId="87" fillId="68" borderId="98" xfId="0" applyFont="1" applyFill="1" applyBorder="1" applyAlignment="1">
      <alignment vertical="center"/>
    </xf>
    <xf numFmtId="0" fontId="87" fillId="68" borderId="13" xfId="0" applyFont="1" applyFill="1" applyBorder="1" applyAlignment="1">
      <alignment vertical="center"/>
    </xf>
    <xf numFmtId="0" fontId="87" fillId="39" borderId="97" xfId="0" applyFont="1" applyFill="1" applyBorder="1" applyAlignment="1">
      <alignment vertical="center"/>
    </xf>
    <xf numFmtId="0" fontId="88" fillId="0" borderId="84" xfId="0" applyFont="1" applyBorder="1" applyAlignment="1">
      <alignment horizontal="center" vertical="center"/>
    </xf>
    <xf numFmtId="0" fontId="87" fillId="39" borderId="98" xfId="0" applyFont="1" applyFill="1" applyBorder="1" applyAlignment="1">
      <alignment vertical="center"/>
    </xf>
    <xf numFmtId="0" fontId="46" fillId="39" borderId="13" xfId="0" applyFont="1" applyFill="1" applyBorder="1" applyAlignment="1">
      <alignment vertical="center"/>
    </xf>
    <xf numFmtId="0" fontId="90" fillId="0" borderId="84" xfId="0" applyFont="1" applyBorder="1" applyAlignment="1">
      <alignment vertical="center"/>
    </xf>
    <xf numFmtId="0" fontId="87" fillId="15" borderId="97" xfId="0" applyFont="1" applyFill="1" applyBorder="1" applyAlignment="1">
      <alignment vertical="center"/>
    </xf>
    <xf numFmtId="0" fontId="87" fillId="15" borderId="13" xfId="0" applyFont="1" applyFill="1" applyBorder="1" applyAlignment="1">
      <alignment vertical="center"/>
    </xf>
    <xf numFmtId="0" fontId="87" fillId="15" borderId="13" xfId="0" applyFont="1" applyFill="1" applyBorder="1" applyAlignment="1">
      <alignment horizontal="center" vertical="center"/>
    </xf>
    <xf numFmtId="3" fontId="88" fillId="15" borderId="84" xfId="0" applyNumberFormat="1" applyFont="1" applyFill="1" applyBorder="1" applyAlignment="1">
      <alignment horizontal="center" vertical="center"/>
    </xf>
    <xf numFmtId="0" fontId="87" fillId="15" borderId="98" xfId="0" applyFont="1" applyFill="1" applyBorder="1" applyAlignment="1">
      <alignment vertical="center"/>
    </xf>
    <xf numFmtId="0" fontId="87" fillId="24" borderId="97" xfId="0" applyFont="1" applyFill="1" applyBorder="1" applyAlignment="1">
      <alignment vertical="center"/>
    </xf>
    <xf numFmtId="0" fontId="87" fillId="24" borderId="13" xfId="0" applyFont="1" applyFill="1" applyBorder="1" applyAlignment="1">
      <alignment vertical="center"/>
    </xf>
    <xf numFmtId="0" fontId="87" fillId="24" borderId="13" xfId="0" applyFont="1" applyFill="1" applyBorder="1" applyAlignment="1">
      <alignment horizontal="center" vertical="center"/>
    </xf>
    <xf numFmtId="3" fontId="88" fillId="24" borderId="84" xfId="0" applyNumberFormat="1" applyFont="1" applyFill="1" applyBorder="1" applyAlignment="1">
      <alignment horizontal="center" vertical="center"/>
    </xf>
    <xf numFmtId="0" fontId="87" fillId="24" borderId="98" xfId="0" applyFont="1" applyFill="1" applyBorder="1" applyAlignment="1">
      <alignment vertical="center"/>
    </xf>
    <xf numFmtId="0" fontId="87" fillId="38" borderId="97" xfId="0" applyFont="1" applyFill="1" applyBorder="1" applyAlignment="1">
      <alignment vertical="center"/>
    </xf>
    <xf numFmtId="0" fontId="87" fillId="38" borderId="13" xfId="0" applyFont="1" applyFill="1" applyBorder="1" applyAlignment="1">
      <alignment vertical="center"/>
    </xf>
    <xf numFmtId="0" fontId="87" fillId="38" borderId="13" xfId="0" applyFont="1" applyFill="1" applyBorder="1" applyAlignment="1">
      <alignment horizontal="center" vertical="center"/>
    </xf>
    <xf numFmtId="1" fontId="88" fillId="38" borderId="84" xfId="0" applyNumberFormat="1" applyFont="1" applyFill="1" applyBorder="1" applyAlignment="1">
      <alignment horizontal="center" vertical="center"/>
    </xf>
    <xf numFmtId="0" fontId="87" fillId="38" borderId="98" xfId="0" applyFont="1" applyFill="1" applyBorder="1" applyAlignment="1">
      <alignment vertical="center"/>
    </xf>
    <xf numFmtId="0" fontId="87" fillId="33" borderId="99" xfId="0" applyFont="1" applyFill="1" applyBorder="1" applyAlignment="1">
      <alignment vertical="center"/>
    </xf>
    <xf numFmtId="0" fontId="87" fillId="33" borderId="87" xfId="0" applyFont="1" applyFill="1" applyBorder="1" applyAlignment="1">
      <alignment vertical="center"/>
    </xf>
    <xf numFmtId="0" fontId="87" fillId="33" borderId="87" xfId="0" applyFont="1" applyFill="1" applyBorder="1" applyAlignment="1">
      <alignment horizontal="center" vertical="center"/>
    </xf>
    <xf numFmtId="3" fontId="88" fillId="33" borderId="89" xfId="0" applyNumberFormat="1" applyFont="1" applyFill="1" applyBorder="1" applyAlignment="1">
      <alignment horizontal="center" vertical="center"/>
    </xf>
    <xf numFmtId="0" fontId="87" fillId="33" borderId="100" xfId="0" applyFont="1" applyFill="1" applyBorder="1" applyAlignment="1">
      <alignment vertical="center"/>
    </xf>
    <xf numFmtId="0" fontId="1" fillId="64" borderId="69" xfId="0" applyFont="1" applyFill="1" applyBorder="1" applyAlignment="1">
      <alignment vertical="center"/>
    </xf>
    <xf numFmtId="0" fontId="91" fillId="67" borderId="13" xfId="0" applyFont="1" applyFill="1" applyBorder="1" applyAlignment="1">
      <alignment horizontal="left" vertical="center"/>
    </xf>
    <xf numFmtId="0" fontId="91" fillId="67" borderId="84" xfId="0" applyFont="1" applyFill="1" applyBorder="1" applyAlignment="1">
      <alignment horizontal="center" vertical="center"/>
    </xf>
    <xf numFmtId="0" fontId="92" fillId="67" borderId="98" xfId="0" applyFont="1" applyFill="1" applyBorder="1" applyAlignment="1">
      <alignment horizontal="left" vertical="center"/>
    </xf>
    <xf numFmtId="3" fontId="87" fillId="39" borderId="84" xfId="0" applyNumberFormat="1" applyFont="1" applyFill="1" applyBorder="1" applyAlignment="1">
      <alignment horizontal="center" vertical="center"/>
    </xf>
    <xf numFmtId="0" fontId="87" fillId="39" borderId="87" xfId="0" applyFont="1" applyFill="1" applyBorder="1" applyAlignment="1">
      <alignment vertical="center"/>
    </xf>
    <xf numFmtId="3" fontId="87" fillId="39" borderId="89" xfId="0" applyNumberFormat="1" applyFont="1" applyFill="1" applyBorder="1" applyAlignment="1">
      <alignment horizontal="center" vertical="center"/>
    </xf>
    <xf numFmtId="0" fontId="87" fillId="39" borderId="102" xfId="0" applyFont="1" applyFill="1" applyBorder="1" applyAlignment="1">
      <alignment vertical="center"/>
    </xf>
    <xf numFmtId="3" fontId="87" fillId="39" borderId="103" xfId="0" applyNumberFormat="1" applyFont="1" applyFill="1" applyBorder="1" applyAlignment="1">
      <alignment vertical="center"/>
    </xf>
    <xf numFmtId="0" fontId="1" fillId="6" borderId="0" xfId="0" applyFont="1" applyFill="1" applyAlignment="1">
      <alignment vertical="center"/>
    </xf>
    <xf numFmtId="3" fontId="1" fillId="6" borderId="0" xfId="0" applyNumberFormat="1" applyFont="1" applyFill="1" applyAlignment="1">
      <alignment vertical="center"/>
    </xf>
    <xf numFmtId="3" fontId="87" fillId="39" borderId="104" xfId="0" applyNumberFormat="1" applyFont="1" applyFill="1" applyBorder="1" applyAlignment="1">
      <alignment vertical="center"/>
    </xf>
    <xf numFmtId="3" fontId="87" fillId="39" borderId="105" xfId="0" applyNumberFormat="1" applyFont="1" applyFill="1" applyBorder="1" applyAlignment="1">
      <alignment vertical="center"/>
    </xf>
    <xf numFmtId="0" fontId="87" fillId="39" borderId="84" xfId="0" applyFont="1" applyFill="1" applyBorder="1" applyAlignment="1">
      <alignment horizontal="center" vertical="center"/>
    </xf>
    <xf numFmtId="1" fontId="87" fillId="39" borderId="84" xfId="0" applyNumberFormat="1" applyFont="1" applyFill="1" applyBorder="1" applyAlignment="1">
      <alignment horizontal="center" vertical="center"/>
    </xf>
    <xf numFmtId="0" fontId="87" fillId="39" borderId="89" xfId="0" applyFont="1" applyFill="1" applyBorder="1" applyAlignment="1">
      <alignment horizontal="center" vertical="center"/>
    </xf>
    <xf numFmtId="1" fontId="87" fillId="39" borderId="89" xfId="0" applyNumberFormat="1" applyFont="1" applyFill="1" applyBorder="1" applyAlignment="1">
      <alignment horizontal="center" vertical="center"/>
    </xf>
    <xf numFmtId="0" fontId="94" fillId="64" borderId="0" xfId="0" applyFont="1" applyFill="1" applyAlignment="1">
      <alignment vertical="center"/>
    </xf>
    <xf numFmtId="0" fontId="91" fillId="67" borderId="84" xfId="0" applyFont="1" applyFill="1" applyBorder="1" applyAlignment="1">
      <alignment horizontal="left" vertical="center"/>
    </xf>
    <xf numFmtId="0" fontId="87" fillId="39" borderId="13" xfId="0" applyFont="1" applyFill="1" applyBorder="1" applyAlignment="1">
      <alignment horizontal="left" vertical="center"/>
    </xf>
    <xf numFmtId="0" fontId="87" fillId="39" borderId="87" xfId="0" applyFont="1" applyFill="1" applyBorder="1" applyAlignment="1">
      <alignment horizontal="left" vertical="center"/>
    </xf>
    <xf numFmtId="0" fontId="95" fillId="69" borderId="106" xfId="0" applyFont="1" applyFill="1" applyBorder="1" applyAlignment="1">
      <alignment vertical="center"/>
    </xf>
    <xf numFmtId="3" fontId="96" fillId="69" borderId="106" xfId="0" applyNumberFormat="1" applyFont="1" applyFill="1" applyBorder="1" applyAlignment="1">
      <alignment horizontal="center" vertical="center"/>
    </xf>
    <xf numFmtId="0" fontId="97" fillId="69" borderId="106" xfId="0" applyFont="1" applyFill="1" applyBorder="1" applyAlignment="1">
      <alignment vertical="center"/>
    </xf>
    <xf numFmtId="0" fontId="98" fillId="69" borderId="106" xfId="0" applyFont="1" applyFill="1" applyBorder="1" applyAlignment="1">
      <alignment horizontal="center" vertical="center"/>
    </xf>
    <xf numFmtId="0" fontId="99" fillId="64" borderId="0" xfId="0" applyFont="1" applyFill="1" applyAlignment="1">
      <alignment vertical="center"/>
    </xf>
    <xf numFmtId="0" fontId="100" fillId="64" borderId="0" xfId="0" applyFont="1" applyFill="1" applyAlignment="1">
      <alignment vertical="center"/>
    </xf>
    <xf numFmtId="0" fontId="1" fillId="64" borderId="70" xfId="0" applyFont="1" applyFill="1" applyBorder="1" applyAlignment="1">
      <alignment vertical="center"/>
    </xf>
    <xf numFmtId="0" fontId="1" fillId="64" borderId="81" xfId="0" applyFont="1" applyFill="1" applyBorder="1" applyAlignment="1">
      <alignment vertical="center"/>
    </xf>
    <xf numFmtId="0" fontId="1" fillId="64" borderId="83" xfId="0" applyFont="1" applyFill="1" applyBorder="1" applyAlignment="1">
      <alignment vertical="center"/>
    </xf>
    <xf numFmtId="0" fontId="1" fillId="64" borderId="82" xfId="0" applyFont="1" applyFill="1" applyBorder="1" applyAlignment="1">
      <alignment vertical="center"/>
    </xf>
    <xf numFmtId="0" fontId="101" fillId="5" borderId="7" xfId="0" applyFont="1" applyFill="1" applyBorder="1" applyAlignment="1">
      <alignment horizontal="center" vertical="center"/>
    </xf>
    <xf numFmtId="0" fontId="101" fillId="5" borderId="29" xfId="0" applyFont="1" applyFill="1" applyBorder="1" applyAlignment="1">
      <alignment horizontal="center" vertical="center" wrapText="1"/>
    </xf>
    <xf numFmtId="0" fontId="102" fillId="64" borderId="0" xfId="0" applyFont="1" applyFill="1" applyAlignment="1">
      <alignment vertical="center"/>
    </xf>
    <xf numFmtId="0" fontId="1" fillId="64" borderId="85" xfId="0" applyFont="1" applyFill="1" applyBorder="1" applyAlignment="1">
      <alignment vertical="center"/>
    </xf>
    <xf numFmtId="0" fontId="101" fillId="5" borderId="7" xfId="0" applyFont="1" applyFill="1" applyBorder="1" applyAlignment="1">
      <alignment horizontal="center" wrapText="1"/>
    </xf>
    <xf numFmtId="0" fontId="1" fillId="64" borderId="86" xfId="0" applyFont="1" applyFill="1" applyBorder="1" applyAlignment="1">
      <alignment vertical="center"/>
    </xf>
    <xf numFmtId="0" fontId="6" fillId="3" borderId="21" xfId="0" applyFont="1" applyFill="1" applyBorder="1" applyAlignment="1">
      <alignment horizontal="center" vertical="center"/>
    </xf>
    <xf numFmtId="0" fontId="7" fillId="0" borderId="13" xfId="0" applyFont="1" applyBorder="1" applyAlignment="1">
      <alignment horizontal="center"/>
    </xf>
    <xf numFmtId="0" fontId="102" fillId="64" borderId="0" xfId="0" applyFont="1" applyFill="1" applyAlignment="1">
      <alignment horizontal="left" vertical="center"/>
    </xf>
    <xf numFmtId="0" fontId="11" fillId="9" borderId="21" xfId="0" applyFont="1" applyFill="1" applyBorder="1" applyAlignment="1">
      <alignment horizontal="center" vertical="center"/>
    </xf>
    <xf numFmtId="3" fontId="7" fillId="0" borderId="13" xfId="0" applyNumberFormat="1" applyFont="1" applyBorder="1" applyAlignment="1">
      <alignment horizontal="center"/>
    </xf>
    <xf numFmtId="3" fontId="102" fillId="64" borderId="0" xfId="0" applyNumberFormat="1" applyFont="1" applyFill="1" applyAlignment="1">
      <alignment horizontal="left" vertical="center"/>
    </xf>
    <xf numFmtId="0" fontId="10" fillId="7" borderId="21" xfId="0" applyFont="1" applyFill="1" applyBorder="1" applyAlignment="1">
      <alignment horizontal="center" vertical="center"/>
    </xf>
    <xf numFmtId="0" fontId="12" fillId="10" borderId="21" xfId="0" applyFont="1" applyFill="1" applyBorder="1" applyAlignment="1">
      <alignment horizontal="center" vertical="center"/>
    </xf>
    <xf numFmtId="1" fontId="7" fillId="0" borderId="13" xfId="0" applyNumberFormat="1" applyFont="1" applyBorder="1" applyAlignment="1">
      <alignment horizontal="center"/>
    </xf>
    <xf numFmtId="1" fontId="102" fillId="64" borderId="0" xfId="0" applyNumberFormat="1" applyFont="1" applyFill="1" applyAlignment="1">
      <alignment horizontal="left" vertical="center"/>
    </xf>
    <xf numFmtId="0" fontId="13" fillId="11" borderId="21" xfId="0" applyFont="1" applyFill="1" applyBorder="1" applyAlignment="1">
      <alignment horizontal="center" vertical="center"/>
    </xf>
    <xf numFmtId="0" fontId="1" fillId="64" borderId="90" xfId="0" applyFont="1" applyFill="1" applyBorder="1" applyAlignment="1">
      <alignment vertical="center"/>
    </xf>
    <xf numFmtId="0" fontId="1" fillId="64" borderId="92" xfId="0" applyFont="1" applyFill="1" applyBorder="1" applyAlignment="1">
      <alignment vertical="center"/>
    </xf>
    <xf numFmtId="0" fontId="1" fillId="64" borderId="91" xfId="0" applyFont="1" applyFill="1" applyBorder="1" applyAlignment="1">
      <alignment vertical="center"/>
    </xf>
    <xf numFmtId="3" fontId="1" fillId="64" borderId="0" xfId="0" applyNumberFormat="1" applyFont="1" applyFill="1" applyAlignment="1">
      <alignment vertical="center"/>
    </xf>
    <xf numFmtId="1" fontId="1" fillId="64" borderId="0" xfId="0" applyNumberFormat="1" applyFont="1" applyFill="1" applyAlignment="1">
      <alignment vertical="center"/>
    </xf>
    <xf numFmtId="0" fontId="103" fillId="2" borderId="107" xfId="0" applyFont="1" applyFill="1" applyBorder="1" applyAlignment="1">
      <alignment vertical="center"/>
    </xf>
    <xf numFmtId="0" fontId="103" fillId="2" borderId="108" xfId="0" applyFont="1" applyFill="1" applyBorder="1" applyAlignment="1">
      <alignment vertical="center"/>
    </xf>
    <xf numFmtId="0" fontId="104" fillId="2" borderId="108" xfId="0" applyFont="1" applyFill="1" applyBorder="1" applyAlignment="1">
      <alignment vertical="center"/>
    </xf>
    <xf numFmtId="0" fontId="103" fillId="2" borderId="109" xfId="0" applyFont="1" applyFill="1" applyBorder="1"/>
    <xf numFmtId="0" fontId="105" fillId="70" borderId="13" xfId="0" applyFont="1" applyFill="1" applyBorder="1" applyAlignment="1"/>
    <xf numFmtId="0" fontId="1" fillId="0" borderId="0" xfId="0" applyFont="1" applyAlignment="1"/>
    <xf numFmtId="0" fontId="64" fillId="70" borderId="13" xfId="0" applyFont="1" applyFill="1" applyBorder="1" applyAlignment="1"/>
    <xf numFmtId="0" fontId="106" fillId="0" borderId="13" xfId="0" applyFont="1" applyBorder="1" applyAlignment="1">
      <alignment horizontal="center"/>
    </xf>
    <xf numFmtId="0" fontId="102" fillId="0" borderId="0" xfId="0" applyFont="1" applyAlignment="1"/>
    <xf numFmtId="0" fontId="105" fillId="0" borderId="0" xfId="0" applyFont="1" applyAlignment="1"/>
    <xf numFmtId="0" fontId="102" fillId="50" borderId="13" xfId="0" applyFont="1" applyFill="1" applyBorder="1" applyAlignment="1"/>
    <xf numFmtId="167" fontId="1" fillId="0" borderId="0" xfId="0" applyNumberFormat="1" applyFont="1" applyAlignment="1"/>
    <xf numFmtId="0" fontId="105" fillId="70" borderId="110" xfId="0" applyFont="1" applyFill="1" applyBorder="1" applyAlignment="1"/>
    <xf numFmtId="0" fontId="105" fillId="70" borderId="111" xfId="0" applyFont="1" applyFill="1" applyBorder="1" applyAlignment="1"/>
    <xf numFmtId="0" fontId="105" fillId="70" borderId="112" xfId="0" applyFont="1" applyFill="1" applyBorder="1" applyAlignment="1"/>
    <xf numFmtId="0" fontId="105" fillId="0" borderId="37" xfId="0" applyFont="1" applyBorder="1" applyAlignment="1"/>
    <xf numFmtId="0" fontId="105" fillId="0" borderId="13" xfId="0" applyFont="1" applyBorder="1" applyAlignment="1"/>
    <xf numFmtId="0" fontId="102" fillId="71" borderId="113" xfId="0" applyFont="1" applyFill="1" applyBorder="1" applyAlignment="1"/>
    <xf numFmtId="0" fontId="31" fillId="0" borderId="13" xfId="0" applyFont="1" applyBorder="1" applyAlignment="1"/>
    <xf numFmtId="0" fontId="1" fillId="0" borderId="114" xfId="0" applyFont="1" applyBorder="1" applyAlignment="1"/>
    <xf numFmtId="0" fontId="102" fillId="71" borderId="13" xfId="0" applyFont="1" applyFill="1" applyBorder="1" applyAlignment="1"/>
    <xf numFmtId="0" fontId="1" fillId="0" borderId="13" xfId="0" applyFont="1" applyBorder="1" applyAlignment="1">
      <alignment horizontal="center"/>
    </xf>
    <xf numFmtId="0" fontId="1" fillId="35" borderId="113" xfId="0" applyFont="1" applyFill="1" applyBorder="1" applyAlignment="1"/>
    <xf numFmtId="0" fontId="31" fillId="0" borderId="13" xfId="0" applyFont="1" applyBorder="1" applyAlignment="1"/>
    <xf numFmtId="0" fontId="1" fillId="35" borderId="13" xfId="0" applyFont="1" applyFill="1" applyBorder="1" applyAlignment="1"/>
    <xf numFmtId="0" fontId="1" fillId="7" borderId="13" xfId="0" applyFont="1" applyFill="1" applyBorder="1" applyAlignment="1"/>
    <xf numFmtId="0" fontId="1" fillId="40" borderId="13" xfId="0" applyFont="1" applyFill="1" applyBorder="1" applyAlignment="1"/>
    <xf numFmtId="0" fontId="1" fillId="7" borderId="113" xfId="0" applyFont="1" applyFill="1" applyBorder="1" applyAlignment="1"/>
    <xf numFmtId="0" fontId="1" fillId="20" borderId="13" xfId="0" applyFont="1" applyFill="1" applyBorder="1" applyAlignment="1"/>
    <xf numFmtId="0" fontId="1" fillId="40" borderId="113" xfId="0" applyFont="1" applyFill="1" applyBorder="1" applyAlignment="1"/>
    <xf numFmtId="0" fontId="1" fillId="20" borderId="113" xfId="0" applyFont="1" applyFill="1" applyBorder="1" applyAlignment="1"/>
    <xf numFmtId="0" fontId="1" fillId="20" borderId="115" xfId="0" applyFont="1" applyFill="1" applyBorder="1" applyAlignment="1"/>
    <xf numFmtId="0" fontId="44" fillId="0" borderId="116" xfId="0" applyFont="1" applyBorder="1" applyAlignment="1"/>
    <xf numFmtId="0" fontId="1" fillId="0" borderId="117" xfId="0" applyFont="1" applyBorder="1" applyAlignment="1"/>
    <xf numFmtId="0" fontId="1" fillId="0" borderId="118" xfId="0" applyFont="1" applyBorder="1" applyAlignment="1"/>
    <xf numFmtId="0" fontId="1" fillId="0" borderId="116" xfId="0" applyFont="1" applyBorder="1" applyAlignment="1"/>
    <xf numFmtId="0" fontId="1" fillId="40" borderId="119" xfId="0" applyFont="1" applyFill="1" applyBorder="1" applyAlignment="1"/>
    <xf numFmtId="0" fontId="44" fillId="0" borderId="120" xfId="0" applyFont="1" applyBorder="1" applyAlignment="1"/>
    <xf numFmtId="0" fontId="1" fillId="0" borderId="121" xfId="0" applyFont="1" applyBorder="1" applyAlignment="1"/>
    <xf numFmtId="0" fontId="1" fillId="0" borderId="122" xfId="0" applyFont="1" applyBorder="1" applyAlignment="1"/>
    <xf numFmtId="0" fontId="1" fillId="0" borderId="123" xfId="0" applyFont="1" applyBorder="1" applyAlignment="1"/>
    <xf numFmtId="0" fontId="1" fillId="20" borderId="124" xfId="0" applyFont="1" applyFill="1" applyBorder="1" applyAlignment="1"/>
    <xf numFmtId="0" fontId="44" fillId="0" borderId="125" xfId="0" applyFont="1" applyBorder="1" applyAlignment="1"/>
    <xf numFmtId="0" fontId="1" fillId="0" borderId="126" xfId="0" applyFont="1" applyBorder="1" applyAlignment="1"/>
    <xf numFmtId="0" fontId="1" fillId="0" borderId="127" xfId="0" applyFont="1" applyBorder="1" applyAlignment="1"/>
    <xf numFmtId="0" fontId="1" fillId="0" borderId="128" xfId="0" applyFont="1" applyBorder="1" applyAlignment="1"/>
    <xf numFmtId="0" fontId="102" fillId="72" borderId="13" xfId="0" applyFont="1" applyFill="1" applyBorder="1" applyAlignment="1"/>
    <xf numFmtId="0" fontId="105" fillId="70" borderId="119" xfId="0" applyFont="1" applyFill="1" applyBorder="1" applyAlignment="1"/>
    <xf numFmtId="0" fontId="105" fillId="70" borderId="120" xfId="0" applyFont="1" applyFill="1" applyBorder="1" applyAlignment="1"/>
    <xf numFmtId="0" fontId="105" fillId="70" borderId="123" xfId="0" applyFont="1" applyFill="1" applyBorder="1" applyAlignment="1"/>
    <xf numFmtId="0" fontId="105" fillId="70" borderId="37" xfId="0" applyFont="1" applyFill="1" applyBorder="1" applyAlignment="1"/>
    <xf numFmtId="0" fontId="102" fillId="71" borderId="129" xfId="0" applyFont="1" applyFill="1" applyBorder="1" applyAlignment="1"/>
    <xf numFmtId="0" fontId="31" fillId="0" borderId="114" xfId="0" applyFont="1" applyBorder="1" applyAlignment="1"/>
    <xf numFmtId="0" fontId="31" fillId="0" borderId="36" xfId="0" applyFont="1" applyBorder="1" applyAlignment="1"/>
    <xf numFmtId="0" fontId="31" fillId="0" borderId="130" xfId="0" applyFont="1" applyBorder="1" applyAlignment="1"/>
    <xf numFmtId="0" fontId="31" fillId="0" borderId="0" xfId="0" applyFont="1" applyAlignment="1"/>
    <xf numFmtId="0" fontId="102" fillId="71" borderId="37" xfId="0" applyFont="1" applyFill="1" applyBorder="1" applyAlignment="1"/>
    <xf numFmtId="0" fontId="35" fillId="0" borderId="0" xfId="0" applyFont="1" applyAlignment="1"/>
    <xf numFmtId="0" fontId="1" fillId="35" borderId="37" xfId="0" applyFont="1" applyFill="1" applyBorder="1" applyAlignment="1"/>
    <xf numFmtId="0" fontId="1" fillId="35" borderId="129" xfId="0" applyFont="1" applyFill="1" applyBorder="1" applyAlignment="1"/>
    <xf numFmtId="0" fontId="1" fillId="7" borderId="37" xfId="0" applyFont="1" applyFill="1" applyBorder="1" applyAlignment="1"/>
    <xf numFmtId="0" fontId="1" fillId="7" borderId="129" xfId="0" applyFont="1" applyFill="1" applyBorder="1" applyAlignment="1"/>
    <xf numFmtId="0" fontId="1" fillId="40" borderId="37" xfId="0" applyFont="1" applyFill="1" applyBorder="1" applyAlignment="1"/>
    <xf numFmtId="0" fontId="1" fillId="40" borderId="129" xfId="0" applyFont="1" applyFill="1" applyBorder="1" applyAlignment="1"/>
    <xf numFmtId="0" fontId="1" fillId="20" borderId="37" xfId="0" applyFont="1" applyFill="1" applyBorder="1" applyAlignment="1"/>
    <xf numFmtId="0" fontId="1" fillId="20" borderId="129" xfId="0" applyFont="1" applyFill="1" applyBorder="1" applyAlignment="1"/>
    <xf numFmtId="4" fontId="32" fillId="23" borderId="13" xfId="0" applyNumberFormat="1" applyFont="1" applyFill="1" applyBorder="1" applyAlignment="1"/>
    <xf numFmtId="0" fontId="1" fillId="20" borderId="131" xfId="0" applyFont="1" applyFill="1" applyBorder="1" applyAlignment="1"/>
    <xf numFmtId="4" fontId="32" fillId="23" borderId="116" xfId="0" applyNumberFormat="1" applyFont="1" applyFill="1" applyBorder="1" applyAlignment="1"/>
    <xf numFmtId="0" fontId="31" fillId="0" borderId="117" xfId="0" applyFont="1" applyBorder="1" applyAlignment="1"/>
    <xf numFmtId="0" fontId="31" fillId="0" borderId="118" xfId="0" applyFont="1" applyBorder="1" applyAlignment="1"/>
    <xf numFmtId="0" fontId="31" fillId="0" borderId="132" xfId="0" applyFont="1" applyBorder="1" applyAlignment="1"/>
    <xf numFmtId="0" fontId="102" fillId="71" borderId="133" xfId="0" applyFont="1" applyFill="1" applyBorder="1" applyAlignment="1">
      <alignment horizontal="right"/>
    </xf>
    <xf numFmtId="0" fontId="31" fillId="0" borderId="134" xfId="0" applyFont="1" applyBorder="1" applyAlignment="1"/>
    <xf numFmtId="0" fontId="1" fillId="0" borderId="135" xfId="0" applyFont="1" applyBorder="1" applyAlignment="1"/>
    <xf numFmtId="0" fontId="1" fillId="0" borderId="136" xfId="0" applyFont="1" applyBorder="1" applyAlignment="1"/>
    <xf numFmtId="0" fontId="1" fillId="0" borderId="137" xfId="0" applyFont="1" applyBorder="1" applyAlignment="1"/>
    <xf numFmtId="0" fontId="107" fillId="6" borderId="0" xfId="0" applyFont="1" applyFill="1" applyAlignment="1"/>
    <xf numFmtId="0" fontId="102" fillId="35" borderId="13" xfId="0" applyFont="1" applyFill="1" applyBorder="1" applyAlignment="1"/>
    <xf numFmtId="0" fontId="38" fillId="29" borderId="113" xfId="0" applyFont="1" applyFill="1" applyBorder="1" applyAlignment="1"/>
    <xf numFmtId="0" fontId="38" fillId="29" borderId="13" xfId="0" applyFont="1" applyFill="1" applyBorder="1" applyAlignment="1"/>
    <xf numFmtId="0" fontId="1" fillId="0" borderId="13" xfId="0" applyFont="1" applyBorder="1" applyAlignment="1">
      <alignment horizontal="center"/>
    </xf>
    <xf numFmtId="0" fontId="36" fillId="73" borderId="113" xfId="0" applyFont="1" applyFill="1" applyBorder="1" applyAlignment="1"/>
    <xf numFmtId="0" fontId="36" fillId="73" borderId="13" xfId="0" applyFont="1" applyFill="1" applyBorder="1" applyAlignment="1"/>
    <xf numFmtId="0" fontId="41" fillId="20" borderId="113" xfId="0" applyFont="1" applyFill="1" applyBorder="1" applyAlignment="1"/>
    <xf numFmtId="0" fontId="41" fillId="20" borderId="13" xfId="0" applyFont="1" applyFill="1" applyBorder="1" applyAlignment="1"/>
    <xf numFmtId="0" fontId="41" fillId="20" borderId="115" xfId="0" applyFont="1" applyFill="1" applyBorder="1" applyAlignment="1"/>
    <xf numFmtId="0" fontId="41" fillId="20" borderId="116" xfId="0" applyFont="1" applyFill="1" applyBorder="1" applyAlignment="1"/>
    <xf numFmtId="0" fontId="38" fillId="29" borderId="133" xfId="0" applyFont="1" applyFill="1" applyBorder="1" applyAlignment="1"/>
    <xf numFmtId="0" fontId="38" fillId="29" borderId="134" xfId="0" applyFont="1" applyFill="1" applyBorder="1" applyAlignment="1"/>
    <xf numFmtId="0" fontId="102" fillId="41" borderId="13" xfId="0" applyFont="1" applyFill="1" applyBorder="1" applyAlignment="1"/>
    <xf numFmtId="0" fontId="31" fillId="0" borderId="114" xfId="0" applyFont="1" applyBorder="1" applyAlignment="1"/>
    <xf numFmtId="0" fontId="31" fillId="0" borderId="37" xfId="0" applyFont="1" applyBorder="1" applyAlignment="1"/>
    <xf numFmtId="0" fontId="31" fillId="0" borderId="13" xfId="0" applyFont="1" applyBorder="1" applyAlignment="1"/>
    <xf numFmtId="0" fontId="31" fillId="0" borderId="37" xfId="0" applyFont="1" applyBorder="1" applyAlignment="1"/>
    <xf numFmtId="0" fontId="31" fillId="0" borderId="13" xfId="0" applyFont="1" applyBorder="1" applyAlignment="1"/>
    <xf numFmtId="0" fontId="31" fillId="0" borderId="36" xfId="0" applyFont="1" applyBorder="1" applyAlignment="1"/>
    <xf numFmtId="0" fontId="31" fillId="0" borderId="13" xfId="0" applyFont="1" applyBorder="1" applyAlignment="1"/>
    <xf numFmtId="0" fontId="44" fillId="0" borderId="0" xfId="0" applyFont="1" applyAlignment="1"/>
    <xf numFmtId="0" fontId="31" fillId="0" borderId="117" xfId="0" applyFont="1" applyBorder="1" applyAlignment="1"/>
    <xf numFmtId="0" fontId="31" fillId="0" borderId="118" xfId="0" applyFont="1" applyBorder="1" applyAlignment="1"/>
    <xf numFmtId="0" fontId="31" fillId="0" borderId="116" xfId="0" applyFont="1" applyBorder="1" applyAlignment="1"/>
    <xf numFmtId="0" fontId="1" fillId="35" borderId="21" xfId="0" applyFont="1" applyFill="1" applyBorder="1" applyAlignment="1">
      <alignment horizontal="right"/>
    </xf>
    <xf numFmtId="0" fontId="31" fillId="0" borderId="135" xfId="0" applyFont="1" applyBorder="1" applyAlignment="1"/>
    <xf numFmtId="0" fontId="31" fillId="0" borderId="136" xfId="0" applyFont="1" applyBorder="1" applyAlignment="1"/>
    <xf numFmtId="0" fontId="31" fillId="0" borderId="137" xfId="0" applyFont="1" applyBorder="1" applyAlignment="1"/>
    <xf numFmtId="0" fontId="102" fillId="40" borderId="13" xfId="0" applyFont="1" applyFill="1" applyBorder="1" applyAlignment="1"/>
    <xf numFmtId="0" fontId="108" fillId="74" borderId="113" xfId="0" applyFont="1" applyFill="1" applyBorder="1" applyAlignment="1"/>
    <xf numFmtId="0" fontId="108" fillId="74" borderId="13" xfId="0" applyFont="1" applyFill="1" applyBorder="1" applyAlignment="1"/>
    <xf numFmtId="0" fontId="31" fillId="0" borderId="114" xfId="0" applyFont="1" applyBorder="1" applyAlignment="1"/>
    <xf numFmtId="0" fontId="44" fillId="0" borderId="0" xfId="0" applyFont="1" applyAlignment="1"/>
    <xf numFmtId="0" fontId="31" fillId="0" borderId="36" xfId="0" applyFont="1" applyBorder="1" applyAlignment="1"/>
    <xf numFmtId="0" fontId="31" fillId="0" borderId="117" xfId="0" applyFont="1" applyBorder="1" applyAlignment="1"/>
    <xf numFmtId="0" fontId="31" fillId="0" borderId="118" xfId="0" applyFont="1" applyBorder="1" applyAlignment="1"/>
    <xf numFmtId="0" fontId="31" fillId="0" borderId="116" xfId="0" applyFont="1" applyBorder="1" applyAlignment="1"/>
    <xf numFmtId="0" fontId="38" fillId="29" borderId="119" xfId="0" applyFont="1" applyFill="1" applyBorder="1" applyAlignment="1"/>
    <xf numFmtId="0" fontId="38" fillId="29" borderId="120" xfId="0" applyFont="1" applyFill="1" applyBorder="1" applyAlignment="1"/>
    <xf numFmtId="0" fontId="41" fillId="20" borderId="124" xfId="0" applyFont="1" applyFill="1" applyBorder="1" applyAlignment="1"/>
    <xf numFmtId="0" fontId="41" fillId="20" borderId="125" xfId="0" applyFont="1" applyFill="1" applyBorder="1" applyAlignment="1"/>
    <xf numFmtId="0" fontId="1" fillId="0" borderId="126" xfId="0" applyFont="1" applyBorder="1" applyAlignment="1"/>
    <xf numFmtId="0" fontId="1" fillId="0" borderId="127" xfId="0" applyFont="1" applyBorder="1" applyAlignment="1"/>
    <xf numFmtId="0" fontId="1" fillId="0" borderId="128" xfId="0" applyFont="1" applyBorder="1" applyAlignment="1"/>
    <xf numFmtId="0" fontId="102" fillId="46" borderId="13" xfId="0" applyFont="1" applyFill="1" applyBorder="1" applyAlignment="1"/>
    <xf numFmtId="0" fontId="64" fillId="70" borderId="119" xfId="0" applyFont="1" applyFill="1" applyBorder="1" applyAlignment="1"/>
    <xf numFmtId="0" fontId="64" fillId="70" borderId="120" xfId="0" applyFont="1" applyFill="1" applyBorder="1" applyAlignment="1"/>
    <xf numFmtId="0" fontId="64" fillId="70" borderId="123" xfId="0" applyFont="1" applyFill="1" applyBorder="1" applyAlignment="1"/>
    <xf numFmtId="0" fontId="36" fillId="71" borderId="129" xfId="0" applyFont="1" applyFill="1" applyBorder="1" applyAlignment="1"/>
    <xf numFmtId="0" fontId="36" fillId="71" borderId="13" xfId="0" applyFont="1" applyFill="1" applyBorder="1" applyAlignment="1"/>
    <xf numFmtId="0" fontId="1" fillId="0" borderId="114" xfId="0" applyFont="1" applyBorder="1" applyAlignment="1"/>
    <xf numFmtId="0" fontId="1" fillId="0" borderId="130" xfId="0" applyFont="1" applyBorder="1" applyAlignment="1"/>
    <xf numFmtId="0" fontId="108" fillId="74" borderId="129" xfId="0" applyFont="1" applyFill="1" applyBorder="1" applyAlignment="1"/>
    <xf numFmtId="0" fontId="1" fillId="0" borderId="130" xfId="0" applyFont="1" applyBorder="1" applyAlignment="1"/>
    <xf numFmtId="0" fontId="38" fillId="29" borderId="129" xfId="0" applyFont="1" applyFill="1" applyBorder="1" applyAlignment="1"/>
    <xf numFmtId="0" fontId="1" fillId="0" borderId="36" xfId="0" applyFont="1" applyBorder="1" applyAlignment="1"/>
    <xf numFmtId="0" fontId="41" fillId="22" borderId="131" xfId="0" applyFont="1" applyFill="1" applyBorder="1" applyAlignment="1"/>
    <xf numFmtId="0" fontId="41" fillId="22" borderId="116" xfId="0" applyFont="1" applyFill="1" applyBorder="1" applyAlignment="1"/>
    <xf numFmtId="0" fontId="1" fillId="0" borderId="117" xfId="0" applyFont="1" applyBorder="1" applyAlignment="1"/>
    <xf numFmtId="0" fontId="1" fillId="0" borderId="118" xfId="0" applyFont="1" applyBorder="1" applyAlignment="1"/>
    <xf numFmtId="0" fontId="1" fillId="0" borderId="132" xfId="0" applyFont="1" applyBorder="1" applyAlignment="1"/>
    <xf numFmtId="0" fontId="105" fillId="0" borderId="0" xfId="0" applyFont="1" applyAlignment="1">
      <alignment horizontal="center"/>
    </xf>
    <xf numFmtId="0" fontId="36" fillId="71" borderId="119" xfId="0" applyFont="1" applyFill="1" applyBorder="1" applyAlignment="1"/>
    <xf numFmtId="0" fontId="36" fillId="71" borderId="120" xfId="0" applyFont="1" applyFill="1" applyBorder="1" applyAlignment="1"/>
    <xf numFmtId="0" fontId="1" fillId="0" borderId="13" xfId="0" applyFont="1" applyBorder="1" applyAlignment="1"/>
    <xf numFmtId="0" fontId="1" fillId="0" borderId="130" xfId="0" applyFont="1" applyBorder="1" applyAlignment="1"/>
    <xf numFmtId="0" fontId="36" fillId="73" borderId="124" xfId="0" applyFont="1" applyFill="1" applyBorder="1" applyAlignment="1"/>
    <xf numFmtId="0" fontId="36" fillId="73" borderId="125" xfId="0" applyFont="1" applyFill="1" applyBorder="1" applyAlignment="1"/>
    <xf numFmtId="0" fontId="1" fillId="0" borderId="138" xfId="0" applyFont="1" applyBorder="1"/>
    <xf numFmtId="168" fontId="106" fillId="0" borderId="13" xfId="0" applyNumberFormat="1" applyFont="1" applyBorder="1" applyAlignment="1">
      <alignment horizontal="center"/>
    </xf>
    <xf numFmtId="0" fontId="102" fillId="10" borderId="13" xfId="0" applyFont="1" applyFill="1" applyBorder="1" applyAlignment="1"/>
    <xf numFmtId="0" fontId="109" fillId="0" borderId="0" xfId="0" applyFont="1" applyAlignment="1"/>
    <xf numFmtId="0" fontId="31" fillId="0" borderId="130" xfId="0" applyFont="1" applyBorder="1" applyAlignment="1"/>
    <xf numFmtId="0" fontId="31" fillId="0" borderId="116" xfId="0" applyFont="1" applyBorder="1" applyAlignment="1"/>
    <xf numFmtId="0" fontId="1" fillId="20" borderId="133" xfId="0" applyFont="1" applyFill="1" applyBorder="1" applyAlignment="1">
      <alignment horizontal="right"/>
    </xf>
    <xf numFmtId="0" fontId="31" fillId="0" borderId="134" xfId="0" applyFont="1" applyBorder="1" applyAlignment="1"/>
    <xf numFmtId="0" fontId="102" fillId="33" borderId="13" xfId="0" applyFont="1" applyFill="1" applyBorder="1" applyAlignment="1"/>
    <xf numFmtId="0" fontId="1" fillId="0" borderId="13" xfId="0" applyFont="1" applyBorder="1"/>
    <xf numFmtId="0" fontId="1" fillId="0" borderId="116" xfId="0" applyFont="1" applyBorder="1" applyAlignment="1"/>
    <xf numFmtId="0" fontId="1" fillId="35" borderId="133" xfId="0" applyFont="1" applyFill="1" applyBorder="1" applyAlignment="1"/>
    <xf numFmtId="0" fontId="31" fillId="0" borderId="134" xfId="0" applyFont="1" applyBorder="1" applyAlignment="1">
      <alignment horizontal="left"/>
    </xf>
    <xf numFmtId="0" fontId="102" fillId="44" borderId="13" xfId="0" applyFont="1" applyFill="1" applyBorder="1" applyAlignment="1"/>
    <xf numFmtId="0" fontId="64" fillId="70" borderId="110" xfId="0" applyFont="1" applyFill="1" applyBorder="1" applyAlignment="1"/>
    <xf numFmtId="0" fontId="64" fillId="70" borderId="111" xfId="0" applyFont="1" applyFill="1" applyBorder="1" applyAlignment="1"/>
    <xf numFmtId="0" fontId="64" fillId="70" borderId="112" xfId="0" applyFont="1" applyFill="1" applyBorder="1" applyAlignment="1"/>
    <xf numFmtId="0" fontId="1" fillId="20" borderId="139" xfId="0" applyFont="1" applyFill="1" applyBorder="1" applyAlignment="1"/>
    <xf numFmtId="0" fontId="31" fillId="0" borderId="140" xfId="0" applyFont="1" applyBorder="1" applyAlignment="1"/>
    <xf numFmtId="0" fontId="1" fillId="0" borderId="141" xfId="0" applyFont="1" applyBorder="1" applyAlignment="1"/>
    <xf numFmtId="0" fontId="1" fillId="20" borderId="0" xfId="0" applyFont="1" applyFill="1"/>
    <xf numFmtId="0" fontId="1" fillId="0" borderId="37" xfId="0" applyFont="1" applyBorder="1" applyAlignment="1"/>
    <xf numFmtId="0" fontId="102" fillId="71" borderId="1" xfId="0" applyFont="1" applyFill="1" applyBorder="1" applyAlignment="1">
      <alignment horizontal="right"/>
    </xf>
    <xf numFmtId="0" fontId="31" fillId="0" borderId="120" xfId="0" applyFont="1" applyBorder="1" applyAlignment="1"/>
    <xf numFmtId="0" fontId="1" fillId="40" borderId="18" xfId="0" applyFont="1" applyFill="1" applyBorder="1" applyAlignment="1">
      <alignment horizontal="right"/>
    </xf>
    <xf numFmtId="0" fontId="1" fillId="0" borderId="13" xfId="0" applyFont="1" applyBorder="1"/>
    <xf numFmtId="0" fontId="109" fillId="0" borderId="0" xfId="0" applyFont="1"/>
    <xf numFmtId="0" fontId="1" fillId="0" borderId="0" xfId="0" applyFont="1" applyAlignment="1">
      <alignment horizontal="center" vertical="center"/>
    </xf>
    <xf numFmtId="0" fontId="64" fillId="70" borderId="7" xfId="0" applyFont="1" applyFill="1" applyBorder="1" applyAlignment="1"/>
    <xf numFmtId="0" fontId="105" fillId="70" borderId="7" xfId="0" applyFont="1" applyFill="1" applyBorder="1" applyAlignment="1"/>
    <xf numFmtId="0" fontId="105" fillId="70" borderId="7" xfId="0" applyFont="1" applyFill="1" applyBorder="1" applyAlignment="1">
      <alignment horizontal="center" vertical="center"/>
    </xf>
    <xf numFmtId="0" fontId="36" fillId="73" borderId="142" xfId="0" applyFont="1" applyFill="1" applyBorder="1" applyAlignment="1"/>
    <xf numFmtId="0" fontId="110" fillId="15" borderId="143" xfId="0" applyFont="1" applyFill="1" applyBorder="1" applyAlignment="1">
      <alignment horizontal="center"/>
    </xf>
    <xf numFmtId="0" fontId="31" fillId="0" borderId="144" xfId="0" applyFont="1" applyBorder="1" applyAlignment="1">
      <alignment horizontal="center"/>
    </xf>
    <xf numFmtId="0" fontId="31" fillId="0" borderId="145" xfId="0" applyFont="1" applyBorder="1" applyAlignment="1">
      <alignment horizontal="center"/>
    </xf>
    <xf numFmtId="0" fontId="31" fillId="0" borderId="13" xfId="0" applyFont="1" applyBorder="1" applyAlignment="1">
      <alignment horizontal="center"/>
    </xf>
    <xf numFmtId="0" fontId="35" fillId="6" borderId="146" xfId="0" applyFont="1" applyFill="1" applyBorder="1" applyAlignment="1">
      <alignment horizontal="center"/>
    </xf>
    <xf numFmtId="0" fontId="35" fillId="6" borderId="147" xfId="0" applyFont="1" applyFill="1" applyBorder="1" applyAlignment="1">
      <alignment horizontal="center"/>
    </xf>
    <xf numFmtId="0" fontId="111" fillId="0" borderId="0" xfId="0" applyFont="1" applyAlignment="1">
      <alignment horizontal="left"/>
    </xf>
    <xf numFmtId="0" fontId="48" fillId="0" borderId="150" xfId="0" applyFont="1" applyBorder="1" applyAlignment="1">
      <alignment horizontal="center" vertical="center"/>
    </xf>
    <xf numFmtId="0" fontId="36" fillId="73" borderId="151" xfId="0" applyFont="1" applyFill="1" applyBorder="1" applyAlignment="1"/>
    <xf numFmtId="0" fontId="31" fillId="0" borderId="152" xfId="0" applyFont="1" applyBorder="1" applyAlignment="1">
      <alignment horizontal="center"/>
    </xf>
    <xf numFmtId="0" fontId="31" fillId="0" borderId="153" xfId="0" applyFont="1" applyBorder="1" applyAlignment="1">
      <alignment horizontal="center"/>
    </xf>
    <xf numFmtId="0" fontId="35" fillId="6" borderId="154" xfId="0" applyFont="1" applyFill="1" applyBorder="1" applyAlignment="1">
      <alignment horizontal="center"/>
    </xf>
    <xf numFmtId="0" fontId="35" fillId="6" borderId="155" xfId="0" applyFont="1" applyFill="1" applyBorder="1" applyAlignment="1">
      <alignment horizontal="center"/>
    </xf>
    <xf numFmtId="0" fontId="48" fillId="0" borderId="156" xfId="0" applyFont="1" applyBorder="1" applyAlignment="1">
      <alignment horizontal="center" vertical="center"/>
    </xf>
    <xf numFmtId="0" fontId="110" fillId="37" borderId="143" xfId="0" applyFont="1" applyFill="1" applyBorder="1" applyAlignment="1">
      <alignment horizontal="center"/>
    </xf>
    <xf numFmtId="0" fontId="110" fillId="39" borderId="143" xfId="0" applyFont="1" applyFill="1" applyBorder="1" applyAlignment="1">
      <alignment horizontal="center"/>
    </xf>
    <xf numFmtId="0" fontId="112" fillId="40" borderId="143" xfId="0" applyFont="1" applyFill="1" applyBorder="1" applyAlignment="1">
      <alignment horizontal="center"/>
    </xf>
    <xf numFmtId="0" fontId="110" fillId="66" borderId="143" xfId="0" applyFont="1" applyFill="1" applyBorder="1" applyAlignment="1">
      <alignment horizontal="center"/>
    </xf>
    <xf numFmtId="0" fontId="110" fillId="6" borderId="143" xfId="0" applyFont="1" applyFill="1" applyBorder="1" applyAlignment="1">
      <alignment horizontal="center"/>
    </xf>
    <xf numFmtId="0" fontId="110" fillId="7" borderId="143" xfId="0" applyFont="1" applyFill="1" applyBorder="1" applyAlignment="1">
      <alignment horizontal="center"/>
    </xf>
    <xf numFmtId="0" fontId="110" fillId="41" borderId="143" xfId="0" applyFont="1" applyFill="1" applyBorder="1" applyAlignment="1">
      <alignment horizontal="center"/>
    </xf>
    <xf numFmtId="0" fontId="110" fillId="42" borderId="143" xfId="0" applyFont="1" applyFill="1" applyBorder="1" applyAlignment="1">
      <alignment horizontal="center"/>
    </xf>
    <xf numFmtId="0" fontId="110" fillId="42" borderId="157" xfId="0" applyFont="1" applyFill="1" applyBorder="1" applyAlignment="1">
      <alignment horizontal="center"/>
    </xf>
    <xf numFmtId="0" fontId="31" fillId="0" borderId="158" xfId="0" applyFont="1" applyBorder="1" applyAlignment="1">
      <alignment horizontal="center"/>
    </xf>
    <xf numFmtId="0" fontId="31" fillId="0" borderId="159" xfId="0" applyFont="1" applyBorder="1" applyAlignment="1">
      <alignment horizontal="center"/>
    </xf>
    <xf numFmtId="0" fontId="31" fillId="0" borderId="160" xfId="0" applyFont="1" applyBorder="1" applyAlignment="1">
      <alignment horizontal="center"/>
    </xf>
    <xf numFmtId="0" fontId="35" fillId="6" borderId="161" xfId="0" applyFont="1" applyFill="1" applyBorder="1" applyAlignment="1">
      <alignment horizontal="center"/>
    </xf>
    <xf numFmtId="0" fontId="35" fillId="6" borderId="162" xfId="0" applyFont="1" applyFill="1" applyBorder="1" applyAlignment="1">
      <alignment horizontal="center"/>
    </xf>
    <xf numFmtId="0" fontId="110" fillId="7" borderId="36" xfId="0" applyFont="1" applyFill="1" applyBorder="1" applyAlignment="1">
      <alignment horizontal="center"/>
    </xf>
    <xf numFmtId="0" fontId="35" fillId="68" borderId="166" xfId="0" applyFont="1" applyFill="1" applyBorder="1" applyAlignment="1">
      <alignment horizontal="center"/>
    </xf>
    <xf numFmtId="0" fontId="35" fillId="68" borderId="167" xfId="0" applyFont="1" applyFill="1" applyBorder="1" applyAlignment="1">
      <alignment horizontal="center"/>
    </xf>
    <xf numFmtId="0" fontId="35" fillId="68" borderId="168" xfId="0" applyFont="1" applyFill="1" applyBorder="1" applyAlignment="1">
      <alignment horizontal="center"/>
    </xf>
    <xf numFmtId="0" fontId="111" fillId="0" borderId="0" xfId="0" applyFont="1" applyAlignment="1">
      <alignment horizontal="left"/>
    </xf>
    <xf numFmtId="0" fontId="1" fillId="0" borderId="169" xfId="0" applyFont="1" applyBorder="1" applyAlignment="1">
      <alignment horizontal="center"/>
    </xf>
    <xf numFmtId="0" fontId="1" fillId="0" borderId="169" xfId="0" applyFont="1" applyBorder="1" applyAlignment="1">
      <alignment horizontal="center"/>
    </xf>
    <xf numFmtId="0" fontId="112" fillId="23" borderId="143" xfId="0" applyFont="1" applyFill="1" applyBorder="1" applyAlignment="1">
      <alignment horizontal="center"/>
    </xf>
    <xf numFmtId="0" fontId="113" fillId="15" borderId="143" xfId="0" applyFont="1" applyFill="1" applyBorder="1" applyAlignment="1">
      <alignment horizontal="center"/>
    </xf>
    <xf numFmtId="0" fontId="36" fillId="73" borderId="170" xfId="0" applyFont="1" applyFill="1" applyBorder="1" applyAlignment="1"/>
    <xf numFmtId="0" fontId="35" fillId="68" borderId="8" xfId="0" applyFont="1" applyFill="1" applyBorder="1" applyAlignment="1">
      <alignment horizontal="center"/>
    </xf>
    <xf numFmtId="0" fontId="35" fillId="68" borderId="0" xfId="0" applyFont="1" applyFill="1" applyAlignment="1">
      <alignment horizontal="center"/>
    </xf>
    <xf numFmtId="0" fontId="35" fillId="68" borderId="30" xfId="0" applyFont="1" applyFill="1" applyBorder="1" applyAlignment="1">
      <alignment horizontal="center"/>
    </xf>
    <xf numFmtId="0" fontId="31" fillId="0" borderId="171" xfId="0" applyFont="1" applyBorder="1" applyAlignment="1">
      <alignment horizontal="center"/>
    </xf>
    <xf numFmtId="0" fontId="31" fillId="0" borderId="172" xfId="0" applyFont="1" applyBorder="1" applyAlignment="1">
      <alignment horizontal="center"/>
    </xf>
    <xf numFmtId="0" fontId="31" fillId="0" borderId="173" xfId="0" applyFont="1" applyBorder="1" applyAlignment="1">
      <alignment horizontal="center"/>
    </xf>
    <xf numFmtId="0" fontId="35" fillId="6" borderId="174" xfId="0" applyFont="1" applyFill="1" applyBorder="1" applyAlignment="1">
      <alignment horizontal="center"/>
    </xf>
    <xf numFmtId="0" fontId="35" fillId="6" borderId="175" xfId="0" applyFont="1" applyFill="1" applyBorder="1" applyAlignment="1">
      <alignment horizontal="center"/>
    </xf>
    <xf numFmtId="0" fontId="31" fillId="0" borderId="178" xfId="0" applyFont="1" applyBorder="1" applyAlignment="1">
      <alignment horizontal="center"/>
    </xf>
    <xf numFmtId="0" fontId="35" fillId="6" borderId="179" xfId="0" applyFont="1" applyFill="1" applyBorder="1" applyAlignment="1">
      <alignment horizontal="center"/>
    </xf>
    <xf numFmtId="0" fontId="35" fillId="6" borderId="180" xfId="0" applyFont="1" applyFill="1" applyBorder="1" applyAlignment="1">
      <alignment horizontal="center"/>
    </xf>
    <xf numFmtId="0" fontId="110" fillId="54" borderId="143" xfId="0" applyFont="1" applyFill="1" applyBorder="1" applyAlignment="1">
      <alignment horizontal="center"/>
    </xf>
    <xf numFmtId="0" fontId="31" fillId="0" borderId="181" xfId="0" applyFont="1" applyBorder="1" applyAlignment="1">
      <alignment horizontal="center"/>
    </xf>
    <xf numFmtId="0" fontId="31" fillId="0" borderId="182" xfId="0" applyFont="1" applyBorder="1" applyAlignment="1">
      <alignment horizontal="center"/>
    </xf>
    <xf numFmtId="0" fontId="31" fillId="0" borderId="183" xfId="0" applyFont="1" applyBorder="1" applyAlignment="1">
      <alignment horizontal="center"/>
    </xf>
    <xf numFmtId="0" fontId="35" fillId="6" borderId="184" xfId="0" applyFont="1" applyFill="1" applyBorder="1" applyAlignment="1">
      <alignment horizontal="center"/>
    </xf>
    <xf numFmtId="0" fontId="35" fillId="6" borderId="185" xfId="0" applyFont="1" applyFill="1" applyBorder="1" applyAlignment="1">
      <alignment horizontal="center"/>
    </xf>
    <xf numFmtId="0" fontId="35" fillId="68" borderId="189" xfId="0" applyFont="1" applyFill="1" applyBorder="1" applyAlignment="1">
      <alignment horizontal="center"/>
    </xf>
    <xf numFmtId="0" fontId="35" fillId="68" borderId="190" xfId="0" applyFont="1" applyFill="1" applyBorder="1" applyAlignment="1">
      <alignment horizontal="center"/>
    </xf>
    <xf numFmtId="0" fontId="35" fillId="68" borderId="191" xfId="0" applyFont="1" applyFill="1" applyBorder="1" applyAlignment="1">
      <alignment horizontal="center"/>
    </xf>
    <xf numFmtId="0" fontId="1" fillId="0" borderId="192" xfId="0" applyFont="1" applyBorder="1" applyAlignment="1">
      <alignment horizontal="center"/>
    </xf>
    <xf numFmtId="0" fontId="1" fillId="0" borderId="192" xfId="0" applyFont="1" applyBorder="1" applyAlignment="1">
      <alignment horizontal="center"/>
    </xf>
    <xf numFmtId="0" fontId="113" fillId="66" borderId="143" xfId="0" applyFont="1" applyFill="1" applyBorder="1" applyAlignment="1">
      <alignment horizontal="center"/>
    </xf>
    <xf numFmtId="0" fontId="35" fillId="68" borderId="193" xfId="0" applyFont="1" applyFill="1" applyBorder="1" applyAlignment="1">
      <alignment horizontal="center"/>
    </xf>
    <xf numFmtId="0" fontId="35" fillId="68" borderId="194" xfId="0" applyFont="1" applyFill="1" applyBorder="1" applyAlignment="1">
      <alignment horizontal="center"/>
    </xf>
    <xf numFmtId="0" fontId="35" fillId="68" borderId="195" xfId="0" applyFont="1" applyFill="1" applyBorder="1" applyAlignment="1">
      <alignment horizontal="center"/>
    </xf>
    <xf numFmtId="0" fontId="38" fillId="29" borderId="142" xfId="0" applyFont="1" applyFill="1" applyBorder="1" applyAlignment="1"/>
    <xf numFmtId="0" fontId="31" fillId="0" borderId="196" xfId="0" applyFont="1" applyBorder="1" applyAlignment="1">
      <alignment horizontal="center"/>
    </xf>
    <xf numFmtId="0" fontId="31" fillId="0" borderId="197" xfId="0" applyFont="1" applyBorder="1" applyAlignment="1">
      <alignment horizontal="center"/>
    </xf>
    <xf numFmtId="0" fontId="31" fillId="0" borderId="198" xfId="0" applyFont="1" applyBorder="1" applyAlignment="1">
      <alignment horizontal="center"/>
    </xf>
    <xf numFmtId="0" fontId="35" fillId="6" borderId="199" xfId="0" applyFont="1" applyFill="1" applyBorder="1" applyAlignment="1">
      <alignment horizontal="center"/>
    </xf>
    <xf numFmtId="0" fontId="35" fillId="6" borderId="200" xfId="0" applyFont="1" applyFill="1" applyBorder="1" applyAlignment="1">
      <alignment horizontal="center"/>
    </xf>
    <xf numFmtId="0" fontId="38" fillId="29" borderId="151" xfId="0" applyFont="1" applyFill="1" applyBorder="1" applyAlignment="1"/>
    <xf numFmtId="0" fontId="31" fillId="0" borderId="203" xfId="0" applyFont="1" applyBorder="1" applyAlignment="1">
      <alignment horizontal="center"/>
    </xf>
    <xf numFmtId="0" fontId="35" fillId="6" borderId="204" xfId="0" applyFont="1" applyFill="1" applyBorder="1" applyAlignment="1">
      <alignment horizontal="center"/>
    </xf>
    <xf numFmtId="0" fontId="35" fillId="6" borderId="205" xfId="0" applyFont="1" applyFill="1" applyBorder="1" applyAlignment="1">
      <alignment horizontal="center"/>
    </xf>
    <xf numFmtId="0" fontId="110" fillId="24" borderId="157" xfId="0" applyFont="1" applyFill="1" applyBorder="1" applyAlignment="1">
      <alignment horizontal="center"/>
    </xf>
    <xf numFmtId="0" fontId="31" fillId="0" borderId="206" xfId="0" applyFont="1" applyBorder="1" applyAlignment="1">
      <alignment horizontal="center"/>
    </xf>
    <xf numFmtId="0" fontId="31" fillId="0" borderId="207" xfId="0" applyFont="1" applyBorder="1" applyAlignment="1">
      <alignment horizontal="center"/>
    </xf>
    <xf numFmtId="0" fontId="31" fillId="0" borderId="208" xfId="0" applyFont="1" applyBorder="1" applyAlignment="1">
      <alignment horizontal="center"/>
    </xf>
    <xf numFmtId="0" fontId="35" fillId="6" borderId="209" xfId="0" applyFont="1" applyFill="1" applyBorder="1" applyAlignment="1">
      <alignment horizontal="center"/>
    </xf>
    <xf numFmtId="0" fontId="35" fillId="6" borderId="210" xfId="0" applyFont="1" applyFill="1" applyBorder="1" applyAlignment="1">
      <alignment horizontal="center"/>
    </xf>
    <xf numFmtId="0" fontId="1" fillId="0" borderId="214" xfId="0" applyFont="1" applyBorder="1" applyAlignment="1">
      <alignment horizontal="center"/>
    </xf>
    <xf numFmtId="0" fontId="1" fillId="0" borderId="214" xfId="0" applyFont="1" applyBorder="1" applyAlignment="1">
      <alignment horizontal="center"/>
    </xf>
    <xf numFmtId="0" fontId="38" fillId="29" borderId="170" xfId="0" applyFont="1" applyFill="1" applyBorder="1" applyAlignment="1"/>
    <xf numFmtId="0" fontId="41" fillId="22" borderId="13" xfId="0" applyFont="1" applyFill="1" applyBorder="1" applyAlignment="1"/>
    <xf numFmtId="0" fontId="31" fillId="0" borderId="215" xfId="0" applyFont="1" applyBorder="1" applyAlignment="1">
      <alignment horizontal="center"/>
    </xf>
    <xf numFmtId="0" fontId="31" fillId="0" borderId="216" xfId="0" applyFont="1" applyBorder="1" applyAlignment="1">
      <alignment horizontal="center"/>
    </xf>
    <xf numFmtId="0" fontId="31" fillId="0" borderId="217" xfId="0" applyFont="1" applyBorder="1" applyAlignment="1">
      <alignment horizontal="center"/>
    </xf>
    <xf numFmtId="0" fontId="35" fillId="6" borderId="218" xfId="0" applyFont="1" applyFill="1" applyBorder="1" applyAlignment="1">
      <alignment horizontal="center"/>
    </xf>
    <xf numFmtId="0" fontId="35" fillId="6" borderId="219" xfId="0" applyFont="1" applyFill="1" applyBorder="1" applyAlignment="1">
      <alignment horizontal="center"/>
    </xf>
    <xf numFmtId="0" fontId="31" fillId="0" borderId="222" xfId="0" applyFont="1" applyBorder="1" applyAlignment="1">
      <alignment horizontal="center"/>
    </xf>
    <xf numFmtId="0" fontId="35" fillId="6" borderId="223" xfId="0" applyFont="1" applyFill="1" applyBorder="1" applyAlignment="1">
      <alignment horizontal="center"/>
    </xf>
    <xf numFmtId="0" fontId="35" fillId="6" borderId="224" xfId="0" applyFont="1" applyFill="1" applyBorder="1" applyAlignment="1">
      <alignment horizontal="center"/>
    </xf>
    <xf numFmtId="0" fontId="31" fillId="0" borderId="225" xfId="0" applyFont="1" applyBorder="1" applyAlignment="1">
      <alignment horizontal="center"/>
    </xf>
    <xf numFmtId="0" fontId="31" fillId="0" borderId="226" xfId="0" applyFont="1" applyBorder="1" applyAlignment="1">
      <alignment horizontal="center"/>
    </xf>
    <xf numFmtId="0" fontId="31" fillId="0" borderId="227" xfId="0" applyFont="1" applyBorder="1" applyAlignment="1">
      <alignment horizontal="center"/>
    </xf>
    <xf numFmtId="0" fontId="35" fillId="6" borderId="228" xfId="0" applyFont="1" applyFill="1" applyBorder="1" applyAlignment="1">
      <alignment horizontal="center"/>
    </xf>
    <xf numFmtId="0" fontId="35" fillId="6" borderId="229" xfId="0" applyFont="1" applyFill="1" applyBorder="1" applyAlignment="1">
      <alignment horizontal="center"/>
    </xf>
    <xf numFmtId="0" fontId="1" fillId="0" borderId="233" xfId="0" applyFont="1" applyBorder="1" applyAlignment="1">
      <alignment horizontal="center"/>
    </xf>
    <xf numFmtId="0" fontId="1" fillId="0" borderId="233" xfId="0" applyFont="1" applyBorder="1" applyAlignment="1">
      <alignment horizontal="center"/>
    </xf>
    <xf numFmtId="0" fontId="36" fillId="71" borderId="142" xfId="0" applyFont="1" applyFill="1" applyBorder="1" applyAlignment="1"/>
    <xf numFmtId="0" fontId="35" fillId="33" borderId="234" xfId="0" applyFont="1" applyFill="1" applyBorder="1" applyAlignment="1">
      <alignment horizontal="center"/>
    </xf>
    <xf numFmtId="0" fontId="35" fillId="33" borderId="235" xfId="0" applyFont="1" applyFill="1" applyBorder="1" applyAlignment="1">
      <alignment horizontal="center"/>
    </xf>
    <xf numFmtId="0" fontId="35" fillId="33" borderId="236" xfId="0" applyFont="1" applyFill="1" applyBorder="1" applyAlignment="1">
      <alignment horizontal="center"/>
    </xf>
    <xf numFmtId="0" fontId="35" fillId="33" borderId="237" xfId="0" applyFont="1" applyFill="1" applyBorder="1" applyAlignment="1">
      <alignment horizontal="center"/>
    </xf>
    <xf numFmtId="0" fontId="36" fillId="71" borderId="151" xfId="0" applyFont="1" applyFill="1" applyBorder="1" applyAlignment="1"/>
    <xf numFmtId="0" fontId="31" fillId="0" borderId="240" xfId="0" applyFont="1" applyBorder="1" applyAlignment="1">
      <alignment horizontal="center"/>
    </xf>
    <xf numFmtId="0" fontId="35" fillId="6" borderId="241" xfId="0" applyFont="1" applyFill="1" applyBorder="1" applyAlignment="1">
      <alignment horizontal="center"/>
    </xf>
    <xf numFmtId="0" fontId="35" fillId="6" borderId="242" xfId="0" applyFont="1" applyFill="1" applyBorder="1" applyAlignment="1">
      <alignment horizontal="center"/>
    </xf>
    <xf numFmtId="0" fontId="31" fillId="0" borderId="243" xfId="0" applyFont="1" applyBorder="1" applyAlignment="1">
      <alignment horizontal="center"/>
    </xf>
    <xf numFmtId="0" fontId="31" fillId="0" borderId="244" xfId="0" applyFont="1" applyBorder="1" applyAlignment="1">
      <alignment horizontal="center"/>
    </xf>
    <xf numFmtId="0" fontId="31" fillId="0" borderId="116" xfId="0" applyFont="1" applyBorder="1" applyAlignment="1">
      <alignment horizontal="center"/>
    </xf>
    <xf numFmtId="0" fontId="35" fillId="6" borderId="245" xfId="0" applyFont="1" applyFill="1" applyBorder="1" applyAlignment="1">
      <alignment horizontal="center"/>
    </xf>
    <xf numFmtId="0" fontId="35" fillId="6" borderId="246" xfId="0" applyFont="1" applyFill="1" applyBorder="1" applyAlignment="1">
      <alignment horizontal="center"/>
    </xf>
    <xf numFmtId="0" fontId="35" fillId="24" borderId="189" xfId="0" applyFont="1" applyFill="1" applyBorder="1" applyAlignment="1">
      <alignment horizontal="center"/>
    </xf>
    <xf numFmtId="0" fontId="35" fillId="24" borderId="190" xfId="0" applyFont="1" applyFill="1" applyBorder="1" applyAlignment="1">
      <alignment horizontal="center"/>
    </xf>
    <xf numFmtId="0" fontId="35" fillId="24" borderId="250" xfId="0" applyFont="1" applyFill="1" applyBorder="1" applyAlignment="1">
      <alignment horizontal="center"/>
    </xf>
    <xf numFmtId="0" fontId="35" fillId="24" borderId="167" xfId="0" applyFont="1" applyFill="1" applyBorder="1" applyAlignment="1">
      <alignment horizontal="center"/>
    </xf>
    <xf numFmtId="0" fontId="35" fillId="24" borderId="168" xfId="0" applyFont="1" applyFill="1" applyBorder="1" applyAlignment="1">
      <alignment horizontal="center"/>
    </xf>
    <xf numFmtId="0" fontId="35" fillId="24" borderId="251" xfId="0" applyFont="1" applyFill="1" applyBorder="1" applyAlignment="1">
      <alignment horizontal="center"/>
    </xf>
    <xf numFmtId="0" fontId="1" fillId="0" borderId="251" xfId="0" applyFont="1" applyBorder="1" applyAlignment="1">
      <alignment horizontal="center"/>
    </xf>
    <xf numFmtId="0" fontId="1" fillId="0" borderId="251" xfId="0" applyFont="1" applyBorder="1" applyAlignment="1">
      <alignment horizontal="center"/>
    </xf>
    <xf numFmtId="0" fontId="36" fillId="71" borderId="252" xfId="0" applyFont="1" applyFill="1" applyBorder="1" applyAlignment="1"/>
    <xf numFmtId="0" fontId="35" fillId="68" borderId="253" xfId="0" applyFont="1" applyFill="1" applyBorder="1" applyAlignment="1">
      <alignment horizontal="center"/>
    </xf>
    <xf numFmtId="0" fontId="35" fillId="68" borderId="254" xfId="0" applyFont="1" applyFill="1" applyBorder="1" applyAlignment="1">
      <alignment horizontal="center"/>
    </xf>
    <xf numFmtId="0" fontId="35" fillId="68" borderId="19" xfId="0" applyFont="1" applyFill="1" applyBorder="1" applyAlignment="1">
      <alignment horizontal="center"/>
    </xf>
    <xf numFmtId="0" fontId="35" fillId="68" borderId="33" xfId="0" applyFont="1" applyFill="1" applyBorder="1" applyAlignment="1">
      <alignment horizontal="center"/>
    </xf>
    <xf numFmtId="0" fontId="48" fillId="0" borderId="255" xfId="0" applyFont="1" applyBorder="1" applyAlignment="1">
      <alignment horizontal="center" vertical="center"/>
    </xf>
    <xf numFmtId="169" fontId="105" fillId="70" borderId="7" xfId="0" applyNumberFormat="1" applyFont="1" applyFill="1" applyBorder="1" applyAlignment="1">
      <alignment horizontal="center"/>
    </xf>
    <xf numFmtId="169" fontId="105" fillId="70" borderId="29" xfId="0" applyNumberFormat="1" applyFont="1" applyFill="1" applyBorder="1" applyAlignment="1">
      <alignment horizontal="center"/>
    </xf>
    <xf numFmtId="0" fontId="114" fillId="71" borderId="7" xfId="0" applyFont="1" applyFill="1" applyBorder="1" applyAlignment="1"/>
    <xf numFmtId="3" fontId="115" fillId="0" borderId="38" xfId="0" applyNumberFormat="1" applyFont="1" applyBorder="1" applyAlignment="1">
      <alignment horizontal="center" vertical="center"/>
    </xf>
    <xf numFmtId="164" fontId="115" fillId="0" borderId="11" xfId="0" applyNumberFormat="1" applyFont="1" applyBorder="1" applyAlignment="1">
      <alignment horizontal="center" vertical="center"/>
    </xf>
    <xf numFmtId="164" fontId="115" fillId="0" borderId="13" xfId="0" applyNumberFormat="1" applyFont="1" applyBorder="1" applyAlignment="1">
      <alignment horizontal="center" vertical="center"/>
    </xf>
    <xf numFmtId="0" fontId="105" fillId="35" borderId="7" xfId="0" applyFont="1" applyFill="1" applyBorder="1" applyAlignment="1"/>
    <xf numFmtId="3" fontId="115" fillId="0" borderId="37" xfId="0" applyNumberFormat="1" applyFont="1" applyBorder="1" applyAlignment="1">
      <alignment horizontal="center" vertical="center"/>
    </xf>
    <xf numFmtId="0" fontId="105" fillId="7" borderId="7" xfId="0" applyFont="1" applyFill="1" applyBorder="1" applyAlignment="1"/>
    <xf numFmtId="0" fontId="105" fillId="40" borderId="7" xfId="0" applyFont="1" applyFill="1" applyBorder="1" applyAlignment="1"/>
    <xf numFmtId="0" fontId="105" fillId="20" borderId="7" xfId="0" applyFont="1" applyFill="1" applyBorder="1" applyAlignment="1"/>
    <xf numFmtId="164" fontId="115" fillId="0" borderId="116" xfId="0" applyNumberFormat="1" applyFont="1" applyBorder="1" applyAlignment="1">
      <alignment horizontal="center" vertical="center"/>
    </xf>
    <xf numFmtId="0" fontId="114" fillId="75" borderId="256" xfId="0" applyFont="1" applyFill="1" applyBorder="1" applyAlignment="1">
      <alignment horizontal="center" vertical="center"/>
    </xf>
    <xf numFmtId="0" fontId="62" fillId="0" borderId="21" xfId="0" applyFont="1" applyBorder="1" applyAlignment="1">
      <alignment horizontal="center" vertical="center"/>
    </xf>
    <xf numFmtId="0" fontId="62" fillId="0" borderId="22" xfId="0" applyFont="1" applyBorder="1" applyAlignment="1">
      <alignment horizontal="center" vertical="center"/>
    </xf>
    <xf numFmtId="0" fontId="62" fillId="0" borderId="23" xfId="0" applyFont="1" applyBorder="1" applyAlignment="1">
      <alignment horizontal="center" vertical="center"/>
    </xf>
    <xf numFmtId="0" fontId="105" fillId="77" borderId="255" xfId="0" applyFont="1" applyFill="1" applyBorder="1" applyAlignment="1">
      <alignment horizontal="center" vertical="center"/>
    </xf>
    <xf numFmtId="0" fontId="105" fillId="70" borderId="7" xfId="0" applyFont="1" applyFill="1" applyBorder="1" applyAlignment="1">
      <alignment horizontal="center"/>
    </xf>
    <xf numFmtId="0" fontId="114" fillId="71" borderId="7" xfId="0" applyFont="1" applyFill="1" applyBorder="1" applyAlignment="1">
      <alignment horizontal="center"/>
    </xf>
    <xf numFmtId="0" fontId="105" fillId="35" borderId="7" xfId="0" applyFont="1" applyFill="1" applyBorder="1" applyAlignment="1">
      <alignment horizontal="center"/>
    </xf>
    <xf numFmtId="0" fontId="105" fillId="7" borderId="7" xfId="0" applyFont="1" applyFill="1" applyBorder="1" applyAlignment="1">
      <alignment horizontal="center"/>
    </xf>
    <xf numFmtId="0" fontId="105" fillId="40" borderId="7" xfId="0" applyFont="1" applyFill="1" applyBorder="1" applyAlignment="1">
      <alignment horizontal="center"/>
    </xf>
    <xf numFmtId="0" fontId="105" fillId="20" borderId="7" xfId="0" applyFont="1" applyFill="1" applyBorder="1" applyAlignment="1">
      <alignment horizontal="center"/>
    </xf>
    <xf numFmtId="169" fontId="1" fillId="0" borderId="11" xfId="0" applyNumberFormat="1" applyFont="1" applyBorder="1" applyAlignment="1">
      <alignment horizontal="center"/>
    </xf>
    <xf numFmtId="3" fontId="1" fillId="0" borderId="143" xfId="0" applyNumberFormat="1" applyFont="1" applyBorder="1" applyAlignment="1">
      <alignment horizontal="center"/>
    </xf>
    <xf numFmtId="169" fontId="1" fillId="0" borderId="13" xfId="0" applyNumberFormat="1" applyFont="1" applyBorder="1" applyAlignment="1">
      <alignment horizontal="center"/>
    </xf>
    <xf numFmtId="3" fontId="1" fillId="0" borderId="36" xfId="0" applyNumberFormat="1" applyFont="1" applyBorder="1" applyAlignment="1">
      <alignment horizontal="center"/>
    </xf>
    <xf numFmtId="3" fontId="1" fillId="0" borderId="13" xfId="0" applyNumberFormat="1" applyFont="1" applyBorder="1" applyAlignment="1">
      <alignment horizontal="center"/>
    </xf>
    <xf numFmtId="3" fontId="1" fillId="0" borderId="36" xfId="0" applyNumberFormat="1" applyFont="1" applyBorder="1" applyAlignment="1">
      <alignment horizontal="center"/>
    </xf>
    <xf numFmtId="3" fontId="1" fillId="0" borderId="13" xfId="0" applyNumberFormat="1" applyFont="1" applyBorder="1" applyAlignment="1">
      <alignment horizontal="center"/>
    </xf>
    <xf numFmtId="0" fontId="116" fillId="42" borderId="119" xfId="0" applyFont="1" applyFill="1" applyBorder="1" applyAlignment="1">
      <alignment horizontal="right"/>
    </xf>
    <xf numFmtId="0" fontId="116" fillId="42" borderId="123" xfId="0" applyFont="1" applyFill="1" applyBorder="1" applyAlignment="1">
      <alignment horizontal="left"/>
    </xf>
    <xf numFmtId="0" fontId="117" fillId="78" borderId="129" xfId="0" applyFont="1" applyFill="1" applyBorder="1" applyAlignment="1">
      <alignment horizontal="right"/>
    </xf>
    <xf numFmtId="0" fontId="116" fillId="78" borderId="130" xfId="0" applyFont="1" applyFill="1" applyBorder="1" applyAlignment="1">
      <alignment horizontal="left"/>
    </xf>
    <xf numFmtId="0" fontId="116" fillId="19" borderId="131" xfId="0" applyFont="1" applyFill="1" applyBorder="1" applyAlignment="1">
      <alignment horizontal="right"/>
    </xf>
    <xf numFmtId="0" fontId="116" fillId="19" borderId="132" xfId="0" applyFont="1" applyFill="1" applyBorder="1" applyAlignment="1">
      <alignment horizontal="left"/>
    </xf>
    <xf numFmtId="0" fontId="105" fillId="40" borderId="7" xfId="0" applyFont="1" applyFill="1" applyBorder="1" applyAlignment="1">
      <alignment horizontal="right"/>
    </xf>
    <xf numFmtId="0" fontId="105" fillId="40" borderId="7" xfId="0" applyFont="1" applyFill="1" applyBorder="1" applyAlignment="1">
      <alignment horizontal="left"/>
    </xf>
    <xf numFmtId="0" fontId="118" fillId="0" borderId="0" xfId="0" applyFont="1" applyAlignment="1"/>
    <xf numFmtId="0" fontId="119" fillId="0" borderId="0" xfId="0" applyFont="1" applyAlignment="1"/>
    <xf numFmtId="169" fontId="1" fillId="0" borderId="0" xfId="0" applyNumberFormat="1" applyFont="1" applyAlignment="1"/>
    <xf numFmtId="0" fontId="48" fillId="0" borderId="0" xfId="0" applyFont="1" applyAlignment="1">
      <alignment horizontal="center"/>
    </xf>
    <xf numFmtId="0" fontId="31" fillId="0" borderId="0" xfId="0" applyFont="1" applyAlignment="1">
      <alignment horizontal="right"/>
    </xf>
    <xf numFmtId="0" fontId="31" fillId="0" borderId="0" xfId="0" applyFont="1" applyAlignment="1"/>
    <xf numFmtId="0" fontId="31" fillId="0" borderId="0" xfId="0" applyFont="1" applyAlignment="1"/>
    <xf numFmtId="0" fontId="31" fillId="0" borderId="0" xfId="0" applyFont="1" applyAlignment="1"/>
    <xf numFmtId="166" fontId="31" fillId="0" borderId="38" xfId="0" applyNumberFormat="1" applyFont="1" applyBorder="1" applyAlignment="1">
      <alignment horizontal="center"/>
    </xf>
    <xf numFmtId="166" fontId="31" fillId="0" borderId="0" xfId="0" applyNumberFormat="1" applyFont="1" applyAlignment="1">
      <alignment horizontal="center"/>
    </xf>
    <xf numFmtId="0" fontId="120" fillId="79" borderId="13" xfId="0" applyFont="1" applyFill="1" applyBorder="1" applyAlignment="1">
      <alignment horizontal="center" vertical="center"/>
    </xf>
    <xf numFmtId="0" fontId="120" fillId="79" borderId="0" xfId="0" applyFont="1" applyFill="1" applyAlignment="1">
      <alignment horizontal="center" vertical="center"/>
    </xf>
    <xf numFmtId="0" fontId="120" fillId="79" borderId="13" xfId="0" applyFont="1" applyFill="1" applyBorder="1" applyAlignment="1">
      <alignment horizontal="center" vertical="center"/>
    </xf>
    <xf numFmtId="0" fontId="120" fillId="79" borderId="257" xfId="0" applyFont="1" applyFill="1" applyBorder="1" applyAlignment="1">
      <alignment horizontal="center" vertical="center"/>
    </xf>
    <xf numFmtId="0" fontId="121" fillId="6" borderId="13" xfId="0" applyFont="1" applyFill="1" applyBorder="1" applyAlignment="1">
      <alignment horizontal="center"/>
    </xf>
    <xf numFmtId="0" fontId="41" fillId="22" borderId="13" xfId="0" applyFont="1" applyFill="1" applyBorder="1" applyAlignment="1">
      <alignment horizontal="center"/>
    </xf>
    <xf numFmtId="0" fontId="48" fillId="0" borderId="0" xfId="0" applyFont="1" applyAlignment="1">
      <alignment horizontal="center" vertical="top"/>
    </xf>
    <xf numFmtId="0" fontId="48" fillId="0" borderId="13" xfId="0" applyFont="1" applyBorder="1" applyAlignment="1">
      <alignment horizontal="center" vertical="top"/>
    </xf>
    <xf numFmtId="0" fontId="121" fillId="6" borderId="0" xfId="0" applyFont="1" applyFill="1" applyAlignment="1">
      <alignment horizontal="center"/>
    </xf>
    <xf numFmtId="0" fontId="121" fillId="80" borderId="13" xfId="0" applyFont="1" applyFill="1" applyBorder="1" applyAlignment="1">
      <alignment horizontal="center"/>
    </xf>
    <xf numFmtId="0" fontId="121" fillId="80" borderId="0" xfId="0" applyFont="1" applyFill="1" applyAlignment="1">
      <alignment horizontal="center"/>
    </xf>
    <xf numFmtId="0" fontId="48" fillId="25" borderId="13" xfId="0" applyFont="1" applyFill="1" applyBorder="1" applyAlignment="1">
      <alignment horizontal="center"/>
    </xf>
    <xf numFmtId="0" fontId="121" fillId="0" borderId="0" xfId="0" applyFont="1" applyAlignment="1">
      <alignment horizontal="center"/>
    </xf>
    <xf numFmtId="0" fontId="121" fillId="0" borderId="13" xfId="0" applyFont="1" applyBorder="1" applyAlignment="1">
      <alignment horizontal="center"/>
    </xf>
    <xf numFmtId="0" fontId="36" fillId="26" borderId="13" xfId="0" applyFont="1" applyFill="1" applyBorder="1" applyAlignment="1">
      <alignment horizontal="center"/>
    </xf>
    <xf numFmtId="0" fontId="48" fillId="30" borderId="0" xfId="0" applyFont="1" applyFill="1" applyAlignment="1">
      <alignment horizontal="center" vertical="top"/>
    </xf>
    <xf numFmtId="0" fontId="121" fillId="30" borderId="13" xfId="0" applyFont="1" applyFill="1" applyBorder="1" applyAlignment="1">
      <alignment horizontal="center"/>
    </xf>
    <xf numFmtId="0" fontId="48" fillId="30" borderId="13" xfId="0" applyFont="1" applyFill="1" applyBorder="1" applyAlignment="1">
      <alignment horizontal="center" vertical="top"/>
    </xf>
    <xf numFmtId="0" fontId="37" fillId="27" borderId="13" xfId="0" applyFont="1" applyFill="1" applyBorder="1" applyAlignment="1">
      <alignment horizontal="center"/>
    </xf>
    <xf numFmtId="0" fontId="36" fillId="28" borderId="13" xfId="0" applyFont="1" applyFill="1" applyBorder="1" applyAlignment="1">
      <alignment horizontal="center"/>
    </xf>
    <xf numFmtId="0" fontId="36" fillId="34" borderId="13" xfId="0" applyFont="1" applyFill="1" applyBorder="1" applyAlignment="1">
      <alignment horizontal="center"/>
    </xf>
    <xf numFmtId="0" fontId="38" fillId="29" borderId="13" xfId="0" applyFont="1" applyFill="1" applyBorder="1" applyAlignment="1">
      <alignment horizontal="center"/>
    </xf>
    <xf numFmtId="0" fontId="121" fillId="30" borderId="0" xfId="0" applyFont="1" applyFill="1" applyAlignment="1">
      <alignment horizontal="center"/>
    </xf>
    <xf numFmtId="0" fontId="37" fillId="30" borderId="13" xfId="0" applyFont="1" applyFill="1" applyBorder="1" applyAlignment="1">
      <alignment horizontal="center"/>
    </xf>
    <xf numFmtId="0" fontId="48" fillId="0" borderId="13" xfId="0" applyFont="1" applyBorder="1" applyAlignment="1">
      <alignment vertical="top"/>
    </xf>
    <xf numFmtId="0" fontId="37" fillId="31" borderId="13" xfId="0" applyFont="1" applyFill="1" applyBorder="1" applyAlignment="1">
      <alignment horizontal="center"/>
    </xf>
    <xf numFmtId="0" fontId="36" fillId="81" borderId="13" xfId="0" applyFont="1" applyFill="1" applyBorder="1" applyAlignment="1">
      <alignment horizontal="center"/>
    </xf>
    <xf numFmtId="0" fontId="64" fillId="70" borderId="258" xfId="0" applyFont="1" applyFill="1" applyBorder="1" applyAlignment="1"/>
    <xf numFmtId="0" fontId="64" fillId="70" borderId="259" xfId="0" applyFont="1" applyFill="1" applyBorder="1" applyAlignment="1"/>
    <xf numFmtId="0" fontId="105" fillId="70" borderId="259" xfId="0" applyFont="1" applyFill="1" applyBorder="1" applyAlignment="1"/>
    <xf numFmtId="0" fontId="64" fillId="70" borderId="260" xfId="0" applyFont="1" applyFill="1" applyBorder="1" applyAlignment="1">
      <alignment horizontal="center"/>
    </xf>
    <xf numFmtId="0" fontId="36" fillId="71" borderId="113" xfId="0" applyFont="1" applyFill="1" applyBorder="1" applyAlignment="1"/>
    <xf numFmtId="0" fontId="122" fillId="25" borderId="114" xfId="0" applyFont="1" applyFill="1" applyBorder="1" applyAlignment="1">
      <alignment horizontal="center"/>
    </xf>
    <xf numFmtId="0" fontId="123" fillId="34" borderId="114" xfId="0" applyFont="1" applyFill="1" applyBorder="1" applyAlignment="1">
      <alignment horizontal="center"/>
    </xf>
    <xf numFmtId="0" fontId="123" fillId="30" borderId="114" xfId="0" applyFont="1" applyFill="1" applyBorder="1" applyAlignment="1">
      <alignment horizontal="center"/>
    </xf>
    <xf numFmtId="0" fontId="124" fillId="29" borderId="114" xfId="0" applyFont="1" applyFill="1" applyBorder="1" applyAlignment="1">
      <alignment horizontal="center"/>
    </xf>
    <xf numFmtId="0" fontId="125" fillId="62" borderId="114" xfId="0" applyFont="1" applyFill="1" applyBorder="1" applyAlignment="1">
      <alignment horizontal="center"/>
    </xf>
    <xf numFmtId="0" fontId="123" fillId="30" borderId="114" xfId="0" applyFont="1" applyFill="1" applyBorder="1" applyAlignment="1">
      <alignment horizontal="center"/>
    </xf>
    <xf numFmtId="0" fontId="122" fillId="25" borderId="114" xfId="0" applyFont="1" applyFill="1" applyBorder="1" applyAlignment="1">
      <alignment horizontal="center"/>
    </xf>
    <xf numFmtId="0" fontId="123" fillId="60" borderId="114" xfId="0" applyFont="1" applyFill="1" applyBorder="1" applyAlignment="1">
      <alignment horizontal="center"/>
    </xf>
    <xf numFmtId="0" fontId="125" fillId="41" borderId="114" xfId="0" applyFont="1" applyFill="1" applyBorder="1" applyAlignment="1">
      <alignment horizontal="center"/>
    </xf>
    <xf numFmtId="0" fontId="41" fillId="22" borderId="113" xfId="0" applyFont="1" applyFill="1" applyBorder="1" applyAlignment="1"/>
    <xf numFmtId="0" fontId="122" fillId="59" borderId="114" xfId="0" applyFont="1" applyFill="1" applyBorder="1" applyAlignment="1">
      <alignment horizontal="center"/>
    </xf>
    <xf numFmtId="0" fontId="1" fillId="0" borderId="13" xfId="0" applyFont="1" applyBorder="1" applyAlignment="1"/>
    <xf numFmtId="4" fontId="126" fillId="46" borderId="114" xfId="0" applyNumberFormat="1" applyFont="1" applyFill="1" applyBorder="1" applyAlignment="1">
      <alignment horizontal="center"/>
    </xf>
    <xf numFmtId="0" fontId="41" fillId="22" borderId="139" xfId="0" applyFont="1" applyFill="1" applyBorder="1" applyAlignment="1"/>
    <xf numFmtId="0" fontId="41" fillId="22" borderId="140" xfId="0" applyFont="1" applyFill="1" applyBorder="1" applyAlignment="1"/>
    <xf numFmtId="0" fontId="1" fillId="0" borderId="140" xfId="0" applyFont="1" applyBorder="1" applyAlignment="1"/>
    <xf numFmtId="0" fontId="123" fillId="34" borderId="141" xfId="0" applyFont="1" applyFill="1" applyBorder="1" applyAlignment="1">
      <alignment horizontal="center"/>
    </xf>
    <xf numFmtId="0" fontId="64" fillId="70" borderId="116" xfId="0" applyFont="1" applyFill="1" applyBorder="1" applyAlignment="1"/>
    <xf numFmtId="0" fontId="105" fillId="70" borderId="116" xfId="0" applyFont="1" applyFill="1" applyBorder="1" applyAlignment="1"/>
    <xf numFmtId="0" fontId="127" fillId="15" borderId="13" xfId="0" applyFont="1" applyFill="1" applyBorder="1" applyAlignment="1">
      <alignment horizontal="center"/>
    </xf>
    <xf numFmtId="0" fontId="35" fillId="6" borderId="261" xfId="0" applyFont="1" applyFill="1" applyBorder="1" applyAlignment="1">
      <alignment horizontal="center"/>
    </xf>
    <xf numFmtId="0" fontId="35" fillId="6" borderId="262" xfId="0" applyFont="1" applyFill="1" applyBorder="1" applyAlignment="1">
      <alignment horizontal="center"/>
    </xf>
    <xf numFmtId="0" fontId="127" fillId="15" borderId="11" xfId="0" applyFont="1" applyFill="1" applyBorder="1" applyAlignment="1">
      <alignment horizontal="center"/>
    </xf>
    <xf numFmtId="0" fontId="35" fillId="6" borderId="263" xfId="0" applyFont="1" applyFill="1" applyBorder="1" applyAlignment="1">
      <alignment horizontal="center"/>
    </xf>
    <xf numFmtId="0" fontId="35" fillId="6" borderId="40" xfId="0" applyFont="1" applyFill="1" applyBorder="1" applyAlignment="1">
      <alignment horizontal="center"/>
    </xf>
    <xf numFmtId="0" fontId="127" fillId="38" borderId="11" xfId="0" applyFont="1" applyFill="1" applyBorder="1" applyAlignment="1">
      <alignment horizontal="center"/>
    </xf>
    <xf numFmtId="0" fontId="127" fillId="39" borderId="11" xfId="0" applyFont="1" applyFill="1" applyBorder="1" applyAlignment="1">
      <alignment horizontal="center"/>
    </xf>
    <xf numFmtId="0" fontId="127" fillId="40" borderId="11" xfId="0" applyFont="1" applyFill="1" applyBorder="1" applyAlignment="1">
      <alignment horizontal="center"/>
    </xf>
    <xf numFmtId="0" fontId="127" fillId="66" borderId="11" xfId="0" applyFont="1" applyFill="1" applyBorder="1" applyAlignment="1">
      <alignment horizontal="center"/>
    </xf>
    <xf numFmtId="0" fontId="127" fillId="6" borderId="11" xfId="0" applyFont="1" applyFill="1" applyBorder="1" applyAlignment="1">
      <alignment horizontal="center"/>
    </xf>
    <xf numFmtId="0" fontId="127" fillId="7" borderId="11" xfId="0" applyFont="1" applyFill="1" applyBorder="1" applyAlignment="1">
      <alignment horizontal="center"/>
    </xf>
    <xf numFmtId="0" fontId="127" fillId="41" borderId="11" xfId="0" applyFont="1" applyFill="1" applyBorder="1" applyAlignment="1">
      <alignment horizontal="center"/>
    </xf>
    <xf numFmtId="0" fontId="127" fillId="42" borderId="11" xfId="0" applyFont="1" applyFill="1" applyBorder="1" applyAlignment="1">
      <alignment horizontal="center"/>
    </xf>
    <xf numFmtId="0" fontId="127" fillId="42" borderId="264" xfId="0" applyFont="1" applyFill="1" applyBorder="1" applyAlignment="1">
      <alignment horizontal="center"/>
    </xf>
    <xf numFmtId="0" fontId="35" fillId="6" borderId="265" xfId="0" applyFont="1" applyFill="1" applyBorder="1" applyAlignment="1">
      <alignment horizontal="center"/>
    </xf>
    <xf numFmtId="0" fontId="35" fillId="6" borderId="266" xfId="0" applyFont="1" applyFill="1" applyBorder="1" applyAlignment="1">
      <alignment horizontal="center"/>
    </xf>
    <xf numFmtId="0" fontId="127" fillId="7" borderId="13" xfId="0" applyFont="1" applyFill="1" applyBorder="1" applyAlignment="1">
      <alignment horizontal="center"/>
    </xf>
    <xf numFmtId="0" fontId="35" fillId="68" borderId="267" xfId="0" applyFont="1" applyFill="1" applyBorder="1" applyAlignment="1">
      <alignment horizontal="center"/>
    </xf>
    <xf numFmtId="0" fontId="35" fillId="68" borderId="268" xfId="0" applyFont="1" applyFill="1" applyBorder="1" applyAlignment="1">
      <alignment horizontal="center"/>
    </xf>
    <xf numFmtId="0" fontId="127" fillId="23" borderId="11" xfId="0" applyFont="1" applyFill="1" applyBorder="1" applyAlignment="1">
      <alignment horizontal="center"/>
    </xf>
    <xf numFmtId="0" fontId="35" fillId="68" borderId="263" xfId="0" applyFont="1" applyFill="1" applyBorder="1" applyAlignment="1">
      <alignment horizontal="center"/>
    </xf>
    <xf numFmtId="0" fontId="35" fillId="68" borderId="40" xfId="0" applyFont="1" applyFill="1" applyBorder="1" applyAlignment="1">
      <alignment horizontal="center"/>
    </xf>
    <xf numFmtId="0" fontId="128" fillId="15" borderId="11" xfId="0" applyFont="1" applyFill="1" applyBorder="1" applyAlignment="1">
      <alignment horizontal="center"/>
    </xf>
    <xf numFmtId="0" fontId="35" fillId="68" borderId="269" xfId="0" applyFont="1" applyFill="1" applyBorder="1" applyAlignment="1">
      <alignment horizontal="center"/>
    </xf>
    <xf numFmtId="0" fontId="35" fillId="68" borderId="270" xfId="0" applyFont="1" applyFill="1" applyBorder="1" applyAlignment="1">
      <alignment horizontal="center"/>
    </xf>
    <xf numFmtId="0" fontId="127" fillId="20" borderId="13" xfId="0" applyFont="1" applyFill="1" applyBorder="1" applyAlignment="1">
      <alignment horizontal="center"/>
    </xf>
    <xf numFmtId="0" fontId="35" fillId="6" borderId="271" xfId="0" applyFont="1" applyFill="1" applyBorder="1" applyAlignment="1">
      <alignment horizontal="center"/>
    </xf>
    <xf numFmtId="0" fontId="35" fillId="6" borderId="272" xfId="0" applyFont="1" applyFill="1" applyBorder="1" applyAlignment="1">
      <alignment horizontal="center"/>
    </xf>
    <xf numFmtId="0" fontId="127" fillId="20" borderId="11" xfId="0" applyFont="1" applyFill="1" applyBorder="1" applyAlignment="1">
      <alignment horizontal="center"/>
    </xf>
    <xf numFmtId="0" fontId="35" fillId="6" borderId="273" xfId="0" applyFont="1" applyFill="1" applyBorder="1" applyAlignment="1">
      <alignment horizontal="center"/>
    </xf>
    <xf numFmtId="0" fontId="35" fillId="6" borderId="274" xfId="0" applyFont="1" applyFill="1" applyBorder="1" applyAlignment="1">
      <alignment horizontal="center"/>
    </xf>
    <xf numFmtId="0" fontId="127" fillId="54" borderId="11" xfId="0" applyFont="1" applyFill="1" applyBorder="1" applyAlignment="1">
      <alignment horizontal="center"/>
    </xf>
    <xf numFmtId="0" fontId="127" fillId="37" borderId="11" xfId="0" applyFont="1" applyFill="1" applyBorder="1" applyAlignment="1">
      <alignment horizontal="center"/>
    </xf>
    <xf numFmtId="0" fontId="129" fillId="46" borderId="11" xfId="0" applyFont="1" applyFill="1" applyBorder="1" applyAlignment="1">
      <alignment horizontal="center"/>
    </xf>
    <xf numFmtId="0" fontId="127" fillId="33" borderId="11" xfId="0" applyFont="1" applyFill="1" applyBorder="1" applyAlignment="1">
      <alignment horizontal="center"/>
    </xf>
    <xf numFmtId="0" fontId="127" fillId="55" borderId="11" xfId="0" applyFont="1" applyFill="1" applyBorder="1" applyAlignment="1">
      <alignment horizontal="center"/>
    </xf>
    <xf numFmtId="0" fontId="127" fillId="56" borderId="11" xfId="0" applyFont="1" applyFill="1" applyBorder="1" applyAlignment="1">
      <alignment horizontal="center"/>
    </xf>
    <xf numFmtId="0" fontId="127" fillId="57" borderId="11" xfId="0" applyFont="1" applyFill="1" applyBorder="1" applyAlignment="1">
      <alignment horizontal="center"/>
    </xf>
    <xf numFmtId="0" fontId="35" fillId="6" borderId="275" xfId="0" applyFont="1" applyFill="1" applyBorder="1" applyAlignment="1">
      <alignment horizontal="center"/>
    </xf>
    <xf numFmtId="0" fontId="35" fillId="6" borderId="276" xfId="0" applyFont="1" applyFill="1" applyBorder="1" applyAlignment="1">
      <alignment horizontal="center"/>
    </xf>
    <xf numFmtId="0" fontId="128" fillId="57" borderId="13" xfId="0" applyFont="1" applyFill="1" applyBorder="1" applyAlignment="1">
      <alignment horizontal="center"/>
    </xf>
    <xf numFmtId="0" fontId="128" fillId="66" borderId="11" xfId="0" applyFont="1" applyFill="1" applyBorder="1" applyAlignment="1">
      <alignment horizontal="center"/>
    </xf>
    <xf numFmtId="0" fontId="35" fillId="68" borderId="277" xfId="0" applyFont="1" applyFill="1" applyBorder="1" applyAlignment="1">
      <alignment horizontal="center"/>
    </xf>
    <xf numFmtId="0" fontId="127" fillId="59" borderId="13" xfId="0" applyFont="1" applyFill="1" applyBorder="1" applyAlignment="1">
      <alignment horizontal="center"/>
    </xf>
    <xf numFmtId="0" fontId="35" fillId="6" borderId="278" xfId="0" applyFont="1" applyFill="1" applyBorder="1" applyAlignment="1">
      <alignment horizontal="center"/>
    </xf>
    <xf numFmtId="0" fontId="35" fillId="6" borderId="279" xfId="0" applyFont="1" applyFill="1" applyBorder="1" applyAlignment="1">
      <alignment horizontal="center"/>
    </xf>
    <xf numFmtId="0" fontId="127" fillId="59" borderId="11" xfId="0" applyFont="1" applyFill="1" applyBorder="1" applyAlignment="1">
      <alignment horizontal="center"/>
    </xf>
    <xf numFmtId="0" fontId="35" fillId="6" borderId="280" xfId="0" applyFont="1" applyFill="1" applyBorder="1" applyAlignment="1">
      <alignment horizontal="center"/>
    </xf>
    <xf numFmtId="0" fontId="130" fillId="60" borderId="11" xfId="0" applyFont="1" applyFill="1" applyBorder="1" applyAlignment="1">
      <alignment horizontal="center"/>
    </xf>
    <xf numFmtId="0" fontId="130" fillId="61" borderId="11" xfId="0" applyFont="1" applyFill="1" applyBorder="1" applyAlignment="1">
      <alignment horizontal="center"/>
    </xf>
    <xf numFmtId="0" fontId="128" fillId="39" borderId="11" xfId="0" applyFont="1" applyFill="1" applyBorder="1" applyAlignment="1">
      <alignment horizontal="center"/>
    </xf>
    <xf numFmtId="0" fontId="127" fillId="82" borderId="264" xfId="0" applyFont="1" applyFill="1" applyBorder="1" applyAlignment="1">
      <alignment horizontal="center"/>
    </xf>
    <xf numFmtId="0" fontId="35" fillId="6" borderId="281" xfId="0" applyFont="1" applyFill="1" applyBorder="1" applyAlignment="1">
      <alignment horizontal="center"/>
    </xf>
    <xf numFmtId="0" fontId="35" fillId="6" borderId="282" xfId="0" applyFont="1" applyFill="1" applyBorder="1" applyAlignment="1">
      <alignment horizontal="center"/>
    </xf>
    <xf numFmtId="0" fontId="127" fillId="82" borderId="13" xfId="0" applyFont="1" applyFill="1" applyBorder="1" applyAlignment="1">
      <alignment horizontal="center"/>
    </xf>
    <xf numFmtId="0" fontId="130" fillId="60" borderId="13" xfId="0" applyFont="1" applyFill="1" applyBorder="1" applyAlignment="1">
      <alignment horizontal="center"/>
    </xf>
    <xf numFmtId="0" fontId="35" fillId="6" borderId="283" xfId="0" applyFont="1" applyFill="1" applyBorder="1" applyAlignment="1">
      <alignment horizontal="center"/>
    </xf>
    <xf numFmtId="0" fontId="35" fillId="6" borderId="284" xfId="0" applyFont="1" applyFill="1" applyBorder="1" applyAlignment="1">
      <alignment horizontal="center"/>
    </xf>
    <xf numFmtId="0" fontId="128" fillId="20" borderId="11" xfId="0" applyFont="1" applyFill="1" applyBorder="1" applyAlignment="1">
      <alignment horizontal="center"/>
    </xf>
    <xf numFmtId="0" fontId="35" fillId="6" borderId="285" xfId="0" applyFont="1" applyFill="1" applyBorder="1" applyAlignment="1">
      <alignment horizontal="center"/>
    </xf>
    <xf numFmtId="0" fontId="130" fillId="40" borderId="11" xfId="0" applyFont="1" applyFill="1" applyBorder="1" applyAlignment="1">
      <alignment horizontal="center"/>
    </xf>
    <xf numFmtId="0" fontId="131" fillId="44" borderId="11" xfId="0" applyFont="1" applyFill="1" applyBorder="1" applyAlignment="1">
      <alignment horizontal="center"/>
    </xf>
    <xf numFmtId="0" fontId="131" fillId="46" borderId="11" xfId="0" applyFont="1" applyFill="1" applyBorder="1" applyAlignment="1">
      <alignment horizontal="center"/>
    </xf>
    <xf numFmtId="0" fontId="132" fillId="47" borderId="11" xfId="0" applyFont="1" applyFill="1" applyBorder="1" applyAlignment="1">
      <alignment horizontal="center"/>
    </xf>
    <xf numFmtId="0" fontId="133" fillId="48" borderId="11" xfId="0" applyFont="1" applyFill="1" applyBorder="1" applyAlignment="1">
      <alignment horizontal="center"/>
    </xf>
    <xf numFmtId="0" fontId="134" fillId="83" borderId="11" xfId="0" applyFont="1" applyFill="1" applyBorder="1" applyAlignment="1">
      <alignment horizontal="center"/>
    </xf>
    <xf numFmtId="0" fontId="131" fillId="50" borderId="11" xfId="0" applyFont="1" applyFill="1" applyBorder="1" applyAlignment="1">
      <alignment horizontal="center"/>
    </xf>
    <xf numFmtId="0" fontId="135" fillId="31" borderId="11" xfId="0" applyFont="1" applyFill="1" applyBorder="1" applyAlignment="1">
      <alignment horizontal="center"/>
    </xf>
    <xf numFmtId="0" fontId="136" fillId="35" borderId="11" xfId="0" applyFont="1" applyFill="1" applyBorder="1" applyAlignment="1">
      <alignment horizontal="center"/>
    </xf>
    <xf numFmtId="0" fontId="35" fillId="6" borderId="286" xfId="0" applyFont="1" applyFill="1" applyBorder="1" applyAlignment="1">
      <alignment horizontal="center"/>
    </xf>
    <xf numFmtId="0" fontId="35" fillId="6" borderId="287" xfId="0" applyFont="1" applyFill="1" applyBorder="1" applyAlignment="1">
      <alignment horizontal="center"/>
    </xf>
    <xf numFmtId="0" fontId="130" fillId="40" borderId="13" xfId="0" applyFont="1" applyFill="1" applyBorder="1" applyAlignment="1">
      <alignment horizontal="center"/>
    </xf>
    <xf numFmtId="0" fontId="137" fillId="22" borderId="13" xfId="0" applyFont="1" applyFill="1" applyBorder="1" applyAlignment="1">
      <alignment horizontal="center"/>
    </xf>
    <xf numFmtId="0" fontId="35" fillId="33" borderId="288" xfId="0" applyFont="1" applyFill="1" applyBorder="1" applyAlignment="1">
      <alignment horizontal="center"/>
    </xf>
    <xf numFmtId="0" fontId="35" fillId="33" borderId="289" xfId="0" applyFont="1" applyFill="1" applyBorder="1" applyAlignment="1">
      <alignment horizontal="center"/>
    </xf>
    <xf numFmtId="0" fontId="128" fillId="25" borderId="11" xfId="0" applyFont="1" applyFill="1" applyBorder="1" applyAlignment="1">
      <alignment horizontal="center"/>
    </xf>
    <xf numFmtId="0" fontId="35" fillId="6" borderId="290" xfId="0" applyFont="1" applyFill="1" applyBorder="1" applyAlignment="1">
      <alignment horizontal="center"/>
    </xf>
    <xf numFmtId="0" fontId="130" fillId="26" borderId="11" xfId="0" applyFont="1" applyFill="1" applyBorder="1" applyAlignment="1">
      <alignment horizontal="center"/>
    </xf>
    <xf numFmtId="0" fontId="130" fillId="27" borderId="11" xfId="0" applyFont="1" applyFill="1" applyBorder="1" applyAlignment="1">
      <alignment horizontal="center"/>
    </xf>
    <xf numFmtId="0" fontId="130" fillId="28" borderId="11" xfId="0" applyFont="1" applyFill="1" applyBorder="1" applyAlignment="1">
      <alignment horizontal="center"/>
    </xf>
    <xf numFmtId="0" fontId="138" fillId="29" borderId="11" xfId="0" applyFont="1" applyFill="1" applyBorder="1" applyAlignment="1">
      <alignment horizontal="center"/>
    </xf>
    <xf numFmtId="0" fontId="130" fillId="30" borderId="11" xfId="0" applyFont="1" applyFill="1" applyBorder="1" applyAlignment="1">
      <alignment horizontal="center"/>
    </xf>
    <xf numFmtId="0" fontId="130" fillId="31" borderId="11" xfId="0" applyFont="1" applyFill="1" applyBorder="1" applyAlignment="1">
      <alignment horizontal="center"/>
    </xf>
    <xf numFmtId="0" fontId="35" fillId="6" borderId="291" xfId="0" applyFont="1" applyFill="1" applyBorder="1" applyAlignment="1">
      <alignment horizontal="center"/>
    </xf>
    <xf numFmtId="0" fontId="35" fillId="6" borderId="292" xfId="0" applyFont="1" applyFill="1" applyBorder="1" applyAlignment="1">
      <alignment horizontal="center"/>
    </xf>
    <xf numFmtId="0" fontId="130" fillId="26" borderId="13" xfId="0" applyFont="1" applyFill="1" applyBorder="1" applyAlignment="1">
      <alignment horizontal="center"/>
    </xf>
    <xf numFmtId="0" fontId="1" fillId="0" borderId="7" xfId="0" applyFont="1" applyBorder="1"/>
    <xf numFmtId="0" fontId="139" fillId="22" borderId="11" xfId="0" applyFont="1" applyFill="1" applyBorder="1" applyAlignment="1">
      <alignment horizontal="center"/>
    </xf>
    <xf numFmtId="0" fontId="128" fillId="25" borderId="293" xfId="0" applyFont="1" applyFill="1" applyBorder="1" applyAlignment="1">
      <alignment horizontal="center"/>
    </xf>
    <xf numFmtId="0" fontId="130" fillId="34" borderId="11" xfId="0" applyFont="1" applyFill="1" applyBorder="1" applyAlignment="1">
      <alignment horizontal="center"/>
    </xf>
    <xf numFmtId="0" fontId="130" fillId="35" borderId="11" xfId="0" applyFont="1" applyFill="1" applyBorder="1" applyAlignment="1">
      <alignment horizontal="center"/>
    </xf>
    <xf numFmtId="0" fontId="140" fillId="84" borderId="0" xfId="0" applyFont="1" applyFill="1" applyAlignment="1"/>
    <xf numFmtId="0" fontId="1" fillId="0" borderId="0" xfId="0" applyFont="1" applyAlignment="1"/>
    <xf numFmtId="0" fontId="1" fillId="0" borderId="0" xfId="0" applyFont="1" applyAlignment="1">
      <alignment wrapText="1"/>
    </xf>
    <xf numFmtId="0" fontId="105" fillId="15" borderId="0" xfId="0" applyFont="1" applyFill="1" applyAlignment="1">
      <alignment wrapText="1"/>
    </xf>
    <xf numFmtId="0" fontId="16" fillId="3" borderId="0" xfId="0" applyFont="1" applyFill="1" applyAlignment="1">
      <alignment horizontal="left" vertical="center" wrapText="1"/>
    </xf>
    <xf numFmtId="0" fontId="0" fillId="0" borderId="0" xfId="0" applyFont="1" applyAlignment="1"/>
    <xf numFmtId="0" fontId="19" fillId="3" borderId="0" xfId="0" applyFont="1" applyFill="1" applyAlignment="1">
      <alignment horizontal="left" vertical="center" wrapText="1"/>
    </xf>
    <xf numFmtId="165" fontId="25" fillId="3" borderId="0" xfId="0" applyNumberFormat="1" applyFont="1" applyFill="1" applyAlignment="1">
      <alignment horizontal="left" vertical="top"/>
    </xf>
    <xf numFmtId="0" fontId="29" fillId="3" borderId="1" xfId="0" applyFont="1" applyFill="1" applyBorder="1" applyAlignment="1">
      <alignment vertical="top" wrapText="1"/>
    </xf>
    <xf numFmtId="0" fontId="2" fillId="0" borderId="2" xfId="0" applyFont="1" applyBorder="1"/>
    <xf numFmtId="0" fontId="2" fillId="0" borderId="3" xfId="0" applyFont="1" applyBorder="1"/>
    <xf numFmtId="0" fontId="2" fillId="0" borderId="8" xfId="0" applyFont="1" applyBorder="1"/>
    <xf numFmtId="0" fontId="2" fillId="0" borderId="9" xfId="0" applyFont="1" applyBorder="1"/>
    <xf numFmtId="0" fontId="2" fillId="0" borderId="18" xfId="0" applyFont="1" applyBorder="1"/>
    <xf numFmtId="0" fontId="2" fillId="0" borderId="19" xfId="0" applyFont="1" applyBorder="1"/>
    <xf numFmtId="0" fontId="2" fillId="0" borderId="20" xfId="0" applyFont="1" applyBorder="1"/>
    <xf numFmtId="3" fontId="3" fillId="3" borderId="0" xfId="0" applyNumberFormat="1" applyFont="1" applyFill="1" applyAlignment="1">
      <alignment horizontal="left"/>
    </xf>
    <xf numFmtId="0" fontId="1" fillId="4" borderId="1" xfId="0" applyFont="1" applyFill="1" applyBorder="1"/>
    <xf numFmtId="0" fontId="1" fillId="4" borderId="2" xfId="0" applyFont="1" applyFill="1" applyBorder="1"/>
    <xf numFmtId="0" fontId="1" fillId="4" borderId="3" xfId="0" applyFont="1" applyFill="1" applyBorder="1"/>
    <xf numFmtId="0" fontId="1" fillId="3" borderId="0" xfId="0" applyFont="1" applyFill="1"/>
    <xf numFmtId="0" fontId="1" fillId="4" borderId="18" xfId="0" applyFont="1" applyFill="1" applyBorder="1"/>
    <xf numFmtId="0" fontId="2" fillId="8" borderId="19" xfId="0" applyFont="1" applyFill="1" applyBorder="1"/>
    <xf numFmtId="0" fontId="21" fillId="3" borderId="8" xfId="0" applyFont="1" applyFill="1" applyBorder="1" applyAlignment="1">
      <alignment vertical="center"/>
    </xf>
    <xf numFmtId="0" fontId="2" fillId="0" borderId="34" xfId="0" applyFont="1" applyBorder="1"/>
    <xf numFmtId="0" fontId="22" fillId="3" borderId="8" xfId="0" applyFont="1" applyFill="1" applyBorder="1" applyAlignment="1">
      <alignment vertical="center"/>
    </xf>
    <xf numFmtId="0" fontId="20" fillId="13" borderId="21" xfId="0" applyFont="1" applyFill="1" applyBorder="1" applyAlignment="1">
      <alignment vertical="center"/>
    </xf>
    <xf numFmtId="0" fontId="2" fillId="0" borderId="22" xfId="0" applyFont="1" applyBorder="1"/>
    <xf numFmtId="0" fontId="2" fillId="0" borderId="23" xfId="0" applyFont="1" applyBorder="1"/>
    <xf numFmtId="0" fontId="26" fillId="18" borderId="21" xfId="0" applyFont="1" applyFill="1" applyBorder="1" applyAlignment="1">
      <alignment vertical="center" wrapText="1"/>
    </xf>
    <xf numFmtId="0" fontId="21" fillId="20" borderId="21" xfId="0" applyFont="1" applyFill="1" applyBorder="1" applyAlignment="1">
      <alignment vertical="center"/>
    </xf>
    <xf numFmtId="0" fontId="26" fillId="20" borderId="21" xfId="0" applyFont="1" applyFill="1" applyBorder="1" applyAlignment="1">
      <alignment vertical="center" wrapText="1"/>
    </xf>
    <xf numFmtId="0" fontId="1" fillId="2" borderId="1" xfId="0" applyFont="1" applyFill="1" applyBorder="1"/>
    <xf numFmtId="0" fontId="14" fillId="2" borderId="18" xfId="0" applyFont="1" applyFill="1" applyBorder="1" applyAlignment="1">
      <alignment horizontal="center" vertical="center"/>
    </xf>
    <xf numFmtId="3" fontId="3" fillId="3" borderId="0" xfId="0" applyNumberFormat="1" applyFont="1" applyFill="1" applyAlignment="1">
      <alignment horizontal="left" vertical="top"/>
    </xf>
    <xf numFmtId="0" fontId="2" fillId="0" borderId="25" xfId="0" applyFont="1" applyBorder="1"/>
    <xf numFmtId="0" fontId="18" fillId="12" borderId="1" xfId="0" applyFont="1" applyFill="1" applyBorder="1" applyAlignment="1">
      <alignment horizontal="left" vertical="center"/>
    </xf>
    <xf numFmtId="0" fontId="22" fillId="14" borderId="29" xfId="0" applyFont="1" applyFill="1" applyBorder="1" applyAlignment="1">
      <alignment horizontal="center" vertical="center"/>
    </xf>
    <xf numFmtId="0" fontId="2" fillId="0" borderId="30" xfId="0" applyFont="1" applyBorder="1"/>
    <xf numFmtId="0" fontId="2" fillId="0" borderId="33" xfId="0" applyFont="1" applyBorder="1"/>
    <xf numFmtId="0" fontId="1" fillId="3" borderId="1" xfId="0" applyFont="1" applyFill="1" applyBorder="1"/>
    <xf numFmtId="0" fontId="45" fillId="37" borderId="41" xfId="0" applyFont="1" applyFill="1" applyBorder="1" applyAlignment="1">
      <alignment horizontal="left" vertical="center"/>
    </xf>
    <xf numFmtId="0" fontId="2" fillId="0" borderId="42" xfId="0" applyFont="1" applyBorder="1"/>
    <xf numFmtId="0" fontId="2" fillId="0" borderId="43" xfId="0" applyFont="1" applyBorder="1"/>
    <xf numFmtId="0" fontId="2" fillId="0" borderId="44" xfId="0" applyFont="1" applyBorder="1"/>
    <xf numFmtId="0" fontId="2" fillId="0" borderId="45" xfId="0" applyFont="1" applyBorder="1"/>
    <xf numFmtId="0" fontId="2" fillId="0" borderId="46" xfId="0" applyFont="1" applyBorder="1"/>
    <xf numFmtId="0" fontId="2" fillId="0" borderId="47" xfId="0" applyFont="1" applyBorder="1"/>
    <xf numFmtId="0" fontId="2" fillId="0" borderId="48" xfId="0" applyFont="1" applyBorder="1"/>
    <xf numFmtId="0" fontId="53" fillId="11" borderId="50" xfId="0" applyFont="1" applyFill="1" applyBorder="1"/>
    <xf numFmtId="0" fontId="2" fillId="0" borderId="51" xfId="0" applyFont="1" applyBorder="1"/>
    <xf numFmtId="0" fontId="2" fillId="0" borderId="52" xfId="0" applyFont="1" applyBorder="1"/>
    <xf numFmtId="0" fontId="2" fillId="0" borderId="53" xfId="0" applyFont="1" applyBorder="1"/>
    <xf numFmtId="0" fontId="2" fillId="0" borderId="54" xfId="0" applyFont="1" applyBorder="1"/>
    <xf numFmtId="0" fontId="2" fillId="0" borderId="55" xfId="0" applyFont="1" applyBorder="1"/>
    <xf numFmtId="0" fontId="2" fillId="0" borderId="56" xfId="0" applyFont="1" applyBorder="1"/>
    <xf numFmtId="0" fontId="2" fillId="0" borderId="57" xfId="0" applyFont="1" applyBorder="1"/>
    <xf numFmtId="0" fontId="67" fillId="9" borderId="58" xfId="0" applyFont="1" applyFill="1" applyBorder="1" applyAlignment="1"/>
    <xf numFmtId="0" fontId="2" fillId="0" borderId="59" xfId="0" applyFont="1" applyBorder="1"/>
    <xf numFmtId="0" fontId="2" fillId="0" borderId="60" xfId="0" applyFont="1" applyBorder="1"/>
    <xf numFmtId="0" fontId="2" fillId="0" borderId="61" xfId="0" applyFont="1" applyBorder="1"/>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70" fillId="7" borderId="66" xfId="0" applyFont="1" applyFill="1" applyBorder="1" applyAlignment="1">
      <alignment horizontal="left" vertical="center"/>
    </xf>
    <xf numFmtId="0" fontId="2" fillId="0" borderId="67" xfId="0" applyFont="1" applyBorder="1"/>
    <xf numFmtId="0" fontId="2" fillId="0" borderId="68" xfId="0" applyFont="1" applyBorder="1"/>
    <xf numFmtId="0" fontId="2" fillId="0" borderId="69" xfId="0" applyFont="1" applyBorder="1"/>
    <xf numFmtId="0" fontId="2" fillId="0" borderId="70" xfId="0" applyFont="1" applyBorder="1"/>
    <xf numFmtId="0" fontId="2" fillId="0" borderId="73" xfId="0" applyFont="1" applyBorder="1"/>
    <xf numFmtId="0" fontId="2" fillId="0" borderId="74" xfId="0" applyFont="1" applyBorder="1"/>
    <xf numFmtId="0" fontId="2" fillId="0" borderId="75" xfId="0" applyFont="1" applyBorder="1"/>
    <xf numFmtId="0" fontId="84" fillId="67" borderId="96" xfId="0" applyFont="1" applyFill="1" applyBorder="1" applyAlignment="1">
      <alignment horizontal="center" vertical="center"/>
    </xf>
    <xf numFmtId="0" fontId="2" fillId="0" borderId="94" xfId="0" applyFont="1" applyBorder="1"/>
    <xf numFmtId="0" fontId="2" fillId="0" borderId="95" xfId="0" applyFont="1" applyBorder="1"/>
    <xf numFmtId="0" fontId="78" fillId="3" borderId="81" xfId="0" applyFont="1" applyFill="1" applyBorder="1" applyAlignment="1">
      <alignment horizontal="left"/>
    </xf>
    <xf numFmtId="0" fontId="2" fillId="0" borderId="82" xfId="0" applyFont="1" applyBorder="1"/>
    <xf numFmtId="0" fontId="2" fillId="0" borderId="85" xfId="0" applyFont="1" applyBorder="1"/>
    <xf numFmtId="0" fontId="2" fillId="0" borderId="86" xfId="0" applyFont="1" applyBorder="1"/>
    <xf numFmtId="0" fontId="2" fillId="0" borderId="90" xfId="0" applyFont="1" applyBorder="1"/>
    <xf numFmtId="0" fontId="2" fillId="0" borderId="91" xfId="0" applyFont="1" applyBorder="1"/>
    <xf numFmtId="0" fontId="79" fillId="9" borderId="81" xfId="0" applyFont="1" applyFill="1" applyBorder="1" applyAlignment="1">
      <alignment horizontal="left"/>
    </xf>
    <xf numFmtId="0" fontId="2" fillId="0" borderId="83" xfId="0" applyFont="1" applyBorder="1"/>
    <xf numFmtId="0" fontId="2" fillId="0" borderId="92" xfId="0" applyFont="1" applyBorder="1"/>
    <xf numFmtId="0" fontId="79" fillId="7" borderId="81" xfId="0" applyFont="1" applyFill="1" applyBorder="1" applyAlignment="1">
      <alignment horizontal="left"/>
    </xf>
    <xf numFmtId="0" fontId="79" fillId="65" borderId="81" xfId="0" applyFont="1" applyFill="1" applyBorder="1" applyAlignment="1">
      <alignment horizontal="left"/>
    </xf>
    <xf numFmtId="0" fontId="78" fillId="11" borderId="83" xfId="0" applyFont="1" applyFill="1" applyBorder="1" applyAlignment="1">
      <alignment horizontal="left"/>
    </xf>
    <xf numFmtId="0" fontId="84" fillId="67" borderId="93" xfId="0" applyFont="1" applyFill="1" applyBorder="1" applyAlignment="1">
      <alignment horizontal="center" vertical="center"/>
    </xf>
    <xf numFmtId="0" fontId="93" fillId="11" borderId="96" xfId="0" applyFont="1" applyFill="1" applyBorder="1" applyAlignment="1">
      <alignment horizontal="center" vertical="center"/>
    </xf>
    <xf numFmtId="0" fontId="93" fillId="35" borderId="96" xfId="0" applyFont="1" applyFill="1" applyBorder="1" applyAlignment="1">
      <alignment horizontal="center" vertical="center"/>
    </xf>
    <xf numFmtId="0" fontId="84" fillId="12" borderId="93" xfId="0" applyFont="1" applyFill="1" applyBorder="1" applyAlignment="1">
      <alignment horizontal="center" vertical="center"/>
    </xf>
    <xf numFmtId="0" fontId="93" fillId="51" borderId="96" xfId="0" applyFont="1" applyFill="1" applyBorder="1" applyAlignment="1">
      <alignment horizontal="center" vertical="center"/>
    </xf>
    <xf numFmtId="0" fontId="15" fillId="64" borderId="81" xfId="0" applyFont="1" applyFill="1" applyBorder="1" applyAlignment="1">
      <alignment vertical="top" wrapText="1"/>
    </xf>
    <xf numFmtId="0" fontId="84" fillId="3" borderId="93" xfId="0" applyFont="1" applyFill="1" applyBorder="1" applyAlignment="1">
      <alignment horizontal="center" vertical="center"/>
    </xf>
    <xf numFmtId="0" fontId="84" fillId="12" borderId="96" xfId="0" applyFont="1" applyFill="1" applyBorder="1" applyAlignment="1">
      <alignment horizontal="center" vertical="center"/>
    </xf>
    <xf numFmtId="0" fontId="84" fillId="3" borderId="96" xfId="0" applyFont="1" applyFill="1" applyBorder="1" applyAlignment="1">
      <alignment horizontal="center" vertical="center"/>
    </xf>
    <xf numFmtId="0" fontId="64" fillId="0" borderId="148" xfId="0" applyFont="1" applyBorder="1" applyAlignment="1"/>
    <xf numFmtId="0" fontId="2" fillId="0" borderId="149" xfId="0" applyFont="1" applyBorder="1"/>
    <xf numFmtId="0" fontId="2" fillId="0" borderId="148" xfId="0" applyFont="1" applyBorder="1"/>
    <xf numFmtId="0" fontId="2" fillId="0" borderId="163" xfId="0" applyFont="1" applyBorder="1"/>
    <xf numFmtId="0" fontId="2" fillId="0" borderId="164" xfId="0" applyFont="1" applyBorder="1"/>
    <xf numFmtId="0" fontId="2" fillId="0" borderId="165" xfId="0" applyFont="1" applyBorder="1"/>
    <xf numFmtId="0" fontId="64" fillId="0" borderId="176" xfId="0" applyFont="1" applyBorder="1" applyAlignment="1"/>
    <xf numFmtId="0" fontId="2" fillId="0" borderId="177" xfId="0" applyFont="1" applyBorder="1"/>
    <xf numFmtId="0" fontId="2" fillId="0" borderId="176" xfId="0" applyFont="1" applyBorder="1"/>
    <xf numFmtId="0" fontId="2" fillId="0" borderId="186" xfId="0" applyFont="1" applyBorder="1"/>
    <xf numFmtId="0" fontId="2" fillId="0" borderId="187" xfId="0" applyFont="1" applyBorder="1"/>
    <xf numFmtId="0" fontId="2" fillId="0" borderId="188" xfId="0" applyFont="1" applyBorder="1"/>
    <xf numFmtId="0" fontId="64" fillId="0" borderId="201" xfId="0" applyFont="1" applyBorder="1" applyAlignment="1"/>
    <xf numFmtId="0" fontId="2" fillId="0" borderId="202" xfId="0" applyFont="1" applyBorder="1"/>
    <xf numFmtId="0" fontId="2" fillId="0" borderId="201" xfId="0" applyFont="1" applyBorder="1"/>
    <xf numFmtId="0" fontId="2" fillId="0" borderId="211" xfId="0" applyFont="1" applyBorder="1"/>
    <xf numFmtId="0" fontId="2" fillId="0" borderId="212" xfId="0" applyFont="1" applyBorder="1"/>
    <xf numFmtId="0" fontId="2" fillId="0" borderId="213" xfId="0" applyFont="1" applyBorder="1"/>
    <xf numFmtId="0" fontId="64" fillId="0" borderId="220" xfId="0" applyFont="1" applyBorder="1" applyAlignment="1"/>
    <xf numFmtId="0" fontId="2" fillId="0" borderId="221" xfId="0" applyFont="1" applyBorder="1"/>
    <xf numFmtId="0" fontId="2" fillId="0" borderId="220" xfId="0" applyFont="1" applyBorder="1"/>
    <xf numFmtId="0" fontId="2" fillId="0" borderId="230" xfId="0" applyFont="1" applyBorder="1"/>
    <xf numFmtId="0" fontId="2" fillId="0" borderId="231" xfId="0" applyFont="1" applyBorder="1"/>
    <xf numFmtId="0" fontId="2" fillId="0" borderId="232" xfId="0" applyFont="1" applyBorder="1"/>
    <xf numFmtId="0" fontId="64" fillId="0" borderId="238" xfId="0" applyFont="1" applyBorder="1" applyAlignment="1"/>
    <xf numFmtId="0" fontId="2" fillId="0" borderId="239" xfId="0" applyFont="1" applyBorder="1"/>
    <xf numFmtId="0" fontId="2" fillId="0" borderId="238" xfId="0" applyFont="1" applyBorder="1"/>
    <xf numFmtId="0" fontId="2" fillId="0" borderId="247" xfId="0" applyFont="1" applyBorder="1"/>
    <xf numFmtId="0" fontId="2" fillId="0" borderId="248" xfId="0" applyFont="1" applyBorder="1"/>
    <xf numFmtId="0" fontId="2" fillId="0" borderId="249" xfId="0" applyFont="1" applyBorder="1"/>
    <xf numFmtId="0" fontId="1" fillId="71" borderId="1" xfId="0" applyFont="1" applyFill="1" applyBorder="1"/>
    <xf numFmtId="0" fontId="1" fillId="71" borderId="29" xfId="0" applyFont="1" applyFill="1" applyBorder="1"/>
    <xf numFmtId="0" fontId="1" fillId="76" borderId="29" xfId="0" applyFont="1" applyFill="1" applyBorder="1"/>
    <xf numFmtId="0" fontId="1" fillId="76" borderId="8" xfId="0" applyFont="1" applyFill="1" applyBorder="1"/>
    <xf numFmtId="0" fontId="1" fillId="76" borderId="21" xfId="0" applyFont="1" applyFill="1" applyBorder="1"/>
  </cellXfs>
  <cellStyles count="1">
    <cellStyle name="Normal" xfId="0" builtinId="0"/>
  </cellStyles>
  <dxfs count="151">
    <dxf>
      <fill>
        <patternFill patternType="solid">
          <fgColor rgb="FFF2BFBF"/>
          <bgColor rgb="FFF2BFBF"/>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F2BFBF"/>
          <bgColor rgb="FFF2BFBF"/>
        </patternFill>
      </fill>
    </dxf>
    <dxf>
      <fill>
        <patternFill patternType="solid">
          <fgColor rgb="FFB7E1CD"/>
          <bgColor rgb="FFB7E1CD"/>
        </patternFill>
      </fill>
    </dxf>
    <dxf>
      <fill>
        <patternFill patternType="solid">
          <fgColor rgb="FFF2BFBF"/>
          <bgColor rgb="FFF2BFBF"/>
        </patternFill>
      </fill>
    </dxf>
    <dxf>
      <fill>
        <patternFill patternType="solid">
          <fgColor rgb="FFB7E1CD"/>
          <bgColor rgb="FFB7E1CD"/>
        </patternFill>
      </fill>
    </dxf>
    <dxf>
      <fill>
        <patternFill patternType="solid">
          <fgColor rgb="FFF2BFBF"/>
          <bgColor rgb="FFF2BFBF"/>
        </patternFill>
      </fill>
    </dxf>
    <dxf>
      <fill>
        <patternFill patternType="solid">
          <fgColor rgb="FFB7E1CD"/>
          <bgColor rgb="FFB7E1CD"/>
        </patternFill>
      </fill>
    </dxf>
    <dxf>
      <fill>
        <patternFill patternType="solid">
          <fgColor rgb="FFF2BFBF"/>
          <bgColor rgb="FFF2BFBF"/>
        </patternFill>
      </fill>
    </dxf>
    <dxf>
      <fill>
        <patternFill patternType="solid">
          <fgColor rgb="FFB7E1CD"/>
          <bgColor rgb="FFB7E1CD"/>
        </patternFill>
      </fill>
    </dxf>
    <dxf>
      <fill>
        <patternFill patternType="solid">
          <fgColor rgb="FFF2BFBF"/>
          <bgColor rgb="FFF2BFBF"/>
        </patternFill>
      </fill>
    </dxf>
    <dxf>
      <fill>
        <patternFill patternType="solid">
          <fgColor rgb="FFB7E1CD"/>
          <bgColor rgb="FFB7E1CD"/>
        </patternFill>
      </fill>
    </dxf>
    <dxf>
      <fill>
        <patternFill patternType="solid">
          <fgColor rgb="FFF2BFBF"/>
          <bgColor rgb="FFF2BFBF"/>
        </patternFill>
      </fill>
    </dxf>
    <dxf>
      <fill>
        <patternFill patternType="solid">
          <fgColor rgb="FFB7E1CD"/>
          <bgColor rgb="FFB7E1CD"/>
        </patternFill>
      </fill>
    </dxf>
    <dxf>
      <fill>
        <patternFill patternType="solid">
          <fgColor rgb="FFF2BFBF"/>
          <bgColor rgb="FFF2BFBF"/>
        </patternFill>
      </fill>
    </dxf>
    <dxf>
      <fill>
        <patternFill patternType="solid">
          <fgColor rgb="FFB7E1CD"/>
          <bgColor rgb="FFB7E1CD"/>
        </patternFill>
      </fill>
    </dxf>
    <dxf>
      <fill>
        <patternFill patternType="solid">
          <fgColor rgb="FFF2BFBF"/>
          <bgColor rgb="FFF2BFBF"/>
        </patternFill>
      </fill>
    </dxf>
    <dxf>
      <fill>
        <patternFill patternType="solid">
          <fgColor rgb="FFB7E1CD"/>
          <bgColor rgb="FFB7E1CD"/>
        </patternFill>
      </fill>
    </dxf>
    <dxf>
      <fill>
        <patternFill patternType="solid">
          <fgColor rgb="FFF2BFBF"/>
          <bgColor rgb="FFF2BFBF"/>
        </patternFill>
      </fill>
    </dxf>
    <dxf>
      <fill>
        <patternFill patternType="solid">
          <fgColor rgb="FFB7E1CD"/>
          <bgColor rgb="FFB7E1CD"/>
        </patternFill>
      </fill>
    </dxf>
    <dxf>
      <fill>
        <patternFill patternType="solid">
          <fgColor rgb="FFF2BFBF"/>
          <bgColor rgb="FFF2BFBF"/>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FFFFFF"/>
          <bgColor rgb="FFFFFFFF"/>
        </patternFill>
      </fill>
    </dxf>
    <dxf>
      <fill>
        <patternFill patternType="solid">
          <fgColor rgb="FFF8F8FF"/>
          <bgColor rgb="FFF8F8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border>
        <left style="thin">
          <color rgb="FF565656"/>
        </left>
        <right style="thin">
          <color rgb="FF565656"/>
        </right>
        <top style="thin">
          <color rgb="FF565656"/>
        </top>
        <bottom style="thin">
          <color rgb="FF565656"/>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border>
        <left style="thin">
          <color rgb="FF565656"/>
        </left>
        <right style="thin">
          <color rgb="FF565656"/>
        </right>
        <top style="thin">
          <color rgb="FF565656"/>
        </top>
        <bottom style="thin">
          <color rgb="FF565656"/>
        </bottom>
      </border>
    </dxf>
    <dxf>
      <fill>
        <patternFill patternType="solid">
          <fgColor rgb="FFD9D9D9"/>
          <bgColor rgb="FFD9D9D9"/>
        </patternFill>
      </fill>
    </dxf>
    <dxf>
      <fill>
        <patternFill patternType="solid">
          <fgColor rgb="FFFFFFFF"/>
          <bgColor rgb="FFFFFFFF"/>
        </patternFill>
      </fill>
    </dxf>
    <dxf>
      <fill>
        <patternFill patternType="solid">
          <fgColor rgb="FF356854"/>
          <bgColor rgb="FF356854"/>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CC0000"/>
          <bgColor rgb="FFCC0000"/>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CC0000"/>
          <bgColor rgb="FFCC0000"/>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
      <fill>
        <patternFill patternType="solid">
          <fgColor rgb="FFF2BFBF"/>
          <bgColor rgb="FFF2BFBF"/>
        </patternFill>
      </fill>
    </dxf>
    <dxf>
      <fill>
        <patternFill patternType="solid">
          <fgColor rgb="FFFFFFFF"/>
          <bgColor rgb="FFFFFFFF"/>
        </patternFill>
      </fill>
    </dxf>
    <dxf>
      <fill>
        <patternFill patternType="solid">
          <fgColor rgb="FFF6F8F9"/>
          <bgColor rgb="FFF6F8F9"/>
        </patternFill>
      </fill>
    </dxf>
    <dxf>
      <border>
        <left style="thin">
          <color rgb="FF565656"/>
        </left>
        <right style="thin">
          <color rgb="FF565656"/>
        </right>
        <top style="thin">
          <color rgb="FF565656"/>
        </top>
        <bottom style="thin">
          <color rgb="FF565656"/>
        </bottom>
      </border>
    </dxf>
    <dxf>
      <fill>
        <patternFill patternType="solid">
          <fgColor rgb="FFF7D9D9"/>
          <bgColor rgb="FFF7D9D9"/>
        </patternFill>
      </fill>
    </dxf>
    <dxf>
      <fill>
        <patternFill patternType="solid">
          <fgColor rgb="FFF6F8F9"/>
          <bgColor rgb="FFF6F8F9"/>
        </patternFill>
      </fill>
    </dxf>
    <dxf>
      <fill>
        <patternFill patternType="solid">
          <fgColor rgb="FFFFFFFF"/>
          <bgColor rgb="FFFFFFFF"/>
        </patternFill>
      </fill>
    </dxf>
    <dxf>
      <fill>
        <patternFill patternType="solid">
          <fgColor rgb="FFE06666"/>
          <bgColor rgb="FFE06666"/>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
      <fill>
        <patternFill patternType="solid">
          <fgColor rgb="FFFFE5BF"/>
          <bgColor rgb="FFFFE5BF"/>
        </patternFill>
      </fill>
    </dxf>
    <dxf>
      <fill>
        <patternFill patternType="solid">
          <fgColor rgb="FFFFFFFF"/>
          <bgColor rgb="FFFFFFFF"/>
        </patternFill>
      </fill>
    </dxf>
    <dxf>
      <fill>
        <patternFill patternType="solid">
          <fgColor rgb="FFFFFFFF"/>
          <bgColor rgb="FFFFFFFF"/>
        </patternFill>
      </fill>
    </dxf>
    <dxf>
      <border>
        <left style="thin">
          <color rgb="FF565656"/>
        </left>
        <right style="thin">
          <color rgb="FF565656"/>
        </right>
        <top style="thin">
          <color rgb="FF565656"/>
        </top>
        <bottom style="thin">
          <color rgb="FF565656"/>
        </bottom>
      </border>
    </dxf>
    <dxf>
      <fill>
        <patternFill patternType="solid">
          <fgColor rgb="FFF9E3CD"/>
          <bgColor rgb="FFF9E3CD"/>
        </patternFill>
      </fill>
    </dxf>
    <dxf>
      <fill>
        <patternFill patternType="solid">
          <fgColor rgb="FFFFFFFF"/>
          <bgColor rgb="FFFFFFFF"/>
        </patternFill>
      </fill>
    </dxf>
    <dxf>
      <fill>
        <patternFill patternType="solid">
          <fgColor rgb="FFFFFFFF"/>
          <bgColor rgb="FFFFFFFF"/>
        </patternFill>
      </fill>
    </dxf>
    <dxf>
      <fill>
        <patternFill patternType="solid">
          <fgColor rgb="FFE69138"/>
          <bgColor rgb="FFE69138"/>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
      <border>
        <left style="thin">
          <color rgb="FF565656"/>
        </left>
        <right style="thin">
          <color rgb="FF565656"/>
        </right>
        <top style="thin">
          <color rgb="FF565656"/>
        </top>
        <bottom style="thin">
          <color rgb="FF565656"/>
        </bottom>
      </border>
    </dxf>
    <dxf>
      <fill>
        <patternFill patternType="solid">
          <fgColor rgb="FFF8F9FA"/>
          <bgColor rgb="FFF8F9FA"/>
        </patternFill>
      </fill>
    </dxf>
    <dxf>
      <fill>
        <patternFill patternType="solid">
          <fgColor rgb="FFFFFFFF"/>
          <bgColor rgb="FFFFFFFF"/>
        </patternFill>
      </fill>
    </dxf>
    <dxf>
      <fill>
        <patternFill patternType="solid">
          <fgColor rgb="FFF1C232"/>
          <bgColor rgb="FFF1C232"/>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
      <fill>
        <patternFill patternType="solid">
          <fgColor rgb="FFFFFFFF"/>
          <bgColor rgb="FFFFFFFF"/>
        </patternFill>
      </fill>
    </dxf>
    <dxf>
      <fill>
        <patternFill patternType="solid">
          <fgColor rgb="FFF6F8F9"/>
          <bgColor rgb="FFF6F8F9"/>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
      <fill>
        <patternFill patternType="solid">
          <fgColor rgb="FFC3D4F2"/>
          <bgColor rgb="FFC3D4F2"/>
        </patternFill>
      </fill>
    </dxf>
    <dxf>
      <fill>
        <patternFill patternType="solid">
          <fgColor rgb="FFFFFFFF"/>
          <bgColor rgb="FFFFFFFF"/>
        </patternFill>
      </fill>
    </dxf>
    <dxf>
      <fill>
        <patternFill patternType="solid">
          <fgColor rgb="FFF6F8F9"/>
          <bgColor rgb="FFF6F8F9"/>
        </patternFill>
      </fill>
    </dxf>
    <dxf>
      <border>
        <left style="thin">
          <color rgb="FF565656"/>
        </left>
        <right style="thin">
          <color rgb="FF565656"/>
        </right>
        <top style="thin">
          <color rgb="FF565656"/>
        </top>
        <bottom style="thin">
          <color rgb="FF565656"/>
        </bottom>
      </border>
    </dxf>
    <dxf>
      <fill>
        <patternFill patternType="solid">
          <fgColor rgb="FFCFE1F1"/>
          <bgColor rgb="FFCFE1F1"/>
        </patternFill>
      </fill>
    </dxf>
    <dxf>
      <fill>
        <patternFill patternType="solid">
          <fgColor rgb="FFF6F8F9"/>
          <bgColor rgb="FFF6F8F9"/>
        </patternFill>
      </fill>
    </dxf>
    <dxf>
      <fill>
        <patternFill patternType="solid">
          <fgColor rgb="FFFFFFFF"/>
          <bgColor rgb="FFFFFFFF"/>
        </patternFill>
      </fill>
    </dxf>
    <dxf>
      <fill>
        <patternFill patternType="solid">
          <fgColor rgb="FF3D85C6"/>
          <bgColor rgb="FF3D85C6"/>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
      <border>
        <left style="thin">
          <color rgb="FF565656"/>
        </left>
        <right style="thin">
          <color rgb="FF565656"/>
        </right>
        <top style="thin">
          <color rgb="FF565656"/>
        </top>
        <bottom style="thin">
          <color rgb="FF565656"/>
        </bottom>
      </border>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
      <border>
        <left style="thin">
          <color rgb="FF565656"/>
        </left>
        <right style="thin">
          <color rgb="FF565656"/>
        </right>
        <top style="thin">
          <color rgb="FF565656"/>
        </top>
        <bottom style="thin">
          <color rgb="FF565656"/>
        </bottom>
      </border>
    </dxf>
    <dxf>
      <fill>
        <patternFill patternType="solid">
          <fgColor rgb="FFD5D5D5"/>
          <bgColor rgb="FFD5D5D5"/>
        </patternFill>
      </fill>
    </dxf>
    <dxf>
      <fill>
        <patternFill patternType="solid">
          <fgColor rgb="FFF6F8F9"/>
          <bgColor rgb="FFF6F8F9"/>
        </patternFill>
      </fill>
    </dxf>
    <dxf>
      <fill>
        <patternFill patternType="solid">
          <fgColor rgb="FFFFFFFF"/>
          <bgColor rgb="FFFFFFFF"/>
        </patternFill>
      </fill>
    </dxf>
    <dxf>
      <fill>
        <patternFill patternType="solid">
          <fgColor rgb="FF565656"/>
          <bgColor rgb="FF565656"/>
        </patternFill>
      </fill>
    </dxf>
  </dxfs>
  <tableStyles count="39">
    <tableStyle name="HW-style" pivot="0" count="5">
      <tableStyleElement type="wholeTable" size="0" dxfId="146"/>
      <tableStyleElement type="headerRow" dxfId="150"/>
      <tableStyleElement type="totalRow" dxfId="147"/>
      <tableStyleElement type="firstRowStripe" dxfId="149"/>
      <tableStyleElement type="secondRowStripe" dxfId="148"/>
    </tableStyle>
    <tableStyle name="HW-style 2" pivot="0" count="4">
      <tableStyleElement type="wholeTable" size="0" dxfId="142"/>
      <tableStyleElement type="headerRow" dxfId="145"/>
      <tableStyleElement type="firstRowStripe" dxfId="144"/>
      <tableStyleElement type="secondRowStripe" dxfId="143"/>
    </tableStyle>
    <tableStyle name="HW-style 3" pivot="0" count="4">
      <tableStyleElement type="wholeTable" size="0" dxfId="138"/>
      <tableStyleElement type="headerRow" dxfId="141"/>
      <tableStyleElement type="firstRowStripe" dxfId="140"/>
      <tableStyleElement type="secondRowStripe" dxfId="139"/>
    </tableStyle>
    <tableStyle name="AS-style" pivot="0" count="5">
      <tableStyleElement type="wholeTable" size="0" dxfId="133"/>
      <tableStyleElement type="headerRow" dxfId="137"/>
      <tableStyleElement type="totalRow" dxfId="134"/>
      <tableStyleElement type="firstRowStripe" dxfId="136"/>
      <tableStyleElement type="secondRowStripe" dxfId="135"/>
    </tableStyle>
    <tableStyle name="AS-style 2" pivot="0" count="3">
      <tableStyleElement type="totalRow" dxfId="130"/>
      <tableStyleElement type="firstRowStripe" dxfId="132"/>
      <tableStyleElement type="secondRowStripe" dxfId="131"/>
    </tableStyle>
    <tableStyle name="AS-style 3" pivot="0" count="4">
      <tableStyleElement type="wholeTable" size="0" dxfId="126"/>
      <tableStyleElement type="headerRow" dxfId="129"/>
      <tableStyleElement type="firstRowStripe" dxfId="128"/>
      <tableStyleElement type="secondRowStripe" dxfId="127"/>
    </tableStyle>
    <tableStyle name="AS-style 4" pivot="0" count="2">
      <tableStyleElement type="firstRowStripe" dxfId="125"/>
      <tableStyleElement type="secondRowStripe" dxfId="124"/>
    </tableStyle>
    <tableStyle name="AS-style 5" pivot="0" count="4">
      <tableStyleElement type="wholeTable" size="0" dxfId="120"/>
      <tableStyleElement type="headerRow" dxfId="123"/>
      <tableStyleElement type="firstRowStripe" dxfId="122"/>
      <tableStyleElement type="secondRowStripe" dxfId="121"/>
    </tableStyle>
    <tableStyle name="PA-style" pivot="0" count="4">
      <tableStyleElement type="wholeTable" size="0" dxfId="116"/>
      <tableStyleElement type="headerRow" dxfId="119"/>
      <tableStyleElement type="firstRowStripe" dxfId="118"/>
      <tableStyleElement type="secondRowStripe" dxfId="117"/>
    </tableStyle>
    <tableStyle name="PA-style 2" pivot="0" count="4">
      <tableStyleElement type="wholeTable" size="0" dxfId="112"/>
      <tableStyleElement type="headerRow" dxfId="115"/>
      <tableStyleElement type="firstRowStripe" dxfId="114"/>
      <tableStyleElement type="secondRowStripe" dxfId="113"/>
    </tableStyle>
    <tableStyle name="PA-style 3" pivot="0" count="4">
      <tableStyleElement type="wholeTable" size="0" dxfId="108"/>
      <tableStyleElement type="headerRow" dxfId="111"/>
      <tableStyleElement type="firstRowStripe" dxfId="110"/>
      <tableStyleElement type="secondRowStripe" dxfId="109"/>
    </tableStyle>
    <tableStyle name="MC-style" pivot="0" count="5">
      <tableStyleElement type="wholeTable" size="0" dxfId="103"/>
      <tableStyleElement type="headerRow" dxfId="107"/>
      <tableStyleElement type="totalRow" dxfId="104"/>
      <tableStyleElement type="firstRowStripe" dxfId="106"/>
      <tableStyleElement type="secondRowStripe" dxfId="105"/>
    </tableStyle>
    <tableStyle name="MC-style 2" pivot="0" count="3">
      <tableStyleElement type="totalRow" dxfId="100"/>
      <tableStyleElement type="firstRowStripe" dxfId="102"/>
      <tableStyleElement type="secondRowStripe" dxfId="101"/>
    </tableStyle>
    <tableStyle name="MC-style 3" pivot="0" count="4">
      <tableStyleElement type="wholeTable" size="0" dxfId="96"/>
      <tableStyleElement type="headerRow" dxfId="99"/>
      <tableStyleElement type="firstRowStripe" dxfId="98"/>
      <tableStyleElement type="secondRowStripe" dxfId="97"/>
    </tableStyle>
    <tableStyle name="MC-style 4" pivot="0" count="4">
      <tableStyleElement type="wholeTable" size="0" dxfId="92"/>
      <tableStyleElement type="headerRow" dxfId="95"/>
      <tableStyleElement type="firstRowStripe" dxfId="94"/>
      <tableStyleElement type="secondRowStripe" dxfId="93"/>
    </tableStyle>
    <tableStyle name="OL-style" pivot="0" count="5">
      <tableStyleElement type="wholeTable" size="0" dxfId="87"/>
      <tableStyleElement type="headerRow" dxfId="91"/>
      <tableStyleElement type="totalRow" dxfId="88"/>
      <tableStyleElement type="firstRowStripe" dxfId="90"/>
      <tableStyleElement type="secondRowStripe" dxfId="89"/>
    </tableStyle>
    <tableStyle name="OL-style 2" pivot="0" count="3">
      <tableStyleElement type="totalRow" dxfId="84"/>
      <tableStyleElement type="firstRowStripe" dxfId="86"/>
      <tableStyleElement type="secondRowStripe" dxfId="85"/>
    </tableStyle>
    <tableStyle name="OL-style 3" pivot="0" count="4">
      <tableStyleElement type="wholeTable" size="0" dxfId="80"/>
      <tableStyleElement type="headerRow" dxfId="83"/>
      <tableStyleElement type="firstRowStripe" dxfId="82"/>
      <tableStyleElement type="secondRowStripe" dxfId="81"/>
    </tableStyle>
    <tableStyle name="OL-style 4" pivot="0" count="4">
      <tableStyleElement type="wholeTable" size="0" dxfId="76"/>
      <tableStyleElement type="headerRow" dxfId="79"/>
      <tableStyleElement type="firstRowStripe" dxfId="78"/>
      <tableStyleElement type="secondRowStripe" dxfId="77"/>
    </tableStyle>
    <tableStyle name="Performance-style" pivot="0" count="4">
      <tableStyleElement type="wholeTable" size="0" dxfId="72"/>
      <tableStyleElement type="headerRow" dxfId="75"/>
      <tableStyleElement type="firstRowStripe" dxfId="74"/>
      <tableStyleElement type="secondRowStripe" dxfId="73"/>
    </tableStyle>
    <tableStyle name="Performance-style 2" pivot="0" count="4">
      <tableStyleElement type="wholeTable" size="0" dxfId="68"/>
      <tableStyleElement type="headerRow" dxfId="71"/>
      <tableStyleElement type="firstRowStripe" dxfId="70"/>
      <tableStyleElement type="secondRowStripe" dxfId="69"/>
    </tableStyle>
    <tableStyle name="STATS-style" pivot="0" count="4">
      <tableStyleElement type="wholeTable" size="0" dxfId="64"/>
      <tableStyleElement type="headerRow" dxfId="67"/>
      <tableStyleElement type="firstRowStripe" dxfId="66"/>
      <tableStyleElement type="secondRowStripe" dxfId="65"/>
    </tableStyle>
    <tableStyle name="RCB-style" pivot="0" count="2">
      <tableStyleElement type="firstRowStripe" dxfId="63"/>
      <tableStyleElement type="secondRowStripe" dxfId="62"/>
    </tableStyle>
    <tableStyle name="GT-style" pivot="0" count="2">
      <tableStyleElement type="firstRowStripe" dxfId="61"/>
      <tableStyleElement type="secondRowStripe" dxfId="60"/>
    </tableStyle>
    <tableStyle name="GT-style 2" pivot="0" count="2">
      <tableStyleElement type="firstRowStripe" dxfId="59"/>
      <tableStyleElement type="secondRowStripe" dxfId="58"/>
    </tableStyle>
    <tableStyle name="SRH-style" pivot="0" count="2">
      <tableStyleElement type="firstRowStripe" dxfId="57"/>
      <tableStyleElement type="secondRowStripe" dxfId="56"/>
    </tableStyle>
    <tableStyle name="RR-style" pivot="0" count="2">
      <tableStyleElement type="firstRowStripe" dxfId="55"/>
      <tableStyleElement type="secondRowStripe" dxfId="54"/>
    </tableStyle>
    <tableStyle name="RR-style 2" pivot="0" count="2">
      <tableStyleElement type="firstRowStripe" dxfId="53"/>
      <tableStyleElement type="secondRowStripe" dxfId="52"/>
    </tableStyle>
    <tableStyle name="RR-style 3" pivot="0" count="2">
      <tableStyleElement type="firstRowStripe" dxfId="51"/>
      <tableStyleElement type="secondRowStripe" dxfId="50"/>
    </tableStyle>
    <tableStyle name="MI-style" pivot="0" count="2">
      <tableStyleElement type="firstRowStripe" dxfId="49"/>
      <tableStyleElement type="secondRowStripe" dxfId="48"/>
    </tableStyle>
    <tableStyle name="KKR-style" pivot="0" count="2">
      <tableStyleElement type="firstRowStripe" dxfId="47"/>
      <tableStyleElement type="secondRowStripe" dxfId="46"/>
    </tableStyle>
    <tableStyle name="DC-style" pivot="0" count="2">
      <tableStyleElement type="firstRowStripe" dxfId="45"/>
      <tableStyleElement type="secondRowStripe" dxfId="44"/>
    </tableStyle>
    <tableStyle name="PBSK-style" pivot="0" count="2">
      <tableStyleElement type="firstRowStripe" dxfId="43"/>
      <tableStyleElement type="secondRowStripe" dxfId="42"/>
    </tableStyle>
    <tableStyle name="LSG-style" pivot="0" count="2">
      <tableStyleElement type="firstRowStripe" dxfId="41"/>
      <tableStyleElement type="secondRowStripe" dxfId="40"/>
    </tableStyle>
    <tableStyle name="CSK-style" pivot="0" count="2">
      <tableStyleElement type="firstRowStripe" dxfId="39"/>
      <tableStyleElement type="secondRowStripe" dxfId="38"/>
    </tableStyle>
    <tableStyle name="SOLD Players-style" pivot="0" count="4">
      <tableStyleElement type="wholeTable" size="0" dxfId="34"/>
      <tableStyleElement type="headerRow" dxfId="37"/>
      <tableStyleElement type="firstRowStripe" dxfId="36"/>
      <tableStyleElement type="secondRowStripe" dxfId="35"/>
    </tableStyle>
    <tableStyle name="Extra-style" pivot="0" count="2">
      <tableStyleElement type="firstRowStripe" dxfId="33"/>
      <tableStyleElement type="secondRowStripe" dxfId="32"/>
    </tableStyle>
    <tableStyle name="Extra-style 2" pivot="0" count="2">
      <tableStyleElement type="firstRowStripe" dxfId="31"/>
      <tableStyleElement type="secondRowStripe" dxfId="30"/>
    </tableStyle>
    <tableStyle name="Timeline Data-style" pivot="0" count="2">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Price</a:t>
            </a:r>
          </a:p>
        </c:rich>
      </c:tx>
      <c:layout/>
      <c:overlay val="0"/>
    </c:title>
    <c:autoTitleDeleted val="0"/>
    <c:plotArea>
      <c:layout/>
      <c:barChart>
        <c:barDir val="col"/>
        <c:grouping val="clustered"/>
        <c:varyColors val="1"/>
        <c:ser>
          <c:idx val="0"/>
          <c:order val="0"/>
          <c:tx>
            <c:strRef>
              <c:f>HW!$J$1</c:f>
              <c:strCache>
                <c:ptCount val="1"/>
                <c:pt idx="0">
                  <c:v>Number</c:v>
                </c:pt>
              </c:strCache>
            </c:strRef>
          </c:tx>
          <c:spPr>
            <a:solidFill>
              <a:schemeClr val="accent1"/>
            </a:solidFill>
            <a:ln cmpd="sng">
              <a:solidFill>
                <a:srgbClr val="000000"/>
              </a:solidFill>
            </a:ln>
          </c:spPr>
          <c:invertIfNegative val="1"/>
          <c:dPt>
            <c:idx val="0"/>
            <c:invertIfNegative val="1"/>
            <c:bubble3D val="0"/>
            <c:extLst>
              <c:ext xmlns:c16="http://schemas.microsoft.com/office/drawing/2014/chart" uri="{C3380CC4-5D6E-409C-BE32-E72D297353CC}">
                <c16:uniqueId val="{00000000-0A33-472D-9648-9F7BC42540AA}"/>
              </c:ext>
            </c:extLst>
          </c:dPt>
          <c:dPt>
            <c:idx val="6"/>
            <c:invertIfNegative val="1"/>
            <c:bubble3D val="0"/>
            <c:spPr>
              <a:solidFill>
                <a:srgbClr val="CC0000"/>
              </a:solidFill>
              <a:ln cmpd="sng">
                <a:solidFill>
                  <a:srgbClr val="000000"/>
                </a:solidFill>
              </a:ln>
            </c:spPr>
            <c:extLst>
              <c:ext xmlns:c16="http://schemas.microsoft.com/office/drawing/2014/chart" uri="{C3380CC4-5D6E-409C-BE32-E72D297353CC}">
                <c16:uniqueId val="{00000002-0A33-472D-9648-9F7BC42540AA}"/>
              </c:ext>
            </c:extLst>
          </c:dPt>
          <c:dPt>
            <c:idx val="9"/>
            <c:invertIfNegative val="1"/>
            <c:bubble3D val="0"/>
            <c:spPr>
              <a:solidFill>
                <a:srgbClr val="6AA84F"/>
              </a:solidFill>
              <a:ln cmpd="sng">
                <a:solidFill>
                  <a:srgbClr val="000000"/>
                </a:solidFill>
              </a:ln>
            </c:spPr>
            <c:extLst>
              <c:ext xmlns:c16="http://schemas.microsoft.com/office/drawing/2014/chart" uri="{C3380CC4-5D6E-409C-BE32-E72D297353CC}">
                <c16:uniqueId val="{00000004-0A33-472D-9648-9F7BC42540AA}"/>
              </c:ext>
            </c:extLst>
          </c:dPt>
          <c:dPt>
            <c:idx val="12"/>
            <c:invertIfNegative val="1"/>
            <c:bubble3D val="0"/>
            <c:spPr>
              <a:solidFill>
                <a:srgbClr val="F1C232"/>
              </a:solidFill>
              <a:ln cmpd="sng">
                <a:solidFill>
                  <a:srgbClr val="000000"/>
                </a:solidFill>
              </a:ln>
            </c:spPr>
            <c:extLst>
              <c:ext xmlns:c16="http://schemas.microsoft.com/office/drawing/2014/chart" uri="{C3380CC4-5D6E-409C-BE32-E72D297353CC}">
                <c16:uniqueId val="{00000006-0A33-472D-9648-9F7BC42540AA}"/>
              </c:ext>
            </c:extLst>
          </c:dPt>
          <c:dLbls>
            <c:spPr>
              <a:noFill/>
              <a:ln>
                <a:noFill/>
              </a:ln>
              <a:effectLst/>
            </c:spPr>
            <c:txPr>
              <a:bodyPr/>
              <a:lstStyle/>
              <a:p>
                <a:pPr lvl="0">
                  <a:defRPr sz="1000" b="0">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HW!$B$2:$B$17</c:f>
              <c:strCache>
                <c:ptCount val="15"/>
                <c:pt idx="0">
                  <c:v>Khaleel Ahmed + Rabada</c:v>
                </c:pt>
                <c:pt idx="1">
                  <c:v>Tristan Stubbs</c:v>
                </c:pt>
                <c:pt idx="2">
                  <c:v>Kuldeep Yadav</c:v>
                </c:pt>
                <c:pt idx="3">
                  <c:v>Shubman Gill</c:v>
                </c:pt>
                <c:pt idx="4">
                  <c:v>Mohammad Siraj</c:v>
                </c:pt>
                <c:pt idx="5">
                  <c:v>Angkrish Raghuvanshi</c:v>
                </c:pt>
                <c:pt idx="6">
                  <c:v>Mitchell Marsh</c:v>
                </c:pt>
                <c:pt idx="7">
                  <c:v>Nicholas Pooran</c:v>
                </c:pt>
                <c:pt idx="8">
                  <c:v>Marcus Stoinis</c:v>
                </c:pt>
                <c:pt idx="9">
                  <c:v>Prabhsimran Singh</c:v>
                </c:pt>
                <c:pt idx="10">
                  <c:v>Shashank Singh</c:v>
                </c:pt>
                <c:pt idx="11">
                  <c:v>Jitesh Sharma</c:v>
                </c:pt>
                <c:pt idx="12">
                  <c:v>Jofra Archer</c:v>
                </c:pt>
                <c:pt idx="13">
                  <c:v>Ravindra Jadeja</c:v>
                </c:pt>
                <c:pt idx="14">
                  <c:v>Mohammed Shami</c:v>
                </c:pt>
              </c:strCache>
            </c:strRef>
          </c:cat>
          <c:val>
            <c:numRef>
              <c:f>HW!$J$2:$J$17</c:f>
              <c:numCache>
                <c:formatCode>#,##0.00</c:formatCode>
                <c:ptCount val="16"/>
                <c:pt idx="0">
                  <c:v>175</c:v>
                </c:pt>
                <c:pt idx="1">
                  <c:v>325</c:v>
                </c:pt>
                <c:pt idx="2">
                  <c:v>375</c:v>
                </c:pt>
                <c:pt idx="3">
                  <c:v>1550</c:v>
                </c:pt>
                <c:pt idx="4">
                  <c:v>325</c:v>
                </c:pt>
                <c:pt idx="5">
                  <c:v>555</c:v>
                </c:pt>
                <c:pt idx="6">
                  <c:v>700</c:v>
                </c:pt>
                <c:pt idx="7">
                  <c:v>1000</c:v>
                </c:pt>
                <c:pt idx="8">
                  <c:v>200</c:v>
                </c:pt>
                <c:pt idx="9">
                  <c:v>550</c:v>
                </c:pt>
                <c:pt idx="10">
                  <c:v>300</c:v>
                </c:pt>
                <c:pt idx="11">
                  <c:v>250</c:v>
                </c:pt>
                <c:pt idx="12">
                  <c:v>600</c:v>
                </c:pt>
                <c:pt idx="13">
                  <c:v>950</c:v>
                </c:pt>
                <c:pt idx="14">
                  <c:v>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0A33-472D-9648-9F7BC42540AA}"/>
            </c:ext>
          </c:extLst>
        </c:ser>
        <c:dLbls>
          <c:showLegendKey val="0"/>
          <c:showVal val="0"/>
          <c:showCatName val="0"/>
          <c:showSerName val="0"/>
          <c:showPercent val="0"/>
          <c:showBubbleSize val="0"/>
        </c:dLbls>
        <c:gapWidth val="150"/>
        <c:axId val="1452565371"/>
        <c:axId val="468560229"/>
      </c:barChart>
      <c:catAx>
        <c:axId val="1452565371"/>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Player Name</a:t>
                </a:r>
              </a:p>
            </c:rich>
          </c:tx>
          <c:layout/>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68560229"/>
        <c:crosses val="autoZero"/>
        <c:auto val="1"/>
        <c:lblAlgn val="ctr"/>
        <c:lblOffset val="100"/>
        <c:noMultiLvlLbl val="1"/>
      </c:catAx>
      <c:valAx>
        <c:axId val="468560229"/>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Price ( c r )</a:t>
                </a:r>
              </a:p>
            </c:rich>
          </c:tx>
          <c:layout/>
          <c:overlay val="0"/>
        </c:title>
        <c:numFmt formatCode="[$₹]#,##0.00" sourceLinked="0"/>
        <c:majorTickMark val="none"/>
        <c:minorTickMark val="none"/>
        <c:tickLblPos val="nextTo"/>
        <c:spPr>
          <a:ln>
            <a:solidFill/>
          </a:ln>
        </c:spPr>
        <c:txPr>
          <a:bodyPr/>
          <a:lstStyle/>
          <a:p>
            <a:pPr lvl="0">
              <a:defRPr sz="1000" b="0">
                <a:solidFill>
                  <a:srgbClr val="000000"/>
                </a:solidFill>
                <a:latin typeface="+mn-lt"/>
              </a:defRPr>
            </a:pPr>
            <a:endParaRPr lang="en-US"/>
          </a:p>
        </c:txPr>
        <c:crossAx val="1452565371"/>
        <c:crosses val="autoZero"/>
        <c:crossBetween val="between"/>
      </c:valAx>
    </c:plotArea>
    <c:legend>
      <c:legendPos val="r"/>
      <c:layout/>
      <c:overlay val="0"/>
      <c:txPr>
        <a:bodyPr/>
        <a:lstStyle/>
        <a:p>
          <a:pPr lvl="0">
            <a:defRPr b="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4A86E8"/>
                </a:solidFill>
                <a:latin typeface="+mn-lt"/>
              </a:defRPr>
            </a:pPr>
            <a:r>
              <a:rPr lang="en-IN" b="0">
                <a:solidFill>
                  <a:srgbClr val="4A86E8"/>
                </a:solidFill>
                <a:latin typeface="+mn-lt"/>
              </a:rPr>
              <a:t>Points</a:t>
            </a:r>
          </a:p>
        </c:rich>
      </c:tx>
      <c:layout/>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HW!$H$1</c:f>
              <c:strCache>
                <c:ptCount val="1"/>
                <c:pt idx="0">
                  <c:v>Points</c:v>
                </c:pt>
              </c:strCache>
            </c:strRef>
          </c:tx>
          <c:spPr>
            <a:solidFill>
              <a:schemeClr val="accent1"/>
            </a:solidFill>
            <a:ln cmpd="sng">
              <a:solidFill>
                <a:srgbClr val="000000"/>
              </a:solidFill>
              <a:prstDash val="solid"/>
            </a:ln>
          </c:spPr>
          <c:invertIfNegative val="1"/>
          <c:dPt>
            <c:idx val="0"/>
            <c:invertIfNegative val="1"/>
            <c:bubble3D val="0"/>
            <c:spPr>
              <a:solidFill>
                <a:srgbClr val="6AA84F"/>
              </a:solidFill>
              <a:ln cmpd="sng">
                <a:solidFill>
                  <a:srgbClr val="000000"/>
                </a:solidFill>
              </a:ln>
            </c:spPr>
            <c:extLst>
              <c:ext xmlns:c16="http://schemas.microsoft.com/office/drawing/2014/chart" uri="{C3380CC4-5D6E-409C-BE32-E72D297353CC}">
                <c16:uniqueId val="{00000001-9B42-49AE-BAF3-C46FAAAA933F}"/>
              </c:ext>
            </c:extLst>
          </c:dPt>
          <c:dPt>
            <c:idx val="1"/>
            <c:invertIfNegative val="1"/>
            <c:bubble3D val="0"/>
            <c:extLst>
              <c:ext xmlns:c16="http://schemas.microsoft.com/office/drawing/2014/chart" uri="{C3380CC4-5D6E-409C-BE32-E72D297353CC}">
                <c16:uniqueId val="{00000002-9B42-49AE-BAF3-C46FAAAA933F}"/>
              </c:ext>
            </c:extLst>
          </c:dPt>
          <c:dPt>
            <c:idx val="2"/>
            <c:invertIfNegative val="1"/>
            <c:bubble3D val="0"/>
            <c:spPr>
              <a:solidFill>
                <a:srgbClr val="FF0000"/>
              </a:solidFill>
              <a:ln cmpd="sng">
                <a:solidFill>
                  <a:srgbClr val="000000"/>
                </a:solidFill>
              </a:ln>
            </c:spPr>
            <c:extLst>
              <c:ext xmlns:c16="http://schemas.microsoft.com/office/drawing/2014/chart" uri="{C3380CC4-5D6E-409C-BE32-E72D297353CC}">
                <c16:uniqueId val="{00000004-9B42-49AE-BAF3-C46FAAAA933F}"/>
              </c:ext>
            </c:extLst>
          </c:dPt>
          <c:dPt>
            <c:idx val="3"/>
            <c:invertIfNegative val="1"/>
            <c:bubble3D val="0"/>
            <c:spPr>
              <a:solidFill>
                <a:srgbClr val="6AA84F"/>
              </a:solidFill>
              <a:ln cmpd="sng">
                <a:solidFill>
                  <a:srgbClr val="000000"/>
                </a:solidFill>
              </a:ln>
            </c:spPr>
            <c:extLst>
              <c:ext xmlns:c16="http://schemas.microsoft.com/office/drawing/2014/chart" uri="{C3380CC4-5D6E-409C-BE32-E72D297353CC}">
                <c16:uniqueId val="{00000006-9B42-49AE-BAF3-C46FAAAA933F}"/>
              </c:ext>
            </c:extLst>
          </c:dPt>
          <c:dPt>
            <c:idx val="4"/>
            <c:invertIfNegative val="1"/>
            <c:bubble3D val="0"/>
            <c:extLst>
              <c:ext xmlns:c16="http://schemas.microsoft.com/office/drawing/2014/chart" uri="{C3380CC4-5D6E-409C-BE32-E72D297353CC}">
                <c16:uniqueId val="{00000007-9B42-49AE-BAF3-C46FAAAA933F}"/>
              </c:ext>
            </c:extLst>
          </c:dPt>
          <c:dPt>
            <c:idx val="5"/>
            <c:invertIfNegative val="1"/>
            <c:bubble3D val="0"/>
            <c:spPr>
              <a:solidFill>
                <a:srgbClr val="FFD966"/>
              </a:solidFill>
              <a:ln cmpd="sng">
                <a:solidFill>
                  <a:srgbClr val="000000"/>
                </a:solidFill>
              </a:ln>
            </c:spPr>
            <c:extLst>
              <c:ext xmlns:c16="http://schemas.microsoft.com/office/drawing/2014/chart" uri="{C3380CC4-5D6E-409C-BE32-E72D297353CC}">
                <c16:uniqueId val="{00000009-9B42-49AE-BAF3-C46FAAAA933F}"/>
              </c:ext>
            </c:extLst>
          </c:dPt>
          <c:dPt>
            <c:idx val="6"/>
            <c:invertIfNegative val="1"/>
            <c:bubble3D val="0"/>
            <c:spPr>
              <a:solidFill>
                <a:srgbClr val="6AA84F"/>
              </a:solidFill>
              <a:ln cmpd="sng">
                <a:solidFill>
                  <a:srgbClr val="000000"/>
                </a:solidFill>
              </a:ln>
            </c:spPr>
            <c:extLst>
              <c:ext xmlns:c16="http://schemas.microsoft.com/office/drawing/2014/chart" uri="{C3380CC4-5D6E-409C-BE32-E72D297353CC}">
                <c16:uniqueId val="{0000000B-9B42-49AE-BAF3-C46FAAAA933F}"/>
              </c:ext>
            </c:extLst>
          </c:dPt>
          <c:dPt>
            <c:idx val="7"/>
            <c:invertIfNegative val="1"/>
            <c:bubble3D val="0"/>
            <c:extLst>
              <c:ext xmlns:c16="http://schemas.microsoft.com/office/drawing/2014/chart" uri="{C3380CC4-5D6E-409C-BE32-E72D297353CC}">
                <c16:uniqueId val="{0000000C-9B42-49AE-BAF3-C46FAAAA933F}"/>
              </c:ext>
            </c:extLst>
          </c:dPt>
          <c:dPt>
            <c:idx val="8"/>
            <c:invertIfNegative val="1"/>
            <c:bubble3D val="0"/>
            <c:extLst>
              <c:ext xmlns:c16="http://schemas.microsoft.com/office/drawing/2014/chart" uri="{C3380CC4-5D6E-409C-BE32-E72D297353CC}">
                <c16:uniqueId val="{0000000D-9B42-49AE-BAF3-C46FAAAA933F}"/>
              </c:ext>
            </c:extLst>
          </c:dPt>
          <c:dPt>
            <c:idx val="9"/>
            <c:invertIfNegative val="1"/>
            <c:bubble3D val="0"/>
            <c:spPr>
              <a:solidFill>
                <a:srgbClr val="FFD966"/>
              </a:solidFill>
              <a:ln cmpd="sng">
                <a:solidFill>
                  <a:srgbClr val="000000"/>
                </a:solidFill>
              </a:ln>
            </c:spPr>
            <c:extLst>
              <c:ext xmlns:c16="http://schemas.microsoft.com/office/drawing/2014/chart" uri="{C3380CC4-5D6E-409C-BE32-E72D297353CC}">
                <c16:uniqueId val="{0000000F-9B42-49AE-BAF3-C46FAAAA933F}"/>
              </c:ext>
            </c:extLst>
          </c:dPt>
          <c:dPt>
            <c:idx val="10"/>
            <c:invertIfNegative val="1"/>
            <c:bubble3D val="0"/>
            <c:spPr>
              <a:solidFill>
                <a:srgbClr val="FF0000"/>
              </a:solidFill>
              <a:ln cmpd="sng">
                <a:solidFill>
                  <a:srgbClr val="000000"/>
                </a:solidFill>
              </a:ln>
            </c:spPr>
            <c:extLst>
              <c:ext xmlns:c16="http://schemas.microsoft.com/office/drawing/2014/chart" uri="{C3380CC4-5D6E-409C-BE32-E72D297353CC}">
                <c16:uniqueId val="{00000011-9B42-49AE-BAF3-C46FAAAA933F}"/>
              </c:ext>
            </c:extLst>
          </c:dPt>
          <c:dPt>
            <c:idx val="11"/>
            <c:invertIfNegative val="1"/>
            <c:bubble3D val="0"/>
            <c:spPr>
              <a:solidFill>
                <a:srgbClr val="FF0000"/>
              </a:solidFill>
              <a:ln cmpd="sng">
                <a:solidFill>
                  <a:srgbClr val="000000"/>
                </a:solidFill>
              </a:ln>
            </c:spPr>
            <c:extLst>
              <c:ext xmlns:c16="http://schemas.microsoft.com/office/drawing/2014/chart" uri="{C3380CC4-5D6E-409C-BE32-E72D297353CC}">
                <c16:uniqueId val="{00000013-9B42-49AE-BAF3-C46FAAAA933F}"/>
              </c:ext>
            </c:extLst>
          </c:dPt>
          <c:dPt>
            <c:idx val="12"/>
            <c:invertIfNegative val="1"/>
            <c:bubble3D val="0"/>
            <c:spPr>
              <a:solidFill>
                <a:srgbClr val="FFD966"/>
              </a:solidFill>
              <a:ln cmpd="sng">
                <a:solidFill>
                  <a:srgbClr val="000000"/>
                </a:solidFill>
              </a:ln>
            </c:spPr>
            <c:extLst>
              <c:ext xmlns:c16="http://schemas.microsoft.com/office/drawing/2014/chart" uri="{C3380CC4-5D6E-409C-BE32-E72D297353CC}">
                <c16:uniqueId val="{00000015-9B42-49AE-BAF3-C46FAAAA933F}"/>
              </c:ext>
            </c:extLst>
          </c:dPt>
          <c:dPt>
            <c:idx val="13"/>
            <c:invertIfNegative val="1"/>
            <c:bubble3D val="0"/>
            <c:extLst>
              <c:ext xmlns:c16="http://schemas.microsoft.com/office/drawing/2014/chart" uri="{C3380CC4-5D6E-409C-BE32-E72D297353CC}">
                <c16:uniqueId val="{00000016-9B42-49AE-BAF3-C46FAAAA933F}"/>
              </c:ext>
            </c:extLst>
          </c:dPt>
          <c:dPt>
            <c:idx val="14"/>
            <c:invertIfNegative val="1"/>
            <c:bubble3D val="0"/>
            <c:extLst>
              <c:ext xmlns:c16="http://schemas.microsoft.com/office/drawing/2014/chart" uri="{C3380CC4-5D6E-409C-BE32-E72D297353CC}">
                <c16:uniqueId val="{00000017-9B42-49AE-BAF3-C46FAAAA933F}"/>
              </c:ext>
            </c:extLst>
          </c:dPt>
          <c:dLbls>
            <c:spPr>
              <a:noFill/>
              <a:ln>
                <a:noFill/>
              </a:ln>
              <a:effectLst/>
            </c:spPr>
            <c:txPr>
              <a:bodyPr/>
              <a:lstStyle/>
              <a:p>
                <a:pPr lvl="0">
                  <a:defRPr b="1">
                    <a:latin typeface="sans-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HW!$B$2:$B$17</c:f>
              <c:strCache>
                <c:ptCount val="15"/>
                <c:pt idx="0">
                  <c:v>Khaleel Ahmed + Rabada</c:v>
                </c:pt>
                <c:pt idx="1">
                  <c:v>Tristan Stubbs</c:v>
                </c:pt>
                <c:pt idx="2">
                  <c:v>Kuldeep Yadav</c:v>
                </c:pt>
                <c:pt idx="3">
                  <c:v>Shubman Gill</c:v>
                </c:pt>
                <c:pt idx="4">
                  <c:v>Mohammad Siraj</c:v>
                </c:pt>
                <c:pt idx="5">
                  <c:v>Angkrish Raghuvanshi</c:v>
                </c:pt>
                <c:pt idx="6">
                  <c:v>Mitchell Marsh</c:v>
                </c:pt>
                <c:pt idx="7">
                  <c:v>Nicholas Pooran</c:v>
                </c:pt>
                <c:pt idx="8">
                  <c:v>Marcus Stoinis</c:v>
                </c:pt>
                <c:pt idx="9">
                  <c:v>Prabhsimran Singh</c:v>
                </c:pt>
                <c:pt idx="10">
                  <c:v>Shashank Singh</c:v>
                </c:pt>
                <c:pt idx="11">
                  <c:v>Jitesh Sharma</c:v>
                </c:pt>
                <c:pt idx="12">
                  <c:v>Jofra Archer</c:v>
                </c:pt>
                <c:pt idx="13">
                  <c:v>Ravindra Jadeja</c:v>
                </c:pt>
                <c:pt idx="14">
                  <c:v>Mohammed Shami</c:v>
                </c:pt>
              </c:strCache>
            </c:strRef>
          </c:cat>
          <c:val>
            <c:numRef>
              <c:f>HW!$H$2:$H$17</c:f>
              <c:numCache>
                <c:formatCode>General</c:formatCode>
                <c:ptCount val="15"/>
                <c:pt idx="0">
                  <c:v>1048</c:v>
                </c:pt>
                <c:pt idx="1">
                  <c:v>459</c:v>
                </c:pt>
                <c:pt idx="2">
                  <c:v>388</c:v>
                </c:pt>
                <c:pt idx="3">
                  <c:v>1178</c:v>
                </c:pt>
                <c:pt idx="4">
                  <c:v>775</c:v>
                </c:pt>
                <c:pt idx="5">
                  <c:v>676</c:v>
                </c:pt>
                <c:pt idx="6">
                  <c:v>854</c:v>
                </c:pt>
                <c:pt idx="7">
                  <c:v>425</c:v>
                </c:pt>
                <c:pt idx="8">
                  <c:v>415</c:v>
                </c:pt>
                <c:pt idx="9">
                  <c:v>831</c:v>
                </c:pt>
                <c:pt idx="10">
                  <c:v>350</c:v>
                </c:pt>
                <c:pt idx="11">
                  <c:v>357</c:v>
                </c:pt>
                <c:pt idx="12">
                  <c:v>1083</c:v>
                </c:pt>
                <c:pt idx="13">
                  <c:v>715</c:v>
                </c:pt>
                <c:pt idx="14">
                  <c:v>543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18-9B42-49AE-BAF3-C46FAAAA933F}"/>
            </c:ext>
          </c:extLst>
        </c:ser>
        <c:ser>
          <c:idx val="1"/>
          <c:order val="1"/>
          <c:tx>
            <c:strRef>
              <c:f>HW!$H$1</c:f>
              <c:strCache>
                <c:ptCount val="1"/>
                <c:pt idx="0">
                  <c:v>Points</c:v>
                </c:pt>
              </c:strCache>
            </c:strRef>
          </c:tx>
          <c:invertIfNegative val="1"/>
          <c:cat>
            <c:strRef>
              <c:f>HW!$B$2:$B$17</c:f>
              <c:strCache>
                <c:ptCount val="15"/>
                <c:pt idx="0">
                  <c:v>Khaleel Ahmed + Rabada</c:v>
                </c:pt>
                <c:pt idx="1">
                  <c:v>Tristan Stubbs</c:v>
                </c:pt>
                <c:pt idx="2">
                  <c:v>Kuldeep Yadav</c:v>
                </c:pt>
                <c:pt idx="3">
                  <c:v>Shubman Gill</c:v>
                </c:pt>
                <c:pt idx="4">
                  <c:v>Mohammad Siraj</c:v>
                </c:pt>
                <c:pt idx="5">
                  <c:v>Angkrish Raghuvanshi</c:v>
                </c:pt>
                <c:pt idx="6">
                  <c:v>Mitchell Marsh</c:v>
                </c:pt>
                <c:pt idx="7">
                  <c:v>Nicholas Pooran</c:v>
                </c:pt>
                <c:pt idx="8">
                  <c:v>Marcus Stoinis</c:v>
                </c:pt>
                <c:pt idx="9">
                  <c:v>Prabhsimran Singh</c:v>
                </c:pt>
                <c:pt idx="10">
                  <c:v>Shashank Singh</c:v>
                </c:pt>
                <c:pt idx="11">
                  <c:v>Jitesh Sharma</c:v>
                </c:pt>
                <c:pt idx="12">
                  <c:v>Jofra Archer</c:v>
                </c:pt>
                <c:pt idx="13">
                  <c:v>Ravindra Jadeja</c:v>
                </c:pt>
                <c:pt idx="14">
                  <c:v>Mohammed Shami</c:v>
                </c:pt>
              </c:strCache>
            </c:strRef>
          </c:cat>
          <c:val>
            <c:numRef>
              <c:f>HW!$H$2:$H$17</c:f>
              <c:numCache>
                <c:formatCode>General</c:formatCode>
                <c:ptCount val="15"/>
                <c:pt idx="0">
                  <c:v>1048</c:v>
                </c:pt>
                <c:pt idx="1">
                  <c:v>459</c:v>
                </c:pt>
                <c:pt idx="2">
                  <c:v>388</c:v>
                </c:pt>
                <c:pt idx="3">
                  <c:v>1178</c:v>
                </c:pt>
                <c:pt idx="4">
                  <c:v>775</c:v>
                </c:pt>
                <c:pt idx="5">
                  <c:v>676</c:v>
                </c:pt>
                <c:pt idx="6">
                  <c:v>854</c:v>
                </c:pt>
                <c:pt idx="7">
                  <c:v>425</c:v>
                </c:pt>
                <c:pt idx="8">
                  <c:v>415</c:v>
                </c:pt>
                <c:pt idx="9">
                  <c:v>831</c:v>
                </c:pt>
                <c:pt idx="10">
                  <c:v>350</c:v>
                </c:pt>
                <c:pt idx="11">
                  <c:v>357</c:v>
                </c:pt>
                <c:pt idx="12">
                  <c:v>1083</c:v>
                </c:pt>
                <c:pt idx="13">
                  <c:v>715</c:v>
                </c:pt>
                <c:pt idx="14">
                  <c:v>543</c:v>
                </c:pt>
              </c:numCache>
            </c:numRef>
          </c:val>
          <c:extLst>
            <c:ext xmlns:c16="http://schemas.microsoft.com/office/drawing/2014/chart" uri="{C3380CC4-5D6E-409C-BE32-E72D297353CC}">
              <c16:uniqueId val="{00000019-9B42-49AE-BAF3-C46FAAAA933F}"/>
            </c:ext>
          </c:extLst>
        </c:ser>
        <c:dLbls>
          <c:showLegendKey val="0"/>
          <c:showVal val="0"/>
          <c:showCatName val="0"/>
          <c:showSerName val="0"/>
          <c:showPercent val="0"/>
          <c:showBubbleSize val="0"/>
        </c:dLbls>
        <c:gapWidth val="150"/>
        <c:shape val="box"/>
        <c:axId val="1793094532"/>
        <c:axId val="490735062"/>
        <c:axId val="0"/>
      </c:bar3DChart>
      <c:catAx>
        <c:axId val="1793094532"/>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Name</a:t>
                </a:r>
              </a:p>
            </c:rich>
          </c:tx>
          <c:layout/>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90735062"/>
        <c:crosses val="autoZero"/>
        <c:auto val="1"/>
        <c:lblAlgn val="ctr"/>
        <c:lblOffset val="100"/>
        <c:noMultiLvlLbl val="1"/>
      </c:catAx>
      <c:valAx>
        <c:axId val="49073506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lang="en-IN" b="0">
                    <a:solidFill>
                      <a:srgbClr val="000000"/>
                    </a:solidFill>
                    <a:latin typeface="+mn-lt"/>
                  </a:rPr>
                  <a:t>Points</a:t>
                </a:r>
              </a:p>
            </c:rich>
          </c:tx>
          <c:layout/>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1793094532"/>
        <c:crosses val="autoZero"/>
        <c:crossBetween val="between"/>
      </c:valAx>
    </c:plotArea>
    <c:legend>
      <c:legendPos val="r"/>
      <c:layout/>
      <c:overlay val="0"/>
      <c:txPr>
        <a:bodyPr/>
        <a:lstStyle/>
        <a:p>
          <a:pPr lvl="0">
            <a:defRPr b="0">
              <a:solidFill>
                <a:srgbClr val="1A1A1A"/>
              </a:solidFill>
              <a:latin typeface="serif"/>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E06666"/>
                </a:solidFill>
                <a:latin typeface="+mn-lt"/>
              </a:defRPr>
            </a:pPr>
            <a:r>
              <a:rPr lang="en-IN" b="0">
                <a:solidFill>
                  <a:srgbClr val="E06666"/>
                </a:solidFill>
                <a:latin typeface="+mn-lt"/>
              </a:rPr>
              <a:t>Not Counted</a:t>
            </a:r>
          </a:p>
        </c:rich>
      </c:tx>
      <c:layout/>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STATS!$K$63</c:f>
              <c:strCache>
                <c:ptCount val="1"/>
                <c:pt idx="0">
                  <c:v>Points</c:v>
                </c:pt>
              </c:strCache>
            </c:strRef>
          </c:tx>
          <c:spPr>
            <a:solidFill>
              <a:srgbClr val="E06666"/>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STATS!$H$64:$H$66</c:f>
              <c:strCache>
                <c:ptCount val="3"/>
                <c:pt idx="0">
                  <c:v>Shashank Singh</c:v>
                </c:pt>
                <c:pt idx="1">
                  <c:v>Jitesh Sharma</c:v>
                </c:pt>
                <c:pt idx="2">
                  <c:v>Kuldeep Yadav</c:v>
                </c:pt>
              </c:strCache>
            </c:strRef>
          </c:cat>
          <c:val>
            <c:numRef>
              <c:f>STATS!$K$64:$K$66</c:f>
              <c:numCache>
                <c:formatCode>#,##0</c:formatCode>
                <c:ptCount val="3"/>
                <c:pt idx="0">
                  <c:v>350</c:v>
                </c:pt>
                <c:pt idx="1">
                  <c:v>357</c:v>
                </c:pt>
                <c:pt idx="2">
                  <c:v>388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21F-4DAE-875B-349112A660D8}"/>
            </c:ext>
          </c:extLst>
        </c:ser>
        <c:dLbls>
          <c:showLegendKey val="0"/>
          <c:showVal val="0"/>
          <c:showCatName val="0"/>
          <c:showSerName val="0"/>
          <c:showPercent val="0"/>
          <c:showBubbleSize val="0"/>
        </c:dLbls>
        <c:gapWidth val="150"/>
        <c:shape val="box"/>
        <c:axId val="1109788703"/>
        <c:axId val="1322616846"/>
        <c:axId val="0"/>
      </c:bar3DChart>
      <c:catAx>
        <c:axId val="1109788703"/>
        <c:scaling>
          <c:orientation val="minMax"/>
        </c:scaling>
        <c:delete val="0"/>
        <c:axPos val="b"/>
        <c:title>
          <c:tx>
            <c:rich>
              <a:bodyPr/>
              <a:lstStyle/>
              <a:p>
                <a:pPr lvl="0">
                  <a:defRPr b="0">
                    <a:solidFill>
                      <a:srgbClr val="000000"/>
                    </a:solidFill>
                    <a:latin typeface="+mn-lt"/>
                  </a:defRPr>
                </a:pPr>
                <a:endParaRPr lang="en-IN"/>
              </a:p>
            </c:rich>
          </c:tx>
          <c:layout/>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22616846"/>
        <c:crosses val="autoZero"/>
        <c:auto val="1"/>
        <c:lblAlgn val="ctr"/>
        <c:lblOffset val="100"/>
        <c:noMultiLvlLbl val="1"/>
      </c:catAx>
      <c:valAx>
        <c:axId val="13226168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layout/>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109788703"/>
        <c:crosses val="autoZero"/>
        <c:crossBetween val="between"/>
      </c:valAx>
    </c:plotArea>
    <c:legend>
      <c:legendPos val="r"/>
      <c:layout/>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sans-serif"/>
              </a:defRPr>
            </a:pPr>
            <a:r>
              <a:rPr b="0">
                <a:solidFill>
                  <a:srgbClr val="757575"/>
                </a:solidFill>
                <a:latin typeface="sans-serif"/>
              </a:rPr>
              <a:t>Points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1"/>
          <c:order val="1"/>
          <c:tx>
            <c:strRef>
              <c:f>AS!$H$1</c:f>
              <c:strCache>
                <c:ptCount val="1"/>
                <c:pt idx="0">
                  <c:v>Points</c:v>
                </c:pt>
              </c:strCache>
            </c:strRef>
          </c:tx>
          <c:invertIfNegative val="1"/>
          <c:cat>
            <c:strRef>
              <c:f>AS!$B$2:$B$16</c:f>
              <c:strCache>
                <c:ptCount val="15"/>
                <c:pt idx="0">
                  <c:v>Shivam Dube</c:v>
                </c:pt>
                <c:pt idx="1">
                  <c:v>Sanju Samson</c:v>
                </c:pt>
                <c:pt idx="2">
                  <c:v>Sai Sudharsan</c:v>
                </c:pt>
                <c:pt idx="3">
                  <c:v>Mohsin Khan</c:v>
                </c:pt>
                <c:pt idx="4">
                  <c:v>Tilak Varma</c:v>
                </c:pt>
                <c:pt idx="5">
                  <c:v>Quinton de Kock</c:v>
                </c:pt>
                <c:pt idx="6">
                  <c:v>Jasprit Bumrah</c:v>
                </c:pt>
                <c:pt idx="7">
                  <c:v>Harpreet Brar</c:v>
                </c:pt>
                <c:pt idx="8">
                  <c:v>Yuzvendra Chahal</c:v>
                </c:pt>
                <c:pt idx="9">
                  <c:v>Romario Shepherd</c:v>
                </c:pt>
                <c:pt idx="10">
                  <c:v>Vaibhav Suryavanshi</c:v>
                </c:pt>
                <c:pt idx="11">
                  <c:v>Ravi Bishnoi</c:v>
                </c:pt>
                <c:pt idx="12">
                  <c:v>Abhishek Sharma</c:v>
                </c:pt>
                <c:pt idx="13">
                  <c:v>Ishan Kishan</c:v>
                </c:pt>
                <c:pt idx="14">
                  <c:v>Pat Cummins</c:v>
                </c:pt>
              </c:strCache>
            </c:strRef>
          </c:cat>
          <c:val>
            <c:numRef>
              <c:f>AS!$H$2:$H$16</c:f>
              <c:numCache>
                <c:formatCode>General</c:formatCode>
                <c:ptCount val="15"/>
                <c:pt idx="0">
                  <c:v>471</c:v>
                </c:pt>
                <c:pt idx="1">
                  <c:v>770</c:v>
                </c:pt>
                <c:pt idx="2">
                  <c:v>1089</c:v>
                </c:pt>
                <c:pt idx="3">
                  <c:v>444</c:v>
                </c:pt>
                <c:pt idx="4">
                  <c:v>629</c:v>
                </c:pt>
                <c:pt idx="5">
                  <c:v>221</c:v>
                </c:pt>
                <c:pt idx="6">
                  <c:v>301</c:v>
                </c:pt>
                <c:pt idx="7">
                  <c:v>98</c:v>
                </c:pt>
                <c:pt idx="8">
                  <c:v>433</c:v>
                </c:pt>
                <c:pt idx="9">
                  <c:v>399</c:v>
                </c:pt>
                <c:pt idx="10">
                  <c:v>1211</c:v>
                </c:pt>
                <c:pt idx="11">
                  <c:v>401</c:v>
                </c:pt>
                <c:pt idx="12">
                  <c:v>955</c:v>
                </c:pt>
                <c:pt idx="13">
                  <c:v>996</c:v>
                </c:pt>
                <c:pt idx="14">
                  <c:v>357</c:v>
                </c:pt>
              </c:numCache>
            </c:numRef>
          </c:val>
          <c:extLst>
            <c:ext xmlns:c16="http://schemas.microsoft.com/office/drawing/2014/chart" uri="{C3380CC4-5D6E-409C-BE32-E72D297353CC}">
              <c16:uniqueId val="{00000000-0F06-412C-894D-8A6871E68001}"/>
            </c:ext>
          </c:extLst>
        </c:ser>
        <c:dLbls>
          <c:showLegendKey val="0"/>
          <c:showVal val="0"/>
          <c:showCatName val="0"/>
          <c:showSerName val="0"/>
          <c:showPercent val="0"/>
          <c:showBubbleSize val="0"/>
        </c:dLbls>
        <c:gapWidth val="150"/>
        <c:shape val="box"/>
        <c:axId val="1588571406"/>
        <c:axId val="1056497678"/>
        <c:axId val="0"/>
      </c:bar3DChart>
      <c:bar3DChart>
        <c:barDir val="col"/>
        <c:grouping val="clustered"/>
        <c:varyColors val="1"/>
        <c:ser>
          <c:idx val="0"/>
          <c:order val="0"/>
          <c:tx>
            <c:strRef>
              <c:f>AS!$H$1</c:f>
              <c:strCache>
                <c:ptCount val="1"/>
                <c:pt idx="0">
                  <c:v>Points</c:v>
                </c:pt>
              </c:strCache>
            </c:strRef>
          </c:tx>
          <c:spPr>
            <a:solidFill>
              <a:srgbClr val="4A86E8"/>
            </a:solidFill>
            <a:ln cmpd="sng">
              <a:solidFill>
                <a:srgbClr val="000000"/>
              </a:solidFill>
            </a:ln>
          </c:spPr>
          <c:invertIfNegative val="1"/>
          <c:dPt>
            <c:idx val="0"/>
            <c:invertIfNegative val="1"/>
            <c:bubble3D val="0"/>
            <c:spPr>
              <a:solidFill>
                <a:srgbClr val="3C78D8"/>
              </a:solidFill>
              <a:ln cmpd="sng">
                <a:solidFill>
                  <a:srgbClr val="000000"/>
                </a:solidFill>
              </a:ln>
            </c:spPr>
            <c:extLst>
              <c:ext xmlns:c16="http://schemas.microsoft.com/office/drawing/2014/chart" uri="{C3380CC4-5D6E-409C-BE32-E72D297353CC}">
                <c16:uniqueId val="{00000002-0F06-412C-894D-8A6871E68001}"/>
              </c:ext>
            </c:extLst>
          </c:dPt>
          <c:dPt>
            <c:idx val="1"/>
            <c:invertIfNegative val="1"/>
            <c:bubble3D val="0"/>
            <c:spPr>
              <a:solidFill>
                <a:srgbClr val="F1C232"/>
              </a:solidFill>
              <a:ln cmpd="sng">
                <a:solidFill>
                  <a:srgbClr val="000000"/>
                </a:solidFill>
              </a:ln>
            </c:spPr>
            <c:extLst>
              <c:ext xmlns:c16="http://schemas.microsoft.com/office/drawing/2014/chart" uri="{C3380CC4-5D6E-409C-BE32-E72D297353CC}">
                <c16:uniqueId val="{00000004-0F06-412C-894D-8A6871E68001}"/>
              </c:ext>
            </c:extLst>
          </c:dPt>
          <c:dPt>
            <c:idx val="2"/>
            <c:invertIfNegative val="1"/>
            <c:bubble3D val="0"/>
            <c:spPr>
              <a:solidFill>
                <a:srgbClr val="F1C232"/>
              </a:solidFill>
              <a:ln cmpd="sng">
                <a:solidFill>
                  <a:srgbClr val="000000"/>
                </a:solidFill>
              </a:ln>
            </c:spPr>
            <c:extLst>
              <c:ext xmlns:c16="http://schemas.microsoft.com/office/drawing/2014/chart" uri="{C3380CC4-5D6E-409C-BE32-E72D297353CC}">
                <c16:uniqueId val="{00000006-0F06-412C-894D-8A6871E68001}"/>
              </c:ext>
            </c:extLst>
          </c:dPt>
          <c:dPt>
            <c:idx val="3"/>
            <c:invertIfNegative val="1"/>
            <c:bubble3D val="0"/>
            <c:spPr>
              <a:solidFill>
                <a:srgbClr val="F1C232"/>
              </a:solidFill>
              <a:ln cmpd="sng">
                <a:solidFill>
                  <a:srgbClr val="000000"/>
                </a:solidFill>
              </a:ln>
            </c:spPr>
            <c:extLst>
              <c:ext xmlns:c16="http://schemas.microsoft.com/office/drawing/2014/chart" uri="{C3380CC4-5D6E-409C-BE32-E72D297353CC}">
                <c16:uniqueId val="{00000008-0F06-412C-894D-8A6871E68001}"/>
              </c:ext>
            </c:extLst>
          </c:dPt>
          <c:dPt>
            <c:idx val="5"/>
            <c:invertIfNegative val="1"/>
            <c:bubble3D val="0"/>
            <c:extLst>
              <c:ext xmlns:c16="http://schemas.microsoft.com/office/drawing/2014/chart" uri="{C3380CC4-5D6E-409C-BE32-E72D297353CC}">
                <c16:uniqueId val="{00000009-0F06-412C-894D-8A6871E68001}"/>
              </c:ext>
            </c:extLst>
          </c:dPt>
          <c:dPt>
            <c:idx val="6"/>
            <c:invertIfNegative val="1"/>
            <c:bubble3D val="0"/>
            <c:spPr>
              <a:solidFill>
                <a:srgbClr val="CC0000"/>
              </a:solidFill>
              <a:ln cmpd="sng">
                <a:solidFill>
                  <a:srgbClr val="000000"/>
                </a:solidFill>
              </a:ln>
            </c:spPr>
            <c:extLst>
              <c:ext xmlns:c16="http://schemas.microsoft.com/office/drawing/2014/chart" uri="{C3380CC4-5D6E-409C-BE32-E72D297353CC}">
                <c16:uniqueId val="{0000000B-0F06-412C-894D-8A6871E68001}"/>
              </c:ext>
            </c:extLst>
          </c:dPt>
          <c:dPt>
            <c:idx val="7"/>
            <c:invertIfNegative val="1"/>
            <c:bubble3D val="0"/>
            <c:spPr>
              <a:solidFill>
                <a:srgbClr val="CC0000"/>
              </a:solidFill>
              <a:ln cmpd="sng">
                <a:solidFill>
                  <a:srgbClr val="000000"/>
                </a:solidFill>
              </a:ln>
            </c:spPr>
            <c:extLst>
              <c:ext xmlns:c16="http://schemas.microsoft.com/office/drawing/2014/chart" uri="{C3380CC4-5D6E-409C-BE32-E72D297353CC}">
                <c16:uniqueId val="{0000000D-0F06-412C-894D-8A6871E68001}"/>
              </c:ext>
            </c:extLst>
          </c:dPt>
          <c:dPt>
            <c:idx val="8"/>
            <c:invertIfNegative val="1"/>
            <c:bubble3D val="0"/>
            <c:extLst>
              <c:ext xmlns:c16="http://schemas.microsoft.com/office/drawing/2014/chart" uri="{C3380CC4-5D6E-409C-BE32-E72D297353CC}">
                <c16:uniqueId val="{0000000E-0F06-412C-894D-8A6871E68001}"/>
              </c:ext>
            </c:extLst>
          </c:dPt>
          <c:dPt>
            <c:idx val="9"/>
            <c:invertIfNegative val="1"/>
            <c:bubble3D val="0"/>
            <c:extLst>
              <c:ext xmlns:c16="http://schemas.microsoft.com/office/drawing/2014/chart" uri="{C3380CC4-5D6E-409C-BE32-E72D297353CC}">
                <c16:uniqueId val="{0000000F-0F06-412C-894D-8A6871E68001}"/>
              </c:ext>
            </c:extLst>
          </c:dPt>
          <c:dPt>
            <c:idx val="10"/>
            <c:invertIfNegative val="1"/>
            <c:bubble3D val="0"/>
            <c:spPr>
              <a:solidFill>
                <a:srgbClr val="6AA84F"/>
              </a:solidFill>
              <a:ln cmpd="sng">
                <a:solidFill>
                  <a:srgbClr val="000000"/>
                </a:solidFill>
              </a:ln>
            </c:spPr>
            <c:extLst>
              <c:ext xmlns:c16="http://schemas.microsoft.com/office/drawing/2014/chart" uri="{C3380CC4-5D6E-409C-BE32-E72D297353CC}">
                <c16:uniqueId val="{00000011-0F06-412C-894D-8A6871E68001}"/>
              </c:ext>
            </c:extLst>
          </c:dPt>
          <c:dPt>
            <c:idx val="11"/>
            <c:invertIfNegative val="1"/>
            <c:bubble3D val="0"/>
            <c:spPr>
              <a:solidFill>
                <a:srgbClr val="3C78D8"/>
              </a:solidFill>
              <a:ln cmpd="sng">
                <a:solidFill>
                  <a:srgbClr val="000000"/>
                </a:solidFill>
              </a:ln>
            </c:spPr>
            <c:extLst>
              <c:ext xmlns:c16="http://schemas.microsoft.com/office/drawing/2014/chart" uri="{C3380CC4-5D6E-409C-BE32-E72D297353CC}">
                <c16:uniqueId val="{00000013-0F06-412C-894D-8A6871E68001}"/>
              </c:ext>
            </c:extLst>
          </c:dPt>
          <c:dPt>
            <c:idx val="12"/>
            <c:invertIfNegative val="1"/>
            <c:bubble3D val="0"/>
            <c:spPr>
              <a:solidFill>
                <a:srgbClr val="6AA84F"/>
              </a:solidFill>
              <a:ln cmpd="sng">
                <a:solidFill>
                  <a:srgbClr val="000000"/>
                </a:solidFill>
              </a:ln>
            </c:spPr>
            <c:extLst>
              <c:ext xmlns:c16="http://schemas.microsoft.com/office/drawing/2014/chart" uri="{C3380CC4-5D6E-409C-BE32-E72D297353CC}">
                <c16:uniqueId val="{00000015-0F06-412C-894D-8A6871E68001}"/>
              </c:ext>
            </c:extLst>
          </c:dPt>
          <c:dPt>
            <c:idx val="13"/>
            <c:invertIfNegative val="1"/>
            <c:bubble3D val="0"/>
            <c:spPr>
              <a:solidFill>
                <a:srgbClr val="6AA84F"/>
              </a:solidFill>
              <a:ln cmpd="sng">
                <a:solidFill>
                  <a:srgbClr val="000000"/>
                </a:solidFill>
              </a:ln>
            </c:spPr>
            <c:extLst>
              <c:ext xmlns:c16="http://schemas.microsoft.com/office/drawing/2014/chart" uri="{C3380CC4-5D6E-409C-BE32-E72D297353CC}">
                <c16:uniqueId val="{00000017-0F06-412C-894D-8A6871E68001}"/>
              </c:ext>
            </c:extLst>
          </c:dPt>
          <c:dPt>
            <c:idx val="14"/>
            <c:invertIfNegative val="1"/>
            <c:bubble3D val="0"/>
            <c:spPr>
              <a:solidFill>
                <a:srgbClr val="CC0000"/>
              </a:solidFill>
              <a:ln cmpd="sng">
                <a:solidFill>
                  <a:srgbClr val="000000"/>
                </a:solidFill>
              </a:ln>
            </c:spPr>
            <c:extLst>
              <c:ext xmlns:c16="http://schemas.microsoft.com/office/drawing/2014/chart" uri="{C3380CC4-5D6E-409C-BE32-E72D297353CC}">
                <c16:uniqueId val="{00000019-0F06-412C-894D-8A6871E68001}"/>
              </c:ext>
            </c:extLst>
          </c:dPt>
          <c:cat>
            <c:strRef>
              <c:f>AS!$B$2:$B$16</c:f>
              <c:strCache>
                <c:ptCount val="15"/>
                <c:pt idx="0">
                  <c:v>Shivam Dube</c:v>
                </c:pt>
                <c:pt idx="1">
                  <c:v>Sanju Samson</c:v>
                </c:pt>
                <c:pt idx="2">
                  <c:v>Sai Sudharsan</c:v>
                </c:pt>
                <c:pt idx="3">
                  <c:v>Mohsin Khan</c:v>
                </c:pt>
                <c:pt idx="4">
                  <c:v>Tilak Varma</c:v>
                </c:pt>
                <c:pt idx="5">
                  <c:v>Quinton de Kock</c:v>
                </c:pt>
                <c:pt idx="6">
                  <c:v>Jasprit Bumrah</c:v>
                </c:pt>
                <c:pt idx="7">
                  <c:v>Harpreet Brar</c:v>
                </c:pt>
                <c:pt idx="8">
                  <c:v>Yuzvendra Chahal</c:v>
                </c:pt>
                <c:pt idx="9">
                  <c:v>Romario Shepherd</c:v>
                </c:pt>
                <c:pt idx="10">
                  <c:v>Vaibhav Suryavanshi</c:v>
                </c:pt>
                <c:pt idx="11">
                  <c:v>Ravi Bishnoi</c:v>
                </c:pt>
                <c:pt idx="12">
                  <c:v>Abhishek Sharma</c:v>
                </c:pt>
                <c:pt idx="13">
                  <c:v>Ishan Kishan</c:v>
                </c:pt>
                <c:pt idx="14">
                  <c:v>Pat Cummins</c:v>
                </c:pt>
              </c:strCache>
            </c:strRef>
          </c:cat>
          <c:val>
            <c:numRef>
              <c:f>AS!$H$2:$H$16</c:f>
              <c:numCache>
                <c:formatCode>General</c:formatCode>
                <c:ptCount val="15"/>
                <c:pt idx="0">
                  <c:v>471</c:v>
                </c:pt>
                <c:pt idx="1">
                  <c:v>770</c:v>
                </c:pt>
                <c:pt idx="2">
                  <c:v>1089</c:v>
                </c:pt>
                <c:pt idx="3">
                  <c:v>444</c:v>
                </c:pt>
                <c:pt idx="4">
                  <c:v>629</c:v>
                </c:pt>
                <c:pt idx="5">
                  <c:v>221</c:v>
                </c:pt>
                <c:pt idx="6">
                  <c:v>301</c:v>
                </c:pt>
                <c:pt idx="7">
                  <c:v>98</c:v>
                </c:pt>
                <c:pt idx="8">
                  <c:v>433</c:v>
                </c:pt>
                <c:pt idx="9">
                  <c:v>399</c:v>
                </c:pt>
                <c:pt idx="10">
                  <c:v>1211</c:v>
                </c:pt>
                <c:pt idx="11">
                  <c:v>401</c:v>
                </c:pt>
                <c:pt idx="12">
                  <c:v>955</c:v>
                </c:pt>
                <c:pt idx="13">
                  <c:v>996</c:v>
                </c:pt>
                <c:pt idx="14">
                  <c:v>357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A-0F06-412C-894D-8A6871E68001}"/>
            </c:ext>
          </c:extLst>
        </c:ser>
        <c:dLbls>
          <c:showLegendKey val="0"/>
          <c:showVal val="0"/>
          <c:showCatName val="0"/>
          <c:showSerName val="0"/>
          <c:showPercent val="0"/>
          <c:showBubbleSize val="0"/>
        </c:dLbls>
        <c:gapWidth val="150"/>
        <c:shape val="box"/>
        <c:axId val="1389008580"/>
        <c:axId val="613328549"/>
        <c:axId val="0"/>
      </c:bar3DChart>
      <c:catAx>
        <c:axId val="1588571406"/>
        <c:scaling>
          <c:orientation val="minMax"/>
        </c:scaling>
        <c:delete val="0"/>
        <c:axPos val="b"/>
        <c:title>
          <c:tx>
            <c:rich>
              <a:bodyPr/>
              <a:lstStyle/>
              <a:p>
                <a:pPr lvl="0">
                  <a:defRPr sz="1600" b="0">
                    <a:solidFill>
                      <a:srgbClr val="000000"/>
                    </a:solidFill>
                    <a:latin typeface="Arial black"/>
                  </a:defRPr>
                </a:pPr>
                <a:r>
                  <a:rPr sz="1600" b="0">
                    <a:solidFill>
                      <a:srgbClr val="000000"/>
                    </a:solidFill>
                    <a:latin typeface="Arial black"/>
                  </a:rPr>
                  <a:t>Player Name</a:t>
                </a:r>
              </a:p>
            </c:rich>
          </c:tx>
          <c:overlay val="0"/>
        </c:title>
        <c:numFmt formatCode="General" sourceLinked="1"/>
        <c:majorTickMark val="none"/>
        <c:minorTickMark val="none"/>
        <c:tickLblPos val="nextTo"/>
        <c:txPr>
          <a:bodyPr/>
          <a:lstStyle/>
          <a:p>
            <a:pPr lvl="0">
              <a:defRPr b="0">
                <a:solidFill>
                  <a:srgbClr val="000000"/>
                </a:solidFill>
                <a:latin typeface="sans-serif"/>
              </a:defRPr>
            </a:pPr>
            <a:endParaRPr lang="en-US"/>
          </a:p>
        </c:txPr>
        <c:crossAx val="1056497678"/>
        <c:crosses val="autoZero"/>
        <c:auto val="1"/>
        <c:lblAlgn val="ctr"/>
        <c:lblOffset val="100"/>
        <c:noMultiLvlLbl val="1"/>
      </c:catAx>
      <c:valAx>
        <c:axId val="1056497678"/>
        <c:scaling>
          <c:orientation val="minMax"/>
        </c:scaling>
        <c:delete val="0"/>
        <c:axPos val="l"/>
        <c:numFmt formatCode="General" sourceLinked="1"/>
        <c:majorTickMark val="cross"/>
        <c:minorTickMark val="cross"/>
        <c:tickLblPos val="nextTo"/>
        <c:spPr>
          <a:ln>
            <a:noFill/>
          </a:ln>
        </c:spPr>
        <c:crossAx val="1588571406"/>
        <c:crosses val="autoZero"/>
        <c:crossBetween val="between"/>
      </c:valAx>
      <c:catAx>
        <c:axId val="1389008580"/>
        <c:scaling>
          <c:orientation val="minMax"/>
        </c:scaling>
        <c:delete val="0"/>
        <c:axPos val="b"/>
        <c:numFmt formatCode="General" sourceLinked="1"/>
        <c:majorTickMark val="none"/>
        <c:minorTickMark val="none"/>
        <c:tickLblPos val="nextTo"/>
        <c:txPr>
          <a:bodyPr/>
          <a:lstStyle/>
          <a:p>
            <a:pPr lvl="0">
              <a:defRPr b="0">
                <a:solidFill>
                  <a:srgbClr val="000000"/>
                </a:solidFill>
                <a:latin typeface="sans-serif"/>
              </a:defRPr>
            </a:pPr>
            <a:endParaRPr lang="en-US"/>
          </a:p>
        </c:txPr>
        <c:crossAx val="613328549"/>
        <c:crosses val="autoZero"/>
        <c:auto val="1"/>
        <c:lblAlgn val="ctr"/>
        <c:lblOffset val="100"/>
        <c:noMultiLvlLbl val="1"/>
      </c:catAx>
      <c:valAx>
        <c:axId val="61332854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endParaRPr/>
              </a:p>
            </c:rich>
          </c:tx>
          <c:overlay val="0"/>
        </c:title>
        <c:numFmt formatCode="General" sourceLinked="1"/>
        <c:majorTickMark val="in"/>
        <c:minorTickMark val="none"/>
        <c:tickLblPos val="nextTo"/>
        <c:spPr>
          <a:ln/>
        </c:spPr>
        <c:txPr>
          <a:bodyPr/>
          <a:lstStyle/>
          <a:p>
            <a:pPr lvl="0">
              <a:defRPr b="0">
                <a:solidFill>
                  <a:srgbClr val="000000"/>
                </a:solidFill>
                <a:latin typeface="sans-serif"/>
              </a:defRPr>
            </a:pPr>
            <a:endParaRPr lang="en-US"/>
          </a:p>
        </c:txPr>
        <c:crossAx val="1389008580"/>
        <c:crosses val="max"/>
        <c:crossBetween val="between"/>
      </c:valAx>
    </c:plotArea>
    <c:legend>
      <c:legendPos val="r"/>
      <c:overlay val="0"/>
      <c:txPr>
        <a:bodyPr/>
        <a:lstStyle/>
        <a:p>
          <a:pPr lvl="0">
            <a:defRPr b="0">
              <a:solidFill>
                <a:srgbClr val="1A1A1A"/>
              </a:solidFill>
              <a:latin typeface="sans-serif"/>
            </a:defRPr>
          </a:pPr>
          <a:endParaRPr lang="en-US"/>
        </a:p>
      </c:txPr>
    </c:legend>
    <c:plotVisOnly val="0"/>
    <c:dispBlanksAs val="zero"/>
    <c:showDLblsOverMax val="1"/>
  </c:chart>
  <c:spPr>
    <a:solidFill>
      <a:srgbClr val="CFE2F3"/>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chemeClr val="accent1"/>
                </a:solidFill>
                <a:latin typeface="+mn-lt"/>
              </a:defRPr>
            </a:pPr>
            <a:r>
              <a:rPr b="0">
                <a:solidFill>
                  <a:schemeClr val="accent1"/>
                </a:solidFill>
                <a:latin typeface="+mn-lt"/>
              </a:rPr>
              <a:t>Not Counted</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STATS!$E$69</c:f>
              <c:strCache>
                <c:ptCount val="1"/>
                <c:pt idx="0">
                  <c:v>Points</c:v>
                </c:pt>
              </c:strCache>
            </c:strRef>
          </c:tx>
          <c:spPr>
            <a:solidFill>
              <a:srgbClr val="00B0F0"/>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STATS!$B$70:$B$72</c:f>
              <c:strCache>
                <c:ptCount val="3"/>
                <c:pt idx="0">
                  <c:v>Harpreet Brar</c:v>
                </c:pt>
                <c:pt idx="1">
                  <c:v>Quinton de Kock</c:v>
                </c:pt>
                <c:pt idx="2">
                  <c:v>Jasprit Bumrah</c:v>
                </c:pt>
              </c:strCache>
            </c:strRef>
          </c:cat>
          <c:val>
            <c:numRef>
              <c:f>STATS!$E$70:$E$72</c:f>
              <c:numCache>
                <c:formatCode>#,##0</c:formatCode>
                <c:ptCount val="3"/>
                <c:pt idx="0">
                  <c:v>98</c:v>
                </c:pt>
                <c:pt idx="1">
                  <c:v>221</c:v>
                </c:pt>
                <c:pt idx="2">
                  <c:v>301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396-4D29-AC4D-B30700B6854D}"/>
            </c:ext>
          </c:extLst>
        </c:ser>
        <c:dLbls>
          <c:showLegendKey val="0"/>
          <c:showVal val="0"/>
          <c:showCatName val="0"/>
          <c:showSerName val="0"/>
          <c:showPercent val="0"/>
          <c:showBubbleSize val="0"/>
        </c:dLbls>
        <c:gapWidth val="150"/>
        <c:shape val="box"/>
        <c:axId val="941600325"/>
        <c:axId val="2004227136"/>
        <c:axId val="0"/>
      </c:bar3DChart>
      <c:catAx>
        <c:axId val="94160032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04227136"/>
        <c:crosses val="autoZero"/>
        <c:auto val="1"/>
        <c:lblAlgn val="ctr"/>
        <c:lblOffset val="100"/>
        <c:noMultiLvlLbl val="1"/>
      </c:catAx>
      <c:valAx>
        <c:axId val="20042271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94160032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sans-serif"/>
              </a:defRPr>
            </a:pPr>
            <a:r>
              <a:rPr b="0">
                <a:solidFill>
                  <a:srgbClr val="757575"/>
                </a:solidFill>
                <a:latin typeface="sans-serif"/>
              </a:rPr>
              <a:t>Points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1"/>
          <c:order val="1"/>
          <c:tx>
            <c:strRef>
              <c:f>PA!$H$1</c:f>
              <c:strCache>
                <c:ptCount val="1"/>
                <c:pt idx="0">
                  <c:v>Points</c:v>
                </c:pt>
              </c:strCache>
            </c:strRef>
          </c:tx>
          <c:invertIfNegative val="1"/>
          <c:cat>
            <c:strRef>
              <c:f>PA!$B$2:$B$16</c:f>
              <c:strCache>
                <c:ptCount val="15"/>
                <c:pt idx="0">
                  <c:v>Dewald Brevis</c:v>
                </c:pt>
                <c:pt idx="1">
                  <c:v>Noor Ahmad</c:v>
                </c:pt>
                <c:pt idx="2">
                  <c:v>Auqib Nabi</c:v>
                </c:pt>
                <c:pt idx="3">
                  <c:v>Jos Buttler</c:v>
                </c:pt>
                <c:pt idx="4">
                  <c:v>Prasidh Krishna</c:v>
                </c:pt>
                <c:pt idx="5">
                  <c:v>Vaibhav Arora</c:v>
                </c:pt>
                <c:pt idx="6">
                  <c:v>Aiden Markram</c:v>
                </c:pt>
                <c:pt idx="7">
                  <c:v>Will Jacks</c:v>
                </c:pt>
                <c:pt idx="8">
                  <c:v>Nehal Wadhera</c:v>
                </c:pt>
                <c:pt idx="9">
                  <c:v>Shreyas Iyer</c:v>
                </c:pt>
                <c:pt idx="10">
                  <c:v>Devdutt Padikkal</c:v>
                </c:pt>
                <c:pt idx="11">
                  <c:v>Virat Kohli</c:v>
                </c:pt>
                <c:pt idx="12">
                  <c:v>Riyan Parag</c:v>
                </c:pt>
                <c:pt idx="13">
                  <c:v>Harshal Patel</c:v>
                </c:pt>
                <c:pt idx="14">
                  <c:v>Heinrich Klaasen</c:v>
                </c:pt>
              </c:strCache>
            </c:strRef>
          </c:cat>
          <c:val>
            <c:numRef>
              <c:f>PA!$H$2:$H$16</c:f>
              <c:numCache>
                <c:formatCode>#,##0</c:formatCode>
                <c:ptCount val="15"/>
                <c:pt idx="0">
                  <c:v>357</c:v>
                </c:pt>
                <c:pt idx="1">
                  <c:v>520</c:v>
                </c:pt>
                <c:pt idx="2">
                  <c:v>56</c:v>
                </c:pt>
                <c:pt idx="3">
                  <c:v>1037</c:v>
                </c:pt>
                <c:pt idx="4">
                  <c:v>572</c:v>
                </c:pt>
                <c:pt idx="5">
                  <c:v>405</c:v>
                </c:pt>
                <c:pt idx="6">
                  <c:v>431</c:v>
                </c:pt>
                <c:pt idx="7">
                  <c:v>307</c:v>
                </c:pt>
                <c:pt idx="8">
                  <c:v>127</c:v>
                </c:pt>
                <c:pt idx="9">
                  <c:v>815</c:v>
                </c:pt>
                <c:pt idx="10">
                  <c:v>835</c:v>
                </c:pt>
                <c:pt idx="11">
                  <c:v>1060</c:v>
                </c:pt>
                <c:pt idx="12">
                  <c:v>564</c:v>
                </c:pt>
                <c:pt idx="13">
                  <c:v>40</c:v>
                </c:pt>
                <c:pt idx="14">
                  <c:v>1016</c:v>
                </c:pt>
              </c:numCache>
            </c:numRef>
          </c:val>
          <c:extLst>
            <c:ext xmlns:c16="http://schemas.microsoft.com/office/drawing/2014/chart" uri="{C3380CC4-5D6E-409C-BE32-E72D297353CC}">
              <c16:uniqueId val="{00000000-562B-42E2-90C1-3450E02A4E28}"/>
            </c:ext>
          </c:extLst>
        </c:ser>
        <c:dLbls>
          <c:showLegendKey val="0"/>
          <c:showVal val="0"/>
          <c:showCatName val="0"/>
          <c:showSerName val="0"/>
          <c:showPercent val="0"/>
          <c:showBubbleSize val="0"/>
        </c:dLbls>
        <c:gapWidth val="150"/>
        <c:shape val="box"/>
        <c:axId val="1436744231"/>
        <c:axId val="2049992529"/>
        <c:axId val="0"/>
      </c:bar3DChart>
      <c:bar3DChart>
        <c:barDir val="col"/>
        <c:grouping val="clustered"/>
        <c:varyColors val="1"/>
        <c:ser>
          <c:idx val="0"/>
          <c:order val="0"/>
          <c:tx>
            <c:strRef>
              <c:f>PA!$H$1</c:f>
              <c:strCache>
                <c:ptCount val="1"/>
                <c:pt idx="0">
                  <c:v>Points</c:v>
                </c:pt>
              </c:strCache>
            </c:strRef>
          </c:tx>
          <c:spPr>
            <a:solidFill>
              <a:srgbClr val="4A86E8"/>
            </a:solidFill>
            <a:ln cmpd="sng">
              <a:solidFill>
                <a:srgbClr val="000000"/>
              </a:solidFill>
            </a:ln>
          </c:spPr>
          <c:invertIfNegative val="1"/>
          <c:dPt>
            <c:idx val="0"/>
            <c:invertIfNegative val="1"/>
            <c:bubble3D val="0"/>
            <c:extLst>
              <c:ext xmlns:c16="http://schemas.microsoft.com/office/drawing/2014/chart" uri="{C3380CC4-5D6E-409C-BE32-E72D297353CC}">
                <c16:uniqueId val="{00000001-562B-42E2-90C1-3450E02A4E28}"/>
              </c:ext>
            </c:extLst>
          </c:dPt>
          <c:dPt>
            <c:idx val="1"/>
            <c:invertIfNegative val="1"/>
            <c:bubble3D val="0"/>
            <c:spPr>
              <a:solidFill>
                <a:srgbClr val="F1C232"/>
              </a:solidFill>
              <a:ln cmpd="sng">
                <a:solidFill>
                  <a:srgbClr val="000000"/>
                </a:solidFill>
              </a:ln>
            </c:spPr>
            <c:extLst>
              <c:ext xmlns:c16="http://schemas.microsoft.com/office/drawing/2014/chart" uri="{C3380CC4-5D6E-409C-BE32-E72D297353CC}">
                <c16:uniqueId val="{00000003-562B-42E2-90C1-3450E02A4E28}"/>
              </c:ext>
            </c:extLst>
          </c:dPt>
          <c:dPt>
            <c:idx val="2"/>
            <c:invertIfNegative val="1"/>
            <c:bubble3D val="0"/>
            <c:spPr>
              <a:solidFill>
                <a:srgbClr val="CC0000"/>
              </a:solidFill>
              <a:ln cmpd="sng">
                <a:solidFill>
                  <a:srgbClr val="000000"/>
                </a:solidFill>
              </a:ln>
            </c:spPr>
            <c:extLst>
              <c:ext xmlns:c16="http://schemas.microsoft.com/office/drawing/2014/chart" uri="{C3380CC4-5D6E-409C-BE32-E72D297353CC}">
                <c16:uniqueId val="{00000005-562B-42E2-90C1-3450E02A4E28}"/>
              </c:ext>
            </c:extLst>
          </c:dPt>
          <c:dPt>
            <c:idx val="3"/>
            <c:invertIfNegative val="1"/>
            <c:bubble3D val="0"/>
            <c:spPr>
              <a:solidFill>
                <a:srgbClr val="6AA84F"/>
              </a:solidFill>
              <a:ln cmpd="sng">
                <a:solidFill>
                  <a:srgbClr val="000000"/>
                </a:solidFill>
              </a:ln>
            </c:spPr>
            <c:extLst>
              <c:ext xmlns:c16="http://schemas.microsoft.com/office/drawing/2014/chart" uri="{C3380CC4-5D6E-409C-BE32-E72D297353CC}">
                <c16:uniqueId val="{00000007-562B-42E2-90C1-3450E02A4E28}"/>
              </c:ext>
            </c:extLst>
          </c:dPt>
          <c:dPt>
            <c:idx val="4"/>
            <c:invertIfNegative val="1"/>
            <c:bubble3D val="0"/>
            <c:extLst>
              <c:ext xmlns:c16="http://schemas.microsoft.com/office/drawing/2014/chart" uri="{C3380CC4-5D6E-409C-BE32-E72D297353CC}">
                <c16:uniqueId val="{00000008-562B-42E2-90C1-3450E02A4E28}"/>
              </c:ext>
            </c:extLst>
          </c:dPt>
          <c:dPt>
            <c:idx val="5"/>
            <c:invertIfNegative val="1"/>
            <c:bubble3D val="0"/>
            <c:extLst>
              <c:ext xmlns:c16="http://schemas.microsoft.com/office/drawing/2014/chart" uri="{C3380CC4-5D6E-409C-BE32-E72D297353CC}">
                <c16:uniqueId val="{00000009-562B-42E2-90C1-3450E02A4E28}"/>
              </c:ext>
            </c:extLst>
          </c:dPt>
          <c:dPt>
            <c:idx val="6"/>
            <c:invertIfNegative val="1"/>
            <c:bubble3D val="0"/>
            <c:extLst>
              <c:ext xmlns:c16="http://schemas.microsoft.com/office/drawing/2014/chart" uri="{C3380CC4-5D6E-409C-BE32-E72D297353CC}">
                <c16:uniqueId val="{0000000A-562B-42E2-90C1-3450E02A4E28}"/>
              </c:ext>
            </c:extLst>
          </c:dPt>
          <c:dPt>
            <c:idx val="7"/>
            <c:invertIfNegative val="1"/>
            <c:bubble3D val="0"/>
            <c:spPr>
              <a:solidFill>
                <a:srgbClr val="CC0000"/>
              </a:solidFill>
              <a:ln cmpd="sng">
                <a:solidFill>
                  <a:srgbClr val="000000"/>
                </a:solidFill>
              </a:ln>
            </c:spPr>
            <c:extLst>
              <c:ext xmlns:c16="http://schemas.microsoft.com/office/drawing/2014/chart" uri="{C3380CC4-5D6E-409C-BE32-E72D297353CC}">
                <c16:uniqueId val="{0000000C-562B-42E2-90C1-3450E02A4E28}"/>
              </c:ext>
            </c:extLst>
          </c:dPt>
          <c:dPt>
            <c:idx val="8"/>
            <c:invertIfNegative val="1"/>
            <c:bubble3D val="0"/>
            <c:extLst>
              <c:ext xmlns:c16="http://schemas.microsoft.com/office/drawing/2014/chart" uri="{C3380CC4-5D6E-409C-BE32-E72D297353CC}">
                <c16:uniqueId val="{0000000D-562B-42E2-90C1-3450E02A4E28}"/>
              </c:ext>
            </c:extLst>
          </c:dPt>
          <c:dPt>
            <c:idx val="9"/>
            <c:invertIfNegative val="1"/>
            <c:bubble3D val="0"/>
            <c:spPr>
              <a:solidFill>
                <a:srgbClr val="F1C232"/>
              </a:solidFill>
              <a:ln cmpd="sng">
                <a:solidFill>
                  <a:srgbClr val="000000"/>
                </a:solidFill>
              </a:ln>
            </c:spPr>
            <c:extLst>
              <c:ext xmlns:c16="http://schemas.microsoft.com/office/drawing/2014/chart" uri="{C3380CC4-5D6E-409C-BE32-E72D297353CC}">
                <c16:uniqueId val="{0000000F-562B-42E2-90C1-3450E02A4E28}"/>
              </c:ext>
            </c:extLst>
          </c:dPt>
          <c:dPt>
            <c:idx val="10"/>
            <c:invertIfNegative val="1"/>
            <c:bubble3D val="0"/>
            <c:spPr>
              <a:solidFill>
                <a:srgbClr val="F1C232"/>
              </a:solidFill>
              <a:ln cmpd="sng">
                <a:solidFill>
                  <a:srgbClr val="000000"/>
                </a:solidFill>
              </a:ln>
            </c:spPr>
            <c:extLst>
              <c:ext xmlns:c16="http://schemas.microsoft.com/office/drawing/2014/chart" uri="{C3380CC4-5D6E-409C-BE32-E72D297353CC}">
                <c16:uniqueId val="{00000011-562B-42E2-90C1-3450E02A4E28}"/>
              </c:ext>
            </c:extLst>
          </c:dPt>
          <c:dPt>
            <c:idx val="11"/>
            <c:invertIfNegative val="1"/>
            <c:bubble3D val="0"/>
            <c:spPr>
              <a:solidFill>
                <a:srgbClr val="6AA84F"/>
              </a:solidFill>
              <a:ln cmpd="sng">
                <a:solidFill>
                  <a:srgbClr val="000000"/>
                </a:solidFill>
              </a:ln>
            </c:spPr>
            <c:extLst>
              <c:ext xmlns:c16="http://schemas.microsoft.com/office/drawing/2014/chart" uri="{C3380CC4-5D6E-409C-BE32-E72D297353CC}">
                <c16:uniqueId val="{00000013-562B-42E2-90C1-3450E02A4E28}"/>
              </c:ext>
            </c:extLst>
          </c:dPt>
          <c:dPt>
            <c:idx val="12"/>
            <c:invertIfNegative val="1"/>
            <c:bubble3D val="0"/>
            <c:extLst>
              <c:ext xmlns:c16="http://schemas.microsoft.com/office/drawing/2014/chart" uri="{C3380CC4-5D6E-409C-BE32-E72D297353CC}">
                <c16:uniqueId val="{00000014-562B-42E2-90C1-3450E02A4E28}"/>
              </c:ext>
            </c:extLst>
          </c:dPt>
          <c:dPt>
            <c:idx val="13"/>
            <c:invertIfNegative val="1"/>
            <c:bubble3D val="0"/>
            <c:spPr>
              <a:solidFill>
                <a:srgbClr val="CC0000"/>
              </a:solidFill>
              <a:ln cmpd="sng">
                <a:solidFill>
                  <a:srgbClr val="000000"/>
                </a:solidFill>
              </a:ln>
            </c:spPr>
            <c:extLst>
              <c:ext xmlns:c16="http://schemas.microsoft.com/office/drawing/2014/chart" uri="{C3380CC4-5D6E-409C-BE32-E72D297353CC}">
                <c16:uniqueId val="{00000016-562B-42E2-90C1-3450E02A4E28}"/>
              </c:ext>
            </c:extLst>
          </c:dPt>
          <c:dPt>
            <c:idx val="14"/>
            <c:invertIfNegative val="1"/>
            <c:bubble3D val="0"/>
            <c:spPr>
              <a:solidFill>
                <a:srgbClr val="6AA84F"/>
              </a:solidFill>
              <a:ln cmpd="sng">
                <a:solidFill>
                  <a:srgbClr val="000000"/>
                </a:solidFill>
              </a:ln>
            </c:spPr>
            <c:extLst>
              <c:ext xmlns:c16="http://schemas.microsoft.com/office/drawing/2014/chart" uri="{C3380CC4-5D6E-409C-BE32-E72D297353CC}">
                <c16:uniqueId val="{00000018-562B-42E2-90C1-3450E02A4E28}"/>
              </c:ext>
            </c:extLst>
          </c:dPt>
          <c:cat>
            <c:strRef>
              <c:f>PA!$B$2:$B$16</c:f>
              <c:strCache>
                <c:ptCount val="15"/>
                <c:pt idx="0">
                  <c:v>Dewald Brevis</c:v>
                </c:pt>
                <c:pt idx="1">
                  <c:v>Noor Ahmad</c:v>
                </c:pt>
                <c:pt idx="2">
                  <c:v>Auqib Nabi</c:v>
                </c:pt>
                <c:pt idx="3">
                  <c:v>Jos Buttler</c:v>
                </c:pt>
                <c:pt idx="4">
                  <c:v>Prasidh Krishna</c:v>
                </c:pt>
                <c:pt idx="5">
                  <c:v>Vaibhav Arora</c:v>
                </c:pt>
                <c:pt idx="6">
                  <c:v>Aiden Markram</c:v>
                </c:pt>
                <c:pt idx="7">
                  <c:v>Will Jacks</c:v>
                </c:pt>
                <c:pt idx="8">
                  <c:v>Nehal Wadhera</c:v>
                </c:pt>
                <c:pt idx="9">
                  <c:v>Shreyas Iyer</c:v>
                </c:pt>
                <c:pt idx="10">
                  <c:v>Devdutt Padikkal</c:v>
                </c:pt>
                <c:pt idx="11">
                  <c:v>Virat Kohli</c:v>
                </c:pt>
                <c:pt idx="12">
                  <c:v>Riyan Parag</c:v>
                </c:pt>
                <c:pt idx="13">
                  <c:v>Harshal Patel</c:v>
                </c:pt>
                <c:pt idx="14">
                  <c:v>Heinrich Klaasen</c:v>
                </c:pt>
              </c:strCache>
            </c:strRef>
          </c:cat>
          <c:val>
            <c:numRef>
              <c:f>PA!$H$2:$H$16</c:f>
              <c:numCache>
                <c:formatCode>#,##0</c:formatCode>
                <c:ptCount val="15"/>
                <c:pt idx="0">
                  <c:v>357</c:v>
                </c:pt>
                <c:pt idx="1">
                  <c:v>520</c:v>
                </c:pt>
                <c:pt idx="2">
                  <c:v>56</c:v>
                </c:pt>
                <c:pt idx="3">
                  <c:v>1037</c:v>
                </c:pt>
                <c:pt idx="4">
                  <c:v>572</c:v>
                </c:pt>
                <c:pt idx="5">
                  <c:v>405</c:v>
                </c:pt>
                <c:pt idx="6">
                  <c:v>431</c:v>
                </c:pt>
                <c:pt idx="7">
                  <c:v>307</c:v>
                </c:pt>
                <c:pt idx="8">
                  <c:v>127</c:v>
                </c:pt>
                <c:pt idx="9">
                  <c:v>815</c:v>
                </c:pt>
                <c:pt idx="10">
                  <c:v>835</c:v>
                </c:pt>
                <c:pt idx="11">
                  <c:v>1060</c:v>
                </c:pt>
                <c:pt idx="12">
                  <c:v>564</c:v>
                </c:pt>
                <c:pt idx="13">
                  <c:v>40</c:v>
                </c:pt>
                <c:pt idx="14">
                  <c:v>1016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9-562B-42E2-90C1-3450E02A4E28}"/>
            </c:ext>
          </c:extLst>
        </c:ser>
        <c:dLbls>
          <c:showLegendKey val="0"/>
          <c:showVal val="0"/>
          <c:showCatName val="0"/>
          <c:showSerName val="0"/>
          <c:showPercent val="0"/>
          <c:showBubbleSize val="0"/>
        </c:dLbls>
        <c:gapWidth val="150"/>
        <c:shape val="box"/>
        <c:axId val="403383342"/>
        <c:axId val="960840929"/>
        <c:axId val="0"/>
      </c:bar3DChart>
      <c:catAx>
        <c:axId val="1436744231"/>
        <c:scaling>
          <c:orientation val="minMax"/>
        </c:scaling>
        <c:delete val="0"/>
        <c:axPos val="b"/>
        <c:title>
          <c:tx>
            <c:rich>
              <a:bodyPr/>
              <a:lstStyle/>
              <a:p>
                <a:pPr lvl="0">
                  <a:defRPr sz="1600" b="0">
                    <a:solidFill>
                      <a:srgbClr val="000000"/>
                    </a:solidFill>
                    <a:latin typeface="Arial black"/>
                  </a:defRPr>
                </a:pPr>
                <a:r>
                  <a:rPr sz="1600" b="0">
                    <a:solidFill>
                      <a:srgbClr val="000000"/>
                    </a:solidFill>
                    <a:latin typeface="Arial black"/>
                  </a:rPr>
                  <a:t>Player Name</a:t>
                </a:r>
              </a:p>
            </c:rich>
          </c:tx>
          <c:overlay val="0"/>
        </c:title>
        <c:numFmt formatCode="General" sourceLinked="1"/>
        <c:majorTickMark val="none"/>
        <c:minorTickMark val="none"/>
        <c:tickLblPos val="nextTo"/>
        <c:txPr>
          <a:bodyPr/>
          <a:lstStyle/>
          <a:p>
            <a:pPr lvl="0">
              <a:defRPr b="0">
                <a:solidFill>
                  <a:srgbClr val="000000"/>
                </a:solidFill>
                <a:latin typeface="sans-serif"/>
              </a:defRPr>
            </a:pPr>
            <a:endParaRPr lang="en-US"/>
          </a:p>
        </c:txPr>
        <c:crossAx val="2049992529"/>
        <c:crosses val="autoZero"/>
        <c:auto val="1"/>
        <c:lblAlgn val="ctr"/>
        <c:lblOffset val="100"/>
        <c:noMultiLvlLbl val="1"/>
      </c:catAx>
      <c:valAx>
        <c:axId val="2049992529"/>
        <c:scaling>
          <c:orientation val="minMax"/>
        </c:scaling>
        <c:delete val="0"/>
        <c:axPos val="l"/>
        <c:numFmt formatCode="#,##0" sourceLinked="1"/>
        <c:majorTickMark val="cross"/>
        <c:minorTickMark val="cross"/>
        <c:tickLblPos val="nextTo"/>
        <c:spPr>
          <a:ln>
            <a:noFill/>
          </a:ln>
        </c:spPr>
        <c:crossAx val="1436744231"/>
        <c:crosses val="autoZero"/>
        <c:crossBetween val="between"/>
      </c:valAx>
      <c:catAx>
        <c:axId val="403383342"/>
        <c:scaling>
          <c:orientation val="minMax"/>
        </c:scaling>
        <c:delete val="0"/>
        <c:axPos val="b"/>
        <c:numFmt formatCode="General" sourceLinked="1"/>
        <c:majorTickMark val="none"/>
        <c:minorTickMark val="none"/>
        <c:tickLblPos val="nextTo"/>
        <c:txPr>
          <a:bodyPr/>
          <a:lstStyle/>
          <a:p>
            <a:pPr lvl="0">
              <a:defRPr b="0">
                <a:solidFill>
                  <a:srgbClr val="000000"/>
                </a:solidFill>
                <a:latin typeface="sans-serif"/>
              </a:defRPr>
            </a:pPr>
            <a:endParaRPr lang="en-US"/>
          </a:p>
        </c:txPr>
        <c:crossAx val="960840929"/>
        <c:crosses val="autoZero"/>
        <c:auto val="1"/>
        <c:lblAlgn val="ctr"/>
        <c:lblOffset val="100"/>
        <c:noMultiLvlLbl val="1"/>
      </c:catAx>
      <c:valAx>
        <c:axId val="96084092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endParaRPr/>
              </a:p>
            </c:rich>
          </c:tx>
          <c:overlay val="0"/>
        </c:title>
        <c:numFmt formatCode="#,##0" sourceLinked="1"/>
        <c:majorTickMark val="in"/>
        <c:minorTickMark val="none"/>
        <c:tickLblPos val="nextTo"/>
        <c:spPr>
          <a:ln/>
        </c:spPr>
        <c:txPr>
          <a:bodyPr/>
          <a:lstStyle/>
          <a:p>
            <a:pPr lvl="0">
              <a:defRPr b="0">
                <a:solidFill>
                  <a:srgbClr val="000000"/>
                </a:solidFill>
                <a:latin typeface="sans-serif"/>
              </a:defRPr>
            </a:pPr>
            <a:endParaRPr lang="en-US"/>
          </a:p>
        </c:txPr>
        <c:crossAx val="403383342"/>
        <c:crosses val="max"/>
        <c:crossBetween val="between"/>
      </c:valAx>
    </c:plotArea>
    <c:legend>
      <c:legendPos val="r"/>
      <c:overlay val="0"/>
      <c:txPr>
        <a:bodyPr/>
        <a:lstStyle/>
        <a:p>
          <a:pPr lvl="0">
            <a:defRPr b="0">
              <a:solidFill>
                <a:srgbClr val="1A1A1A"/>
              </a:solidFill>
              <a:latin typeface="sans-serif"/>
            </a:defRPr>
          </a:pPr>
          <a:endParaRPr lang="en-US"/>
        </a:p>
      </c:txPr>
    </c:legend>
    <c:plotVisOnly val="0"/>
    <c:dispBlanksAs val="zero"/>
    <c:showDLblsOverMax val="1"/>
  </c:chart>
  <c:spPr>
    <a:solidFill>
      <a:srgbClr val="CFE2F3"/>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chemeClr val="accent1"/>
                </a:solidFill>
                <a:latin typeface="+mn-lt"/>
              </a:defRPr>
            </a:pPr>
            <a:r>
              <a:rPr b="0">
                <a:solidFill>
                  <a:schemeClr val="accent1"/>
                </a:solidFill>
                <a:latin typeface="+mn-lt"/>
              </a:rPr>
              <a:t>Not Counted</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STATS!$Q$63</c:f>
              <c:strCache>
                <c:ptCount val="1"/>
                <c:pt idx="0">
                  <c:v>Points</c:v>
                </c:pt>
              </c:strCache>
            </c:strRef>
          </c:tx>
          <c:spPr>
            <a:solidFill>
              <a:srgbClr val="00B0F0"/>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STATS!$N$64:$N$66</c:f>
              <c:strCache>
                <c:ptCount val="3"/>
                <c:pt idx="0">
                  <c:v>Harshal Patel</c:v>
                </c:pt>
                <c:pt idx="1">
                  <c:v>Auqib Nabi</c:v>
                </c:pt>
                <c:pt idx="2">
                  <c:v>Nehal Wadhera</c:v>
                </c:pt>
              </c:strCache>
            </c:strRef>
          </c:cat>
          <c:val>
            <c:numRef>
              <c:f>STATS!$Q$64:$Q$66</c:f>
              <c:numCache>
                <c:formatCode>#,##0</c:formatCode>
                <c:ptCount val="3"/>
                <c:pt idx="0">
                  <c:v>40</c:v>
                </c:pt>
                <c:pt idx="1">
                  <c:v>56</c:v>
                </c:pt>
                <c:pt idx="2">
                  <c:v>127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4F0-4E1C-AAB6-B216C130B005}"/>
            </c:ext>
          </c:extLst>
        </c:ser>
        <c:dLbls>
          <c:showLegendKey val="0"/>
          <c:showVal val="0"/>
          <c:showCatName val="0"/>
          <c:showSerName val="0"/>
          <c:showPercent val="0"/>
          <c:showBubbleSize val="0"/>
        </c:dLbls>
        <c:gapWidth val="150"/>
        <c:shape val="box"/>
        <c:axId val="1696370950"/>
        <c:axId val="1737326877"/>
        <c:axId val="0"/>
      </c:bar3DChart>
      <c:catAx>
        <c:axId val="169637095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37326877"/>
        <c:crosses val="autoZero"/>
        <c:auto val="1"/>
        <c:lblAlgn val="ctr"/>
        <c:lblOffset val="100"/>
        <c:noMultiLvlLbl val="1"/>
      </c:catAx>
      <c:valAx>
        <c:axId val="17373268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69637095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sans-serif"/>
              </a:defRPr>
            </a:pPr>
            <a:r>
              <a:rPr b="0">
                <a:solidFill>
                  <a:srgbClr val="757575"/>
                </a:solidFill>
                <a:latin typeface="sans-serif"/>
              </a:rPr>
              <a:t>Points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1"/>
          <c:order val="1"/>
          <c:tx>
            <c:strRef>
              <c:f>MC!$H$1</c:f>
              <c:strCache>
                <c:ptCount val="1"/>
                <c:pt idx="0">
                  <c:v>Points</c:v>
                </c:pt>
              </c:strCache>
            </c:strRef>
          </c:tx>
          <c:invertIfNegative val="1"/>
          <c:cat>
            <c:strRef>
              <c:f>MC!$B$2:$B$16</c:f>
              <c:strCache>
                <c:ptCount val="15"/>
                <c:pt idx="0">
                  <c:v>Ayush Mhatre + Sandeep Sharma</c:v>
                </c:pt>
                <c:pt idx="1">
                  <c:v>MS Dhoni</c:v>
                </c:pt>
                <c:pt idx="2">
                  <c:v>Mitchell Starc</c:v>
                </c:pt>
                <c:pt idx="3">
                  <c:v>Glenn Phillips</c:v>
                </c:pt>
                <c:pt idx="4">
                  <c:v>Sunil Narine</c:v>
                </c:pt>
                <c:pt idx="5">
                  <c:v>Ajinkya Rahane</c:v>
                </c:pt>
                <c:pt idx="6">
                  <c:v>Ayush Badoni</c:v>
                </c:pt>
                <c:pt idx="7">
                  <c:v>Hardik Pandya</c:v>
                </c:pt>
                <c:pt idx="8">
                  <c:v>Suryakumar Yadav</c:v>
                </c:pt>
                <c:pt idx="9">
                  <c:v>Rohit Sharma</c:v>
                </c:pt>
                <c:pt idx="10">
                  <c:v>Priyansh Arya</c:v>
                </c:pt>
                <c:pt idx="11">
                  <c:v>Phil Salt</c:v>
                </c:pt>
                <c:pt idx="12">
                  <c:v>Bhuvneshwar Kumar</c:v>
                </c:pt>
                <c:pt idx="13">
                  <c:v>Josh Hazlewood</c:v>
                </c:pt>
                <c:pt idx="14">
                  <c:v>Shimron Hetmyer</c:v>
                </c:pt>
              </c:strCache>
            </c:strRef>
          </c:cat>
          <c:val>
            <c:numRef>
              <c:f>MC!$H$2:$H$16</c:f>
              <c:numCache>
                <c:formatCode>General</c:formatCode>
                <c:ptCount val="15"/>
                <c:pt idx="0">
                  <c:v>312</c:v>
                </c:pt>
                <c:pt idx="1">
                  <c:v>0</c:v>
                </c:pt>
                <c:pt idx="2">
                  <c:v>404</c:v>
                </c:pt>
                <c:pt idx="3">
                  <c:v>165</c:v>
                </c:pt>
                <c:pt idx="4">
                  <c:v>688</c:v>
                </c:pt>
                <c:pt idx="5">
                  <c:v>550</c:v>
                </c:pt>
                <c:pt idx="6">
                  <c:v>348</c:v>
                </c:pt>
                <c:pt idx="7">
                  <c:v>462</c:v>
                </c:pt>
                <c:pt idx="8">
                  <c:v>432</c:v>
                </c:pt>
                <c:pt idx="9">
                  <c:v>422</c:v>
                </c:pt>
                <c:pt idx="10">
                  <c:v>585</c:v>
                </c:pt>
                <c:pt idx="11">
                  <c:v>348</c:v>
                </c:pt>
                <c:pt idx="12">
                  <c:v>1051</c:v>
                </c:pt>
                <c:pt idx="13">
                  <c:v>643</c:v>
                </c:pt>
                <c:pt idx="14">
                  <c:v>169</c:v>
                </c:pt>
              </c:numCache>
            </c:numRef>
          </c:val>
          <c:extLst>
            <c:ext xmlns:c16="http://schemas.microsoft.com/office/drawing/2014/chart" uri="{C3380CC4-5D6E-409C-BE32-E72D297353CC}">
              <c16:uniqueId val="{00000000-B0A1-4C8A-B538-3C72B1304B5C}"/>
            </c:ext>
          </c:extLst>
        </c:ser>
        <c:dLbls>
          <c:showLegendKey val="0"/>
          <c:showVal val="0"/>
          <c:showCatName val="0"/>
          <c:showSerName val="0"/>
          <c:showPercent val="0"/>
          <c:showBubbleSize val="0"/>
        </c:dLbls>
        <c:gapWidth val="150"/>
        <c:shape val="box"/>
        <c:axId val="1411525569"/>
        <c:axId val="279431420"/>
        <c:axId val="0"/>
      </c:bar3DChart>
      <c:bar3DChart>
        <c:barDir val="col"/>
        <c:grouping val="clustered"/>
        <c:varyColors val="1"/>
        <c:ser>
          <c:idx val="0"/>
          <c:order val="0"/>
          <c:tx>
            <c:strRef>
              <c:f>MC!$H$1</c:f>
              <c:strCache>
                <c:ptCount val="1"/>
                <c:pt idx="0">
                  <c:v>Points</c:v>
                </c:pt>
              </c:strCache>
            </c:strRef>
          </c:tx>
          <c:spPr>
            <a:solidFill>
              <a:srgbClr val="4A86E8"/>
            </a:solidFill>
            <a:ln cmpd="sng">
              <a:solidFill>
                <a:srgbClr val="000000"/>
              </a:solidFill>
            </a:ln>
          </c:spPr>
          <c:invertIfNegative val="1"/>
          <c:dPt>
            <c:idx val="0"/>
            <c:invertIfNegative val="1"/>
            <c:bubble3D val="0"/>
            <c:spPr>
              <a:solidFill>
                <a:srgbClr val="6AA84F"/>
              </a:solidFill>
              <a:ln cmpd="sng">
                <a:solidFill>
                  <a:srgbClr val="000000"/>
                </a:solidFill>
              </a:ln>
            </c:spPr>
            <c:extLst>
              <c:ext xmlns:c16="http://schemas.microsoft.com/office/drawing/2014/chart" uri="{C3380CC4-5D6E-409C-BE32-E72D297353CC}">
                <c16:uniqueId val="{00000002-B0A1-4C8A-B538-3C72B1304B5C}"/>
              </c:ext>
            </c:extLst>
          </c:dPt>
          <c:dPt>
            <c:idx val="1"/>
            <c:invertIfNegative val="1"/>
            <c:bubble3D val="0"/>
            <c:spPr>
              <a:solidFill>
                <a:srgbClr val="CC0000"/>
              </a:solidFill>
              <a:ln cmpd="sng">
                <a:solidFill>
                  <a:srgbClr val="000000"/>
                </a:solidFill>
              </a:ln>
            </c:spPr>
            <c:extLst>
              <c:ext xmlns:c16="http://schemas.microsoft.com/office/drawing/2014/chart" uri="{C3380CC4-5D6E-409C-BE32-E72D297353CC}">
                <c16:uniqueId val="{00000004-B0A1-4C8A-B538-3C72B1304B5C}"/>
              </c:ext>
            </c:extLst>
          </c:dPt>
          <c:dPt>
            <c:idx val="2"/>
            <c:invertIfNegative val="1"/>
            <c:bubble3D val="0"/>
            <c:spPr>
              <a:solidFill>
                <a:srgbClr val="CC0000"/>
              </a:solidFill>
              <a:ln cmpd="sng">
                <a:solidFill>
                  <a:srgbClr val="000000"/>
                </a:solidFill>
              </a:ln>
            </c:spPr>
            <c:extLst>
              <c:ext xmlns:c16="http://schemas.microsoft.com/office/drawing/2014/chart" uri="{C3380CC4-5D6E-409C-BE32-E72D297353CC}">
                <c16:uniqueId val="{00000006-B0A1-4C8A-B538-3C72B1304B5C}"/>
              </c:ext>
            </c:extLst>
          </c:dPt>
          <c:dPt>
            <c:idx val="5"/>
            <c:invertIfNegative val="1"/>
            <c:bubble3D val="0"/>
            <c:spPr>
              <a:solidFill>
                <a:srgbClr val="F1C232"/>
              </a:solidFill>
              <a:ln cmpd="sng">
                <a:solidFill>
                  <a:srgbClr val="000000"/>
                </a:solidFill>
              </a:ln>
            </c:spPr>
            <c:extLst>
              <c:ext xmlns:c16="http://schemas.microsoft.com/office/drawing/2014/chart" uri="{C3380CC4-5D6E-409C-BE32-E72D297353CC}">
                <c16:uniqueId val="{00000008-B0A1-4C8A-B538-3C72B1304B5C}"/>
              </c:ext>
            </c:extLst>
          </c:dPt>
          <c:dPt>
            <c:idx val="6"/>
            <c:invertIfNegative val="1"/>
            <c:bubble3D val="0"/>
            <c:extLst>
              <c:ext xmlns:c16="http://schemas.microsoft.com/office/drawing/2014/chart" uri="{C3380CC4-5D6E-409C-BE32-E72D297353CC}">
                <c16:uniqueId val="{00000009-B0A1-4C8A-B538-3C72B1304B5C}"/>
              </c:ext>
            </c:extLst>
          </c:dPt>
          <c:dPt>
            <c:idx val="7"/>
            <c:invertIfNegative val="1"/>
            <c:bubble3D val="0"/>
            <c:spPr>
              <a:solidFill>
                <a:srgbClr val="F1C232"/>
              </a:solidFill>
              <a:ln cmpd="sng">
                <a:solidFill>
                  <a:srgbClr val="000000"/>
                </a:solidFill>
              </a:ln>
            </c:spPr>
            <c:extLst>
              <c:ext xmlns:c16="http://schemas.microsoft.com/office/drawing/2014/chart" uri="{C3380CC4-5D6E-409C-BE32-E72D297353CC}">
                <c16:uniqueId val="{0000000B-B0A1-4C8A-B538-3C72B1304B5C}"/>
              </c:ext>
            </c:extLst>
          </c:dPt>
          <c:dPt>
            <c:idx val="8"/>
            <c:invertIfNegative val="1"/>
            <c:bubble3D val="0"/>
            <c:extLst>
              <c:ext xmlns:c16="http://schemas.microsoft.com/office/drawing/2014/chart" uri="{C3380CC4-5D6E-409C-BE32-E72D297353CC}">
                <c16:uniqueId val="{0000000C-B0A1-4C8A-B538-3C72B1304B5C}"/>
              </c:ext>
            </c:extLst>
          </c:dPt>
          <c:dPt>
            <c:idx val="9"/>
            <c:invertIfNegative val="1"/>
            <c:bubble3D val="0"/>
            <c:spPr>
              <a:solidFill>
                <a:srgbClr val="F1C232"/>
              </a:solidFill>
              <a:ln cmpd="sng">
                <a:solidFill>
                  <a:srgbClr val="000000"/>
                </a:solidFill>
              </a:ln>
            </c:spPr>
            <c:extLst>
              <c:ext xmlns:c16="http://schemas.microsoft.com/office/drawing/2014/chart" uri="{C3380CC4-5D6E-409C-BE32-E72D297353CC}">
                <c16:uniqueId val="{0000000E-B0A1-4C8A-B538-3C72B1304B5C}"/>
              </c:ext>
            </c:extLst>
          </c:dPt>
          <c:dPt>
            <c:idx val="10"/>
            <c:invertIfNegative val="1"/>
            <c:bubble3D val="0"/>
            <c:extLst>
              <c:ext xmlns:c16="http://schemas.microsoft.com/office/drawing/2014/chart" uri="{C3380CC4-5D6E-409C-BE32-E72D297353CC}">
                <c16:uniqueId val="{0000000F-B0A1-4C8A-B538-3C72B1304B5C}"/>
              </c:ext>
            </c:extLst>
          </c:dPt>
          <c:dPt>
            <c:idx val="11"/>
            <c:invertIfNegative val="1"/>
            <c:bubble3D val="0"/>
            <c:spPr>
              <a:solidFill>
                <a:srgbClr val="6AA84F"/>
              </a:solidFill>
              <a:ln cmpd="sng">
                <a:solidFill>
                  <a:srgbClr val="000000"/>
                </a:solidFill>
              </a:ln>
            </c:spPr>
            <c:extLst>
              <c:ext xmlns:c16="http://schemas.microsoft.com/office/drawing/2014/chart" uri="{C3380CC4-5D6E-409C-BE32-E72D297353CC}">
                <c16:uniqueId val="{00000011-B0A1-4C8A-B538-3C72B1304B5C}"/>
              </c:ext>
            </c:extLst>
          </c:dPt>
          <c:dPt>
            <c:idx val="12"/>
            <c:invertIfNegative val="1"/>
            <c:bubble3D val="0"/>
            <c:spPr>
              <a:solidFill>
                <a:srgbClr val="6AA84F"/>
              </a:solidFill>
              <a:ln cmpd="sng">
                <a:solidFill>
                  <a:srgbClr val="000000"/>
                </a:solidFill>
              </a:ln>
            </c:spPr>
            <c:extLst>
              <c:ext xmlns:c16="http://schemas.microsoft.com/office/drawing/2014/chart" uri="{C3380CC4-5D6E-409C-BE32-E72D297353CC}">
                <c16:uniqueId val="{00000013-B0A1-4C8A-B538-3C72B1304B5C}"/>
              </c:ext>
            </c:extLst>
          </c:dPt>
          <c:dPt>
            <c:idx val="14"/>
            <c:invertIfNegative val="1"/>
            <c:bubble3D val="0"/>
            <c:spPr>
              <a:solidFill>
                <a:srgbClr val="CC0000"/>
              </a:solidFill>
              <a:ln cmpd="sng">
                <a:solidFill>
                  <a:srgbClr val="000000"/>
                </a:solidFill>
              </a:ln>
            </c:spPr>
            <c:extLst>
              <c:ext xmlns:c16="http://schemas.microsoft.com/office/drawing/2014/chart" uri="{C3380CC4-5D6E-409C-BE32-E72D297353CC}">
                <c16:uniqueId val="{00000015-B0A1-4C8A-B538-3C72B1304B5C}"/>
              </c:ext>
            </c:extLst>
          </c:dPt>
          <c:dLbls>
            <c:spPr>
              <a:noFill/>
              <a:ln>
                <a:noFill/>
              </a:ln>
              <a:effectLst/>
            </c:spPr>
            <c:txPr>
              <a:bodyPr/>
              <a:lstStyle/>
              <a:p>
                <a:pPr lvl="0">
                  <a:defRPr b="0">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MC!$B$2:$B$16</c:f>
              <c:strCache>
                <c:ptCount val="15"/>
                <c:pt idx="0">
                  <c:v>Ayush Mhatre + Sandeep Sharma</c:v>
                </c:pt>
                <c:pt idx="1">
                  <c:v>MS Dhoni</c:v>
                </c:pt>
                <c:pt idx="2">
                  <c:v>Mitchell Starc</c:v>
                </c:pt>
                <c:pt idx="3">
                  <c:v>Glenn Phillips</c:v>
                </c:pt>
                <c:pt idx="4">
                  <c:v>Sunil Narine</c:v>
                </c:pt>
                <c:pt idx="5">
                  <c:v>Ajinkya Rahane</c:v>
                </c:pt>
                <c:pt idx="6">
                  <c:v>Ayush Badoni</c:v>
                </c:pt>
                <c:pt idx="7">
                  <c:v>Hardik Pandya</c:v>
                </c:pt>
                <c:pt idx="8">
                  <c:v>Suryakumar Yadav</c:v>
                </c:pt>
                <c:pt idx="9">
                  <c:v>Rohit Sharma</c:v>
                </c:pt>
                <c:pt idx="10">
                  <c:v>Priyansh Arya</c:v>
                </c:pt>
                <c:pt idx="11">
                  <c:v>Phil Salt</c:v>
                </c:pt>
                <c:pt idx="12">
                  <c:v>Bhuvneshwar Kumar</c:v>
                </c:pt>
                <c:pt idx="13">
                  <c:v>Josh Hazlewood</c:v>
                </c:pt>
                <c:pt idx="14">
                  <c:v>Shimron Hetmyer</c:v>
                </c:pt>
              </c:strCache>
            </c:strRef>
          </c:cat>
          <c:val>
            <c:numRef>
              <c:f>MC!$H$2:$H$16</c:f>
              <c:numCache>
                <c:formatCode>General</c:formatCode>
                <c:ptCount val="15"/>
                <c:pt idx="0">
                  <c:v>312</c:v>
                </c:pt>
                <c:pt idx="1">
                  <c:v>0</c:v>
                </c:pt>
                <c:pt idx="2">
                  <c:v>404</c:v>
                </c:pt>
                <c:pt idx="3">
                  <c:v>165</c:v>
                </c:pt>
                <c:pt idx="4">
                  <c:v>688</c:v>
                </c:pt>
                <c:pt idx="5">
                  <c:v>550</c:v>
                </c:pt>
                <c:pt idx="6">
                  <c:v>348</c:v>
                </c:pt>
                <c:pt idx="7">
                  <c:v>462</c:v>
                </c:pt>
                <c:pt idx="8">
                  <c:v>432</c:v>
                </c:pt>
                <c:pt idx="9">
                  <c:v>422</c:v>
                </c:pt>
                <c:pt idx="10">
                  <c:v>585</c:v>
                </c:pt>
                <c:pt idx="11">
                  <c:v>348</c:v>
                </c:pt>
                <c:pt idx="12">
                  <c:v>1051</c:v>
                </c:pt>
                <c:pt idx="13">
                  <c:v>643</c:v>
                </c:pt>
                <c:pt idx="14">
                  <c:v>169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6-B0A1-4C8A-B538-3C72B1304B5C}"/>
            </c:ext>
          </c:extLst>
        </c:ser>
        <c:dLbls>
          <c:showLegendKey val="0"/>
          <c:showVal val="0"/>
          <c:showCatName val="0"/>
          <c:showSerName val="0"/>
          <c:showPercent val="0"/>
          <c:showBubbleSize val="0"/>
        </c:dLbls>
        <c:gapWidth val="150"/>
        <c:shape val="box"/>
        <c:axId val="1545520814"/>
        <c:axId val="431943077"/>
        <c:axId val="0"/>
      </c:bar3DChart>
      <c:catAx>
        <c:axId val="1411525569"/>
        <c:scaling>
          <c:orientation val="minMax"/>
        </c:scaling>
        <c:delete val="0"/>
        <c:axPos val="b"/>
        <c:title>
          <c:tx>
            <c:rich>
              <a:bodyPr/>
              <a:lstStyle/>
              <a:p>
                <a:pPr lvl="0">
                  <a:defRPr sz="1600" b="0">
                    <a:solidFill>
                      <a:srgbClr val="000000"/>
                    </a:solidFill>
                    <a:latin typeface="Arial black"/>
                  </a:defRPr>
                </a:pPr>
                <a:r>
                  <a:rPr sz="1600" b="0">
                    <a:solidFill>
                      <a:srgbClr val="000000"/>
                    </a:solidFill>
                    <a:latin typeface="Arial black"/>
                  </a:rPr>
                  <a:t>Player Name</a:t>
                </a:r>
              </a:p>
            </c:rich>
          </c:tx>
          <c:overlay val="0"/>
        </c:title>
        <c:numFmt formatCode="General" sourceLinked="1"/>
        <c:majorTickMark val="none"/>
        <c:minorTickMark val="none"/>
        <c:tickLblPos val="nextTo"/>
        <c:txPr>
          <a:bodyPr/>
          <a:lstStyle/>
          <a:p>
            <a:pPr lvl="0">
              <a:defRPr b="0">
                <a:solidFill>
                  <a:srgbClr val="000000"/>
                </a:solidFill>
                <a:latin typeface="sans-serif"/>
              </a:defRPr>
            </a:pPr>
            <a:endParaRPr lang="en-US"/>
          </a:p>
        </c:txPr>
        <c:crossAx val="279431420"/>
        <c:crosses val="autoZero"/>
        <c:auto val="1"/>
        <c:lblAlgn val="ctr"/>
        <c:lblOffset val="100"/>
        <c:noMultiLvlLbl val="1"/>
      </c:catAx>
      <c:valAx>
        <c:axId val="279431420"/>
        <c:scaling>
          <c:orientation val="minMax"/>
        </c:scaling>
        <c:delete val="0"/>
        <c:axPos val="l"/>
        <c:numFmt formatCode="General" sourceLinked="1"/>
        <c:majorTickMark val="cross"/>
        <c:minorTickMark val="cross"/>
        <c:tickLblPos val="nextTo"/>
        <c:spPr>
          <a:ln>
            <a:noFill/>
          </a:ln>
        </c:spPr>
        <c:crossAx val="1411525569"/>
        <c:crosses val="autoZero"/>
        <c:crossBetween val="between"/>
      </c:valAx>
      <c:catAx>
        <c:axId val="1545520814"/>
        <c:scaling>
          <c:orientation val="minMax"/>
        </c:scaling>
        <c:delete val="0"/>
        <c:axPos val="b"/>
        <c:numFmt formatCode="General" sourceLinked="1"/>
        <c:majorTickMark val="none"/>
        <c:minorTickMark val="none"/>
        <c:tickLblPos val="nextTo"/>
        <c:txPr>
          <a:bodyPr/>
          <a:lstStyle/>
          <a:p>
            <a:pPr lvl="0">
              <a:defRPr b="0">
                <a:solidFill>
                  <a:srgbClr val="000000"/>
                </a:solidFill>
                <a:latin typeface="sans-serif"/>
              </a:defRPr>
            </a:pPr>
            <a:endParaRPr lang="en-US"/>
          </a:p>
        </c:txPr>
        <c:crossAx val="431943077"/>
        <c:crosses val="autoZero"/>
        <c:auto val="1"/>
        <c:lblAlgn val="ctr"/>
        <c:lblOffset val="100"/>
        <c:noMultiLvlLbl val="1"/>
      </c:catAx>
      <c:valAx>
        <c:axId val="43194307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endParaRPr/>
              </a:p>
            </c:rich>
          </c:tx>
          <c:overlay val="0"/>
        </c:title>
        <c:numFmt formatCode="General" sourceLinked="1"/>
        <c:majorTickMark val="in"/>
        <c:minorTickMark val="none"/>
        <c:tickLblPos val="nextTo"/>
        <c:spPr>
          <a:ln/>
        </c:spPr>
        <c:txPr>
          <a:bodyPr/>
          <a:lstStyle/>
          <a:p>
            <a:pPr lvl="0">
              <a:defRPr b="0">
                <a:solidFill>
                  <a:srgbClr val="000000"/>
                </a:solidFill>
                <a:latin typeface="sans-serif"/>
              </a:defRPr>
            </a:pPr>
            <a:endParaRPr lang="en-US"/>
          </a:p>
        </c:txPr>
        <c:crossAx val="1545520814"/>
        <c:crosses val="max"/>
        <c:crossBetween val="between"/>
      </c:valAx>
    </c:plotArea>
    <c:legend>
      <c:legendPos val="r"/>
      <c:overlay val="0"/>
      <c:txPr>
        <a:bodyPr/>
        <a:lstStyle/>
        <a:p>
          <a:pPr lvl="0">
            <a:defRPr b="0">
              <a:solidFill>
                <a:srgbClr val="1A1A1A"/>
              </a:solidFill>
              <a:latin typeface="sans-serif"/>
            </a:defRPr>
          </a:pPr>
          <a:endParaRPr lang="en-US"/>
        </a:p>
      </c:txPr>
    </c:legend>
    <c:plotVisOnly val="0"/>
    <c:dispBlanksAs val="zero"/>
    <c:showDLblsOverMax val="1"/>
  </c:chart>
  <c:spPr>
    <a:solidFill>
      <a:srgbClr val="CFE2F3"/>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chemeClr val="accent1"/>
                </a:solidFill>
                <a:latin typeface="+mn-lt"/>
              </a:defRPr>
            </a:pPr>
            <a:r>
              <a:rPr b="0">
                <a:solidFill>
                  <a:schemeClr val="accent1"/>
                </a:solidFill>
                <a:latin typeface="+mn-lt"/>
              </a:rPr>
              <a:t>Not Counted</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STATS!$W$63</c:f>
              <c:strCache>
                <c:ptCount val="1"/>
                <c:pt idx="0">
                  <c:v>Points</c:v>
                </c:pt>
              </c:strCache>
            </c:strRef>
          </c:tx>
          <c:spPr>
            <a:solidFill>
              <a:srgbClr val="00B0F0"/>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STATS!$T$64:$T$66</c:f>
              <c:strCache>
                <c:ptCount val="3"/>
                <c:pt idx="0">
                  <c:v>MS Dhoni</c:v>
                </c:pt>
                <c:pt idx="1">
                  <c:v>Glenn Phillips</c:v>
                </c:pt>
                <c:pt idx="2">
                  <c:v>Shimron Hetmyer</c:v>
                </c:pt>
              </c:strCache>
            </c:strRef>
          </c:cat>
          <c:val>
            <c:numRef>
              <c:f>STATS!$W$64:$W$66</c:f>
              <c:numCache>
                <c:formatCode>#,##0</c:formatCode>
                <c:ptCount val="3"/>
                <c:pt idx="0">
                  <c:v>0</c:v>
                </c:pt>
                <c:pt idx="1">
                  <c:v>165</c:v>
                </c:pt>
                <c:pt idx="2">
                  <c:v>169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EAE-461F-BB66-CDD61B2305EE}"/>
            </c:ext>
          </c:extLst>
        </c:ser>
        <c:dLbls>
          <c:showLegendKey val="0"/>
          <c:showVal val="0"/>
          <c:showCatName val="0"/>
          <c:showSerName val="0"/>
          <c:showPercent val="0"/>
          <c:showBubbleSize val="0"/>
        </c:dLbls>
        <c:gapWidth val="150"/>
        <c:shape val="box"/>
        <c:axId val="693390112"/>
        <c:axId val="1823509740"/>
        <c:axId val="0"/>
      </c:bar3DChart>
      <c:catAx>
        <c:axId val="69339011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23509740"/>
        <c:crosses val="autoZero"/>
        <c:auto val="1"/>
        <c:lblAlgn val="ctr"/>
        <c:lblOffset val="100"/>
        <c:noMultiLvlLbl val="1"/>
      </c:catAx>
      <c:valAx>
        <c:axId val="18235097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69339011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sans-serif"/>
              </a:defRPr>
            </a:pPr>
            <a:r>
              <a:rPr b="0">
                <a:solidFill>
                  <a:srgbClr val="757575"/>
                </a:solidFill>
                <a:latin typeface="sans-serif"/>
              </a:rPr>
              <a:t>Points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1"/>
          <c:order val="1"/>
          <c:tx>
            <c:strRef>
              <c:f>OL!$H$1</c:f>
              <c:strCache>
                <c:ptCount val="1"/>
                <c:pt idx="0">
                  <c:v>Points</c:v>
                </c:pt>
              </c:strCache>
            </c:strRef>
          </c:tx>
          <c:invertIfNegative val="1"/>
          <c:cat>
            <c:strRef>
              <c:f>OL!$B$2:$B$16</c:f>
              <c:strCache>
                <c:ptCount val="15"/>
                <c:pt idx="0">
                  <c:v>Prashant Veer</c:v>
                </c:pt>
                <c:pt idx="1">
                  <c:v>Ruturaj Gaikwad</c:v>
                </c:pt>
                <c:pt idx="2">
                  <c:v>Axar Patel</c:v>
                </c:pt>
                <c:pt idx="3">
                  <c:v>Abhishek Porel</c:v>
                </c:pt>
                <c:pt idx="4">
                  <c:v>KL Rahul</c:v>
                </c:pt>
                <c:pt idx="5">
                  <c:v>Rashid Khan</c:v>
                </c:pt>
                <c:pt idx="6">
                  <c:v>Cameron Green</c:v>
                </c:pt>
                <c:pt idx="7">
                  <c:v>Varun Chakaravarthy</c:v>
                </c:pt>
                <c:pt idx="8">
                  <c:v>Digvesh Singh</c:v>
                </c:pt>
                <c:pt idx="9">
                  <c:v>Rishabh Pant</c:v>
                </c:pt>
                <c:pt idx="10">
                  <c:v>Arshdeep Singh</c:v>
                </c:pt>
                <c:pt idx="11">
                  <c:v>Krunal Pandya</c:v>
                </c:pt>
                <c:pt idx="12">
                  <c:v>Rajat Patidar</c:v>
                </c:pt>
                <c:pt idx="13">
                  <c:v>Yashaswi Jaiswal</c:v>
                </c:pt>
                <c:pt idx="14">
                  <c:v>Travis Head</c:v>
                </c:pt>
              </c:strCache>
            </c:strRef>
          </c:cat>
          <c:val>
            <c:numRef>
              <c:f>OL!$H$2:$H$16</c:f>
              <c:numCache>
                <c:formatCode>General</c:formatCode>
                <c:ptCount val="15"/>
                <c:pt idx="0">
                  <c:v>139</c:v>
                </c:pt>
                <c:pt idx="1">
                  <c:v>532</c:v>
                </c:pt>
                <c:pt idx="2">
                  <c:v>724</c:v>
                </c:pt>
                <c:pt idx="3">
                  <c:v>157</c:v>
                </c:pt>
                <c:pt idx="4">
                  <c:v>903</c:v>
                </c:pt>
                <c:pt idx="5">
                  <c:v>874</c:v>
                </c:pt>
                <c:pt idx="6">
                  <c:v>752</c:v>
                </c:pt>
                <c:pt idx="7">
                  <c:v>433</c:v>
                </c:pt>
                <c:pt idx="8">
                  <c:v>245</c:v>
                </c:pt>
                <c:pt idx="9">
                  <c:v>560</c:v>
                </c:pt>
                <c:pt idx="10">
                  <c:v>536</c:v>
                </c:pt>
                <c:pt idx="11">
                  <c:v>836</c:v>
                </c:pt>
                <c:pt idx="12">
                  <c:v>845</c:v>
                </c:pt>
                <c:pt idx="13">
                  <c:v>693</c:v>
                </c:pt>
                <c:pt idx="14">
                  <c:v>653</c:v>
                </c:pt>
              </c:numCache>
            </c:numRef>
          </c:val>
          <c:extLst>
            <c:ext xmlns:c16="http://schemas.microsoft.com/office/drawing/2014/chart" uri="{C3380CC4-5D6E-409C-BE32-E72D297353CC}">
              <c16:uniqueId val="{00000000-4FBD-4EF4-A7F9-267751D042D3}"/>
            </c:ext>
          </c:extLst>
        </c:ser>
        <c:dLbls>
          <c:showLegendKey val="0"/>
          <c:showVal val="0"/>
          <c:showCatName val="0"/>
          <c:showSerName val="0"/>
          <c:showPercent val="0"/>
          <c:showBubbleSize val="0"/>
        </c:dLbls>
        <c:gapWidth val="150"/>
        <c:shape val="box"/>
        <c:axId val="1843005305"/>
        <c:axId val="2138952189"/>
        <c:axId val="0"/>
      </c:bar3DChart>
      <c:bar3DChart>
        <c:barDir val="col"/>
        <c:grouping val="clustered"/>
        <c:varyColors val="1"/>
        <c:ser>
          <c:idx val="0"/>
          <c:order val="0"/>
          <c:tx>
            <c:strRef>
              <c:f>OL!$H$1</c:f>
              <c:strCache>
                <c:ptCount val="1"/>
                <c:pt idx="0">
                  <c:v>Points</c:v>
                </c:pt>
              </c:strCache>
            </c:strRef>
          </c:tx>
          <c:spPr>
            <a:solidFill>
              <a:srgbClr val="4A86E8"/>
            </a:solidFill>
            <a:ln cmpd="sng">
              <a:solidFill>
                <a:srgbClr val="000000"/>
              </a:solidFill>
            </a:ln>
          </c:spPr>
          <c:invertIfNegative val="1"/>
          <c:dPt>
            <c:idx val="0"/>
            <c:invertIfNegative val="1"/>
            <c:bubble3D val="0"/>
            <c:spPr>
              <a:solidFill>
                <a:srgbClr val="CC0000"/>
              </a:solidFill>
              <a:ln cmpd="sng">
                <a:solidFill>
                  <a:srgbClr val="000000"/>
                </a:solidFill>
              </a:ln>
            </c:spPr>
            <c:extLst>
              <c:ext xmlns:c16="http://schemas.microsoft.com/office/drawing/2014/chart" uri="{C3380CC4-5D6E-409C-BE32-E72D297353CC}">
                <c16:uniqueId val="{00000002-4FBD-4EF4-A7F9-267751D042D3}"/>
              </c:ext>
            </c:extLst>
          </c:dPt>
          <c:dPt>
            <c:idx val="1"/>
            <c:invertIfNegative val="1"/>
            <c:bubble3D val="0"/>
            <c:extLst>
              <c:ext xmlns:c16="http://schemas.microsoft.com/office/drawing/2014/chart" uri="{C3380CC4-5D6E-409C-BE32-E72D297353CC}">
                <c16:uniqueId val="{00000003-4FBD-4EF4-A7F9-267751D042D3}"/>
              </c:ext>
            </c:extLst>
          </c:dPt>
          <c:dPt>
            <c:idx val="2"/>
            <c:invertIfNegative val="1"/>
            <c:bubble3D val="0"/>
            <c:extLst>
              <c:ext xmlns:c16="http://schemas.microsoft.com/office/drawing/2014/chart" uri="{C3380CC4-5D6E-409C-BE32-E72D297353CC}">
                <c16:uniqueId val="{00000004-4FBD-4EF4-A7F9-267751D042D3}"/>
              </c:ext>
            </c:extLst>
          </c:dPt>
          <c:dPt>
            <c:idx val="3"/>
            <c:invertIfNegative val="1"/>
            <c:bubble3D val="0"/>
            <c:spPr>
              <a:solidFill>
                <a:srgbClr val="CC0000"/>
              </a:solidFill>
              <a:ln cmpd="sng">
                <a:solidFill>
                  <a:srgbClr val="000000"/>
                </a:solidFill>
              </a:ln>
            </c:spPr>
            <c:extLst>
              <c:ext xmlns:c16="http://schemas.microsoft.com/office/drawing/2014/chart" uri="{C3380CC4-5D6E-409C-BE32-E72D297353CC}">
                <c16:uniqueId val="{00000006-4FBD-4EF4-A7F9-267751D042D3}"/>
              </c:ext>
            </c:extLst>
          </c:dPt>
          <c:dPt>
            <c:idx val="4"/>
            <c:invertIfNegative val="1"/>
            <c:bubble3D val="0"/>
            <c:spPr>
              <a:solidFill>
                <a:srgbClr val="6AA84F"/>
              </a:solidFill>
              <a:ln cmpd="sng">
                <a:solidFill>
                  <a:srgbClr val="000000"/>
                </a:solidFill>
              </a:ln>
            </c:spPr>
            <c:extLst>
              <c:ext xmlns:c16="http://schemas.microsoft.com/office/drawing/2014/chart" uri="{C3380CC4-5D6E-409C-BE32-E72D297353CC}">
                <c16:uniqueId val="{00000008-4FBD-4EF4-A7F9-267751D042D3}"/>
              </c:ext>
            </c:extLst>
          </c:dPt>
          <c:dPt>
            <c:idx val="5"/>
            <c:invertIfNegative val="1"/>
            <c:bubble3D val="0"/>
            <c:spPr>
              <a:solidFill>
                <a:srgbClr val="6AA84F"/>
              </a:solidFill>
              <a:ln cmpd="sng">
                <a:solidFill>
                  <a:srgbClr val="000000"/>
                </a:solidFill>
              </a:ln>
            </c:spPr>
            <c:extLst>
              <c:ext xmlns:c16="http://schemas.microsoft.com/office/drawing/2014/chart" uri="{C3380CC4-5D6E-409C-BE32-E72D297353CC}">
                <c16:uniqueId val="{0000000A-4FBD-4EF4-A7F9-267751D042D3}"/>
              </c:ext>
            </c:extLst>
          </c:dPt>
          <c:dPt>
            <c:idx val="6"/>
            <c:invertIfNegative val="1"/>
            <c:bubble3D val="0"/>
            <c:spPr>
              <a:solidFill>
                <a:srgbClr val="F1C232"/>
              </a:solidFill>
              <a:ln cmpd="sng">
                <a:solidFill>
                  <a:srgbClr val="000000"/>
                </a:solidFill>
              </a:ln>
            </c:spPr>
            <c:extLst>
              <c:ext xmlns:c16="http://schemas.microsoft.com/office/drawing/2014/chart" uri="{C3380CC4-5D6E-409C-BE32-E72D297353CC}">
                <c16:uniqueId val="{0000000C-4FBD-4EF4-A7F9-267751D042D3}"/>
              </c:ext>
            </c:extLst>
          </c:dPt>
          <c:dPt>
            <c:idx val="7"/>
            <c:invertIfNegative val="1"/>
            <c:bubble3D val="0"/>
            <c:spPr>
              <a:solidFill>
                <a:srgbClr val="CC0000"/>
              </a:solidFill>
              <a:ln cmpd="sng">
                <a:solidFill>
                  <a:srgbClr val="000000"/>
                </a:solidFill>
              </a:ln>
            </c:spPr>
            <c:extLst>
              <c:ext xmlns:c16="http://schemas.microsoft.com/office/drawing/2014/chart" uri="{C3380CC4-5D6E-409C-BE32-E72D297353CC}">
                <c16:uniqueId val="{0000000E-4FBD-4EF4-A7F9-267751D042D3}"/>
              </c:ext>
            </c:extLst>
          </c:dPt>
          <c:dPt>
            <c:idx val="8"/>
            <c:invertIfNegative val="1"/>
            <c:bubble3D val="0"/>
            <c:extLst>
              <c:ext xmlns:c16="http://schemas.microsoft.com/office/drawing/2014/chart" uri="{C3380CC4-5D6E-409C-BE32-E72D297353CC}">
                <c16:uniqueId val="{0000000F-4FBD-4EF4-A7F9-267751D042D3}"/>
              </c:ext>
            </c:extLst>
          </c:dPt>
          <c:dPt>
            <c:idx val="9"/>
            <c:invertIfNegative val="1"/>
            <c:bubble3D val="0"/>
            <c:extLst>
              <c:ext xmlns:c16="http://schemas.microsoft.com/office/drawing/2014/chart" uri="{C3380CC4-5D6E-409C-BE32-E72D297353CC}">
                <c16:uniqueId val="{00000010-4FBD-4EF4-A7F9-267751D042D3}"/>
              </c:ext>
            </c:extLst>
          </c:dPt>
          <c:dPt>
            <c:idx val="10"/>
            <c:invertIfNegative val="1"/>
            <c:bubble3D val="0"/>
            <c:extLst>
              <c:ext xmlns:c16="http://schemas.microsoft.com/office/drawing/2014/chart" uri="{C3380CC4-5D6E-409C-BE32-E72D297353CC}">
                <c16:uniqueId val="{00000011-4FBD-4EF4-A7F9-267751D042D3}"/>
              </c:ext>
            </c:extLst>
          </c:dPt>
          <c:dPt>
            <c:idx val="11"/>
            <c:invertIfNegative val="1"/>
            <c:bubble3D val="0"/>
            <c:spPr>
              <a:solidFill>
                <a:srgbClr val="F1C232"/>
              </a:solidFill>
              <a:ln cmpd="sng">
                <a:solidFill>
                  <a:srgbClr val="000000"/>
                </a:solidFill>
              </a:ln>
            </c:spPr>
            <c:extLst>
              <c:ext xmlns:c16="http://schemas.microsoft.com/office/drawing/2014/chart" uri="{C3380CC4-5D6E-409C-BE32-E72D297353CC}">
                <c16:uniqueId val="{00000013-4FBD-4EF4-A7F9-267751D042D3}"/>
              </c:ext>
            </c:extLst>
          </c:dPt>
          <c:dPt>
            <c:idx val="12"/>
            <c:invertIfNegative val="1"/>
            <c:bubble3D val="0"/>
            <c:spPr>
              <a:solidFill>
                <a:srgbClr val="F1C232"/>
              </a:solidFill>
              <a:ln cmpd="sng">
                <a:solidFill>
                  <a:srgbClr val="000000"/>
                </a:solidFill>
              </a:ln>
            </c:spPr>
            <c:extLst>
              <c:ext xmlns:c16="http://schemas.microsoft.com/office/drawing/2014/chart" uri="{C3380CC4-5D6E-409C-BE32-E72D297353CC}">
                <c16:uniqueId val="{00000015-4FBD-4EF4-A7F9-267751D042D3}"/>
              </c:ext>
            </c:extLst>
          </c:dPt>
          <c:dPt>
            <c:idx val="13"/>
            <c:invertIfNegative val="1"/>
            <c:bubble3D val="0"/>
            <c:extLst>
              <c:ext xmlns:c16="http://schemas.microsoft.com/office/drawing/2014/chart" uri="{C3380CC4-5D6E-409C-BE32-E72D297353CC}">
                <c16:uniqueId val="{00000016-4FBD-4EF4-A7F9-267751D042D3}"/>
              </c:ext>
            </c:extLst>
          </c:dPt>
          <c:dPt>
            <c:idx val="14"/>
            <c:invertIfNegative val="1"/>
            <c:bubble3D val="0"/>
            <c:spPr>
              <a:solidFill>
                <a:srgbClr val="6AA84F"/>
              </a:solidFill>
              <a:ln cmpd="sng">
                <a:solidFill>
                  <a:srgbClr val="000000"/>
                </a:solidFill>
              </a:ln>
            </c:spPr>
            <c:extLst>
              <c:ext xmlns:c16="http://schemas.microsoft.com/office/drawing/2014/chart" uri="{C3380CC4-5D6E-409C-BE32-E72D297353CC}">
                <c16:uniqueId val="{00000018-4FBD-4EF4-A7F9-267751D042D3}"/>
              </c:ext>
            </c:extLst>
          </c:dPt>
          <c:cat>
            <c:strRef>
              <c:f>OL!$B$2:$B$16</c:f>
              <c:strCache>
                <c:ptCount val="15"/>
                <c:pt idx="0">
                  <c:v>Prashant Veer</c:v>
                </c:pt>
                <c:pt idx="1">
                  <c:v>Ruturaj Gaikwad</c:v>
                </c:pt>
                <c:pt idx="2">
                  <c:v>Axar Patel</c:v>
                </c:pt>
                <c:pt idx="3">
                  <c:v>Abhishek Porel</c:v>
                </c:pt>
                <c:pt idx="4">
                  <c:v>KL Rahul</c:v>
                </c:pt>
                <c:pt idx="5">
                  <c:v>Rashid Khan</c:v>
                </c:pt>
                <c:pt idx="6">
                  <c:v>Cameron Green</c:v>
                </c:pt>
                <c:pt idx="7">
                  <c:v>Varun Chakaravarthy</c:v>
                </c:pt>
                <c:pt idx="8">
                  <c:v>Digvesh Singh</c:v>
                </c:pt>
                <c:pt idx="9">
                  <c:v>Rishabh Pant</c:v>
                </c:pt>
                <c:pt idx="10">
                  <c:v>Arshdeep Singh</c:v>
                </c:pt>
                <c:pt idx="11">
                  <c:v>Krunal Pandya</c:v>
                </c:pt>
                <c:pt idx="12">
                  <c:v>Rajat Patidar</c:v>
                </c:pt>
                <c:pt idx="13">
                  <c:v>Yashaswi Jaiswal</c:v>
                </c:pt>
                <c:pt idx="14">
                  <c:v>Travis Head</c:v>
                </c:pt>
              </c:strCache>
            </c:strRef>
          </c:cat>
          <c:val>
            <c:numRef>
              <c:f>OL!$H$2:$H$16</c:f>
              <c:numCache>
                <c:formatCode>General</c:formatCode>
                <c:ptCount val="15"/>
                <c:pt idx="0">
                  <c:v>139</c:v>
                </c:pt>
                <c:pt idx="1">
                  <c:v>532</c:v>
                </c:pt>
                <c:pt idx="2">
                  <c:v>724</c:v>
                </c:pt>
                <c:pt idx="3">
                  <c:v>157</c:v>
                </c:pt>
                <c:pt idx="4">
                  <c:v>903</c:v>
                </c:pt>
                <c:pt idx="5">
                  <c:v>874</c:v>
                </c:pt>
                <c:pt idx="6">
                  <c:v>752</c:v>
                </c:pt>
                <c:pt idx="7">
                  <c:v>433</c:v>
                </c:pt>
                <c:pt idx="8">
                  <c:v>245</c:v>
                </c:pt>
                <c:pt idx="9">
                  <c:v>560</c:v>
                </c:pt>
                <c:pt idx="10">
                  <c:v>536</c:v>
                </c:pt>
                <c:pt idx="11">
                  <c:v>836</c:v>
                </c:pt>
                <c:pt idx="12">
                  <c:v>845</c:v>
                </c:pt>
                <c:pt idx="13">
                  <c:v>693</c:v>
                </c:pt>
                <c:pt idx="14">
                  <c:v>653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9-4FBD-4EF4-A7F9-267751D042D3}"/>
            </c:ext>
          </c:extLst>
        </c:ser>
        <c:dLbls>
          <c:showLegendKey val="0"/>
          <c:showVal val="0"/>
          <c:showCatName val="0"/>
          <c:showSerName val="0"/>
          <c:showPercent val="0"/>
          <c:showBubbleSize val="0"/>
        </c:dLbls>
        <c:gapWidth val="150"/>
        <c:shape val="box"/>
        <c:axId val="841845406"/>
        <c:axId val="524272974"/>
        <c:axId val="0"/>
      </c:bar3DChart>
      <c:catAx>
        <c:axId val="1843005305"/>
        <c:scaling>
          <c:orientation val="minMax"/>
        </c:scaling>
        <c:delete val="0"/>
        <c:axPos val="b"/>
        <c:title>
          <c:tx>
            <c:rich>
              <a:bodyPr/>
              <a:lstStyle/>
              <a:p>
                <a:pPr lvl="0">
                  <a:defRPr sz="1600" b="0">
                    <a:solidFill>
                      <a:srgbClr val="000000"/>
                    </a:solidFill>
                    <a:latin typeface="Arial black"/>
                  </a:defRPr>
                </a:pPr>
                <a:r>
                  <a:rPr sz="1600" b="0">
                    <a:solidFill>
                      <a:srgbClr val="000000"/>
                    </a:solidFill>
                    <a:latin typeface="Arial black"/>
                  </a:rPr>
                  <a:t>Player Name</a:t>
                </a:r>
              </a:p>
            </c:rich>
          </c:tx>
          <c:overlay val="0"/>
        </c:title>
        <c:numFmt formatCode="General" sourceLinked="1"/>
        <c:majorTickMark val="none"/>
        <c:minorTickMark val="none"/>
        <c:tickLblPos val="nextTo"/>
        <c:txPr>
          <a:bodyPr/>
          <a:lstStyle/>
          <a:p>
            <a:pPr lvl="0">
              <a:defRPr b="0">
                <a:solidFill>
                  <a:srgbClr val="000000"/>
                </a:solidFill>
                <a:latin typeface="sans-serif"/>
              </a:defRPr>
            </a:pPr>
            <a:endParaRPr lang="en-US"/>
          </a:p>
        </c:txPr>
        <c:crossAx val="2138952189"/>
        <c:crosses val="autoZero"/>
        <c:auto val="1"/>
        <c:lblAlgn val="ctr"/>
        <c:lblOffset val="100"/>
        <c:noMultiLvlLbl val="1"/>
      </c:catAx>
      <c:valAx>
        <c:axId val="2138952189"/>
        <c:scaling>
          <c:orientation val="minMax"/>
        </c:scaling>
        <c:delete val="0"/>
        <c:axPos val="l"/>
        <c:numFmt formatCode="General" sourceLinked="1"/>
        <c:majorTickMark val="cross"/>
        <c:minorTickMark val="cross"/>
        <c:tickLblPos val="nextTo"/>
        <c:spPr>
          <a:ln>
            <a:noFill/>
          </a:ln>
        </c:spPr>
        <c:crossAx val="1843005305"/>
        <c:crosses val="autoZero"/>
        <c:crossBetween val="between"/>
      </c:valAx>
      <c:catAx>
        <c:axId val="841845406"/>
        <c:scaling>
          <c:orientation val="minMax"/>
        </c:scaling>
        <c:delete val="0"/>
        <c:axPos val="b"/>
        <c:numFmt formatCode="General" sourceLinked="1"/>
        <c:majorTickMark val="none"/>
        <c:minorTickMark val="none"/>
        <c:tickLblPos val="nextTo"/>
        <c:txPr>
          <a:bodyPr/>
          <a:lstStyle/>
          <a:p>
            <a:pPr lvl="0">
              <a:defRPr b="0">
                <a:solidFill>
                  <a:srgbClr val="000000"/>
                </a:solidFill>
                <a:latin typeface="sans-serif"/>
              </a:defRPr>
            </a:pPr>
            <a:endParaRPr lang="en-US"/>
          </a:p>
        </c:txPr>
        <c:crossAx val="524272974"/>
        <c:crosses val="autoZero"/>
        <c:auto val="1"/>
        <c:lblAlgn val="ctr"/>
        <c:lblOffset val="100"/>
        <c:noMultiLvlLbl val="1"/>
      </c:catAx>
      <c:valAx>
        <c:axId val="52427297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endParaRPr/>
              </a:p>
            </c:rich>
          </c:tx>
          <c:overlay val="0"/>
        </c:title>
        <c:numFmt formatCode="General" sourceLinked="1"/>
        <c:majorTickMark val="in"/>
        <c:minorTickMark val="none"/>
        <c:tickLblPos val="nextTo"/>
        <c:spPr>
          <a:ln/>
        </c:spPr>
        <c:txPr>
          <a:bodyPr/>
          <a:lstStyle/>
          <a:p>
            <a:pPr lvl="0">
              <a:defRPr b="0">
                <a:solidFill>
                  <a:srgbClr val="000000"/>
                </a:solidFill>
                <a:latin typeface="sans-serif"/>
              </a:defRPr>
            </a:pPr>
            <a:endParaRPr lang="en-US"/>
          </a:p>
        </c:txPr>
        <c:crossAx val="841845406"/>
        <c:crosses val="max"/>
        <c:crossBetween val="between"/>
      </c:valAx>
    </c:plotArea>
    <c:legend>
      <c:legendPos val="r"/>
      <c:overlay val="0"/>
      <c:txPr>
        <a:bodyPr/>
        <a:lstStyle/>
        <a:p>
          <a:pPr lvl="0">
            <a:defRPr b="0">
              <a:solidFill>
                <a:srgbClr val="1A1A1A"/>
              </a:solidFill>
              <a:latin typeface="sans-serif"/>
            </a:defRPr>
          </a:pPr>
          <a:endParaRPr lang="en-US"/>
        </a:p>
      </c:txPr>
    </c:legend>
    <c:plotVisOnly val="0"/>
    <c:dispBlanksAs val="zero"/>
    <c:showDLblsOverMax val="1"/>
  </c:chart>
  <c:spPr>
    <a:solidFill>
      <a:srgbClr val="CFE2F3"/>
    </a:solidFill>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chemeClr val="accent1"/>
                </a:solidFill>
                <a:latin typeface="+mn-lt"/>
              </a:defRPr>
            </a:pPr>
            <a:r>
              <a:rPr b="0">
                <a:solidFill>
                  <a:schemeClr val="accent1"/>
                </a:solidFill>
                <a:latin typeface="+mn-lt"/>
              </a:rPr>
              <a:t>Not Counted</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STATS!$K$69</c:f>
              <c:strCache>
                <c:ptCount val="1"/>
                <c:pt idx="0">
                  <c:v>Points</c:v>
                </c:pt>
              </c:strCache>
            </c:strRef>
          </c:tx>
          <c:spPr>
            <a:solidFill>
              <a:srgbClr val="00B0F0"/>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STATS!$H$70:$H$72</c:f>
              <c:strCache>
                <c:ptCount val="3"/>
                <c:pt idx="0">
                  <c:v>Prashant Veer</c:v>
                </c:pt>
                <c:pt idx="1">
                  <c:v>Abhishek Porel</c:v>
                </c:pt>
                <c:pt idx="2">
                  <c:v>Digvesh Singh</c:v>
                </c:pt>
              </c:strCache>
            </c:strRef>
          </c:cat>
          <c:val>
            <c:numRef>
              <c:f>STATS!$K$70:$K$72</c:f>
              <c:numCache>
                <c:formatCode>#,##0</c:formatCode>
                <c:ptCount val="3"/>
                <c:pt idx="0">
                  <c:v>139</c:v>
                </c:pt>
                <c:pt idx="1">
                  <c:v>157</c:v>
                </c:pt>
                <c:pt idx="2">
                  <c:v>245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57-4FBA-A31B-7F68DE43D014}"/>
            </c:ext>
          </c:extLst>
        </c:ser>
        <c:dLbls>
          <c:showLegendKey val="0"/>
          <c:showVal val="0"/>
          <c:showCatName val="0"/>
          <c:showSerName val="0"/>
          <c:showPercent val="0"/>
          <c:showBubbleSize val="0"/>
        </c:dLbls>
        <c:gapWidth val="150"/>
        <c:shape val="box"/>
        <c:axId val="91648837"/>
        <c:axId val="1756205068"/>
        <c:axId val="0"/>
      </c:bar3DChart>
      <c:catAx>
        <c:axId val="9164883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56205068"/>
        <c:crosses val="autoZero"/>
        <c:auto val="1"/>
        <c:lblAlgn val="ctr"/>
        <c:lblOffset val="100"/>
        <c:noMultiLvlLbl val="1"/>
      </c:catAx>
      <c:valAx>
        <c:axId val="17562050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9164883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000000"/>
                </a:solidFill>
                <a:latin typeface="+mn-lt"/>
              </a:defRPr>
            </a:pPr>
            <a:r>
              <a:rPr b="0">
                <a:solidFill>
                  <a:srgbClr val="000000"/>
                </a:solidFill>
                <a:latin typeface="+mn-lt"/>
              </a:rPr>
              <a:t>HW</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HW!$H$1</c:f>
              <c:strCache>
                <c:ptCount val="1"/>
                <c:pt idx="0">
                  <c:v>Points</c:v>
                </c:pt>
              </c:strCache>
            </c:strRef>
          </c:tx>
          <c:spPr>
            <a:solidFill>
              <a:schemeClr val="accent1"/>
            </a:solidFill>
            <a:ln cmpd="sng">
              <a:solidFill>
                <a:srgbClr val="000000"/>
              </a:solidFill>
              <a:prstDash val="solid"/>
            </a:ln>
          </c:spPr>
          <c:invertIfNegative val="1"/>
          <c:dPt>
            <c:idx val="0"/>
            <c:invertIfNegative val="1"/>
            <c:bubble3D val="0"/>
            <c:extLst>
              <c:ext xmlns:c16="http://schemas.microsoft.com/office/drawing/2014/chart" uri="{C3380CC4-5D6E-409C-BE32-E72D297353CC}">
                <c16:uniqueId val="{00000000-7ABF-493E-875A-20FD93E2FAEE}"/>
              </c:ext>
            </c:extLst>
          </c:dPt>
          <c:dPt>
            <c:idx val="1"/>
            <c:invertIfNegative val="1"/>
            <c:bubble3D val="0"/>
            <c:extLst>
              <c:ext xmlns:c16="http://schemas.microsoft.com/office/drawing/2014/chart" uri="{C3380CC4-5D6E-409C-BE32-E72D297353CC}">
                <c16:uniqueId val="{00000001-7ABF-493E-875A-20FD93E2FAEE}"/>
              </c:ext>
            </c:extLst>
          </c:dPt>
          <c:dPt>
            <c:idx val="2"/>
            <c:invertIfNegative val="1"/>
            <c:bubble3D val="0"/>
            <c:extLst>
              <c:ext xmlns:c16="http://schemas.microsoft.com/office/drawing/2014/chart" uri="{C3380CC4-5D6E-409C-BE32-E72D297353CC}">
                <c16:uniqueId val="{00000002-7ABF-493E-875A-20FD93E2FAEE}"/>
              </c:ext>
            </c:extLst>
          </c:dPt>
          <c:dPt>
            <c:idx val="3"/>
            <c:invertIfNegative val="1"/>
            <c:bubble3D val="0"/>
            <c:spPr>
              <a:solidFill>
                <a:srgbClr val="FFD966"/>
              </a:solidFill>
              <a:ln cmpd="sng">
                <a:solidFill>
                  <a:srgbClr val="000000"/>
                </a:solidFill>
              </a:ln>
            </c:spPr>
            <c:extLst>
              <c:ext xmlns:c16="http://schemas.microsoft.com/office/drawing/2014/chart" uri="{C3380CC4-5D6E-409C-BE32-E72D297353CC}">
                <c16:uniqueId val="{00000004-7ABF-493E-875A-20FD93E2FAEE}"/>
              </c:ext>
            </c:extLst>
          </c:dPt>
          <c:dPt>
            <c:idx val="4"/>
            <c:invertIfNegative val="1"/>
            <c:bubble3D val="0"/>
            <c:extLst>
              <c:ext xmlns:c16="http://schemas.microsoft.com/office/drawing/2014/chart" uri="{C3380CC4-5D6E-409C-BE32-E72D297353CC}">
                <c16:uniqueId val="{00000005-7ABF-493E-875A-20FD93E2FAEE}"/>
              </c:ext>
            </c:extLst>
          </c:dPt>
          <c:dPt>
            <c:idx val="5"/>
            <c:invertIfNegative val="1"/>
            <c:bubble3D val="0"/>
            <c:spPr>
              <a:solidFill>
                <a:srgbClr val="6AA84F"/>
              </a:solidFill>
              <a:ln cmpd="sng">
                <a:solidFill>
                  <a:srgbClr val="000000"/>
                </a:solidFill>
              </a:ln>
            </c:spPr>
            <c:extLst>
              <c:ext xmlns:c16="http://schemas.microsoft.com/office/drawing/2014/chart" uri="{C3380CC4-5D6E-409C-BE32-E72D297353CC}">
                <c16:uniqueId val="{00000007-7ABF-493E-875A-20FD93E2FAEE}"/>
              </c:ext>
            </c:extLst>
          </c:dPt>
          <c:dPt>
            <c:idx val="6"/>
            <c:invertIfNegative val="1"/>
            <c:bubble3D val="0"/>
            <c:extLst>
              <c:ext xmlns:c16="http://schemas.microsoft.com/office/drawing/2014/chart" uri="{C3380CC4-5D6E-409C-BE32-E72D297353CC}">
                <c16:uniqueId val="{00000008-7ABF-493E-875A-20FD93E2FAEE}"/>
              </c:ext>
            </c:extLst>
          </c:dPt>
          <c:dPt>
            <c:idx val="7"/>
            <c:invertIfNegative val="1"/>
            <c:bubble3D val="0"/>
            <c:spPr>
              <a:solidFill>
                <a:srgbClr val="FF0000"/>
              </a:solidFill>
              <a:ln cmpd="sng">
                <a:solidFill>
                  <a:srgbClr val="000000"/>
                </a:solidFill>
              </a:ln>
            </c:spPr>
            <c:extLst>
              <c:ext xmlns:c16="http://schemas.microsoft.com/office/drawing/2014/chart" uri="{C3380CC4-5D6E-409C-BE32-E72D297353CC}">
                <c16:uniqueId val="{0000000A-7ABF-493E-875A-20FD93E2FAEE}"/>
              </c:ext>
            </c:extLst>
          </c:dPt>
          <c:dPt>
            <c:idx val="8"/>
            <c:invertIfNegative val="1"/>
            <c:bubble3D val="0"/>
            <c:spPr>
              <a:solidFill>
                <a:srgbClr val="FF0000"/>
              </a:solidFill>
              <a:ln cmpd="sng">
                <a:solidFill>
                  <a:srgbClr val="000000"/>
                </a:solidFill>
              </a:ln>
            </c:spPr>
            <c:extLst>
              <c:ext xmlns:c16="http://schemas.microsoft.com/office/drawing/2014/chart" uri="{C3380CC4-5D6E-409C-BE32-E72D297353CC}">
                <c16:uniqueId val="{0000000C-7ABF-493E-875A-20FD93E2FAEE}"/>
              </c:ext>
            </c:extLst>
          </c:dPt>
          <c:dPt>
            <c:idx val="9"/>
            <c:invertIfNegative val="1"/>
            <c:bubble3D val="0"/>
            <c:spPr>
              <a:solidFill>
                <a:srgbClr val="6AA84F"/>
              </a:solidFill>
              <a:ln cmpd="sng">
                <a:solidFill>
                  <a:srgbClr val="000000"/>
                </a:solidFill>
              </a:ln>
            </c:spPr>
            <c:extLst>
              <c:ext xmlns:c16="http://schemas.microsoft.com/office/drawing/2014/chart" uri="{C3380CC4-5D6E-409C-BE32-E72D297353CC}">
                <c16:uniqueId val="{0000000E-7ABF-493E-875A-20FD93E2FAEE}"/>
              </c:ext>
            </c:extLst>
          </c:dPt>
          <c:dPt>
            <c:idx val="11"/>
            <c:invertIfNegative val="1"/>
            <c:bubble3D val="0"/>
            <c:spPr>
              <a:solidFill>
                <a:srgbClr val="FF0000"/>
              </a:solidFill>
              <a:ln cmpd="sng">
                <a:solidFill>
                  <a:srgbClr val="000000"/>
                </a:solidFill>
              </a:ln>
            </c:spPr>
            <c:extLst>
              <c:ext xmlns:c16="http://schemas.microsoft.com/office/drawing/2014/chart" uri="{C3380CC4-5D6E-409C-BE32-E72D297353CC}">
                <c16:uniqueId val="{00000010-7ABF-493E-875A-20FD93E2FAEE}"/>
              </c:ext>
            </c:extLst>
          </c:dPt>
          <c:dPt>
            <c:idx val="12"/>
            <c:invertIfNegative val="1"/>
            <c:bubble3D val="0"/>
            <c:spPr>
              <a:solidFill>
                <a:srgbClr val="6AA84F"/>
              </a:solidFill>
              <a:ln cmpd="sng">
                <a:solidFill>
                  <a:srgbClr val="000000"/>
                </a:solidFill>
              </a:ln>
            </c:spPr>
            <c:extLst>
              <c:ext xmlns:c16="http://schemas.microsoft.com/office/drawing/2014/chart" uri="{C3380CC4-5D6E-409C-BE32-E72D297353CC}">
                <c16:uniqueId val="{00000012-7ABF-493E-875A-20FD93E2FAEE}"/>
              </c:ext>
            </c:extLst>
          </c:dPt>
          <c:dPt>
            <c:idx val="13"/>
            <c:invertIfNegative val="1"/>
            <c:bubble3D val="0"/>
            <c:spPr>
              <a:solidFill>
                <a:srgbClr val="FFD966"/>
              </a:solidFill>
              <a:ln cmpd="sng">
                <a:solidFill>
                  <a:srgbClr val="000000"/>
                </a:solidFill>
              </a:ln>
            </c:spPr>
            <c:extLst>
              <c:ext xmlns:c16="http://schemas.microsoft.com/office/drawing/2014/chart" uri="{C3380CC4-5D6E-409C-BE32-E72D297353CC}">
                <c16:uniqueId val="{00000014-7ABF-493E-875A-20FD93E2FAEE}"/>
              </c:ext>
            </c:extLst>
          </c:dPt>
          <c:dPt>
            <c:idx val="14"/>
            <c:invertIfNegative val="1"/>
            <c:bubble3D val="0"/>
            <c:spPr>
              <a:solidFill>
                <a:srgbClr val="FFD966"/>
              </a:solidFill>
              <a:ln cmpd="sng">
                <a:solidFill>
                  <a:srgbClr val="000000"/>
                </a:solidFill>
              </a:ln>
            </c:spPr>
            <c:extLst>
              <c:ext xmlns:c16="http://schemas.microsoft.com/office/drawing/2014/chart" uri="{C3380CC4-5D6E-409C-BE32-E72D297353CC}">
                <c16:uniqueId val="{00000016-7ABF-493E-875A-20FD93E2FAEE}"/>
              </c:ext>
            </c:extLst>
          </c:dPt>
          <c:dLbls>
            <c:spPr>
              <a:noFill/>
              <a:ln>
                <a:noFill/>
              </a:ln>
              <a:effectLst/>
            </c:spPr>
            <c:txPr>
              <a:bodyPr/>
              <a:lstStyle/>
              <a:p>
                <a:pPr lvl="0">
                  <a:defRPr b="1">
                    <a:latin typeface="sans-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HW!$B$2:$B$17</c:f>
              <c:strCache>
                <c:ptCount val="15"/>
                <c:pt idx="0">
                  <c:v>Khaleel Ahmed + Rabada</c:v>
                </c:pt>
                <c:pt idx="1">
                  <c:v>Tristan Stubbs</c:v>
                </c:pt>
                <c:pt idx="2">
                  <c:v>Kuldeep Yadav</c:v>
                </c:pt>
                <c:pt idx="3">
                  <c:v>Shubman Gill</c:v>
                </c:pt>
                <c:pt idx="4">
                  <c:v>Mohammad Siraj</c:v>
                </c:pt>
                <c:pt idx="5">
                  <c:v>Angkrish Raghuvanshi</c:v>
                </c:pt>
                <c:pt idx="6">
                  <c:v>Mitchell Marsh</c:v>
                </c:pt>
                <c:pt idx="7">
                  <c:v>Nicholas Pooran</c:v>
                </c:pt>
                <c:pt idx="8">
                  <c:v>Marcus Stoinis</c:v>
                </c:pt>
                <c:pt idx="9">
                  <c:v>Prabhsimran Singh</c:v>
                </c:pt>
                <c:pt idx="10">
                  <c:v>Shashank Singh</c:v>
                </c:pt>
                <c:pt idx="11">
                  <c:v>Jitesh Sharma</c:v>
                </c:pt>
                <c:pt idx="12">
                  <c:v>Jofra Archer</c:v>
                </c:pt>
                <c:pt idx="13">
                  <c:v>Ravindra Jadeja</c:v>
                </c:pt>
                <c:pt idx="14">
                  <c:v>Mohammed Shami</c:v>
                </c:pt>
              </c:strCache>
            </c:strRef>
          </c:cat>
          <c:val>
            <c:numRef>
              <c:f>HW!$H$2:$H$17</c:f>
              <c:numCache>
                <c:formatCode>General</c:formatCode>
                <c:ptCount val="15"/>
                <c:pt idx="0">
                  <c:v>1048</c:v>
                </c:pt>
                <c:pt idx="1">
                  <c:v>459</c:v>
                </c:pt>
                <c:pt idx="2">
                  <c:v>388</c:v>
                </c:pt>
                <c:pt idx="3">
                  <c:v>1178</c:v>
                </c:pt>
                <c:pt idx="4">
                  <c:v>775</c:v>
                </c:pt>
                <c:pt idx="5">
                  <c:v>676</c:v>
                </c:pt>
                <c:pt idx="6">
                  <c:v>854</c:v>
                </c:pt>
                <c:pt idx="7">
                  <c:v>425</c:v>
                </c:pt>
                <c:pt idx="8">
                  <c:v>415</c:v>
                </c:pt>
                <c:pt idx="9">
                  <c:v>831</c:v>
                </c:pt>
                <c:pt idx="10">
                  <c:v>350</c:v>
                </c:pt>
                <c:pt idx="11">
                  <c:v>357</c:v>
                </c:pt>
                <c:pt idx="12">
                  <c:v>1083</c:v>
                </c:pt>
                <c:pt idx="13">
                  <c:v>715</c:v>
                </c:pt>
                <c:pt idx="14">
                  <c:v>543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17-7ABF-493E-875A-20FD93E2FAEE}"/>
            </c:ext>
          </c:extLst>
        </c:ser>
        <c:ser>
          <c:idx val="1"/>
          <c:order val="1"/>
          <c:tx>
            <c:strRef>
              <c:f>HW!$H$1</c:f>
              <c:strCache>
                <c:ptCount val="1"/>
                <c:pt idx="0">
                  <c:v>Points</c:v>
                </c:pt>
              </c:strCache>
            </c:strRef>
          </c:tx>
          <c:invertIfNegative val="1"/>
          <c:cat>
            <c:strRef>
              <c:f>HW!$B$2:$B$17</c:f>
              <c:strCache>
                <c:ptCount val="15"/>
                <c:pt idx="0">
                  <c:v>Khaleel Ahmed + Rabada</c:v>
                </c:pt>
                <c:pt idx="1">
                  <c:v>Tristan Stubbs</c:v>
                </c:pt>
                <c:pt idx="2">
                  <c:v>Kuldeep Yadav</c:v>
                </c:pt>
                <c:pt idx="3">
                  <c:v>Shubman Gill</c:v>
                </c:pt>
                <c:pt idx="4">
                  <c:v>Mohammad Siraj</c:v>
                </c:pt>
                <c:pt idx="5">
                  <c:v>Angkrish Raghuvanshi</c:v>
                </c:pt>
                <c:pt idx="6">
                  <c:v>Mitchell Marsh</c:v>
                </c:pt>
                <c:pt idx="7">
                  <c:v>Nicholas Pooran</c:v>
                </c:pt>
                <c:pt idx="8">
                  <c:v>Marcus Stoinis</c:v>
                </c:pt>
                <c:pt idx="9">
                  <c:v>Prabhsimran Singh</c:v>
                </c:pt>
                <c:pt idx="10">
                  <c:v>Shashank Singh</c:v>
                </c:pt>
                <c:pt idx="11">
                  <c:v>Jitesh Sharma</c:v>
                </c:pt>
                <c:pt idx="12">
                  <c:v>Jofra Archer</c:v>
                </c:pt>
                <c:pt idx="13">
                  <c:v>Ravindra Jadeja</c:v>
                </c:pt>
                <c:pt idx="14">
                  <c:v>Mohammed Shami</c:v>
                </c:pt>
              </c:strCache>
            </c:strRef>
          </c:cat>
          <c:val>
            <c:numRef>
              <c:f>HW!$H$2:$H$17</c:f>
              <c:numCache>
                <c:formatCode>General</c:formatCode>
                <c:ptCount val="15"/>
                <c:pt idx="0">
                  <c:v>1048</c:v>
                </c:pt>
                <c:pt idx="1">
                  <c:v>459</c:v>
                </c:pt>
                <c:pt idx="2">
                  <c:v>388</c:v>
                </c:pt>
                <c:pt idx="3">
                  <c:v>1178</c:v>
                </c:pt>
                <c:pt idx="4">
                  <c:v>775</c:v>
                </c:pt>
                <c:pt idx="5">
                  <c:v>676</c:v>
                </c:pt>
                <c:pt idx="6">
                  <c:v>854</c:v>
                </c:pt>
                <c:pt idx="7">
                  <c:v>425</c:v>
                </c:pt>
                <c:pt idx="8">
                  <c:v>415</c:v>
                </c:pt>
                <c:pt idx="9">
                  <c:v>831</c:v>
                </c:pt>
                <c:pt idx="10">
                  <c:v>350</c:v>
                </c:pt>
                <c:pt idx="11">
                  <c:v>357</c:v>
                </c:pt>
                <c:pt idx="12">
                  <c:v>1083</c:v>
                </c:pt>
                <c:pt idx="13">
                  <c:v>715</c:v>
                </c:pt>
                <c:pt idx="14">
                  <c:v>543</c:v>
                </c:pt>
              </c:numCache>
            </c:numRef>
          </c:val>
          <c:extLst>
            <c:ext xmlns:c16="http://schemas.microsoft.com/office/drawing/2014/chart" uri="{C3380CC4-5D6E-409C-BE32-E72D297353CC}">
              <c16:uniqueId val="{00000018-7ABF-493E-875A-20FD93E2FAEE}"/>
            </c:ext>
          </c:extLst>
        </c:ser>
        <c:dLbls>
          <c:showLegendKey val="0"/>
          <c:showVal val="0"/>
          <c:showCatName val="0"/>
          <c:showSerName val="0"/>
          <c:showPercent val="0"/>
          <c:showBubbleSize val="0"/>
        </c:dLbls>
        <c:gapWidth val="150"/>
        <c:shape val="box"/>
        <c:axId val="1836947133"/>
        <c:axId val="1199204238"/>
        <c:axId val="0"/>
      </c:bar3DChart>
      <c:catAx>
        <c:axId val="18369471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Name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99204238"/>
        <c:crosses val="autoZero"/>
        <c:auto val="1"/>
        <c:lblAlgn val="ctr"/>
        <c:lblOffset val="100"/>
        <c:noMultiLvlLbl val="1"/>
      </c:catAx>
      <c:valAx>
        <c:axId val="11992042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Points</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1836947133"/>
        <c:crosses val="autoZero"/>
        <c:crossBetween val="between"/>
      </c:valAx>
    </c:plotArea>
    <c:legend>
      <c:legendPos val="r"/>
      <c:overlay val="0"/>
      <c:txPr>
        <a:bodyPr/>
        <a:lstStyle/>
        <a:p>
          <a:pPr lvl="0">
            <a:defRPr b="0">
              <a:solidFill>
                <a:srgbClr val="1A1A1A"/>
              </a:solidFill>
              <a:latin typeface="serif"/>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4A86E8"/>
                </a:solidFill>
                <a:latin typeface="sans-serif"/>
              </a:defRPr>
            </a:pPr>
            <a:r>
              <a:rPr b="0">
                <a:solidFill>
                  <a:srgbClr val="4A86E8"/>
                </a:solidFill>
                <a:latin typeface="sans-serif"/>
              </a:rPr>
              <a:t>AS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1"/>
          <c:order val="1"/>
          <c:tx>
            <c:strRef>
              <c:f>AS!$H$1</c:f>
              <c:strCache>
                <c:ptCount val="1"/>
                <c:pt idx="0">
                  <c:v>Points</c:v>
                </c:pt>
              </c:strCache>
            </c:strRef>
          </c:tx>
          <c:invertIfNegative val="1"/>
          <c:cat>
            <c:strRef>
              <c:f>AS!$B$2:$B$16</c:f>
              <c:strCache>
                <c:ptCount val="15"/>
                <c:pt idx="0">
                  <c:v>Shivam Dube</c:v>
                </c:pt>
                <c:pt idx="1">
                  <c:v>Sanju Samson</c:v>
                </c:pt>
                <c:pt idx="2">
                  <c:v>Sai Sudharsan</c:v>
                </c:pt>
                <c:pt idx="3">
                  <c:v>Mohsin Khan</c:v>
                </c:pt>
                <c:pt idx="4">
                  <c:v>Tilak Varma</c:v>
                </c:pt>
                <c:pt idx="5">
                  <c:v>Quinton de Kock</c:v>
                </c:pt>
                <c:pt idx="6">
                  <c:v>Jasprit Bumrah</c:v>
                </c:pt>
                <c:pt idx="7">
                  <c:v>Harpreet Brar</c:v>
                </c:pt>
                <c:pt idx="8">
                  <c:v>Yuzvendra Chahal</c:v>
                </c:pt>
                <c:pt idx="9">
                  <c:v>Romario Shepherd</c:v>
                </c:pt>
                <c:pt idx="10">
                  <c:v>Vaibhav Suryavanshi</c:v>
                </c:pt>
                <c:pt idx="11">
                  <c:v>Ravi Bishnoi</c:v>
                </c:pt>
                <c:pt idx="12">
                  <c:v>Abhishek Sharma</c:v>
                </c:pt>
                <c:pt idx="13">
                  <c:v>Ishan Kishan</c:v>
                </c:pt>
                <c:pt idx="14">
                  <c:v>Pat Cummins</c:v>
                </c:pt>
              </c:strCache>
            </c:strRef>
          </c:cat>
          <c:val>
            <c:numRef>
              <c:f>AS!$H$2:$H$16</c:f>
              <c:numCache>
                <c:formatCode>General</c:formatCode>
                <c:ptCount val="15"/>
                <c:pt idx="0">
                  <c:v>471</c:v>
                </c:pt>
                <c:pt idx="1">
                  <c:v>770</c:v>
                </c:pt>
                <c:pt idx="2">
                  <c:v>1089</c:v>
                </c:pt>
                <c:pt idx="3">
                  <c:v>444</c:v>
                </c:pt>
                <c:pt idx="4">
                  <c:v>629</c:v>
                </c:pt>
                <c:pt idx="5">
                  <c:v>221</c:v>
                </c:pt>
                <c:pt idx="6">
                  <c:v>301</c:v>
                </c:pt>
                <c:pt idx="7">
                  <c:v>98</c:v>
                </c:pt>
                <c:pt idx="8">
                  <c:v>433</c:v>
                </c:pt>
                <c:pt idx="9">
                  <c:v>399</c:v>
                </c:pt>
                <c:pt idx="10">
                  <c:v>1211</c:v>
                </c:pt>
                <c:pt idx="11">
                  <c:v>401</c:v>
                </c:pt>
                <c:pt idx="12">
                  <c:v>955</c:v>
                </c:pt>
                <c:pt idx="13">
                  <c:v>996</c:v>
                </c:pt>
                <c:pt idx="14">
                  <c:v>357</c:v>
                </c:pt>
              </c:numCache>
            </c:numRef>
          </c:val>
          <c:extLst>
            <c:ext xmlns:c16="http://schemas.microsoft.com/office/drawing/2014/chart" uri="{C3380CC4-5D6E-409C-BE32-E72D297353CC}">
              <c16:uniqueId val="{00000000-AF9D-4F75-AA5B-84260318C1C5}"/>
            </c:ext>
          </c:extLst>
        </c:ser>
        <c:dLbls>
          <c:showLegendKey val="0"/>
          <c:showVal val="0"/>
          <c:showCatName val="0"/>
          <c:showSerName val="0"/>
          <c:showPercent val="0"/>
          <c:showBubbleSize val="0"/>
        </c:dLbls>
        <c:gapWidth val="150"/>
        <c:shape val="box"/>
        <c:axId val="1198449015"/>
        <c:axId val="395210564"/>
        <c:axId val="0"/>
      </c:bar3DChart>
      <c:bar3DChart>
        <c:barDir val="col"/>
        <c:grouping val="clustered"/>
        <c:varyColors val="1"/>
        <c:ser>
          <c:idx val="0"/>
          <c:order val="0"/>
          <c:tx>
            <c:strRef>
              <c:f>AS!$H$1</c:f>
              <c:strCache>
                <c:ptCount val="1"/>
                <c:pt idx="0">
                  <c:v>Points</c:v>
                </c:pt>
              </c:strCache>
            </c:strRef>
          </c:tx>
          <c:spPr>
            <a:solidFill>
              <a:srgbClr val="4A86E8"/>
            </a:solidFill>
            <a:ln cmpd="sng">
              <a:solidFill>
                <a:srgbClr val="000000"/>
              </a:solidFill>
            </a:ln>
          </c:spPr>
          <c:invertIfNegative val="1"/>
          <c:dPt>
            <c:idx val="0"/>
            <c:invertIfNegative val="1"/>
            <c:bubble3D val="0"/>
            <c:spPr>
              <a:solidFill>
                <a:srgbClr val="F1C232"/>
              </a:solidFill>
              <a:ln cmpd="sng">
                <a:solidFill>
                  <a:srgbClr val="000000"/>
                </a:solidFill>
              </a:ln>
            </c:spPr>
            <c:extLst>
              <c:ext xmlns:c16="http://schemas.microsoft.com/office/drawing/2014/chart" uri="{C3380CC4-5D6E-409C-BE32-E72D297353CC}">
                <c16:uniqueId val="{00000002-AF9D-4F75-AA5B-84260318C1C5}"/>
              </c:ext>
            </c:extLst>
          </c:dPt>
          <c:dPt>
            <c:idx val="1"/>
            <c:invertIfNegative val="1"/>
            <c:bubble3D val="0"/>
            <c:spPr>
              <a:solidFill>
                <a:srgbClr val="F1C232"/>
              </a:solidFill>
              <a:ln cmpd="sng">
                <a:solidFill>
                  <a:srgbClr val="000000"/>
                </a:solidFill>
              </a:ln>
            </c:spPr>
            <c:extLst>
              <c:ext xmlns:c16="http://schemas.microsoft.com/office/drawing/2014/chart" uri="{C3380CC4-5D6E-409C-BE32-E72D297353CC}">
                <c16:uniqueId val="{00000004-AF9D-4F75-AA5B-84260318C1C5}"/>
              </c:ext>
            </c:extLst>
          </c:dPt>
          <c:dPt>
            <c:idx val="2"/>
            <c:invertIfNegative val="1"/>
            <c:bubble3D val="0"/>
            <c:extLst>
              <c:ext xmlns:c16="http://schemas.microsoft.com/office/drawing/2014/chart" uri="{C3380CC4-5D6E-409C-BE32-E72D297353CC}">
                <c16:uniqueId val="{00000005-AF9D-4F75-AA5B-84260318C1C5}"/>
              </c:ext>
            </c:extLst>
          </c:dPt>
          <c:dPt>
            <c:idx val="3"/>
            <c:invertIfNegative val="1"/>
            <c:bubble3D val="0"/>
            <c:spPr>
              <a:solidFill>
                <a:srgbClr val="CC0000"/>
              </a:solidFill>
              <a:ln cmpd="sng">
                <a:solidFill>
                  <a:srgbClr val="000000"/>
                </a:solidFill>
              </a:ln>
            </c:spPr>
            <c:extLst>
              <c:ext xmlns:c16="http://schemas.microsoft.com/office/drawing/2014/chart" uri="{C3380CC4-5D6E-409C-BE32-E72D297353CC}">
                <c16:uniqueId val="{00000007-AF9D-4F75-AA5B-84260318C1C5}"/>
              </c:ext>
            </c:extLst>
          </c:dPt>
          <c:dPt>
            <c:idx val="5"/>
            <c:invertIfNegative val="1"/>
            <c:bubble3D val="0"/>
            <c:extLst>
              <c:ext xmlns:c16="http://schemas.microsoft.com/office/drawing/2014/chart" uri="{C3380CC4-5D6E-409C-BE32-E72D297353CC}">
                <c16:uniqueId val="{00000008-AF9D-4F75-AA5B-84260318C1C5}"/>
              </c:ext>
            </c:extLst>
          </c:dPt>
          <c:dPt>
            <c:idx val="6"/>
            <c:invertIfNegative val="1"/>
            <c:bubble3D val="0"/>
            <c:extLst>
              <c:ext xmlns:c16="http://schemas.microsoft.com/office/drawing/2014/chart" uri="{C3380CC4-5D6E-409C-BE32-E72D297353CC}">
                <c16:uniqueId val="{00000009-AF9D-4F75-AA5B-84260318C1C5}"/>
              </c:ext>
            </c:extLst>
          </c:dPt>
          <c:dPt>
            <c:idx val="7"/>
            <c:invertIfNegative val="1"/>
            <c:bubble3D val="0"/>
            <c:spPr>
              <a:solidFill>
                <a:srgbClr val="CC0000"/>
              </a:solidFill>
              <a:ln cmpd="sng">
                <a:solidFill>
                  <a:srgbClr val="000000"/>
                </a:solidFill>
              </a:ln>
            </c:spPr>
            <c:extLst>
              <c:ext xmlns:c16="http://schemas.microsoft.com/office/drawing/2014/chart" uri="{C3380CC4-5D6E-409C-BE32-E72D297353CC}">
                <c16:uniqueId val="{0000000B-AF9D-4F75-AA5B-84260318C1C5}"/>
              </c:ext>
            </c:extLst>
          </c:dPt>
          <c:dPt>
            <c:idx val="8"/>
            <c:invertIfNegative val="1"/>
            <c:bubble3D val="0"/>
            <c:extLst>
              <c:ext xmlns:c16="http://schemas.microsoft.com/office/drawing/2014/chart" uri="{C3380CC4-5D6E-409C-BE32-E72D297353CC}">
                <c16:uniqueId val="{0000000C-AF9D-4F75-AA5B-84260318C1C5}"/>
              </c:ext>
            </c:extLst>
          </c:dPt>
          <c:dPt>
            <c:idx val="9"/>
            <c:invertIfNegative val="1"/>
            <c:bubble3D val="0"/>
            <c:extLst>
              <c:ext xmlns:c16="http://schemas.microsoft.com/office/drawing/2014/chart" uri="{C3380CC4-5D6E-409C-BE32-E72D297353CC}">
                <c16:uniqueId val="{0000000D-AF9D-4F75-AA5B-84260318C1C5}"/>
              </c:ext>
            </c:extLst>
          </c:dPt>
          <c:dPt>
            <c:idx val="10"/>
            <c:invertIfNegative val="1"/>
            <c:bubble3D val="0"/>
            <c:spPr>
              <a:solidFill>
                <a:srgbClr val="6AA84F"/>
              </a:solidFill>
              <a:ln cmpd="sng">
                <a:solidFill>
                  <a:srgbClr val="000000"/>
                </a:solidFill>
              </a:ln>
            </c:spPr>
            <c:extLst>
              <c:ext xmlns:c16="http://schemas.microsoft.com/office/drawing/2014/chart" uri="{C3380CC4-5D6E-409C-BE32-E72D297353CC}">
                <c16:uniqueId val="{0000000F-AF9D-4F75-AA5B-84260318C1C5}"/>
              </c:ext>
            </c:extLst>
          </c:dPt>
          <c:dPt>
            <c:idx val="11"/>
            <c:invertIfNegative val="1"/>
            <c:bubble3D val="0"/>
            <c:spPr>
              <a:solidFill>
                <a:srgbClr val="6AA84F"/>
              </a:solidFill>
              <a:ln cmpd="sng">
                <a:solidFill>
                  <a:srgbClr val="000000"/>
                </a:solidFill>
              </a:ln>
            </c:spPr>
            <c:extLst>
              <c:ext xmlns:c16="http://schemas.microsoft.com/office/drawing/2014/chart" uri="{C3380CC4-5D6E-409C-BE32-E72D297353CC}">
                <c16:uniqueId val="{00000011-AF9D-4F75-AA5B-84260318C1C5}"/>
              </c:ext>
            </c:extLst>
          </c:dPt>
          <c:dPt>
            <c:idx val="12"/>
            <c:invertIfNegative val="1"/>
            <c:bubble3D val="0"/>
            <c:spPr>
              <a:solidFill>
                <a:srgbClr val="F1C232"/>
              </a:solidFill>
              <a:ln cmpd="sng">
                <a:solidFill>
                  <a:srgbClr val="000000"/>
                </a:solidFill>
              </a:ln>
            </c:spPr>
            <c:extLst>
              <c:ext xmlns:c16="http://schemas.microsoft.com/office/drawing/2014/chart" uri="{C3380CC4-5D6E-409C-BE32-E72D297353CC}">
                <c16:uniqueId val="{00000013-AF9D-4F75-AA5B-84260318C1C5}"/>
              </c:ext>
            </c:extLst>
          </c:dPt>
          <c:dPt>
            <c:idx val="13"/>
            <c:invertIfNegative val="1"/>
            <c:bubble3D val="0"/>
            <c:spPr>
              <a:solidFill>
                <a:srgbClr val="6AA84F"/>
              </a:solidFill>
              <a:ln cmpd="sng">
                <a:solidFill>
                  <a:srgbClr val="000000"/>
                </a:solidFill>
              </a:ln>
            </c:spPr>
            <c:extLst>
              <c:ext xmlns:c16="http://schemas.microsoft.com/office/drawing/2014/chart" uri="{C3380CC4-5D6E-409C-BE32-E72D297353CC}">
                <c16:uniqueId val="{00000015-AF9D-4F75-AA5B-84260318C1C5}"/>
              </c:ext>
            </c:extLst>
          </c:dPt>
          <c:dPt>
            <c:idx val="14"/>
            <c:invertIfNegative val="1"/>
            <c:bubble3D val="0"/>
            <c:spPr>
              <a:solidFill>
                <a:srgbClr val="CC0000"/>
              </a:solidFill>
              <a:ln cmpd="sng">
                <a:solidFill>
                  <a:srgbClr val="000000"/>
                </a:solidFill>
              </a:ln>
            </c:spPr>
            <c:extLst>
              <c:ext xmlns:c16="http://schemas.microsoft.com/office/drawing/2014/chart" uri="{C3380CC4-5D6E-409C-BE32-E72D297353CC}">
                <c16:uniqueId val="{00000017-AF9D-4F75-AA5B-84260318C1C5}"/>
              </c:ext>
            </c:extLst>
          </c:dPt>
          <c:cat>
            <c:strRef>
              <c:f>AS!$B$2:$B$16</c:f>
              <c:strCache>
                <c:ptCount val="15"/>
                <c:pt idx="0">
                  <c:v>Shivam Dube</c:v>
                </c:pt>
                <c:pt idx="1">
                  <c:v>Sanju Samson</c:v>
                </c:pt>
                <c:pt idx="2">
                  <c:v>Sai Sudharsan</c:v>
                </c:pt>
                <c:pt idx="3">
                  <c:v>Mohsin Khan</c:v>
                </c:pt>
                <c:pt idx="4">
                  <c:v>Tilak Varma</c:v>
                </c:pt>
                <c:pt idx="5">
                  <c:v>Quinton de Kock</c:v>
                </c:pt>
                <c:pt idx="6">
                  <c:v>Jasprit Bumrah</c:v>
                </c:pt>
                <c:pt idx="7">
                  <c:v>Harpreet Brar</c:v>
                </c:pt>
                <c:pt idx="8">
                  <c:v>Yuzvendra Chahal</c:v>
                </c:pt>
                <c:pt idx="9">
                  <c:v>Romario Shepherd</c:v>
                </c:pt>
                <c:pt idx="10">
                  <c:v>Vaibhav Suryavanshi</c:v>
                </c:pt>
                <c:pt idx="11">
                  <c:v>Ravi Bishnoi</c:v>
                </c:pt>
                <c:pt idx="12">
                  <c:v>Abhishek Sharma</c:v>
                </c:pt>
                <c:pt idx="13">
                  <c:v>Ishan Kishan</c:v>
                </c:pt>
                <c:pt idx="14">
                  <c:v>Pat Cummins</c:v>
                </c:pt>
              </c:strCache>
            </c:strRef>
          </c:cat>
          <c:val>
            <c:numRef>
              <c:f>AS!$H$2:$H$16</c:f>
              <c:numCache>
                <c:formatCode>General</c:formatCode>
                <c:ptCount val="15"/>
                <c:pt idx="0">
                  <c:v>471</c:v>
                </c:pt>
                <c:pt idx="1">
                  <c:v>770</c:v>
                </c:pt>
                <c:pt idx="2">
                  <c:v>1089</c:v>
                </c:pt>
                <c:pt idx="3">
                  <c:v>444</c:v>
                </c:pt>
                <c:pt idx="4">
                  <c:v>629</c:v>
                </c:pt>
                <c:pt idx="5">
                  <c:v>221</c:v>
                </c:pt>
                <c:pt idx="6">
                  <c:v>301</c:v>
                </c:pt>
                <c:pt idx="7">
                  <c:v>98</c:v>
                </c:pt>
                <c:pt idx="8">
                  <c:v>433</c:v>
                </c:pt>
                <c:pt idx="9">
                  <c:v>399</c:v>
                </c:pt>
                <c:pt idx="10">
                  <c:v>1211</c:v>
                </c:pt>
                <c:pt idx="11">
                  <c:v>401</c:v>
                </c:pt>
                <c:pt idx="12">
                  <c:v>955</c:v>
                </c:pt>
                <c:pt idx="13">
                  <c:v>996</c:v>
                </c:pt>
                <c:pt idx="14">
                  <c:v>357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8-AF9D-4F75-AA5B-84260318C1C5}"/>
            </c:ext>
          </c:extLst>
        </c:ser>
        <c:dLbls>
          <c:showLegendKey val="0"/>
          <c:showVal val="0"/>
          <c:showCatName val="0"/>
          <c:showSerName val="0"/>
          <c:showPercent val="0"/>
          <c:showBubbleSize val="0"/>
        </c:dLbls>
        <c:gapWidth val="150"/>
        <c:shape val="box"/>
        <c:axId val="1560080603"/>
        <c:axId val="2140115783"/>
        <c:axId val="0"/>
      </c:bar3DChart>
      <c:catAx>
        <c:axId val="1198449015"/>
        <c:scaling>
          <c:orientation val="minMax"/>
        </c:scaling>
        <c:delete val="0"/>
        <c:axPos val="b"/>
        <c:title>
          <c:tx>
            <c:rich>
              <a:bodyPr/>
              <a:lstStyle/>
              <a:p>
                <a:pPr lvl="0">
                  <a:defRPr sz="1600" b="0">
                    <a:solidFill>
                      <a:srgbClr val="000000"/>
                    </a:solidFill>
                    <a:latin typeface="Arial black"/>
                  </a:defRPr>
                </a:pPr>
                <a:r>
                  <a:rPr sz="1600" b="0">
                    <a:solidFill>
                      <a:srgbClr val="000000"/>
                    </a:solidFill>
                    <a:latin typeface="Arial black"/>
                  </a:rPr>
                  <a:t>Player Name</a:t>
                </a:r>
              </a:p>
            </c:rich>
          </c:tx>
          <c:overlay val="0"/>
        </c:title>
        <c:numFmt formatCode="General" sourceLinked="1"/>
        <c:majorTickMark val="none"/>
        <c:minorTickMark val="none"/>
        <c:tickLblPos val="nextTo"/>
        <c:txPr>
          <a:bodyPr/>
          <a:lstStyle/>
          <a:p>
            <a:pPr lvl="0">
              <a:defRPr b="0">
                <a:solidFill>
                  <a:srgbClr val="000000"/>
                </a:solidFill>
                <a:latin typeface="sans-serif"/>
              </a:defRPr>
            </a:pPr>
            <a:endParaRPr lang="en-US"/>
          </a:p>
        </c:txPr>
        <c:crossAx val="395210564"/>
        <c:crosses val="autoZero"/>
        <c:auto val="1"/>
        <c:lblAlgn val="ctr"/>
        <c:lblOffset val="100"/>
        <c:noMultiLvlLbl val="1"/>
      </c:catAx>
      <c:valAx>
        <c:axId val="395210564"/>
        <c:scaling>
          <c:orientation val="minMax"/>
        </c:scaling>
        <c:delete val="0"/>
        <c:axPos val="l"/>
        <c:numFmt formatCode="General" sourceLinked="1"/>
        <c:majorTickMark val="cross"/>
        <c:minorTickMark val="cross"/>
        <c:tickLblPos val="nextTo"/>
        <c:spPr>
          <a:ln>
            <a:noFill/>
          </a:ln>
        </c:spPr>
        <c:crossAx val="1198449015"/>
        <c:crosses val="autoZero"/>
        <c:crossBetween val="between"/>
      </c:valAx>
      <c:catAx>
        <c:axId val="1560080603"/>
        <c:scaling>
          <c:orientation val="minMax"/>
        </c:scaling>
        <c:delete val="0"/>
        <c:axPos val="b"/>
        <c:numFmt formatCode="General" sourceLinked="1"/>
        <c:majorTickMark val="none"/>
        <c:minorTickMark val="none"/>
        <c:tickLblPos val="nextTo"/>
        <c:txPr>
          <a:bodyPr/>
          <a:lstStyle/>
          <a:p>
            <a:pPr lvl="0">
              <a:defRPr b="0">
                <a:solidFill>
                  <a:srgbClr val="000000"/>
                </a:solidFill>
                <a:latin typeface="sans-serif"/>
              </a:defRPr>
            </a:pPr>
            <a:endParaRPr lang="en-US"/>
          </a:p>
        </c:txPr>
        <c:crossAx val="2140115783"/>
        <c:crosses val="autoZero"/>
        <c:auto val="1"/>
        <c:lblAlgn val="ctr"/>
        <c:lblOffset val="100"/>
        <c:noMultiLvlLbl val="1"/>
      </c:catAx>
      <c:valAx>
        <c:axId val="214011578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endParaRPr/>
              </a:p>
            </c:rich>
          </c:tx>
          <c:overlay val="0"/>
        </c:title>
        <c:numFmt formatCode="General" sourceLinked="1"/>
        <c:majorTickMark val="in"/>
        <c:minorTickMark val="none"/>
        <c:tickLblPos val="nextTo"/>
        <c:spPr>
          <a:ln/>
        </c:spPr>
        <c:txPr>
          <a:bodyPr/>
          <a:lstStyle/>
          <a:p>
            <a:pPr lvl="0">
              <a:defRPr b="0">
                <a:solidFill>
                  <a:srgbClr val="000000"/>
                </a:solidFill>
                <a:latin typeface="sans-serif"/>
              </a:defRPr>
            </a:pPr>
            <a:endParaRPr lang="en-US"/>
          </a:p>
        </c:txPr>
        <c:crossAx val="1560080603"/>
        <c:crosses val="max"/>
        <c:crossBetween val="between"/>
      </c:valAx>
    </c:plotArea>
    <c:legend>
      <c:legendPos val="r"/>
      <c:overlay val="0"/>
      <c:txPr>
        <a:bodyPr/>
        <a:lstStyle/>
        <a:p>
          <a:pPr lvl="0">
            <a:defRPr b="0">
              <a:solidFill>
                <a:srgbClr val="1A1A1A"/>
              </a:solidFill>
              <a:latin typeface="sans-serif"/>
            </a:defRPr>
          </a:pPr>
          <a:endParaRPr lang="en-US"/>
        </a:p>
      </c:txPr>
    </c:legend>
    <c:plotVisOnly val="0"/>
    <c:dispBlanksAs val="zero"/>
    <c:showDLblsOverMax val="1"/>
  </c:chart>
  <c:spPr>
    <a:solidFill>
      <a:srgbClr val="FFFFFF"/>
    </a:solidFill>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F1C232"/>
                </a:solidFill>
                <a:latin typeface="sans-serif"/>
              </a:defRPr>
            </a:pPr>
            <a:r>
              <a:rPr b="0">
                <a:solidFill>
                  <a:srgbClr val="F1C232"/>
                </a:solidFill>
                <a:latin typeface="sans-serif"/>
              </a:rPr>
              <a:t>PA</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1"/>
          <c:order val="1"/>
          <c:tx>
            <c:strRef>
              <c:f>PA!$H$1</c:f>
              <c:strCache>
                <c:ptCount val="1"/>
                <c:pt idx="0">
                  <c:v>Points</c:v>
                </c:pt>
              </c:strCache>
            </c:strRef>
          </c:tx>
          <c:invertIfNegative val="1"/>
          <c:cat>
            <c:strRef>
              <c:f>PA!$B$2:$B$16</c:f>
              <c:strCache>
                <c:ptCount val="15"/>
                <c:pt idx="0">
                  <c:v>Dewald Brevis</c:v>
                </c:pt>
                <c:pt idx="1">
                  <c:v>Noor Ahmad</c:v>
                </c:pt>
                <c:pt idx="2">
                  <c:v>Auqib Nabi</c:v>
                </c:pt>
                <c:pt idx="3">
                  <c:v>Jos Buttler</c:v>
                </c:pt>
                <c:pt idx="4">
                  <c:v>Prasidh Krishna</c:v>
                </c:pt>
                <c:pt idx="5">
                  <c:v>Vaibhav Arora</c:v>
                </c:pt>
                <c:pt idx="6">
                  <c:v>Aiden Markram</c:v>
                </c:pt>
                <c:pt idx="7">
                  <c:v>Will Jacks</c:v>
                </c:pt>
                <c:pt idx="8">
                  <c:v>Nehal Wadhera</c:v>
                </c:pt>
                <c:pt idx="9">
                  <c:v>Shreyas Iyer</c:v>
                </c:pt>
                <c:pt idx="10">
                  <c:v>Devdutt Padikkal</c:v>
                </c:pt>
                <c:pt idx="11">
                  <c:v>Virat Kohli</c:v>
                </c:pt>
                <c:pt idx="12">
                  <c:v>Riyan Parag</c:v>
                </c:pt>
                <c:pt idx="13">
                  <c:v>Harshal Patel</c:v>
                </c:pt>
                <c:pt idx="14">
                  <c:v>Heinrich Klaasen</c:v>
                </c:pt>
              </c:strCache>
            </c:strRef>
          </c:cat>
          <c:val>
            <c:numRef>
              <c:f>PA!$H$2:$H$16</c:f>
              <c:numCache>
                <c:formatCode>#,##0</c:formatCode>
                <c:ptCount val="15"/>
                <c:pt idx="0">
                  <c:v>357</c:v>
                </c:pt>
                <c:pt idx="1">
                  <c:v>520</c:v>
                </c:pt>
                <c:pt idx="2">
                  <c:v>56</c:v>
                </c:pt>
                <c:pt idx="3">
                  <c:v>1037</c:v>
                </c:pt>
                <c:pt idx="4">
                  <c:v>572</c:v>
                </c:pt>
                <c:pt idx="5">
                  <c:v>405</c:v>
                </c:pt>
                <c:pt idx="6">
                  <c:v>431</c:v>
                </c:pt>
                <c:pt idx="7">
                  <c:v>307</c:v>
                </c:pt>
                <c:pt idx="8">
                  <c:v>127</c:v>
                </c:pt>
                <c:pt idx="9">
                  <c:v>815</c:v>
                </c:pt>
                <c:pt idx="10">
                  <c:v>835</c:v>
                </c:pt>
                <c:pt idx="11">
                  <c:v>1060</c:v>
                </c:pt>
                <c:pt idx="12">
                  <c:v>564</c:v>
                </c:pt>
                <c:pt idx="13">
                  <c:v>40</c:v>
                </c:pt>
                <c:pt idx="14">
                  <c:v>1016</c:v>
                </c:pt>
              </c:numCache>
            </c:numRef>
          </c:val>
          <c:extLst>
            <c:ext xmlns:c16="http://schemas.microsoft.com/office/drawing/2014/chart" uri="{C3380CC4-5D6E-409C-BE32-E72D297353CC}">
              <c16:uniqueId val="{00000000-989B-4366-B727-B4B93E5137D6}"/>
            </c:ext>
          </c:extLst>
        </c:ser>
        <c:dLbls>
          <c:showLegendKey val="0"/>
          <c:showVal val="0"/>
          <c:showCatName val="0"/>
          <c:showSerName val="0"/>
          <c:showPercent val="0"/>
          <c:showBubbleSize val="0"/>
        </c:dLbls>
        <c:gapWidth val="150"/>
        <c:shape val="box"/>
        <c:axId val="1587547243"/>
        <c:axId val="1401680177"/>
        <c:axId val="0"/>
      </c:bar3DChart>
      <c:bar3DChart>
        <c:barDir val="col"/>
        <c:grouping val="clustered"/>
        <c:varyColors val="1"/>
        <c:ser>
          <c:idx val="0"/>
          <c:order val="0"/>
          <c:tx>
            <c:strRef>
              <c:f>PA!$H$1</c:f>
              <c:strCache>
                <c:ptCount val="1"/>
                <c:pt idx="0">
                  <c:v>Points</c:v>
                </c:pt>
              </c:strCache>
            </c:strRef>
          </c:tx>
          <c:spPr>
            <a:solidFill>
              <a:srgbClr val="4A86E8"/>
            </a:solidFill>
            <a:ln cmpd="sng">
              <a:solidFill>
                <a:srgbClr val="000000"/>
              </a:solidFill>
            </a:ln>
          </c:spPr>
          <c:invertIfNegative val="1"/>
          <c:dPt>
            <c:idx val="0"/>
            <c:invertIfNegative val="1"/>
            <c:bubble3D val="0"/>
            <c:extLst>
              <c:ext xmlns:c16="http://schemas.microsoft.com/office/drawing/2014/chart" uri="{C3380CC4-5D6E-409C-BE32-E72D297353CC}">
                <c16:uniqueId val="{00000001-989B-4366-B727-B4B93E5137D6}"/>
              </c:ext>
            </c:extLst>
          </c:dPt>
          <c:dPt>
            <c:idx val="1"/>
            <c:invertIfNegative val="1"/>
            <c:bubble3D val="0"/>
            <c:extLst>
              <c:ext xmlns:c16="http://schemas.microsoft.com/office/drawing/2014/chart" uri="{C3380CC4-5D6E-409C-BE32-E72D297353CC}">
                <c16:uniqueId val="{00000002-989B-4366-B727-B4B93E5137D6}"/>
              </c:ext>
            </c:extLst>
          </c:dPt>
          <c:dPt>
            <c:idx val="2"/>
            <c:invertIfNegative val="1"/>
            <c:bubble3D val="0"/>
            <c:spPr>
              <a:solidFill>
                <a:srgbClr val="CC0000"/>
              </a:solidFill>
              <a:ln cmpd="sng">
                <a:solidFill>
                  <a:srgbClr val="000000"/>
                </a:solidFill>
              </a:ln>
            </c:spPr>
            <c:extLst>
              <c:ext xmlns:c16="http://schemas.microsoft.com/office/drawing/2014/chart" uri="{C3380CC4-5D6E-409C-BE32-E72D297353CC}">
                <c16:uniqueId val="{00000004-989B-4366-B727-B4B93E5137D6}"/>
              </c:ext>
            </c:extLst>
          </c:dPt>
          <c:dPt>
            <c:idx val="3"/>
            <c:invertIfNegative val="1"/>
            <c:bubble3D val="0"/>
            <c:spPr>
              <a:solidFill>
                <a:srgbClr val="F1C232"/>
              </a:solidFill>
              <a:ln cmpd="sng">
                <a:solidFill>
                  <a:srgbClr val="000000"/>
                </a:solidFill>
              </a:ln>
            </c:spPr>
            <c:extLst>
              <c:ext xmlns:c16="http://schemas.microsoft.com/office/drawing/2014/chart" uri="{C3380CC4-5D6E-409C-BE32-E72D297353CC}">
                <c16:uniqueId val="{00000006-989B-4366-B727-B4B93E5137D6}"/>
              </c:ext>
            </c:extLst>
          </c:dPt>
          <c:dPt>
            <c:idx val="4"/>
            <c:invertIfNegative val="1"/>
            <c:bubble3D val="0"/>
            <c:spPr>
              <a:solidFill>
                <a:srgbClr val="F1C232"/>
              </a:solidFill>
              <a:ln cmpd="sng">
                <a:solidFill>
                  <a:srgbClr val="000000"/>
                </a:solidFill>
              </a:ln>
            </c:spPr>
            <c:extLst>
              <c:ext xmlns:c16="http://schemas.microsoft.com/office/drawing/2014/chart" uri="{C3380CC4-5D6E-409C-BE32-E72D297353CC}">
                <c16:uniqueId val="{00000008-989B-4366-B727-B4B93E5137D6}"/>
              </c:ext>
            </c:extLst>
          </c:dPt>
          <c:dPt>
            <c:idx val="5"/>
            <c:invertIfNegative val="1"/>
            <c:bubble3D val="0"/>
            <c:extLst>
              <c:ext xmlns:c16="http://schemas.microsoft.com/office/drawing/2014/chart" uri="{C3380CC4-5D6E-409C-BE32-E72D297353CC}">
                <c16:uniqueId val="{00000009-989B-4366-B727-B4B93E5137D6}"/>
              </c:ext>
            </c:extLst>
          </c:dPt>
          <c:dPt>
            <c:idx val="6"/>
            <c:invertIfNegative val="1"/>
            <c:bubble3D val="0"/>
            <c:extLst>
              <c:ext xmlns:c16="http://schemas.microsoft.com/office/drawing/2014/chart" uri="{C3380CC4-5D6E-409C-BE32-E72D297353CC}">
                <c16:uniqueId val="{0000000A-989B-4366-B727-B4B93E5137D6}"/>
              </c:ext>
            </c:extLst>
          </c:dPt>
          <c:dPt>
            <c:idx val="7"/>
            <c:invertIfNegative val="1"/>
            <c:bubble3D val="0"/>
            <c:spPr>
              <a:solidFill>
                <a:srgbClr val="CC0000"/>
              </a:solidFill>
              <a:ln cmpd="sng">
                <a:solidFill>
                  <a:srgbClr val="000000"/>
                </a:solidFill>
              </a:ln>
            </c:spPr>
            <c:extLst>
              <c:ext xmlns:c16="http://schemas.microsoft.com/office/drawing/2014/chart" uri="{C3380CC4-5D6E-409C-BE32-E72D297353CC}">
                <c16:uniqueId val="{0000000C-989B-4366-B727-B4B93E5137D6}"/>
              </c:ext>
            </c:extLst>
          </c:dPt>
          <c:dPt>
            <c:idx val="8"/>
            <c:invertIfNegative val="1"/>
            <c:bubble3D val="0"/>
            <c:extLst>
              <c:ext xmlns:c16="http://schemas.microsoft.com/office/drawing/2014/chart" uri="{C3380CC4-5D6E-409C-BE32-E72D297353CC}">
                <c16:uniqueId val="{0000000D-989B-4366-B727-B4B93E5137D6}"/>
              </c:ext>
            </c:extLst>
          </c:dPt>
          <c:dPt>
            <c:idx val="9"/>
            <c:invertIfNegative val="1"/>
            <c:bubble3D val="0"/>
            <c:spPr>
              <a:solidFill>
                <a:srgbClr val="6AA84F"/>
              </a:solidFill>
              <a:ln cmpd="sng">
                <a:solidFill>
                  <a:srgbClr val="000000"/>
                </a:solidFill>
              </a:ln>
            </c:spPr>
            <c:extLst>
              <c:ext xmlns:c16="http://schemas.microsoft.com/office/drawing/2014/chart" uri="{C3380CC4-5D6E-409C-BE32-E72D297353CC}">
                <c16:uniqueId val="{0000000F-989B-4366-B727-B4B93E5137D6}"/>
              </c:ext>
            </c:extLst>
          </c:dPt>
          <c:dPt>
            <c:idx val="10"/>
            <c:invertIfNegative val="1"/>
            <c:bubble3D val="0"/>
            <c:spPr>
              <a:solidFill>
                <a:srgbClr val="F1C232"/>
              </a:solidFill>
              <a:ln cmpd="sng">
                <a:solidFill>
                  <a:srgbClr val="000000"/>
                </a:solidFill>
              </a:ln>
            </c:spPr>
            <c:extLst>
              <c:ext xmlns:c16="http://schemas.microsoft.com/office/drawing/2014/chart" uri="{C3380CC4-5D6E-409C-BE32-E72D297353CC}">
                <c16:uniqueId val="{00000011-989B-4366-B727-B4B93E5137D6}"/>
              </c:ext>
            </c:extLst>
          </c:dPt>
          <c:dPt>
            <c:idx val="11"/>
            <c:invertIfNegative val="1"/>
            <c:bubble3D val="0"/>
            <c:spPr>
              <a:solidFill>
                <a:srgbClr val="6AA84F"/>
              </a:solidFill>
              <a:ln cmpd="sng">
                <a:solidFill>
                  <a:srgbClr val="000000"/>
                </a:solidFill>
              </a:ln>
            </c:spPr>
            <c:extLst>
              <c:ext xmlns:c16="http://schemas.microsoft.com/office/drawing/2014/chart" uri="{C3380CC4-5D6E-409C-BE32-E72D297353CC}">
                <c16:uniqueId val="{00000013-989B-4366-B727-B4B93E5137D6}"/>
              </c:ext>
            </c:extLst>
          </c:dPt>
          <c:dPt>
            <c:idx val="12"/>
            <c:invertIfNegative val="1"/>
            <c:bubble3D val="0"/>
            <c:extLst>
              <c:ext xmlns:c16="http://schemas.microsoft.com/office/drawing/2014/chart" uri="{C3380CC4-5D6E-409C-BE32-E72D297353CC}">
                <c16:uniqueId val="{00000014-989B-4366-B727-B4B93E5137D6}"/>
              </c:ext>
            </c:extLst>
          </c:dPt>
          <c:dPt>
            <c:idx val="13"/>
            <c:invertIfNegative val="1"/>
            <c:bubble3D val="0"/>
            <c:spPr>
              <a:solidFill>
                <a:srgbClr val="CC0000"/>
              </a:solidFill>
              <a:ln cmpd="sng">
                <a:solidFill>
                  <a:srgbClr val="000000"/>
                </a:solidFill>
              </a:ln>
            </c:spPr>
            <c:extLst>
              <c:ext xmlns:c16="http://schemas.microsoft.com/office/drawing/2014/chart" uri="{C3380CC4-5D6E-409C-BE32-E72D297353CC}">
                <c16:uniqueId val="{00000016-989B-4366-B727-B4B93E5137D6}"/>
              </c:ext>
            </c:extLst>
          </c:dPt>
          <c:dPt>
            <c:idx val="14"/>
            <c:invertIfNegative val="1"/>
            <c:bubble3D val="0"/>
            <c:spPr>
              <a:solidFill>
                <a:srgbClr val="6AA84F"/>
              </a:solidFill>
              <a:ln cmpd="sng">
                <a:solidFill>
                  <a:srgbClr val="000000"/>
                </a:solidFill>
              </a:ln>
            </c:spPr>
            <c:extLst>
              <c:ext xmlns:c16="http://schemas.microsoft.com/office/drawing/2014/chart" uri="{C3380CC4-5D6E-409C-BE32-E72D297353CC}">
                <c16:uniqueId val="{00000018-989B-4366-B727-B4B93E5137D6}"/>
              </c:ext>
            </c:extLst>
          </c:dPt>
          <c:cat>
            <c:strRef>
              <c:f>PA!$B$2:$B$16</c:f>
              <c:strCache>
                <c:ptCount val="15"/>
                <c:pt idx="0">
                  <c:v>Dewald Brevis</c:v>
                </c:pt>
                <c:pt idx="1">
                  <c:v>Noor Ahmad</c:v>
                </c:pt>
                <c:pt idx="2">
                  <c:v>Auqib Nabi</c:v>
                </c:pt>
                <c:pt idx="3">
                  <c:v>Jos Buttler</c:v>
                </c:pt>
                <c:pt idx="4">
                  <c:v>Prasidh Krishna</c:v>
                </c:pt>
                <c:pt idx="5">
                  <c:v>Vaibhav Arora</c:v>
                </c:pt>
                <c:pt idx="6">
                  <c:v>Aiden Markram</c:v>
                </c:pt>
                <c:pt idx="7">
                  <c:v>Will Jacks</c:v>
                </c:pt>
                <c:pt idx="8">
                  <c:v>Nehal Wadhera</c:v>
                </c:pt>
                <c:pt idx="9">
                  <c:v>Shreyas Iyer</c:v>
                </c:pt>
                <c:pt idx="10">
                  <c:v>Devdutt Padikkal</c:v>
                </c:pt>
                <c:pt idx="11">
                  <c:v>Virat Kohli</c:v>
                </c:pt>
                <c:pt idx="12">
                  <c:v>Riyan Parag</c:v>
                </c:pt>
                <c:pt idx="13">
                  <c:v>Harshal Patel</c:v>
                </c:pt>
                <c:pt idx="14">
                  <c:v>Heinrich Klaasen</c:v>
                </c:pt>
              </c:strCache>
            </c:strRef>
          </c:cat>
          <c:val>
            <c:numRef>
              <c:f>PA!$H$2:$H$16</c:f>
              <c:numCache>
                <c:formatCode>#,##0</c:formatCode>
                <c:ptCount val="15"/>
                <c:pt idx="0">
                  <c:v>357</c:v>
                </c:pt>
                <c:pt idx="1">
                  <c:v>520</c:v>
                </c:pt>
                <c:pt idx="2">
                  <c:v>56</c:v>
                </c:pt>
                <c:pt idx="3">
                  <c:v>1037</c:v>
                </c:pt>
                <c:pt idx="4">
                  <c:v>572</c:v>
                </c:pt>
                <c:pt idx="5">
                  <c:v>405</c:v>
                </c:pt>
                <c:pt idx="6">
                  <c:v>431</c:v>
                </c:pt>
                <c:pt idx="7">
                  <c:v>307</c:v>
                </c:pt>
                <c:pt idx="8">
                  <c:v>127</c:v>
                </c:pt>
                <c:pt idx="9">
                  <c:v>815</c:v>
                </c:pt>
                <c:pt idx="10">
                  <c:v>835</c:v>
                </c:pt>
                <c:pt idx="11">
                  <c:v>1060</c:v>
                </c:pt>
                <c:pt idx="12">
                  <c:v>564</c:v>
                </c:pt>
                <c:pt idx="13">
                  <c:v>40</c:v>
                </c:pt>
                <c:pt idx="14">
                  <c:v>1016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9-989B-4366-B727-B4B93E5137D6}"/>
            </c:ext>
          </c:extLst>
        </c:ser>
        <c:dLbls>
          <c:showLegendKey val="0"/>
          <c:showVal val="0"/>
          <c:showCatName val="0"/>
          <c:showSerName val="0"/>
          <c:showPercent val="0"/>
          <c:showBubbleSize val="0"/>
        </c:dLbls>
        <c:gapWidth val="150"/>
        <c:shape val="box"/>
        <c:axId val="453408952"/>
        <c:axId val="923941116"/>
        <c:axId val="0"/>
      </c:bar3DChart>
      <c:catAx>
        <c:axId val="1587547243"/>
        <c:scaling>
          <c:orientation val="minMax"/>
        </c:scaling>
        <c:delete val="0"/>
        <c:axPos val="b"/>
        <c:title>
          <c:tx>
            <c:rich>
              <a:bodyPr/>
              <a:lstStyle/>
              <a:p>
                <a:pPr lvl="0">
                  <a:defRPr sz="1600" b="0">
                    <a:solidFill>
                      <a:srgbClr val="000000"/>
                    </a:solidFill>
                    <a:latin typeface="Arial black"/>
                  </a:defRPr>
                </a:pPr>
                <a:r>
                  <a:rPr sz="1600" b="0">
                    <a:solidFill>
                      <a:srgbClr val="000000"/>
                    </a:solidFill>
                    <a:latin typeface="Arial black"/>
                  </a:rPr>
                  <a:t>Player Name</a:t>
                </a:r>
              </a:p>
            </c:rich>
          </c:tx>
          <c:overlay val="0"/>
        </c:title>
        <c:numFmt formatCode="General" sourceLinked="1"/>
        <c:majorTickMark val="none"/>
        <c:minorTickMark val="none"/>
        <c:tickLblPos val="nextTo"/>
        <c:txPr>
          <a:bodyPr/>
          <a:lstStyle/>
          <a:p>
            <a:pPr lvl="0">
              <a:defRPr b="0">
                <a:solidFill>
                  <a:srgbClr val="000000"/>
                </a:solidFill>
                <a:latin typeface="sans-serif"/>
              </a:defRPr>
            </a:pPr>
            <a:endParaRPr lang="en-US"/>
          </a:p>
        </c:txPr>
        <c:crossAx val="1401680177"/>
        <c:crosses val="autoZero"/>
        <c:auto val="1"/>
        <c:lblAlgn val="ctr"/>
        <c:lblOffset val="100"/>
        <c:noMultiLvlLbl val="1"/>
      </c:catAx>
      <c:valAx>
        <c:axId val="1401680177"/>
        <c:scaling>
          <c:orientation val="minMax"/>
        </c:scaling>
        <c:delete val="0"/>
        <c:axPos val="l"/>
        <c:numFmt formatCode="#,##0" sourceLinked="1"/>
        <c:majorTickMark val="cross"/>
        <c:minorTickMark val="cross"/>
        <c:tickLblPos val="nextTo"/>
        <c:spPr>
          <a:ln>
            <a:noFill/>
          </a:ln>
        </c:spPr>
        <c:crossAx val="1587547243"/>
        <c:crosses val="autoZero"/>
        <c:crossBetween val="between"/>
      </c:valAx>
      <c:catAx>
        <c:axId val="453408952"/>
        <c:scaling>
          <c:orientation val="minMax"/>
        </c:scaling>
        <c:delete val="0"/>
        <c:axPos val="b"/>
        <c:numFmt formatCode="General" sourceLinked="1"/>
        <c:majorTickMark val="none"/>
        <c:minorTickMark val="none"/>
        <c:tickLblPos val="nextTo"/>
        <c:txPr>
          <a:bodyPr/>
          <a:lstStyle/>
          <a:p>
            <a:pPr lvl="0">
              <a:defRPr b="0">
                <a:solidFill>
                  <a:srgbClr val="000000"/>
                </a:solidFill>
                <a:latin typeface="sans-serif"/>
              </a:defRPr>
            </a:pPr>
            <a:endParaRPr lang="en-US"/>
          </a:p>
        </c:txPr>
        <c:crossAx val="923941116"/>
        <c:crosses val="autoZero"/>
        <c:auto val="1"/>
        <c:lblAlgn val="ctr"/>
        <c:lblOffset val="100"/>
        <c:noMultiLvlLbl val="1"/>
      </c:catAx>
      <c:valAx>
        <c:axId val="92394111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endParaRPr/>
              </a:p>
            </c:rich>
          </c:tx>
          <c:overlay val="0"/>
        </c:title>
        <c:numFmt formatCode="#,##0" sourceLinked="1"/>
        <c:majorTickMark val="in"/>
        <c:minorTickMark val="none"/>
        <c:tickLblPos val="nextTo"/>
        <c:spPr>
          <a:ln/>
        </c:spPr>
        <c:txPr>
          <a:bodyPr/>
          <a:lstStyle/>
          <a:p>
            <a:pPr lvl="0">
              <a:defRPr b="0">
                <a:solidFill>
                  <a:srgbClr val="000000"/>
                </a:solidFill>
                <a:latin typeface="sans-serif"/>
              </a:defRPr>
            </a:pPr>
            <a:endParaRPr lang="en-US"/>
          </a:p>
        </c:txPr>
        <c:crossAx val="453408952"/>
        <c:crosses val="max"/>
        <c:crossBetween val="between"/>
      </c:valAx>
    </c:plotArea>
    <c:legend>
      <c:legendPos val="r"/>
      <c:overlay val="0"/>
      <c:txPr>
        <a:bodyPr/>
        <a:lstStyle/>
        <a:p>
          <a:pPr lvl="0">
            <a:defRPr b="0">
              <a:solidFill>
                <a:srgbClr val="1A1A1A"/>
              </a:solidFill>
              <a:latin typeface="sans-serif"/>
            </a:defRPr>
          </a:pPr>
          <a:endParaRPr lang="en-US"/>
        </a:p>
      </c:txPr>
    </c:legend>
    <c:plotVisOnly val="0"/>
    <c:dispBlanksAs val="zero"/>
    <c:showDLblsOverMax val="1"/>
  </c:chart>
  <c:spPr>
    <a:solidFill>
      <a:srgbClr val="FFFFFF"/>
    </a:solidFill>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sans-serif"/>
              </a:defRPr>
            </a:pPr>
            <a:r>
              <a:rPr b="0">
                <a:solidFill>
                  <a:srgbClr val="757575"/>
                </a:solidFill>
                <a:latin typeface="sans-serif"/>
              </a:rPr>
              <a:t>MC</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1"/>
          <c:order val="1"/>
          <c:tx>
            <c:strRef>
              <c:f>MC!$H$1</c:f>
              <c:strCache>
                <c:ptCount val="1"/>
                <c:pt idx="0">
                  <c:v>Points</c:v>
                </c:pt>
              </c:strCache>
            </c:strRef>
          </c:tx>
          <c:invertIfNegative val="1"/>
          <c:cat>
            <c:strRef>
              <c:f>MC!$B$2:$B$16</c:f>
              <c:strCache>
                <c:ptCount val="15"/>
                <c:pt idx="0">
                  <c:v>Ayush Mhatre + Sandeep Sharma</c:v>
                </c:pt>
                <c:pt idx="1">
                  <c:v>MS Dhoni</c:v>
                </c:pt>
                <c:pt idx="2">
                  <c:v>Mitchell Starc</c:v>
                </c:pt>
                <c:pt idx="3">
                  <c:v>Glenn Phillips</c:v>
                </c:pt>
                <c:pt idx="4">
                  <c:v>Sunil Narine</c:v>
                </c:pt>
                <c:pt idx="5">
                  <c:v>Ajinkya Rahane</c:v>
                </c:pt>
                <c:pt idx="6">
                  <c:v>Ayush Badoni</c:v>
                </c:pt>
                <c:pt idx="7">
                  <c:v>Hardik Pandya</c:v>
                </c:pt>
                <c:pt idx="8">
                  <c:v>Suryakumar Yadav</c:v>
                </c:pt>
                <c:pt idx="9">
                  <c:v>Rohit Sharma</c:v>
                </c:pt>
                <c:pt idx="10">
                  <c:v>Priyansh Arya</c:v>
                </c:pt>
                <c:pt idx="11">
                  <c:v>Phil Salt</c:v>
                </c:pt>
                <c:pt idx="12">
                  <c:v>Bhuvneshwar Kumar</c:v>
                </c:pt>
                <c:pt idx="13">
                  <c:v>Josh Hazlewood</c:v>
                </c:pt>
                <c:pt idx="14">
                  <c:v>Shimron Hetmyer</c:v>
                </c:pt>
              </c:strCache>
            </c:strRef>
          </c:cat>
          <c:val>
            <c:numRef>
              <c:f>MC!$H$2:$H$16</c:f>
              <c:numCache>
                <c:formatCode>General</c:formatCode>
                <c:ptCount val="15"/>
                <c:pt idx="0">
                  <c:v>312</c:v>
                </c:pt>
                <c:pt idx="1">
                  <c:v>0</c:v>
                </c:pt>
                <c:pt idx="2">
                  <c:v>404</c:v>
                </c:pt>
                <c:pt idx="3">
                  <c:v>165</c:v>
                </c:pt>
                <c:pt idx="4">
                  <c:v>688</c:v>
                </c:pt>
                <c:pt idx="5">
                  <c:v>550</c:v>
                </c:pt>
                <c:pt idx="6">
                  <c:v>348</c:v>
                </c:pt>
                <c:pt idx="7">
                  <c:v>462</c:v>
                </c:pt>
                <c:pt idx="8">
                  <c:v>432</c:v>
                </c:pt>
                <c:pt idx="9">
                  <c:v>422</c:v>
                </c:pt>
                <c:pt idx="10">
                  <c:v>585</c:v>
                </c:pt>
                <c:pt idx="11">
                  <c:v>348</c:v>
                </c:pt>
                <c:pt idx="12">
                  <c:v>1051</c:v>
                </c:pt>
                <c:pt idx="13">
                  <c:v>643</c:v>
                </c:pt>
                <c:pt idx="14">
                  <c:v>169</c:v>
                </c:pt>
              </c:numCache>
            </c:numRef>
          </c:val>
          <c:extLst>
            <c:ext xmlns:c16="http://schemas.microsoft.com/office/drawing/2014/chart" uri="{C3380CC4-5D6E-409C-BE32-E72D297353CC}">
              <c16:uniqueId val="{00000000-788A-4F71-97C3-CCCA04B19146}"/>
            </c:ext>
          </c:extLst>
        </c:ser>
        <c:dLbls>
          <c:showLegendKey val="0"/>
          <c:showVal val="0"/>
          <c:showCatName val="0"/>
          <c:showSerName val="0"/>
          <c:showPercent val="0"/>
          <c:showBubbleSize val="0"/>
        </c:dLbls>
        <c:gapWidth val="150"/>
        <c:shape val="box"/>
        <c:axId val="1215243549"/>
        <c:axId val="422530351"/>
        <c:axId val="0"/>
      </c:bar3DChart>
      <c:bar3DChart>
        <c:barDir val="col"/>
        <c:grouping val="clustered"/>
        <c:varyColors val="1"/>
        <c:ser>
          <c:idx val="0"/>
          <c:order val="0"/>
          <c:tx>
            <c:strRef>
              <c:f>MC!$H$1</c:f>
              <c:strCache>
                <c:ptCount val="1"/>
                <c:pt idx="0">
                  <c:v>Points</c:v>
                </c:pt>
              </c:strCache>
            </c:strRef>
          </c:tx>
          <c:spPr>
            <a:solidFill>
              <a:srgbClr val="4A86E8"/>
            </a:solidFill>
            <a:ln cmpd="sng">
              <a:solidFill>
                <a:srgbClr val="000000"/>
              </a:solidFill>
            </a:ln>
          </c:spPr>
          <c:invertIfNegative val="1"/>
          <c:dPt>
            <c:idx val="0"/>
            <c:invertIfNegative val="1"/>
            <c:bubble3D val="0"/>
            <c:spPr>
              <a:solidFill>
                <a:srgbClr val="6AA84F"/>
              </a:solidFill>
              <a:ln cmpd="sng">
                <a:solidFill>
                  <a:srgbClr val="000000"/>
                </a:solidFill>
              </a:ln>
            </c:spPr>
            <c:extLst>
              <c:ext xmlns:c16="http://schemas.microsoft.com/office/drawing/2014/chart" uri="{C3380CC4-5D6E-409C-BE32-E72D297353CC}">
                <c16:uniqueId val="{00000002-788A-4F71-97C3-CCCA04B19146}"/>
              </c:ext>
            </c:extLst>
          </c:dPt>
          <c:dPt>
            <c:idx val="1"/>
            <c:invertIfNegative val="1"/>
            <c:bubble3D val="0"/>
            <c:spPr>
              <a:solidFill>
                <a:srgbClr val="CC0000"/>
              </a:solidFill>
              <a:ln cmpd="sng">
                <a:solidFill>
                  <a:srgbClr val="000000"/>
                </a:solidFill>
              </a:ln>
            </c:spPr>
            <c:extLst>
              <c:ext xmlns:c16="http://schemas.microsoft.com/office/drawing/2014/chart" uri="{C3380CC4-5D6E-409C-BE32-E72D297353CC}">
                <c16:uniqueId val="{00000004-788A-4F71-97C3-CCCA04B19146}"/>
              </c:ext>
            </c:extLst>
          </c:dPt>
          <c:dPt>
            <c:idx val="2"/>
            <c:invertIfNegative val="1"/>
            <c:bubble3D val="0"/>
            <c:spPr>
              <a:solidFill>
                <a:srgbClr val="CC0000"/>
              </a:solidFill>
              <a:ln cmpd="sng">
                <a:solidFill>
                  <a:srgbClr val="000000"/>
                </a:solidFill>
              </a:ln>
            </c:spPr>
            <c:extLst>
              <c:ext xmlns:c16="http://schemas.microsoft.com/office/drawing/2014/chart" uri="{C3380CC4-5D6E-409C-BE32-E72D297353CC}">
                <c16:uniqueId val="{00000006-788A-4F71-97C3-CCCA04B19146}"/>
              </c:ext>
            </c:extLst>
          </c:dPt>
          <c:dPt>
            <c:idx val="5"/>
            <c:invertIfNegative val="1"/>
            <c:bubble3D val="0"/>
            <c:spPr>
              <a:solidFill>
                <a:srgbClr val="F1C232"/>
              </a:solidFill>
              <a:ln cmpd="sng">
                <a:solidFill>
                  <a:srgbClr val="000000"/>
                </a:solidFill>
              </a:ln>
            </c:spPr>
            <c:extLst>
              <c:ext xmlns:c16="http://schemas.microsoft.com/office/drawing/2014/chart" uri="{C3380CC4-5D6E-409C-BE32-E72D297353CC}">
                <c16:uniqueId val="{00000008-788A-4F71-97C3-CCCA04B19146}"/>
              </c:ext>
            </c:extLst>
          </c:dPt>
          <c:dPt>
            <c:idx val="6"/>
            <c:invertIfNegative val="1"/>
            <c:bubble3D val="0"/>
            <c:extLst>
              <c:ext xmlns:c16="http://schemas.microsoft.com/office/drawing/2014/chart" uri="{C3380CC4-5D6E-409C-BE32-E72D297353CC}">
                <c16:uniqueId val="{00000009-788A-4F71-97C3-CCCA04B19146}"/>
              </c:ext>
            </c:extLst>
          </c:dPt>
          <c:dPt>
            <c:idx val="7"/>
            <c:invertIfNegative val="1"/>
            <c:bubble3D val="0"/>
            <c:spPr>
              <a:solidFill>
                <a:srgbClr val="F1C232"/>
              </a:solidFill>
              <a:ln cmpd="sng">
                <a:solidFill>
                  <a:srgbClr val="000000"/>
                </a:solidFill>
              </a:ln>
            </c:spPr>
            <c:extLst>
              <c:ext xmlns:c16="http://schemas.microsoft.com/office/drawing/2014/chart" uri="{C3380CC4-5D6E-409C-BE32-E72D297353CC}">
                <c16:uniqueId val="{0000000B-788A-4F71-97C3-CCCA04B19146}"/>
              </c:ext>
            </c:extLst>
          </c:dPt>
          <c:dPt>
            <c:idx val="8"/>
            <c:invertIfNegative val="1"/>
            <c:bubble3D val="0"/>
            <c:extLst>
              <c:ext xmlns:c16="http://schemas.microsoft.com/office/drawing/2014/chart" uri="{C3380CC4-5D6E-409C-BE32-E72D297353CC}">
                <c16:uniqueId val="{0000000C-788A-4F71-97C3-CCCA04B19146}"/>
              </c:ext>
            </c:extLst>
          </c:dPt>
          <c:dPt>
            <c:idx val="9"/>
            <c:invertIfNegative val="1"/>
            <c:bubble3D val="0"/>
            <c:spPr>
              <a:solidFill>
                <a:srgbClr val="F1C232"/>
              </a:solidFill>
              <a:ln cmpd="sng">
                <a:solidFill>
                  <a:srgbClr val="000000"/>
                </a:solidFill>
              </a:ln>
            </c:spPr>
            <c:extLst>
              <c:ext xmlns:c16="http://schemas.microsoft.com/office/drawing/2014/chart" uri="{C3380CC4-5D6E-409C-BE32-E72D297353CC}">
                <c16:uniqueId val="{0000000E-788A-4F71-97C3-CCCA04B19146}"/>
              </c:ext>
            </c:extLst>
          </c:dPt>
          <c:dPt>
            <c:idx val="10"/>
            <c:invertIfNegative val="1"/>
            <c:bubble3D val="0"/>
            <c:extLst>
              <c:ext xmlns:c16="http://schemas.microsoft.com/office/drawing/2014/chart" uri="{C3380CC4-5D6E-409C-BE32-E72D297353CC}">
                <c16:uniqueId val="{0000000F-788A-4F71-97C3-CCCA04B19146}"/>
              </c:ext>
            </c:extLst>
          </c:dPt>
          <c:dPt>
            <c:idx val="11"/>
            <c:invertIfNegative val="1"/>
            <c:bubble3D val="0"/>
            <c:spPr>
              <a:solidFill>
                <a:srgbClr val="6AA84F"/>
              </a:solidFill>
              <a:ln cmpd="sng">
                <a:solidFill>
                  <a:srgbClr val="000000"/>
                </a:solidFill>
              </a:ln>
            </c:spPr>
            <c:extLst>
              <c:ext xmlns:c16="http://schemas.microsoft.com/office/drawing/2014/chart" uri="{C3380CC4-5D6E-409C-BE32-E72D297353CC}">
                <c16:uniqueId val="{00000011-788A-4F71-97C3-CCCA04B19146}"/>
              </c:ext>
            </c:extLst>
          </c:dPt>
          <c:dPt>
            <c:idx val="12"/>
            <c:invertIfNegative val="1"/>
            <c:bubble3D val="0"/>
            <c:spPr>
              <a:solidFill>
                <a:srgbClr val="6AA84F"/>
              </a:solidFill>
              <a:ln cmpd="sng">
                <a:solidFill>
                  <a:srgbClr val="000000"/>
                </a:solidFill>
              </a:ln>
            </c:spPr>
            <c:extLst>
              <c:ext xmlns:c16="http://schemas.microsoft.com/office/drawing/2014/chart" uri="{C3380CC4-5D6E-409C-BE32-E72D297353CC}">
                <c16:uniqueId val="{00000013-788A-4F71-97C3-CCCA04B19146}"/>
              </c:ext>
            </c:extLst>
          </c:dPt>
          <c:dPt>
            <c:idx val="14"/>
            <c:invertIfNegative val="1"/>
            <c:bubble3D val="0"/>
            <c:spPr>
              <a:solidFill>
                <a:srgbClr val="CC0000"/>
              </a:solidFill>
              <a:ln cmpd="sng">
                <a:solidFill>
                  <a:srgbClr val="000000"/>
                </a:solidFill>
              </a:ln>
            </c:spPr>
            <c:extLst>
              <c:ext xmlns:c16="http://schemas.microsoft.com/office/drawing/2014/chart" uri="{C3380CC4-5D6E-409C-BE32-E72D297353CC}">
                <c16:uniqueId val="{00000015-788A-4F71-97C3-CCCA04B19146}"/>
              </c:ext>
            </c:extLst>
          </c:dPt>
          <c:dLbls>
            <c:spPr>
              <a:noFill/>
              <a:ln>
                <a:noFill/>
              </a:ln>
              <a:effectLst/>
            </c:spPr>
            <c:txPr>
              <a:bodyPr/>
              <a:lstStyle/>
              <a:p>
                <a:pPr lvl="0">
                  <a:defRPr b="0">
                    <a:latin typeface="Arial black"/>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MC!$B$2:$B$16</c:f>
              <c:strCache>
                <c:ptCount val="15"/>
                <c:pt idx="0">
                  <c:v>Ayush Mhatre + Sandeep Sharma</c:v>
                </c:pt>
                <c:pt idx="1">
                  <c:v>MS Dhoni</c:v>
                </c:pt>
                <c:pt idx="2">
                  <c:v>Mitchell Starc</c:v>
                </c:pt>
                <c:pt idx="3">
                  <c:v>Glenn Phillips</c:v>
                </c:pt>
                <c:pt idx="4">
                  <c:v>Sunil Narine</c:v>
                </c:pt>
                <c:pt idx="5">
                  <c:v>Ajinkya Rahane</c:v>
                </c:pt>
                <c:pt idx="6">
                  <c:v>Ayush Badoni</c:v>
                </c:pt>
                <c:pt idx="7">
                  <c:v>Hardik Pandya</c:v>
                </c:pt>
                <c:pt idx="8">
                  <c:v>Suryakumar Yadav</c:v>
                </c:pt>
                <c:pt idx="9">
                  <c:v>Rohit Sharma</c:v>
                </c:pt>
                <c:pt idx="10">
                  <c:v>Priyansh Arya</c:v>
                </c:pt>
                <c:pt idx="11">
                  <c:v>Phil Salt</c:v>
                </c:pt>
                <c:pt idx="12">
                  <c:v>Bhuvneshwar Kumar</c:v>
                </c:pt>
                <c:pt idx="13">
                  <c:v>Josh Hazlewood</c:v>
                </c:pt>
                <c:pt idx="14">
                  <c:v>Shimron Hetmyer</c:v>
                </c:pt>
              </c:strCache>
            </c:strRef>
          </c:cat>
          <c:val>
            <c:numRef>
              <c:f>MC!$H$2:$H$16</c:f>
              <c:numCache>
                <c:formatCode>General</c:formatCode>
                <c:ptCount val="15"/>
                <c:pt idx="0">
                  <c:v>312</c:v>
                </c:pt>
                <c:pt idx="1">
                  <c:v>0</c:v>
                </c:pt>
                <c:pt idx="2">
                  <c:v>404</c:v>
                </c:pt>
                <c:pt idx="3">
                  <c:v>165</c:v>
                </c:pt>
                <c:pt idx="4">
                  <c:v>688</c:v>
                </c:pt>
                <c:pt idx="5">
                  <c:v>550</c:v>
                </c:pt>
                <c:pt idx="6">
                  <c:v>348</c:v>
                </c:pt>
                <c:pt idx="7">
                  <c:v>462</c:v>
                </c:pt>
                <c:pt idx="8">
                  <c:v>432</c:v>
                </c:pt>
                <c:pt idx="9">
                  <c:v>422</c:v>
                </c:pt>
                <c:pt idx="10">
                  <c:v>585</c:v>
                </c:pt>
                <c:pt idx="11">
                  <c:v>348</c:v>
                </c:pt>
                <c:pt idx="12">
                  <c:v>1051</c:v>
                </c:pt>
                <c:pt idx="13">
                  <c:v>643</c:v>
                </c:pt>
                <c:pt idx="14">
                  <c:v>169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6-788A-4F71-97C3-CCCA04B19146}"/>
            </c:ext>
          </c:extLst>
        </c:ser>
        <c:dLbls>
          <c:showLegendKey val="0"/>
          <c:showVal val="0"/>
          <c:showCatName val="0"/>
          <c:showSerName val="0"/>
          <c:showPercent val="0"/>
          <c:showBubbleSize val="0"/>
        </c:dLbls>
        <c:gapWidth val="150"/>
        <c:shape val="box"/>
        <c:axId val="1212757745"/>
        <c:axId val="228895312"/>
        <c:axId val="0"/>
      </c:bar3DChart>
      <c:catAx>
        <c:axId val="1215243549"/>
        <c:scaling>
          <c:orientation val="minMax"/>
        </c:scaling>
        <c:delete val="0"/>
        <c:axPos val="b"/>
        <c:title>
          <c:tx>
            <c:rich>
              <a:bodyPr/>
              <a:lstStyle/>
              <a:p>
                <a:pPr lvl="0">
                  <a:defRPr sz="1600" b="0">
                    <a:solidFill>
                      <a:srgbClr val="000000"/>
                    </a:solidFill>
                    <a:latin typeface="Arial black"/>
                  </a:defRPr>
                </a:pPr>
                <a:r>
                  <a:rPr sz="1600" b="0">
                    <a:solidFill>
                      <a:srgbClr val="000000"/>
                    </a:solidFill>
                    <a:latin typeface="Arial black"/>
                  </a:rPr>
                  <a:t>Player Name</a:t>
                </a:r>
              </a:p>
            </c:rich>
          </c:tx>
          <c:overlay val="0"/>
        </c:title>
        <c:numFmt formatCode="General" sourceLinked="1"/>
        <c:majorTickMark val="none"/>
        <c:minorTickMark val="none"/>
        <c:tickLblPos val="nextTo"/>
        <c:txPr>
          <a:bodyPr/>
          <a:lstStyle/>
          <a:p>
            <a:pPr lvl="0">
              <a:defRPr b="0">
                <a:solidFill>
                  <a:srgbClr val="000000"/>
                </a:solidFill>
                <a:latin typeface="sans-serif"/>
              </a:defRPr>
            </a:pPr>
            <a:endParaRPr lang="en-US"/>
          </a:p>
        </c:txPr>
        <c:crossAx val="422530351"/>
        <c:crosses val="autoZero"/>
        <c:auto val="1"/>
        <c:lblAlgn val="ctr"/>
        <c:lblOffset val="100"/>
        <c:noMultiLvlLbl val="1"/>
      </c:catAx>
      <c:valAx>
        <c:axId val="422530351"/>
        <c:scaling>
          <c:orientation val="minMax"/>
        </c:scaling>
        <c:delete val="0"/>
        <c:axPos val="l"/>
        <c:numFmt formatCode="General" sourceLinked="1"/>
        <c:majorTickMark val="cross"/>
        <c:minorTickMark val="cross"/>
        <c:tickLblPos val="nextTo"/>
        <c:spPr>
          <a:ln>
            <a:noFill/>
          </a:ln>
        </c:spPr>
        <c:crossAx val="1215243549"/>
        <c:crosses val="autoZero"/>
        <c:crossBetween val="between"/>
      </c:valAx>
      <c:catAx>
        <c:axId val="1212757745"/>
        <c:scaling>
          <c:orientation val="minMax"/>
        </c:scaling>
        <c:delete val="0"/>
        <c:axPos val="b"/>
        <c:numFmt formatCode="General" sourceLinked="1"/>
        <c:majorTickMark val="none"/>
        <c:minorTickMark val="none"/>
        <c:tickLblPos val="nextTo"/>
        <c:txPr>
          <a:bodyPr/>
          <a:lstStyle/>
          <a:p>
            <a:pPr lvl="0">
              <a:defRPr b="0">
                <a:solidFill>
                  <a:srgbClr val="000000"/>
                </a:solidFill>
                <a:latin typeface="sans-serif"/>
              </a:defRPr>
            </a:pPr>
            <a:endParaRPr lang="en-US"/>
          </a:p>
        </c:txPr>
        <c:crossAx val="228895312"/>
        <c:crosses val="autoZero"/>
        <c:auto val="1"/>
        <c:lblAlgn val="ctr"/>
        <c:lblOffset val="100"/>
        <c:noMultiLvlLbl val="1"/>
      </c:catAx>
      <c:valAx>
        <c:axId val="22889531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endParaRPr/>
              </a:p>
            </c:rich>
          </c:tx>
          <c:overlay val="0"/>
        </c:title>
        <c:numFmt formatCode="General" sourceLinked="1"/>
        <c:majorTickMark val="in"/>
        <c:minorTickMark val="none"/>
        <c:tickLblPos val="nextTo"/>
        <c:spPr>
          <a:ln/>
        </c:spPr>
        <c:txPr>
          <a:bodyPr/>
          <a:lstStyle/>
          <a:p>
            <a:pPr lvl="0">
              <a:defRPr b="0">
                <a:solidFill>
                  <a:srgbClr val="000000"/>
                </a:solidFill>
                <a:latin typeface="sans-serif"/>
              </a:defRPr>
            </a:pPr>
            <a:endParaRPr lang="en-US"/>
          </a:p>
        </c:txPr>
        <c:crossAx val="1212757745"/>
        <c:crosses val="max"/>
        <c:crossBetween val="between"/>
      </c:valAx>
    </c:plotArea>
    <c:legend>
      <c:legendPos val="r"/>
      <c:overlay val="0"/>
      <c:txPr>
        <a:bodyPr/>
        <a:lstStyle/>
        <a:p>
          <a:pPr lvl="0">
            <a:defRPr b="0">
              <a:solidFill>
                <a:srgbClr val="1A1A1A"/>
              </a:solidFill>
              <a:latin typeface="sans-serif"/>
            </a:defRPr>
          </a:pPr>
          <a:endParaRPr lang="en-US"/>
        </a:p>
      </c:txPr>
    </c:legend>
    <c:plotVisOnly val="0"/>
    <c:dispBlanksAs val="zero"/>
    <c:showDLblsOverMax val="1"/>
  </c:chart>
  <c:spPr>
    <a:solidFill>
      <a:srgbClr val="FFFFFF"/>
    </a:solidFill>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CC0000"/>
                </a:solidFill>
                <a:latin typeface="sans-serif"/>
              </a:defRPr>
            </a:pPr>
            <a:r>
              <a:rPr b="0">
                <a:solidFill>
                  <a:srgbClr val="CC0000"/>
                </a:solidFill>
                <a:latin typeface="sans-serif"/>
              </a:rPr>
              <a:t>OL</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1"/>
          <c:order val="1"/>
          <c:tx>
            <c:strRef>
              <c:f>OL!$H$1</c:f>
              <c:strCache>
                <c:ptCount val="1"/>
                <c:pt idx="0">
                  <c:v>Points</c:v>
                </c:pt>
              </c:strCache>
            </c:strRef>
          </c:tx>
          <c:invertIfNegative val="1"/>
          <c:cat>
            <c:strRef>
              <c:f>OL!$B$2:$B$16</c:f>
              <c:strCache>
                <c:ptCount val="15"/>
                <c:pt idx="0">
                  <c:v>Prashant Veer</c:v>
                </c:pt>
                <c:pt idx="1">
                  <c:v>Ruturaj Gaikwad</c:v>
                </c:pt>
                <c:pt idx="2">
                  <c:v>Axar Patel</c:v>
                </c:pt>
                <c:pt idx="3">
                  <c:v>Abhishek Porel</c:v>
                </c:pt>
                <c:pt idx="4">
                  <c:v>KL Rahul</c:v>
                </c:pt>
                <c:pt idx="5">
                  <c:v>Rashid Khan</c:v>
                </c:pt>
                <c:pt idx="6">
                  <c:v>Cameron Green</c:v>
                </c:pt>
                <c:pt idx="7">
                  <c:v>Varun Chakaravarthy</c:v>
                </c:pt>
                <c:pt idx="8">
                  <c:v>Digvesh Singh</c:v>
                </c:pt>
                <c:pt idx="9">
                  <c:v>Rishabh Pant</c:v>
                </c:pt>
                <c:pt idx="10">
                  <c:v>Arshdeep Singh</c:v>
                </c:pt>
                <c:pt idx="11">
                  <c:v>Krunal Pandya</c:v>
                </c:pt>
                <c:pt idx="12">
                  <c:v>Rajat Patidar</c:v>
                </c:pt>
                <c:pt idx="13">
                  <c:v>Yashaswi Jaiswal</c:v>
                </c:pt>
                <c:pt idx="14">
                  <c:v>Travis Head</c:v>
                </c:pt>
              </c:strCache>
            </c:strRef>
          </c:cat>
          <c:val>
            <c:numRef>
              <c:f>OL!$H$2:$H$16</c:f>
              <c:numCache>
                <c:formatCode>General</c:formatCode>
                <c:ptCount val="15"/>
                <c:pt idx="0">
                  <c:v>139</c:v>
                </c:pt>
                <c:pt idx="1">
                  <c:v>532</c:v>
                </c:pt>
                <c:pt idx="2">
                  <c:v>724</c:v>
                </c:pt>
                <c:pt idx="3">
                  <c:v>157</c:v>
                </c:pt>
                <c:pt idx="4">
                  <c:v>903</c:v>
                </c:pt>
                <c:pt idx="5">
                  <c:v>874</c:v>
                </c:pt>
                <c:pt idx="6">
                  <c:v>752</c:v>
                </c:pt>
                <c:pt idx="7">
                  <c:v>433</c:v>
                </c:pt>
                <c:pt idx="8">
                  <c:v>245</c:v>
                </c:pt>
                <c:pt idx="9">
                  <c:v>560</c:v>
                </c:pt>
                <c:pt idx="10">
                  <c:v>536</c:v>
                </c:pt>
                <c:pt idx="11">
                  <c:v>836</c:v>
                </c:pt>
                <c:pt idx="12">
                  <c:v>845</c:v>
                </c:pt>
                <c:pt idx="13">
                  <c:v>693</c:v>
                </c:pt>
                <c:pt idx="14">
                  <c:v>653</c:v>
                </c:pt>
              </c:numCache>
            </c:numRef>
          </c:val>
          <c:extLst>
            <c:ext xmlns:c16="http://schemas.microsoft.com/office/drawing/2014/chart" uri="{C3380CC4-5D6E-409C-BE32-E72D297353CC}">
              <c16:uniqueId val="{00000000-CE58-48CF-8BE2-9760B12FE818}"/>
            </c:ext>
          </c:extLst>
        </c:ser>
        <c:dLbls>
          <c:showLegendKey val="0"/>
          <c:showVal val="0"/>
          <c:showCatName val="0"/>
          <c:showSerName val="0"/>
          <c:showPercent val="0"/>
          <c:showBubbleSize val="0"/>
        </c:dLbls>
        <c:gapWidth val="150"/>
        <c:shape val="box"/>
        <c:axId val="376847007"/>
        <c:axId val="146881166"/>
        <c:axId val="0"/>
      </c:bar3DChart>
      <c:bar3DChart>
        <c:barDir val="col"/>
        <c:grouping val="clustered"/>
        <c:varyColors val="1"/>
        <c:ser>
          <c:idx val="0"/>
          <c:order val="0"/>
          <c:tx>
            <c:strRef>
              <c:f>OL!$H$1</c:f>
              <c:strCache>
                <c:ptCount val="1"/>
                <c:pt idx="0">
                  <c:v>Points</c:v>
                </c:pt>
              </c:strCache>
            </c:strRef>
          </c:tx>
          <c:spPr>
            <a:solidFill>
              <a:srgbClr val="4A86E8"/>
            </a:solidFill>
            <a:ln cmpd="sng">
              <a:solidFill>
                <a:srgbClr val="000000"/>
              </a:solidFill>
            </a:ln>
          </c:spPr>
          <c:invertIfNegative val="1"/>
          <c:dPt>
            <c:idx val="0"/>
            <c:invertIfNegative val="1"/>
            <c:bubble3D val="0"/>
            <c:spPr>
              <a:solidFill>
                <a:srgbClr val="CC0000"/>
              </a:solidFill>
              <a:ln cmpd="sng">
                <a:solidFill>
                  <a:srgbClr val="000000"/>
                </a:solidFill>
              </a:ln>
            </c:spPr>
            <c:extLst>
              <c:ext xmlns:c16="http://schemas.microsoft.com/office/drawing/2014/chart" uri="{C3380CC4-5D6E-409C-BE32-E72D297353CC}">
                <c16:uniqueId val="{00000002-CE58-48CF-8BE2-9760B12FE818}"/>
              </c:ext>
            </c:extLst>
          </c:dPt>
          <c:dPt>
            <c:idx val="1"/>
            <c:invertIfNegative val="1"/>
            <c:bubble3D val="0"/>
            <c:extLst>
              <c:ext xmlns:c16="http://schemas.microsoft.com/office/drawing/2014/chart" uri="{C3380CC4-5D6E-409C-BE32-E72D297353CC}">
                <c16:uniqueId val="{00000003-CE58-48CF-8BE2-9760B12FE818}"/>
              </c:ext>
            </c:extLst>
          </c:dPt>
          <c:dPt>
            <c:idx val="2"/>
            <c:invertIfNegative val="1"/>
            <c:bubble3D val="0"/>
            <c:extLst>
              <c:ext xmlns:c16="http://schemas.microsoft.com/office/drawing/2014/chart" uri="{C3380CC4-5D6E-409C-BE32-E72D297353CC}">
                <c16:uniqueId val="{00000004-CE58-48CF-8BE2-9760B12FE818}"/>
              </c:ext>
            </c:extLst>
          </c:dPt>
          <c:dPt>
            <c:idx val="3"/>
            <c:invertIfNegative val="1"/>
            <c:bubble3D val="0"/>
            <c:spPr>
              <a:solidFill>
                <a:srgbClr val="CC0000"/>
              </a:solidFill>
              <a:ln cmpd="sng">
                <a:solidFill>
                  <a:srgbClr val="000000"/>
                </a:solidFill>
              </a:ln>
            </c:spPr>
            <c:extLst>
              <c:ext xmlns:c16="http://schemas.microsoft.com/office/drawing/2014/chart" uri="{C3380CC4-5D6E-409C-BE32-E72D297353CC}">
                <c16:uniqueId val="{00000006-CE58-48CF-8BE2-9760B12FE818}"/>
              </c:ext>
            </c:extLst>
          </c:dPt>
          <c:dPt>
            <c:idx val="5"/>
            <c:invertIfNegative val="1"/>
            <c:bubble3D val="0"/>
            <c:spPr>
              <a:solidFill>
                <a:srgbClr val="F1C232"/>
              </a:solidFill>
              <a:ln cmpd="sng">
                <a:solidFill>
                  <a:srgbClr val="000000"/>
                </a:solidFill>
              </a:ln>
            </c:spPr>
            <c:extLst>
              <c:ext xmlns:c16="http://schemas.microsoft.com/office/drawing/2014/chart" uri="{C3380CC4-5D6E-409C-BE32-E72D297353CC}">
                <c16:uniqueId val="{00000008-CE58-48CF-8BE2-9760B12FE818}"/>
              </c:ext>
            </c:extLst>
          </c:dPt>
          <c:dPt>
            <c:idx val="6"/>
            <c:invertIfNegative val="1"/>
            <c:bubble3D val="0"/>
            <c:extLst>
              <c:ext xmlns:c16="http://schemas.microsoft.com/office/drawing/2014/chart" uri="{C3380CC4-5D6E-409C-BE32-E72D297353CC}">
                <c16:uniqueId val="{00000009-CE58-48CF-8BE2-9760B12FE818}"/>
              </c:ext>
            </c:extLst>
          </c:dPt>
          <c:dPt>
            <c:idx val="7"/>
            <c:invertIfNegative val="1"/>
            <c:bubble3D val="0"/>
            <c:spPr>
              <a:solidFill>
                <a:srgbClr val="CC0000"/>
              </a:solidFill>
              <a:ln cmpd="sng">
                <a:solidFill>
                  <a:srgbClr val="000000"/>
                </a:solidFill>
              </a:ln>
            </c:spPr>
            <c:extLst>
              <c:ext xmlns:c16="http://schemas.microsoft.com/office/drawing/2014/chart" uri="{C3380CC4-5D6E-409C-BE32-E72D297353CC}">
                <c16:uniqueId val="{0000000B-CE58-48CF-8BE2-9760B12FE818}"/>
              </c:ext>
            </c:extLst>
          </c:dPt>
          <c:dPt>
            <c:idx val="8"/>
            <c:invertIfNegative val="1"/>
            <c:bubble3D val="0"/>
            <c:extLst>
              <c:ext xmlns:c16="http://schemas.microsoft.com/office/drawing/2014/chart" uri="{C3380CC4-5D6E-409C-BE32-E72D297353CC}">
                <c16:uniqueId val="{0000000C-CE58-48CF-8BE2-9760B12FE818}"/>
              </c:ext>
            </c:extLst>
          </c:dPt>
          <c:dPt>
            <c:idx val="9"/>
            <c:invertIfNegative val="1"/>
            <c:bubble3D val="0"/>
            <c:spPr>
              <a:solidFill>
                <a:srgbClr val="F1C232"/>
              </a:solidFill>
              <a:ln cmpd="sng">
                <a:solidFill>
                  <a:srgbClr val="000000"/>
                </a:solidFill>
              </a:ln>
            </c:spPr>
            <c:extLst>
              <c:ext xmlns:c16="http://schemas.microsoft.com/office/drawing/2014/chart" uri="{C3380CC4-5D6E-409C-BE32-E72D297353CC}">
                <c16:uniqueId val="{0000000E-CE58-48CF-8BE2-9760B12FE818}"/>
              </c:ext>
            </c:extLst>
          </c:dPt>
          <c:dPt>
            <c:idx val="10"/>
            <c:invertIfNegative val="1"/>
            <c:bubble3D val="0"/>
            <c:spPr>
              <a:solidFill>
                <a:srgbClr val="F1C232"/>
              </a:solidFill>
              <a:ln cmpd="sng">
                <a:solidFill>
                  <a:srgbClr val="000000"/>
                </a:solidFill>
              </a:ln>
            </c:spPr>
            <c:extLst>
              <c:ext xmlns:c16="http://schemas.microsoft.com/office/drawing/2014/chart" uri="{C3380CC4-5D6E-409C-BE32-E72D297353CC}">
                <c16:uniqueId val="{00000010-CE58-48CF-8BE2-9760B12FE818}"/>
              </c:ext>
            </c:extLst>
          </c:dPt>
          <c:dPt>
            <c:idx val="11"/>
            <c:invertIfNegative val="1"/>
            <c:bubble3D val="0"/>
            <c:spPr>
              <a:solidFill>
                <a:srgbClr val="6AA84F"/>
              </a:solidFill>
              <a:ln cmpd="sng">
                <a:solidFill>
                  <a:srgbClr val="000000"/>
                </a:solidFill>
              </a:ln>
            </c:spPr>
            <c:extLst>
              <c:ext xmlns:c16="http://schemas.microsoft.com/office/drawing/2014/chart" uri="{C3380CC4-5D6E-409C-BE32-E72D297353CC}">
                <c16:uniqueId val="{00000012-CE58-48CF-8BE2-9760B12FE818}"/>
              </c:ext>
            </c:extLst>
          </c:dPt>
          <c:dPt>
            <c:idx val="12"/>
            <c:invertIfNegative val="1"/>
            <c:bubble3D val="0"/>
            <c:spPr>
              <a:solidFill>
                <a:srgbClr val="6AA84F"/>
              </a:solidFill>
              <a:ln cmpd="sng">
                <a:solidFill>
                  <a:srgbClr val="000000"/>
                </a:solidFill>
              </a:ln>
            </c:spPr>
            <c:extLst>
              <c:ext xmlns:c16="http://schemas.microsoft.com/office/drawing/2014/chart" uri="{C3380CC4-5D6E-409C-BE32-E72D297353CC}">
                <c16:uniqueId val="{00000014-CE58-48CF-8BE2-9760B12FE818}"/>
              </c:ext>
            </c:extLst>
          </c:dPt>
          <c:dPt>
            <c:idx val="13"/>
            <c:invertIfNegative val="1"/>
            <c:bubble3D val="0"/>
            <c:spPr>
              <a:solidFill>
                <a:srgbClr val="6AA84F"/>
              </a:solidFill>
              <a:ln cmpd="sng">
                <a:solidFill>
                  <a:srgbClr val="000000"/>
                </a:solidFill>
              </a:ln>
            </c:spPr>
            <c:extLst>
              <c:ext xmlns:c16="http://schemas.microsoft.com/office/drawing/2014/chart" uri="{C3380CC4-5D6E-409C-BE32-E72D297353CC}">
                <c16:uniqueId val="{00000016-CE58-48CF-8BE2-9760B12FE818}"/>
              </c:ext>
            </c:extLst>
          </c:dPt>
          <c:cat>
            <c:strRef>
              <c:f>OL!$B$2:$B$16</c:f>
              <c:strCache>
                <c:ptCount val="15"/>
                <c:pt idx="0">
                  <c:v>Prashant Veer</c:v>
                </c:pt>
                <c:pt idx="1">
                  <c:v>Ruturaj Gaikwad</c:v>
                </c:pt>
                <c:pt idx="2">
                  <c:v>Axar Patel</c:v>
                </c:pt>
                <c:pt idx="3">
                  <c:v>Abhishek Porel</c:v>
                </c:pt>
                <c:pt idx="4">
                  <c:v>KL Rahul</c:v>
                </c:pt>
                <c:pt idx="5">
                  <c:v>Rashid Khan</c:v>
                </c:pt>
                <c:pt idx="6">
                  <c:v>Cameron Green</c:v>
                </c:pt>
                <c:pt idx="7">
                  <c:v>Varun Chakaravarthy</c:v>
                </c:pt>
                <c:pt idx="8">
                  <c:v>Digvesh Singh</c:v>
                </c:pt>
                <c:pt idx="9">
                  <c:v>Rishabh Pant</c:v>
                </c:pt>
                <c:pt idx="10">
                  <c:v>Arshdeep Singh</c:v>
                </c:pt>
                <c:pt idx="11">
                  <c:v>Krunal Pandya</c:v>
                </c:pt>
                <c:pt idx="12">
                  <c:v>Rajat Patidar</c:v>
                </c:pt>
                <c:pt idx="13">
                  <c:v>Yashaswi Jaiswal</c:v>
                </c:pt>
                <c:pt idx="14">
                  <c:v>Travis Head</c:v>
                </c:pt>
              </c:strCache>
            </c:strRef>
          </c:cat>
          <c:val>
            <c:numRef>
              <c:f>OL!$H$2:$H$16</c:f>
              <c:numCache>
                <c:formatCode>General</c:formatCode>
                <c:ptCount val="15"/>
                <c:pt idx="0">
                  <c:v>139</c:v>
                </c:pt>
                <c:pt idx="1">
                  <c:v>532</c:v>
                </c:pt>
                <c:pt idx="2">
                  <c:v>724</c:v>
                </c:pt>
                <c:pt idx="3">
                  <c:v>157</c:v>
                </c:pt>
                <c:pt idx="4">
                  <c:v>903</c:v>
                </c:pt>
                <c:pt idx="5">
                  <c:v>874</c:v>
                </c:pt>
                <c:pt idx="6">
                  <c:v>752</c:v>
                </c:pt>
                <c:pt idx="7">
                  <c:v>433</c:v>
                </c:pt>
                <c:pt idx="8">
                  <c:v>245</c:v>
                </c:pt>
                <c:pt idx="9">
                  <c:v>560</c:v>
                </c:pt>
                <c:pt idx="10">
                  <c:v>536</c:v>
                </c:pt>
                <c:pt idx="11">
                  <c:v>836</c:v>
                </c:pt>
                <c:pt idx="12">
                  <c:v>845</c:v>
                </c:pt>
                <c:pt idx="13">
                  <c:v>693</c:v>
                </c:pt>
                <c:pt idx="14">
                  <c:v>653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7-CE58-48CF-8BE2-9760B12FE818}"/>
            </c:ext>
          </c:extLst>
        </c:ser>
        <c:dLbls>
          <c:showLegendKey val="0"/>
          <c:showVal val="0"/>
          <c:showCatName val="0"/>
          <c:showSerName val="0"/>
          <c:showPercent val="0"/>
          <c:showBubbleSize val="0"/>
        </c:dLbls>
        <c:gapWidth val="150"/>
        <c:shape val="box"/>
        <c:axId val="743060868"/>
        <c:axId val="693270661"/>
        <c:axId val="0"/>
      </c:bar3DChart>
      <c:catAx>
        <c:axId val="376847007"/>
        <c:scaling>
          <c:orientation val="minMax"/>
        </c:scaling>
        <c:delete val="0"/>
        <c:axPos val="b"/>
        <c:title>
          <c:tx>
            <c:rich>
              <a:bodyPr/>
              <a:lstStyle/>
              <a:p>
                <a:pPr lvl="0">
                  <a:defRPr sz="1600" b="0">
                    <a:solidFill>
                      <a:srgbClr val="000000"/>
                    </a:solidFill>
                    <a:latin typeface="Arial black"/>
                  </a:defRPr>
                </a:pPr>
                <a:r>
                  <a:rPr sz="1600" b="0">
                    <a:solidFill>
                      <a:srgbClr val="000000"/>
                    </a:solidFill>
                    <a:latin typeface="Arial black"/>
                  </a:rPr>
                  <a:t>Player Name</a:t>
                </a:r>
              </a:p>
            </c:rich>
          </c:tx>
          <c:overlay val="0"/>
        </c:title>
        <c:numFmt formatCode="General" sourceLinked="1"/>
        <c:majorTickMark val="none"/>
        <c:minorTickMark val="none"/>
        <c:tickLblPos val="nextTo"/>
        <c:txPr>
          <a:bodyPr/>
          <a:lstStyle/>
          <a:p>
            <a:pPr lvl="0">
              <a:defRPr b="0">
                <a:solidFill>
                  <a:srgbClr val="000000"/>
                </a:solidFill>
                <a:latin typeface="sans-serif"/>
              </a:defRPr>
            </a:pPr>
            <a:endParaRPr lang="en-US"/>
          </a:p>
        </c:txPr>
        <c:crossAx val="146881166"/>
        <c:crosses val="autoZero"/>
        <c:auto val="1"/>
        <c:lblAlgn val="ctr"/>
        <c:lblOffset val="100"/>
        <c:noMultiLvlLbl val="1"/>
      </c:catAx>
      <c:valAx>
        <c:axId val="146881166"/>
        <c:scaling>
          <c:orientation val="minMax"/>
        </c:scaling>
        <c:delete val="0"/>
        <c:axPos val="l"/>
        <c:numFmt formatCode="General" sourceLinked="1"/>
        <c:majorTickMark val="cross"/>
        <c:minorTickMark val="cross"/>
        <c:tickLblPos val="nextTo"/>
        <c:spPr>
          <a:ln>
            <a:noFill/>
          </a:ln>
        </c:spPr>
        <c:crossAx val="376847007"/>
        <c:crosses val="autoZero"/>
        <c:crossBetween val="between"/>
      </c:valAx>
      <c:catAx>
        <c:axId val="743060868"/>
        <c:scaling>
          <c:orientation val="minMax"/>
        </c:scaling>
        <c:delete val="0"/>
        <c:axPos val="b"/>
        <c:numFmt formatCode="General" sourceLinked="1"/>
        <c:majorTickMark val="none"/>
        <c:minorTickMark val="none"/>
        <c:tickLblPos val="nextTo"/>
        <c:txPr>
          <a:bodyPr/>
          <a:lstStyle/>
          <a:p>
            <a:pPr lvl="0">
              <a:defRPr b="0">
                <a:solidFill>
                  <a:srgbClr val="000000"/>
                </a:solidFill>
                <a:latin typeface="sans-serif"/>
              </a:defRPr>
            </a:pPr>
            <a:endParaRPr lang="en-US"/>
          </a:p>
        </c:txPr>
        <c:crossAx val="693270661"/>
        <c:crosses val="autoZero"/>
        <c:auto val="1"/>
        <c:lblAlgn val="ctr"/>
        <c:lblOffset val="100"/>
        <c:noMultiLvlLbl val="1"/>
      </c:catAx>
      <c:valAx>
        <c:axId val="69327066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endParaRPr/>
              </a:p>
            </c:rich>
          </c:tx>
          <c:overlay val="0"/>
        </c:title>
        <c:numFmt formatCode="General" sourceLinked="1"/>
        <c:majorTickMark val="in"/>
        <c:minorTickMark val="none"/>
        <c:tickLblPos val="nextTo"/>
        <c:spPr>
          <a:ln/>
        </c:spPr>
        <c:txPr>
          <a:bodyPr/>
          <a:lstStyle/>
          <a:p>
            <a:pPr lvl="0">
              <a:defRPr b="0">
                <a:solidFill>
                  <a:srgbClr val="000000"/>
                </a:solidFill>
                <a:latin typeface="sans-serif"/>
              </a:defRPr>
            </a:pPr>
            <a:endParaRPr lang="en-US"/>
          </a:p>
        </c:txPr>
        <c:crossAx val="743060868"/>
        <c:crosses val="max"/>
        <c:crossBetween val="between"/>
      </c:valAx>
    </c:plotArea>
    <c:legend>
      <c:legendPos val="r"/>
      <c:overlay val="0"/>
      <c:txPr>
        <a:bodyPr/>
        <a:lstStyle/>
        <a:p>
          <a:pPr lvl="0">
            <a:defRPr b="0">
              <a:solidFill>
                <a:srgbClr val="1A1A1A"/>
              </a:solidFill>
              <a:latin typeface="sans-serif"/>
            </a:defRPr>
          </a:pPr>
          <a:endParaRPr lang="en-US"/>
        </a:p>
      </c:txPr>
    </c:legend>
    <c:plotVisOnly val="0"/>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jpg"/><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8.jp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1.jpg"/><Relationship Id="rId5" Type="http://schemas.openxmlformats.org/officeDocument/2006/relationships/image" Target="../media/image10.png"/><Relationship Id="rId4" Type="http://schemas.openxmlformats.org/officeDocument/2006/relationships/image" Target="../media/image9.jp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g"/><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image" Target="../media/image14.jpg"/><Relationship Id="rId4" Type="http://schemas.openxmlformats.org/officeDocument/2006/relationships/image" Target="../media/image13.jp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17.png"/><Relationship Id="rId4"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jpg"/><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image" Target="../media/image19.jpg"/></Relationships>
</file>

<file path=xl/drawings/_rels/drawing7.xml.rels><?xml version="1.0" encoding="UTF-8" standalone="yes"?>
<Relationships xmlns="http://schemas.openxmlformats.org/package/2006/relationships"><Relationship Id="rId8" Type="http://schemas.openxmlformats.org/officeDocument/2006/relationships/image" Target="../media/image14.jpg"/><Relationship Id="rId3" Type="http://schemas.openxmlformats.org/officeDocument/2006/relationships/chart" Target="../charts/chart13.xml"/><Relationship Id="rId7" Type="http://schemas.openxmlformats.org/officeDocument/2006/relationships/image" Target="../media/image19.jpg"/><Relationship Id="rId2" Type="http://schemas.openxmlformats.org/officeDocument/2006/relationships/chart" Target="../charts/chart12.xml"/><Relationship Id="rId1" Type="http://schemas.openxmlformats.org/officeDocument/2006/relationships/image" Target="../media/image20.png"/><Relationship Id="rId6" Type="http://schemas.openxmlformats.org/officeDocument/2006/relationships/chart" Target="../charts/chart16.xml"/><Relationship Id="rId11" Type="http://schemas.openxmlformats.org/officeDocument/2006/relationships/image" Target="../media/image11.jpg"/><Relationship Id="rId5" Type="http://schemas.openxmlformats.org/officeDocument/2006/relationships/chart" Target="../charts/chart15.xml"/><Relationship Id="rId10" Type="http://schemas.openxmlformats.org/officeDocument/2006/relationships/image" Target="../media/image17.png"/><Relationship Id="rId4" Type="http://schemas.openxmlformats.org/officeDocument/2006/relationships/chart" Target="../charts/chart14.xml"/><Relationship Id="rId9"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oneCellAnchor>
    <xdr:from>
      <xdr:col>5</xdr:col>
      <xdr:colOff>0</xdr:colOff>
      <xdr:row>7</xdr:row>
      <xdr:rowOff>666750</xdr:rowOff>
    </xdr:from>
    <xdr:ext cx="12487275" cy="6276975"/>
    <xdr:pic>
      <xdr:nvPicPr>
        <xdr:cNvPr id="379336212" name="Chart1" title="Chart">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1276350</xdr:colOff>
      <xdr:row>0</xdr:row>
      <xdr:rowOff>0</xdr:rowOff>
    </xdr:from>
    <xdr:ext cx="2847975" cy="2847975"/>
    <xdr:pic>
      <xdr:nvPicPr>
        <xdr:cNvPr id="2" name="image2.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20</xdr:col>
      <xdr:colOff>152400</xdr:colOff>
      <xdr:row>0</xdr:row>
      <xdr:rowOff>0</xdr:rowOff>
    </xdr:from>
    <xdr:ext cx="7058025" cy="3990975"/>
    <xdr:graphicFrame macro="">
      <xdr:nvGraphicFramePr>
        <xdr:cNvPr id="2"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95250</xdr:colOff>
      <xdr:row>26</xdr:row>
      <xdr:rowOff>161925</xdr:rowOff>
    </xdr:from>
    <xdr:ext cx="12744450" cy="3857625"/>
    <xdr:graphicFrame macro="">
      <xdr:nvGraphicFramePr>
        <xdr:cNvPr id="3" name="Chart 3" title="Poin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11</xdr:col>
      <xdr:colOff>876300</xdr:colOff>
      <xdr:row>38</xdr:row>
      <xdr:rowOff>200025</xdr:rowOff>
    </xdr:from>
    <xdr:ext cx="5657850" cy="2686050"/>
    <xdr:pic>
      <xdr:nvPicPr>
        <xdr:cNvPr id="1115309133" name="Chart4" title="Chart">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14</xdr:col>
      <xdr:colOff>28575</xdr:colOff>
      <xdr:row>15</xdr:row>
      <xdr:rowOff>76200</xdr:rowOff>
    </xdr:from>
    <xdr:ext cx="3743325" cy="2495550"/>
    <xdr:graphicFrame macro="">
      <xdr:nvGraphicFramePr>
        <xdr:cNvPr id="5" name="Chart 5"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657225</xdr:colOff>
      <xdr:row>99</xdr:row>
      <xdr:rowOff>66675</xdr:rowOff>
    </xdr:from>
    <xdr:ext cx="3343275" cy="3343275"/>
    <xdr:pic>
      <xdr:nvPicPr>
        <xdr:cNvPr id="4" name="image1.jp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76200</xdr:colOff>
      <xdr:row>100</xdr:row>
      <xdr:rowOff>19050</xdr:rowOff>
    </xdr:from>
    <xdr:ext cx="2990850" cy="3009900"/>
    <xdr:pic>
      <xdr:nvPicPr>
        <xdr:cNvPr id="6" name="image14.png" title="Image"/>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400050</xdr:colOff>
      <xdr:row>100</xdr:row>
      <xdr:rowOff>66675</xdr:rowOff>
    </xdr:from>
    <xdr:ext cx="2990850" cy="3009900"/>
    <xdr:pic>
      <xdr:nvPicPr>
        <xdr:cNvPr id="7" name="image4.png" title="Image"/>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14</xdr:col>
      <xdr:colOff>542925</xdr:colOff>
      <xdr:row>3</xdr:row>
      <xdr:rowOff>85725</xdr:rowOff>
    </xdr:from>
    <xdr:ext cx="2714625" cy="2686050"/>
    <xdr:pic>
      <xdr:nvPicPr>
        <xdr:cNvPr id="8" name="image3.png" title="Image"/>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190500</xdr:colOff>
      <xdr:row>26</xdr:row>
      <xdr:rowOff>28575</xdr:rowOff>
    </xdr:from>
    <xdr:ext cx="13020675" cy="3800475"/>
    <xdr:graphicFrame macro="">
      <xdr:nvGraphicFramePr>
        <xdr:cNvPr id="6" name="Chart 6"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619125</xdr:colOff>
      <xdr:row>38</xdr:row>
      <xdr:rowOff>104775</xdr:rowOff>
    </xdr:from>
    <xdr:ext cx="3743325" cy="2495550"/>
    <xdr:graphicFrame macro="">
      <xdr:nvGraphicFramePr>
        <xdr:cNvPr id="7" name="Chart 7"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16</xdr:col>
      <xdr:colOff>228600</xdr:colOff>
      <xdr:row>132</xdr:row>
      <xdr:rowOff>114300</xdr:rowOff>
    </xdr:from>
    <xdr:ext cx="3105150" cy="3105150"/>
    <xdr:pic>
      <xdr:nvPicPr>
        <xdr:cNvPr id="2" name="image7.jp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19</xdr:col>
      <xdr:colOff>523875</xdr:colOff>
      <xdr:row>132</xdr:row>
      <xdr:rowOff>190500</xdr:rowOff>
    </xdr:from>
    <xdr:ext cx="2857500" cy="2943225"/>
    <xdr:pic>
      <xdr:nvPicPr>
        <xdr:cNvPr id="3" name="image6.jp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17</xdr:col>
      <xdr:colOff>962025</xdr:colOff>
      <xdr:row>115</xdr:row>
      <xdr:rowOff>171450</xdr:rowOff>
    </xdr:from>
    <xdr:ext cx="2857500" cy="2876550"/>
    <xdr:pic>
      <xdr:nvPicPr>
        <xdr:cNvPr id="4" name="image12.pn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15</xdr:col>
      <xdr:colOff>476250</xdr:colOff>
      <xdr:row>2</xdr:row>
      <xdr:rowOff>180975</xdr:rowOff>
    </xdr:from>
    <xdr:ext cx="2905125" cy="2876550"/>
    <xdr:pic>
      <xdr:nvPicPr>
        <xdr:cNvPr id="5" name="image5.jpg" title="Image"/>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133350</xdr:colOff>
      <xdr:row>27</xdr:row>
      <xdr:rowOff>38100</xdr:rowOff>
    </xdr:from>
    <xdr:ext cx="13192125" cy="4000500"/>
    <xdr:graphicFrame macro="">
      <xdr:nvGraphicFramePr>
        <xdr:cNvPr id="8" name="Chart 8"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1047750</xdr:colOff>
      <xdr:row>35</xdr:row>
      <xdr:rowOff>66675</xdr:rowOff>
    </xdr:from>
    <xdr:ext cx="3743325" cy="2495550"/>
    <xdr:graphicFrame macro="">
      <xdr:nvGraphicFramePr>
        <xdr:cNvPr id="9" name="Chart 9"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24</xdr:col>
      <xdr:colOff>600075</xdr:colOff>
      <xdr:row>95</xdr:row>
      <xdr:rowOff>76200</xdr:rowOff>
    </xdr:from>
    <xdr:ext cx="2628900" cy="2628900"/>
    <xdr:grpSp>
      <xdr:nvGrpSpPr>
        <xdr:cNvPr id="2" name="Shape 2" title="Drawing"/>
        <xdr:cNvGrpSpPr/>
      </xdr:nvGrpSpPr>
      <xdr:grpSpPr>
        <a:xfrm>
          <a:off x="152400" y="152400"/>
          <a:ext cx="4303875" cy="4303875"/>
          <a:chOff x="152400" y="152400"/>
          <a:chExt cx="4303875" cy="4303875"/>
        </a:xfrm>
      </xdr:grpSpPr>
      <xdr:pic>
        <xdr:nvPicPr>
          <xdr:cNvPr id="3" name="Shape 3" title="815CECFB-5347-4A04-9368-C122428B5FD7.webp"/>
          <xdr:cNvPicPr preferRelativeResize="0"/>
        </xdr:nvPicPr>
        <xdr:blipFill>
          <a:blip xmlns:r="http://schemas.openxmlformats.org/officeDocument/2006/relationships" r:embed="rId3">
            <a:alphaModFix/>
          </a:blip>
          <a:stretch>
            <a:fillRect/>
          </a:stretch>
        </xdr:blipFill>
        <xdr:spPr>
          <a:xfrm>
            <a:off x="152400" y="152400"/>
            <a:ext cx="4303875" cy="4303875"/>
          </a:xfrm>
          <a:prstGeom prst="rect">
            <a:avLst/>
          </a:prstGeom>
          <a:noFill/>
          <a:ln>
            <a:noFill/>
          </a:ln>
        </xdr:spPr>
      </xdr:pic>
    </xdr:grpSp>
    <xdr:clientData fLocksWithSheet="0"/>
  </xdr:oneCellAnchor>
  <xdr:oneCellAnchor>
    <xdr:from>
      <xdr:col>24</xdr:col>
      <xdr:colOff>762000</xdr:colOff>
      <xdr:row>94</xdr:row>
      <xdr:rowOff>123825</xdr:rowOff>
    </xdr:from>
    <xdr:ext cx="2781300" cy="2781300"/>
    <xdr:pic>
      <xdr:nvPicPr>
        <xdr:cNvPr id="4" name="image8.jp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14</xdr:col>
      <xdr:colOff>295275</xdr:colOff>
      <xdr:row>2</xdr:row>
      <xdr:rowOff>133350</xdr:rowOff>
    </xdr:from>
    <xdr:ext cx="2943225" cy="2781300"/>
    <xdr:pic>
      <xdr:nvPicPr>
        <xdr:cNvPr id="5" name="image9.jp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19050</xdr:colOff>
      <xdr:row>25</xdr:row>
      <xdr:rowOff>28575</xdr:rowOff>
    </xdr:from>
    <xdr:ext cx="12763500" cy="3981450"/>
    <xdr:graphicFrame macro="">
      <xdr:nvGraphicFramePr>
        <xdr:cNvPr id="10" name="Chart 10"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638175</xdr:colOff>
      <xdr:row>34</xdr:row>
      <xdr:rowOff>85725</xdr:rowOff>
    </xdr:from>
    <xdr:ext cx="3743325" cy="2495550"/>
    <xdr:graphicFrame macro="">
      <xdr:nvGraphicFramePr>
        <xdr:cNvPr id="11" name="Chart 1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333375</xdr:colOff>
      <xdr:row>102</xdr:row>
      <xdr:rowOff>180975</xdr:rowOff>
    </xdr:from>
    <xdr:ext cx="3095625" cy="3095625"/>
    <xdr:pic>
      <xdr:nvPicPr>
        <xdr:cNvPr id="2" name="image11.pn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542925</xdr:colOff>
      <xdr:row>103</xdr:row>
      <xdr:rowOff>85725</xdr:rowOff>
    </xdr:from>
    <xdr:ext cx="3000375" cy="2990850"/>
    <xdr:pic>
      <xdr:nvPicPr>
        <xdr:cNvPr id="3" name="image10.pn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14</xdr:col>
      <xdr:colOff>457200</xdr:colOff>
      <xdr:row>2</xdr:row>
      <xdr:rowOff>247650</xdr:rowOff>
    </xdr:from>
    <xdr:ext cx="2867025" cy="2857500"/>
    <xdr:pic>
      <xdr:nvPicPr>
        <xdr:cNvPr id="4" name="image13.pn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26</xdr:row>
      <xdr:rowOff>9525</xdr:rowOff>
    </xdr:from>
    <xdr:ext cx="12849225" cy="3981450"/>
    <xdr:graphicFrame macro="">
      <xdr:nvGraphicFramePr>
        <xdr:cNvPr id="12" name="Chart 1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523875</xdr:colOff>
      <xdr:row>35</xdr:row>
      <xdr:rowOff>76200</xdr:rowOff>
    </xdr:from>
    <xdr:ext cx="3743325" cy="2495550"/>
    <xdr:graphicFrame macro="">
      <xdr:nvGraphicFramePr>
        <xdr:cNvPr id="13" name="Chart 1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171450</xdr:colOff>
      <xdr:row>141</xdr:row>
      <xdr:rowOff>133350</xdr:rowOff>
    </xdr:from>
    <xdr:ext cx="3095625" cy="3095625"/>
    <xdr:pic>
      <xdr:nvPicPr>
        <xdr:cNvPr id="2" name="image15.jp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14</xdr:col>
      <xdr:colOff>266700</xdr:colOff>
      <xdr:row>2</xdr:row>
      <xdr:rowOff>285750</xdr:rowOff>
    </xdr:from>
    <xdr:ext cx="3019425" cy="3181350"/>
    <xdr:pic>
      <xdr:nvPicPr>
        <xdr:cNvPr id="3" name="image19.jp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38100</xdr:colOff>
      <xdr:row>77</xdr:row>
      <xdr:rowOff>38100</xdr:rowOff>
    </xdr:from>
    <xdr:ext cx="11010900" cy="4486275"/>
    <xdr:pic>
      <xdr:nvPicPr>
        <xdr:cNvPr id="1309239652" name="Chart14" title="Chart">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342900</xdr:colOff>
      <xdr:row>94</xdr:row>
      <xdr:rowOff>209550</xdr:rowOff>
    </xdr:from>
    <xdr:ext cx="12744450" cy="3857625"/>
    <xdr:graphicFrame macro="">
      <xdr:nvGraphicFramePr>
        <xdr:cNvPr id="15" name="Chart 15"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342900</xdr:colOff>
      <xdr:row>131</xdr:row>
      <xdr:rowOff>152400</xdr:rowOff>
    </xdr:from>
    <xdr:ext cx="12744450" cy="3800475"/>
    <xdr:graphicFrame macro="">
      <xdr:nvGraphicFramePr>
        <xdr:cNvPr id="16" name="Chart 16"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342900</xdr:colOff>
      <xdr:row>153</xdr:row>
      <xdr:rowOff>57150</xdr:rowOff>
    </xdr:from>
    <xdr:ext cx="12744450" cy="3800475"/>
    <xdr:graphicFrame macro="">
      <xdr:nvGraphicFramePr>
        <xdr:cNvPr id="17" name="Chart 17"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333375</xdr:colOff>
      <xdr:row>174</xdr:row>
      <xdr:rowOff>200025</xdr:rowOff>
    </xdr:from>
    <xdr:ext cx="12801600" cy="3981450"/>
    <xdr:graphicFrame macro="">
      <xdr:nvGraphicFramePr>
        <xdr:cNvPr id="18" name="Chart 18"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3</xdr:col>
      <xdr:colOff>304800</xdr:colOff>
      <xdr:row>196</xdr:row>
      <xdr:rowOff>200025</xdr:rowOff>
    </xdr:from>
    <xdr:ext cx="12849225" cy="3981450"/>
    <xdr:graphicFrame macro="">
      <xdr:nvGraphicFramePr>
        <xdr:cNvPr id="19" name="Chart 19"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13</xdr:col>
      <xdr:colOff>228600</xdr:colOff>
      <xdr:row>1</xdr:row>
      <xdr:rowOff>180975</xdr:rowOff>
    </xdr:from>
    <xdr:ext cx="1733550" cy="1638300"/>
    <xdr:pic>
      <xdr:nvPicPr>
        <xdr:cNvPr id="2" name="image19.jpg" title="Image"/>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19</xdr:col>
      <xdr:colOff>228600</xdr:colOff>
      <xdr:row>1</xdr:row>
      <xdr:rowOff>133350</xdr:rowOff>
    </xdr:from>
    <xdr:ext cx="1895475" cy="1714500"/>
    <xdr:pic>
      <xdr:nvPicPr>
        <xdr:cNvPr id="3" name="image9.jpg" title="Image"/>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7</xdr:col>
      <xdr:colOff>314325</xdr:colOff>
      <xdr:row>1</xdr:row>
      <xdr:rowOff>171450</xdr:rowOff>
    </xdr:from>
    <xdr:ext cx="1733550" cy="1638300"/>
    <xdr:pic>
      <xdr:nvPicPr>
        <xdr:cNvPr id="4" name="image17.png" title="Image"/>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9</xdr:col>
      <xdr:colOff>266700</xdr:colOff>
      <xdr:row>1</xdr:row>
      <xdr:rowOff>142875</xdr:rowOff>
    </xdr:from>
    <xdr:ext cx="1838325" cy="1714500"/>
    <xdr:pic>
      <xdr:nvPicPr>
        <xdr:cNvPr id="5" name="image18.png" title="Image"/>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15</xdr:col>
      <xdr:colOff>266700</xdr:colOff>
      <xdr:row>1</xdr:row>
      <xdr:rowOff>180975</xdr:rowOff>
    </xdr:from>
    <xdr:ext cx="1733550" cy="1638300"/>
    <xdr:pic>
      <xdr:nvPicPr>
        <xdr:cNvPr id="6" name="image16.jpg" title="Image"/>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7</xdr:col>
      <xdr:colOff>0</xdr:colOff>
      <xdr:row>5</xdr:row>
      <xdr:rowOff>219075</xdr:rowOff>
    </xdr:from>
    <xdr:ext cx="15582900" cy="4800600"/>
    <xdr:pic>
      <xdr:nvPicPr>
        <xdr:cNvPr id="2115065996" name="Chart20" title="Chart">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10</xdr:col>
      <xdr:colOff>342900</xdr:colOff>
      <xdr:row>9</xdr:row>
      <xdr:rowOff>190500</xdr:rowOff>
    </xdr:from>
    <xdr:ext cx="6905625" cy="3533775"/>
    <xdr:pic>
      <xdr:nvPicPr>
        <xdr:cNvPr id="649661746" name="Chart21" title="Chart">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id="1" name="Warriors" displayName="Warriors" ref="A1:M17" totalsRowCount="1">
  <autoFilter ref="A1:M16"/>
  <tableColumns count="13">
    <tableColumn id="1" name="Sr no."/>
    <tableColumn id="2" name="Name"/>
    <tableColumn id="3" name="Type"/>
    <tableColumn id="4" name="Overseas"/>
    <tableColumn id="5" name="Wicketkeeper"/>
    <tableColumn id="6" name="Capped/Uncapped"/>
    <tableColumn id="7" name="Bid Taken(cr)"/>
    <tableColumn id="8" name="Points"/>
    <tableColumn id="9" name="IPL"/>
    <tableColumn id="10" name="Number"/>
    <tableColumn id="11" name="Value"/>
    <tableColumn id="12" name="Compare"/>
    <tableColumn id="13" name="Diff"/>
  </tableColumns>
  <tableStyleInfo name="HW-style" showFirstColumn="1" showLastColumn="1" showRowStripes="1" showColumnStripes="0"/>
</table>
</file>

<file path=xl/tables/table2.xml><?xml version="1.0" encoding="utf-8"?>
<table xmlns="http://schemas.openxmlformats.org/spreadsheetml/2006/main" id="2" name="HWRep" displayName="HWRep" ref="A21:K26">
  <tableColumns count="11">
    <tableColumn id="1" name="Sr no."/>
    <tableColumn id="2" name="Name"/>
    <tableColumn id="3" name="Type"/>
    <tableColumn id="4" name="Overseas"/>
    <tableColumn id="5" name="Wicketkeeper"/>
    <tableColumn id="6" name="Capped/Uncapped"/>
    <tableColumn id="7" name="Bid Taken(cr)"/>
    <tableColumn id="8" name="Points"/>
    <tableColumn id="9" name="IPL"/>
    <tableColumn id="10" name="Number"/>
    <tableColumn id="11" name="Value"/>
  </tableColumns>
  <tableStyleInfo name="HW-style 2" showFirstColumn="1" showLastColumn="1" showRowStripes="1" showColumnStripes="0"/>
</table>
</file>

<file path=xl/tables/table3.xml><?xml version="1.0" encoding="utf-8"?>
<table xmlns="http://schemas.openxmlformats.org/spreadsheetml/2006/main" id="3" name="Unselected" displayName="Unselected" ref="A50:K60">
  <tableColumns count="11">
    <tableColumn id="1" name="Sr no."/>
    <tableColumn id="2" name="Name"/>
    <tableColumn id="3" name="Type"/>
    <tableColumn id="4" name="Overseas"/>
    <tableColumn id="5" name="Wicketkeeper"/>
    <tableColumn id="6" name="Capped/Uncapped"/>
    <tableColumn id="7" name="Bid Taken(cr)"/>
    <tableColumn id="8" name="Points"/>
    <tableColumn id="9" name="IPL"/>
    <tableColumn id="10" name="Number"/>
    <tableColumn id="11" name="Value"/>
  </tableColumns>
  <tableStyleInfo name="HW-style 3" showFirstColumn="1" showLastColumn="1" showRowStripes="1" showColumnStripes="0"/>
</table>
</file>

<file path=xl/tables/table4.xml><?xml version="1.0" encoding="utf-8"?>
<table xmlns="http://schemas.openxmlformats.org/spreadsheetml/2006/main" id="4" name="Strikers" displayName="Strikers" ref="A1:M17" totalsRowCount="1">
  <autoFilter ref="A1:M16"/>
  <tableColumns count="13">
    <tableColumn id="1" name="Sr no."/>
    <tableColumn id="2" name="Name"/>
    <tableColumn id="3" name="Type"/>
    <tableColumn id="4" name="Overseas"/>
    <tableColumn id="5" name="Wicketkeeper"/>
    <tableColumn id="6" name="Capped/Uncapped"/>
    <tableColumn id="7" name="Bid Taken" totalsRowLabel="TOP 12"/>
    <tableColumn id="8" name="Points" totalsRowFunction="custom">
      <totalsRowFormula>SUM(LARGE(H2:H16, 1),LARGE(H2:H16,2),LARGE(H2:H16,3),LARGE(H2:H16,4),LARGE(H2:H16,5),LARGE(H2:H16, 6),LARGE(H2:H16,7),LARGE(H2:H16,8),LARGE(H2:H16,9),LARGE(H2:H16,10),LARGE(H2:H16,11),LARGE(H2:H16,12))</totalsRowFormula>
    </tableColumn>
    <tableColumn id="9" name="IPL"/>
    <tableColumn id="10" name="Number"/>
    <tableColumn id="11" name="Value"/>
    <tableColumn id="12" name="Compare"/>
    <tableColumn id="13" name="diff"/>
  </tableColumns>
  <tableStyleInfo name="AS-style" showFirstColumn="1" showLastColumn="1" showRowStripes="1" showColumnStripes="0"/>
</table>
</file>

<file path=xl/tables/table5.xml><?xml version="1.0" encoding="utf-8"?>
<table xmlns="http://schemas.openxmlformats.org/spreadsheetml/2006/main" id="6" name="ASRep" displayName="ASRep" ref="A22:K24">
  <tableColumns count="11">
    <tableColumn id="1" name="Sr no."/>
    <tableColumn id="2" name="Name"/>
    <tableColumn id="3" name="Type"/>
    <tableColumn id="4" name="Overseas"/>
    <tableColumn id="5" name="Wicketkeeper"/>
    <tableColumn id="6" name="Capped/Uncapped"/>
    <tableColumn id="7" name="Bid Taken(cr)"/>
    <tableColumn id="8" name="Points"/>
    <tableColumn id="9" name="IPL"/>
    <tableColumn id="10" name="Number"/>
    <tableColumn id="11" name="Value"/>
  </tableColumns>
  <tableStyleInfo name="AS-style 3" showFirstColumn="1" showLastColumn="1" showRowStripes="1" showColumnStripes="0"/>
</table>
</file>

<file path=xl/tables/table6.xml><?xml version="1.0" encoding="utf-8"?>
<table xmlns="http://schemas.openxmlformats.org/spreadsheetml/2006/main" id="7" name="Table_2" displayName="Table_2" ref="A25:K25"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AS-style 4" showFirstColumn="1" showLastColumn="1" showRowStripes="1" showColumnStripes="0"/>
</table>
</file>

<file path=xl/tables/table7.xml><?xml version="1.0" encoding="utf-8"?>
<table xmlns="http://schemas.openxmlformats.org/spreadsheetml/2006/main" id="8" name="ASUnselected" displayName="ASUnselected" ref="A49:K50">
  <tableColumns count="11">
    <tableColumn id="1" name="Sr no."/>
    <tableColumn id="2" name="Name"/>
    <tableColumn id="3" name="Type"/>
    <tableColumn id="4" name="Overseas"/>
    <tableColumn id="5" name="Wicketkeeper"/>
    <tableColumn id="6" name="Capped/Uncapped"/>
    <tableColumn id="7" name="Bid Taken(cr)"/>
    <tableColumn id="8" name="Points"/>
    <tableColumn id="9" name="IPL"/>
    <tableColumn id="10" name="Number"/>
    <tableColumn id="11" name="Value"/>
  </tableColumns>
  <tableStyleInfo name="AS-style 5" showFirstColumn="1" showLastColumn="1" showRowStripes="1" showColumnStripes="0"/>
</table>
</file>

<file path=xl/tables/table8.xml><?xml version="1.0" encoding="utf-8"?>
<table xmlns="http://schemas.openxmlformats.org/spreadsheetml/2006/main" id="9" name="Astra" displayName="Astra" ref="A1:M19">
  <tableColumns count="13">
    <tableColumn id="1" name="Sr no."/>
    <tableColumn id="2" name="Name"/>
    <tableColumn id="3" name="Type"/>
    <tableColumn id="4" name="Overseas"/>
    <tableColumn id="5" name="Wicketkeeper"/>
    <tableColumn id="6" name="Capped/Uncapped"/>
    <tableColumn id="7" name="Bid Taken"/>
    <tableColumn id="8" name="Points"/>
    <tableColumn id="9" name="IPL"/>
    <tableColumn id="10" name="Number"/>
    <tableColumn id="11" name="Value"/>
    <tableColumn id="12" name="Compare"/>
    <tableColumn id="13" name="Diff"/>
  </tableColumns>
  <tableStyleInfo name="PA-style" showFirstColumn="1" showLastColumn="1" showRowStripes="1" showColumnStripes="0"/>
</table>
</file>

<file path=xl/tables/table9.xml><?xml version="1.0" encoding="utf-8"?>
<table xmlns="http://schemas.openxmlformats.org/spreadsheetml/2006/main" id="10" name="PARep" displayName="PARep" ref="A23:K26">
  <tableColumns count="11">
    <tableColumn id="1" name="Sr no."/>
    <tableColumn id="2" name="Name"/>
    <tableColumn id="3" name="Type"/>
    <tableColumn id="4" name="Overseas"/>
    <tableColumn id="5" name="Wicketkeeper"/>
    <tableColumn id="6" name="Capped/Uncapped"/>
    <tableColumn id="7" name="Bid Taken(cr)"/>
    <tableColumn id="8" name="Points"/>
    <tableColumn id="9" name="IPL"/>
    <tableColumn id="10" name="Number"/>
    <tableColumn id="11" name="Value"/>
  </tableColumns>
  <tableStyleInfo name="PA-style 2" showFirstColumn="1" showLastColumn="1" showRowStripes="1" showColumnStripes="0"/>
</table>
</file>

<file path=xl/tables/table10.xml><?xml version="1.0" encoding="utf-8"?>
<table xmlns="http://schemas.openxmlformats.org/spreadsheetml/2006/main" id="11" name="PAUnselected" displayName="PAUnselected" ref="A50:K54">
  <tableColumns count="11">
    <tableColumn id="1" name="Sr no."/>
    <tableColumn id="2" name="Name"/>
    <tableColumn id="3" name="Type"/>
    <tableColumn id="4" name="Overseas"/>
    <tableColumn id="5" name="Wicketkeeper"/>
    <tableColumn id="6" name="Capped/Uncapped"/>
    <tableColumn id="7" name="Bid Taken(cr)"/>
    <tableColumn id="8" name="Points"/>
    <tableColumn id="9" name="IPL"/>
    <tableColumn id="10" name="Number"/>
    <tableColumn id="11" name="Value"/>
  </tableColumns>
  <tableStyleInfo name="PA-style 3" showFirstColumn="1" showLastColumn="1" showRowStripes="1" showColumnStripes="0"/>
</table>
</file>

<file path=xl/tables/table11.xml><?xml version="1.0" encoding="utf-8"?>
<table xmlns="http://schemas.openxmlformats.org/spreadsheetml/2006/main" id="12" name="Challengers" displayName="Challengers" ref="A1:M17" totalsRowCount="1">
  <autoFilter ref="A1:M16"/>
  <tableColumns count="13">
    <tableColumn id="1" name="Sr no."/>
    <tableColumn id="2" name="Name"/>
    <tableColumn id="3" name="Type"/>
    <tableColumn id="4" name="Overseas"/>
    <tableColumn id="5" name="Wicketkeeper"/>
    <tableColumn id="6" name="Capped/Uncapped"/>
    <tableColumn id="7" name="Bid Taken" totalsRowLabel="TOP 12"/>
    <tableColumn id="8" name="Points" totalsRowFunction="custom">
      <totalsRowFormula>SUM(LARGE(H2:H16, 1),LARGE(H2:H16,2),LARGE(H2:H16,3),LARGE(H2:H16,4),LARGE(H2:H16,5),LARGE(H2:H16, 6),LARGE(H2:H16,7),LARGE(H2:H16,8),LARGE(H2:H16,9),LARGE(H2:H16,10),LARGE(H2:H16,11),LARGE(H2:H16,12))</totalsRowFormula>
    </tableColumn>
    <tableColumn id="9" name="IPL"/>
    <tableColumn id="10" name="Number"/>
    <tableColumn id="11" name="Value"/>
    <tableColumn id="12" name="Compare"/>
    <tableColumn id="13" name="Diff"/>
  </tableColumns>
  <tableStyleInfo name="MC-style" showFirstColumn="1" showLastColumn="1" showRowStripes="1" showColumnStripes="0"/>
</table>
</file>

<file path=xl/tables/table12.xml><?xml version="1.0" encoding="utf-8"?>
<table xmlns="http://schemas.openxmlformats.org/spreadsheetml/2006/main" id="13" name="Table_3" displayName="Table_3" ref="G18:J19" headerRowCount="0" totalsRowCount="1">
  <tableColumns count="4">
    <tableColumn id="1" name="Column1" totalsRowLabel="Missed Top 12 Combo"/>
    <tableColumn id="2" name="Column2" totalsRowFunction="custom">
      <totalsRowFormula>IFERROR(__xludf.DUMMYFUNCTION("SUM(QUERY({H1:H16;H21:H99}, ""SELECT Col1 WHERE Col1 IS NOT NULL ORDER BY Col1 DESC LIMIT 12""))"),6406)</totalsRowFormula>
    </tableColumn>
    <tableColumn id="3" name="Column3" totalsRowLabel="Diffrence"/>
    <tableColumn id="4" name="Column4" totalsRowFunction="custom">
      <totalsRowFormula>H19-Challengers[[#Totals],[Points]]</totalsRowFormula>
    </tableColumn>
  </tableColumns>
  <tableStyleInfo name="MC-style 2" showFirstColumn="1" showLastColumn="1" showRowStripes="1" showColumnStripes="0"/>
</table>
</file>

<file path=xl/tables/table13.xml><?xml version="1.0" encoding="utf-8"?>
<table xmlns="http://schemas.openxmlformats.org/spreadsheetml/2006/main" id="14" name="MCRep" displayName="MCRep" ref="A22:K24">
  <tableColumns count="11">
    <tableColumn id="1" name="Sr no."/>
    <tableColumn id="2" name="Name"/>
    <tableColumn id="3" name="Type"/>
    <tableColumn id="4" name="Overseas"/>
    <tableColumn id="5" name="Wicketkeeper"/>
    <tableColumn id="6" name="Capped/Uncapped"/>
    <tableColumn id="7" name="Bid Taken(cr)"/>
    <tableColumn id="8" name="Points"/>
    <tableColumn id="9" name="IPL"/>
    <tableColumn id="10" name="Number"/>
    <tableColumn id="11" name="Value"/>
  </tableColumns>
  <tableStyleInfo name="MC-style 3" showFirstColumn="1" showLastColumn="1" showRowStripes="1" showColumnStripes="0"/>
</table>
</file>

<file path=xl/tables/table14.xml><?xml version="1.0" encoding="utf-8"?>
<table xmlns="http://schemas.openxmlformats.org/spreadsheetml/2006/main" id="15" name="MCUnselected" displayName="MCUnselected" ref="A49:K49"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MC-style 4" showFirstColumn="1" showLastColumn="1" showRowStripes="1" showColumnStripes="0"/>
  <extLst>
    <ext uri="GoogleSheetsCustomDataVersion1">
      <go:sheetsCustomData xmlns:go="http://customooxmlschemas.google.com/" headerRowCount="1"/>
    </ext>
  </extLst>
</table>
</file>

<file path=xl/tables/table15.xml><?xml version="1.0" encoding="utf-8"?>
<table xmlns="http://schemas.openxmlformats.org/spreadsheetml/2006/main" id="16" name="Legends" displayName="Legends" ref="A1:M17" totalsRowCount="1">
  <autoFilter ref="A1:M16"/>
  <tableColumns count="13">
    <tableColumn id="1" name="Sr no."/>
    <tableColumn id="2" name="Name"/>
    <tableColumn id="3" name="Type"/>
    <tableColumn id="4" name="Overseas"/>
    <tableColumn id="5" name="Wicketkeeper"/>
    <tableColumn id="6" name="Capped/Uncapped"/>
    <tableColumn id="7" name="Bid Taken" totalsRowLabel="TOP 12"/>
    <tableColumn id="8" name="Points" totalsRowFunction="custom">
      <totalsRowFormula>SUM(LARGE(H2:H16, 1),LARGE(H2:H16,2),LARGE(H2:H16,3),LARGE(H2:H16,4),LARGE(H2:H16,5),LARGE(H2:H16, 6),LARGE(H2:H16,7),LARGE(H2:H16,8),LARGE(H2:H16,9),LARGE(H2:H16,10),LARGE(H2:H16,11),LARGE(H2:H16,12))</totalsRowFormula>
    </tableColumn>
    <tableColumn id="9" name="IPL"/>
    <tableColumn id="10" name="Number"/>
    <tableColumn id="11" name="Value"/>
    <tableColumn id="12" name="Compare"/>
    <tableColumn id="13" name="Diff"/>
  </tableColumns>
  <tableStyleInfo name="OL-style" showFirstColumn="1" showLastColumn="1" showRowStripes="1" showColumnStripes="0"/>
</table>
</file>

<file path=xl/tables/table16.xml><?xml version="1.0" encoding="utf-8"?>
<table xmlns="http://schemas.openxmlformats.org/spreadsheetml/2006/main" id="17" name="Table_4" displayName="Table_4" ref="G18:J19" headerRowCount="0" totalsRowCount="1">
  <tableColumns count="4">
    <tableColumn id="1" name="Column1" totalsRowLabel="Missed Top 12 Combo"/>
    <tableColumn id="2" name="Column2" totalsRowFunction="custom">
      <totalsRowFormula>IFERROR(__xludf.DUMMYFUNCTION("SUM(QUERY({H1:H16;H21:H99}, ""SELECT Col1 WHERE Col1 IS NOT NULL ORDER BY Col1 DESC LIMIT 12""))"),8960)</totalsRowFormula>
    </tableColumn>
    <tableColumn id="3" name="Column3" totalsRowLabel="Diffrence"/>
    <tableColumn id="4" name="Column4" totalsRowFunction="custom">
      <totalsRowFormula>H19-Legends[[#Totals],[Points]]</totalsRowFormula>
    </tableColumn>
  </tableColumns>
  <tableStyleInfo name="OL-style 2" showFirstColumn="1" showLastColumn="1" showRowStripes="1" showColumnStripes="0"/>
</table>
</file>

<file path=xl/tables/table17.xml><?xml version="1.0" encoding="utf-8"?>
<table xmlns="http://schemas.openxmlformats.org/spreadsheetml/2006/main" id="18" name="OLRep" displayName="OLRep" ref="A21:K24">
  <tableColumns count="11">
    <tableColumn id="1" name="Sr no."/>
    <tableColumn id="2" name="Name"/>
    <tableColumn id="3" name="Type"/>
    <tableColumn id="4" name="Overseas"/>
    <tableColumn id="5" name="Wicketkeeper"/>
    <tableColumn id="6" name="Capped/Uncapped"/>
    <tableColumn id="7" name="Bid Taken(cr)"/>
    <tableColumn id="8" name="Points"/>
    <tableColumn id="9" name="IPL"/>
    <tableColumn id="10" name="Number"/>
    <tableColumn id="11" name="Value"/>
  </tableColumns>
  <tableStyleInfo name="OL-style 3" showFirstColumn="1" showLastColumn="1" showRowStripes="1" showColumnStripes="0"/>
</table>
</file>

<file path=xl/tables/table18.xml><?xml version="1.0" encoding="utf-8"?>
<table xmlns="http://schemas.openxmlformats.org/spreadsheetml/2006/main" id="19" name="OLUnselected" displayName="OLUnselected" ref="A49:K52">
  <tableColumns count="11">
    <tableColumn id="1" name="Sr no."/>
    <tableColumn id="2" name="Name"/>
    <tableColumn id="3" name="Type"/>
    <tableColumn id="4" name="Overseas"/>
    <tableColumn id="5" name="Wicketkeeper"/>
    <tableColumn id="6" name="Capped/Uncapped"/>
    <tableColumn id="7" name="Bid Taken(cr)"/>
    <tableColumn id="8" name="Points"/>
    <tableColumn id="9" name="IPL"/>
    <tableColumn id="10" name="Number"/>
    <tableColumn id="11" name="Value"/>
  </tableColumns>
  <tableStyleInfo name="OL-style 4" showFirstColumn="1" showLastColumn="1" showRowStripes="1" showColumnStripes="0"/>
</table>
</file>

<file path=xl/tables/table19.xml><?xml version="1.0" encoding="utf-8"?>
<table xmlns="http://schemas.openxmlformats.org/spreadsheetml/2006/main" id="20" name="Performance" displayName="Performance" ref="A1:D76">
  <tableColumns count="4">
    <tableColumn id="1" name="Name"/>
    <tableColumn id="2" name="Team"/>
    <tableColumn id="3" name="IPL"/>
    <tableColumn id="4" name="Points"/>
  </tableColumns>
  <tableStyleInfo name="Performance-style" showFirstColumn="1" showLastColumn="1" showRowStripes="1" showColumnStripes="0"/>
</table>
</file>

<file path=xl/tables/table20.xml><?xml version="1.0" encoding="utf-8"?>
<table xmlns="http://schemas.openxmlformats.org/spreadsheetml/2006/main" id="21" name="Table3" displayName="Table3" ref="L1:N76">
  <tableColumns count="3">
    <tableColumn id="1" name="Type"/>
    <tableColumn id="2" name="Value"/>
    <tableColumn id="3" name="Efficiency"/>
  </tableColumns>
  <tableStyleInfo name="Performance-style 2" showFirstColumn="1" showLastColumn="1" showRowStripes="1" showColumnStripes="0"/>
</table>
</file>

<file path=xl/tables/table21.xml><?xml version="1.0" encoding="utf-8"?>
<table xmlns="http://schemas.openxmlformats.org/spreadsheetml/2006/main" id="22" name="CRAYONS_IPL_x_S2" displayName="CRAYONS_IPL_x_S2" ref="A1:E6">
  <autoFilter ref="A1:E6"/>
  <tableColumns count="5">
    <tableColumn id="1" name="Sr.No."/>
    <tableColumn id="2" name="Team Name"/>
    <tableColumn id="3" name="TOP 12"/>
    <tableColumn id="4" name="TOTAL"/>
    <tableColumn id="5" name="Ranking"/>
  </tableColumns>
  <tableStyleInfo name="STATS-style" showFirstColumn="1" showLastColumn="1" showRowStripes="1" showColumnStripes="0"/>
</table>
</file>

<file path=xl/tables/table22.xml><?xml version="1.0" encoding="utf-8"?>
<table xmlns="http://schemas.openxmlformats.org/spreadsheetml/2006/main" id="23" name="Table_5" displayName="Table_5" ref="B6:B13" headerRowCount="0">
  <tableColumns count="1">
    <tableColumn id="1" name="Column1"/>
  </tableColumns>
  <tableStyleInfo name="RCB-style" showFirstColumn="1" showLastColumn="1" showRowStripes="1" showColumnStripes="0"/>
</table>
</file>

<file path=xl/tables/table23.xml><?xml version="1.0" encoding="utf-8"?>
<table xmlns="http://schemas.openxmlformats.org/spreadsheetml/2006/main" id="24" name="Table_6" displayName="Table_6" ref="B5:D11" headerRowCount="0">
  <tableColumns count="3">
    <tableColumn id="1" name="Column1"/>
    <tableColumn id="2" name="Column2"/>
    <tableColumn id="3" name="Column3"/>
  </tableColumns>
  <tableStyleInfo name="GT-style" showFirstColumn="1" showLastColumn="1" showRowStripes="1" showColumnStripes="0"/>
</table>
</file>

<file path=xl/tables/table24.xml><?xml version="1.0" encoding="utf-8"?>
<table xmlns="http://schemas.openxmlformats.org/spreadsheetml/2006/main" id="25" name="Table_7" displayName="Table_7" ref="F5:H11" headerRowCount="0">
  <tableColumns count="3">
    <tableColumn id="1" name="Column1"/>
    <tableColumn id="2" name="Column2"/>
    <tableColumn id="3" name="Column3"/>
  </tableColumns>
  <tableStyleInfo name="GT-style 2" showFirstColumn="1" showLastColumn="1" showRowStripes="1" showColumnStripes="0"/>
</table>
</file>

<file path=xl/tables/table25.xml><?xml version="1.0" encoding="utf-8"?>
<table xmlns="http://schemas.openxmlformats.org/spreadsheetml/2006/main" id="26" name="Table_8" displayName="Table_8" ref="B6:B10" headerRowCount="0">
  <tableColumns count="1">
    <tableColumn id="1" name="Column1"/>
  </tableColumns>
  <tableStyleInfo name="SRH-style" showFirstColumn="1" showLastColumn="1" showRowStripes="1" showColumnStripes="0"/>
</table>
</file>

<file path=xl/tables/table26.xml><?xml version="1.0" encoding="utf-8"?>
<table xmlns="http://schemas.openxmlformats.org/spreadsheetml/2006/main" id="27" name="Table_9" displayName="Table_9" ref="B5:C11" headerRowCount="0">
  <tableColumns count="2">
    <tableColumn id="1" name="Column1"/>
    <tableColumn id="2" name="Column2"/>
  </tableColumns>
  <tableStyleInfo name="RR-style" showFirstColumn="1" showLastColumn="1" showRowStripes="1" showColumnStripes="0"/>
</table>
</file>

<file path=xl/tables/table27.xml><?xml version="1.0" encoding="utf-8"?>
<table xmlns="http://schemas.openxmlformats.org/spreadsheetml/2006/main" id="28" name="Table_10" displayName="Table_10" ref="E5:G11" headerRowCount="0">
  <tableColumns count="3">
    <tableColumn id="1" name="Column1"/>
    <tableColumn id="2" name="Column2"/>
    <tableColumn id="3" name="Column3"/>
  </tableColumns>
  <tableStyleInfo name="RR-style 2" showFirstColumn="1" showLastColumn="1" showRowStripes="1" showColumnStripes="0"/>
</table>
</file>

<file path=xl/tables/table28.xml><?xml version="1.0" encoding="utf-8"?>
<table xmlns="http://schemas.openxmlformats.org/spreadsheetml/2006/main" id="29" name="Table_11" displayName="Table_11" ref="C12" headerRowCount="0">
  <tableColumns count="1">
    <tableColumn id="1" name="Column1"/>
  </tableColumns>
  <tableStyleInfo name="RR-style 3" showFirstColumn="1" showLastColumn="1" showRowStripes="1" showColumnStripes="0"/>
</table>
</file>

<file path=xl/tables/table29.xml><?xml version="1.0" encoding="utf-8"?>
<table xmlns="http://schemas.openxmlformats.org/spreadsheetml/2006/main" id="30" name="Table_12" displayName="Table_12" ref="B5:C11" headerRowCount="0">
  <tableColumns count="2">
    <tableColumn id="1" name="Column1"/>
    <tableColumn id="2" name="Column2"/>
  </tableColumns>
  <tableStyleInfo name="MI-style" showFirstColumn="1" showLastColumn="1" showRowStripes="1" showColumnStripes="0"/>
</table>
</file>

<file path=xl/tables/table30.xml><?xml version="1.0" encoding="utf-8"?>
<table xmlns="http://schemas.openxmlformats.org/spreadsheetml/2006/main" id="31" name="Table_13" displayName="Table_13" ref="B6:B10" headerRowCount="0">
  <tableColumns count="1">
    <tableColumn id="1" name="Column1"/>
  </tableColumns>
  <tableStyleInfo name="KKR-style" showFirstColumn="1" showLastColumn="1" showRowStripes="1" showColumnStripes="0"/>
</table>
</file>

<file path=xl/tables/table31.xml><?xml version="1.0" encoding="utf-8"?>
<table xmlns="http://schemas.openxmlformats.org/spreadsheetml/2006/main" id="32" name="Table_14" displayName="Table_14" ref="B5:C11" headerRowCount="0">
  <tableColumns count="2">
    <tableColumn id="1" name="Column1"/>
    <tableColumn id="2" name="Column2"/>
  </tableColumns>
  <tableStyleInfo name="DC-style" showFirstColumn="1" showLastColumn="1" showRowStripes="1" showColumnStripes="0"/>
</table>
</file>

<file path=xl/tables/table32.xml><?xml version="1.0" encoding="utf-8"?>
<table xmlns="http://schemas.openxmlformats.org/spreadsheetml/2006/main" id="33" name="Table_15" displayName="Table_15" ref="B5:C13" headerRowCount="0">
  <tableColumns count="2">
    <tableColumn id="1" name="Column1"/>
    <tableColumn id="2" name="Column2"/>
  </tableColumns>
  <tableStyleInfo name="PBSK-style" showFirstColumn="1" showLastColumn="1" showRowStripes="1" showColumnStripes="0"/>
</table>
</file>

<file path=xl/tables/table33.xml><?xml version="1.0" encoding="utf-8"?>
<table xmlns="http://schemas.openxmlformats.org/spreadsheetml/2006/main" id="34" name="Table_16" displayName="Table_16" ref="B5:C12" headerRowCount="0">
  <tableColumns count="2">
    <tableColumn id="1" name="Column1"/>
    <tableColumn id="2" name="Column2"/>
  </tableColumns>
  <tableStyleInfo name="LSG-style" showFirstColumn="1" showLastColumn="1" showRowStripes="1" showColumnStripes="0"/>
</table>
</file>

<file path=xl/tables/table34.xml><?xml version="1.0" encoding="utf-8"?>
<table xmlns="http://schemas.openxmlformats.org/spreadsheetml/2006/main" id="35" name="Table_17" displayName="Table_17" ref="B6:B13" headerRowCount="0">
  <tableColumns count="1">
    <tableColumn id="1" name="Column1"/>
  </tableColumns>
  <tableStyleInfo name="CSK-style" showFirstColumn="1" showLastColumn="1" showRowStripes="1" showColumnStripes="0"/>
</table>
</file>

<file path=xl/tables/table35.xml><?xml version="1.0" encoding="utf-8"?>
<table xmlns="http://schemas.openxmlformats.org/spreadsheetml/2006/main" id="36" name="SoldPlayers" displayName="SoldPlayers" ref="A1:I104">
  <tableColumns count="9">
    <tableColumn id="1" name="SR NO."/>
    <tableColumn id="2" name="Name"/>
    <tableColumn id="3" name="Type"/>
    <tableColumn id="4" name="Overseas"/>
    <tableColumn id="5" name="Wicketkeeper"/>
    <tableColumn id="6" name="Capped/Uncapped"/>
    <tableColumn id="7" name="Bid Taken"/>
    <tableColumn id="8" name="Opted by"/>
    <tableColumn id="9" name="Team"/>
  </tableColumns>
  <tableStyleInfo name="SOLD Players-style" showFirstColumn="1" showLastColumn="1" showRowStripes="1" showColumnStripes="0"/>
</table>
</file>

<file path=xl/tables/table36.xml><?xml version="1.0" encoding="utf-8"?>
<table xmlns="http://schemas.openxmlformats.org/spreadsheetml/2006/main" id="37" name="Table_18" displayName="Table_18" ref="B5:C33" headerRowCount="0">
  <tableColumns count="2">
    <tableColumn id="1" name="Column1"/>
    <tableColumn id="2" name="Column2"/>
  </tableColumns>
  <tableStyleInfo name="Extra-style" showFirstColumn="1" showLastColumn="1" showRowStripes="1" showColumnStripes="0"/>
</table>
</file>

<file path=xl/tables/table37.xml><?xml version="1.0" encoding="utf-8"?>
<table xmlns="http://schemas.openxmlformats.org/spreadsheetml/2006/main" id="38" name="Table_19" displayName="Table_19" ref="F5:F20" headerRowCount="0">
  <tableColumns count="1">
    <tableColumn id="1" name="Column1"/>
  </tableColumns>
  <tableStyleInfo name="Extra-style 2" showFirstColumn="1" showLastColumn="1" showRowStripes="1" showColumnStripes="0"/>
</table>
</file>

<file path=xl/tables/table38.xml><?xml version="1.0" encoding="utf-8"?>
<table xmlns="http://schemas.openxmlformats.org/spreadsheetml/2006/main" id="39" name="Table_20" displayName="Table_20" ref="A2:E20" headerRowCount="0">
  <tableColumns count="5">
    <tableColumn id="1" name="Column1"/>
    <tableColumn id="2" name="Column2"/>
    <tableColumn id="3" name="Column3"/>
    <tableColumn id="4" name="Column4"/>
    <tableColumn id="5" name="Column5"/>
  </tableColumns>
  <tableStyleInfo name="Timeline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274E1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 Id="rId5" Type="http://schemas.openxmlformats.org/officeDocument/2006/relationships/table" Target="../tables/table7.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4.xml"/><Relationship Id="rId4"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5.xml"/><Relationship Id="rId5" Type="http://schemas.openxmlformats.org/officeDocument/2006/relationships/table" Target="../tables/table14.xml"/><Relationship Id="rId4" Type="http://schemas.openxmlformats.org/officeDocument/2006/relationships/table" Target="../tables/table1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6.xml"/><Relationship Id="rId5" Type="http://schemas.openxmlformats.org/officeDocument/2006/relationships/table" Target="../tables/table18.xml"/><Relationship Id="rId4" Type="http://schemas.openxmlformats.org/officeDocument/2006/relationships/table" Target="../tables/table1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table" Target="../tables/table2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9999"/>
    <outlinePr summaryBelow="0" summaryRight="0"/>
  </sheetPr>
  <dimension ref="A1:V1004"/>
  <sheetViews>
    <sheetView topLeftCell="A21" zoomScale="70" zoomScaleNormal="70" workbookViewId="0">
      <selection sqref="A1:C7"/>
    </sheetView>
  </sheetViews>
  <sheetFormatPr defaultColWidth="12.6640625" defaultRowHeight="15.75" customHeight="1"/>
  <cols>
    <col min="1" max="1" width="7.44140625" customWidth="1"/>
    <col min="2" max="2" width="3.6640625" customWidth="1"/>
    <col min="3" max="3" width="85.33203125" customWidth="1"/>
    <col min="4" max="4" width="16" customWidth="1"/>
    <col min="5" max="5" width="4.88671875" customWidth="1"/>
    <col min="6" max="6" width="28.109375" customWidth="1"/>
    <col min="7" max="10" width="12.6640625" customWidth="1"/>
    <col min="12" max="12" width="30.6640625" customWidth="1"/>
    <col min="13" max="13" width="5.109375" customWidth="1"/>
    <col min="15" max="15" width="19.6640625" customWidth="1"/>
    <col min="16" max="16" width="4.88671875" customWidth="1"/>
  </cols>
  <sheetData>
    <row r="1" spans="1:22" ht="29.25" customHeight="1">
      <c r="A1" s="1042"/>
      <c r="B1" s="1019"/>
      <c r="C1" s="1020"/>
      <c r="D1" s="1026">
        <f>Data!G8</f>
        <v>65</v>
      </c>
      <c r="E1" s="1027"/>
      <c r="F1" s="1" t="s">
        <v>0</v>
      </c>
      <c r="G1" s="2" t="s">
        <v>1</v>
      </c>
      <c r="H1" s="2" t="s">
        <v>2</v>
      </c>
      <c r="I1" s="3" t="s">
        <v>3</v>
      </c>
      <c r="J1" s="1028"/>
      <c r="K1" s="4" t="s">
        <v>4</v>
      </c>
      <c r="L1" s="5" t="s">
        <v>5</v>
      </c>
      <c r="M1" s="1028"/>
      <c r="N1" s="4" t="s">
        <v>4</v>
      </c>
      <c r="O1" s="5" t="s">
        <v>6</v>
      </c>
      <c r="P1" s="1029"/>
      <c r="Q1" s="1030"/>
      <c r="R1" s="1015"/>
      <c r="S1" s="1015"/>
      <c r="T1" s="1015"/>
      <c r="U1" s="1015"/>
      <c r="V1" s="1015"/>
    </row>
    <row r="2" spans="1:22" ht="36" customHeight="1">
      <c r="A2" s="1021"/>
      <c r="B2" s="1015"/>
      <c r="C2" s="1022"/>
      <c r="D2" s="1015"/>
      <c r="E2" s="1021"/>
      <c r="F2" s="6" t="s">
        <v>7</v>
      </c>
      <c r="G2" s="7">
        <f>HW!H18</f>
        <v>9002</v>
      </c>
      <c r="H2" s="7">
        <f>HW!H19</f>
        <v>10097</v>
      </c>
      <c r="I2" s="8">
        <f t="shared" ref="I2:I6" si="0">RANK(G2,G:G, FALSE)+COUNTIF(G$2:G2,G2)-1</f>
        <v>1</v>
      </c>
      <c r="J2" s="1015"/>
      <c r="K2" s="9" t="s">
        <v>8</v>
      </c>
      <c r="L2" s="10">
        <f>STATS!T87</f>
        <v>104</v>
      </c>
      <c r="M2" s="1015"/>
      <c r="N2" s="9" t="s">
        <v>8</v>
      </c>
      <c r="O2" s="10">
        <f>(HW!H18)/D1</f>
        <v>138.49230769230769</v>
      </c>
      <c r="P2" s="1022"/>
      <c r="Q2" s="1015"/>
      <c r="R2" s="1015"/>
      <c r="S2" s="1015"/>
      <c r="T2" s="1015"/>
      <c r="U2" s="1015"/>
      <c r="V2" s="1015"/>
    </row>
    <row r="3" spans="1:22" ht="34.5" customHeight="1">
      <c r="A3" s="1021"/>
      <c r="B3" s="1015"/>
      <c r="C3" s="1022"/>
      <c r="D3" s="1015"/>
      <c r="E3" s="1021"/>
      <c r="F3" s="11" t="s">
        <v>9</v>
      </c>
      <c r="G3" s="12">
        <f>Legends[[#Totals],[Points]]</f>
        <v>8341</v>
      </c>
      <c r="H3" s="12">
        <f>OL!H18</f>
        <v>8882</v>
      </c>
      <c r="I3" s="13">
        <f t="shared" si="0"/>
        <v>2</v>
      </c>
      <c r="J3" s="1015"/>
      <c r="K3" s="14" t="s">
        <v>10</v>
      </c>
      <c r="L3" s="10">
        <f>STATS!T88</f>
        <v>134</v>
      </c>
      <c r="M3" s="1015"/>
      <c r="N3" s="14" t="s">
        <v>10</v>
      </c>
      <c r="O3" s="10">
        <f>Challengers[[#Totals],[Points]]/D1</f>
        <v>96.07692307692308</v>
      </c>
      <c r="P3" s="1022"/>
      <c r="Q3" s="1015"/>
      <c r="R3" s="1015"/>
      <c r="S3" s="1015"/>
      <c r="T3" s="1015"/>
      <c r="U3" s="1015"/>
      <c r="V3" s="1015"/>
    </row>
    <row r="4" spans="1:22" ht="36" customHeight="1">
      <c r="A4" s="1021"/>
      <c r="B4" s="1015"/>
      <c r="C4" s="1022"/>
      <c r="D4" s="1015"/>
      <c r="E4" s="1021"/>
      <c r="F4" s="15" t="s">
        <v>11</v>
      </c>
      <c r="G4" s="16">
        <f>Strikers[[#Totals],[Points]]</f>
        <v>8155</v>
      </c>
      <c r="H4" s="16">
        <f>AS!H18</f>
        <v>8775</v>
      </c>
      <c r="I4" s="17">
        <f t="shared" si="0"/>
        <v>3</v>
      </c>
      <c r="J4" s="1015"/>
      <c r="K4" s="18" t="s">
        <v>12</v>
      </c>
      <c r="L4" s="10">
        <f>STATS!T89</f>
        <v>161</v>
      </c>
      <c r="M4" s="1015"/>
      <c r="N4" s="18" t="s">
        <v>12</v>
      </c>
      <c r="O4" s="10">
        <f>Legends[[#Totals],[Points]]/D1</f>
        <v>128.32307692307691</v>
      </c>
      <c r="P4" s="1022"/>
      <c r="Q4" s="1015"/>
      <c r="R4" s="1015"/>
      <c r="S4" s="1015"/>
      <c r="T4" s="1015"/>
      <c r="U4" s="1015"/>
      <c r="V4" s="1015"/>
    </row>
    <row r="5" spans="1:22" ht="31.5" customHeight="1">
      <c r="A5" s="1021"/>
      <c r="B5" s="1015"/>
      <c r="C5" s="1022"/>
      <c r="D5" s="1015"/>
      <c r="E5" s="1021"/>
      <c r="F5" s="19" t="s">
        <v>13</v>
      </c>
      <c r="G5" s="20">
        <f>PA!H17</f>
        <v>7919</v>
      </c>
      <c r="H5" s="20">
        <f>PA!H18</f>
        <v>8142</v>
      </c>
      <c r="I5" s="13">
        <f t="shared" si="0"/>
        <v>4</v>
      </c>
      <c r="J5" s="1015"/>
      <c r="K5" s="21" t="s">
        <v>14</v>
      </c>
      <c r="L5" s="10">
        <f>STATS!T90</f>
        <v>30</v>
      </c>
      <c r="M5" s="1015"/>
      <c r="N5" s="21" t="s">
        <v>14</v>
      </c>
      <c r="O5" s="10">
        <f>Strikers[[#Totals],[Points]]/D1</f>
        <v>125.46153846153847</v>
      </c>
      <c r="P5" s="1022"/>
      <c r="Q5" s="1015"/>
      <c r="R5" s="1015"/>
      <c r="S5" s="1015"/>
      <c r="T5" s="1015"/>
      <c r="U5" s="1015"/>
      <c r="V5" s="1015"/>
    </row>
    <row r="6" spans="1:22" ht="36.75" customHeight="1">
      <c r="A6" s="1021"/>
      <c r="B6" s="1015"/>
      <c r="C6" s="1022"/>
      <c r="D6" s="1015"/>
      <c r="E6" s="1021"/>
      <c r="F6" s="22" t="s">
        <v>15</v>
      </c>
      <c r="G6" s="23">
        <f>Challengers[[#Totals],[Points]]</f>
        <v>6245</v>
      </c>
      <c r="H6" s="23">
        <f>MC!H18</f>
        <v>6579</v>
      </c>
      <c r="I6" s="24">
        <f t="shared" si="0"/>
        <v>5</v>
      </c>
      <c r="J6" s="1015"/>
      <c r="K6" s="25" t="s">
        <v>16</v>
      </c>
      <c r="L6" s="10">
        <f>STATS!T91</f>
        <v>160</v>
      </c>
      <c r="M6" s="1015"/>
      <c r="N6" s="25" t="s">
        <v>16</v>
      </c>
      <c r="O6" s="10">
        <f>PA!H17/D1</f>
        <v>121.83076923076923</v>
      </c>
      <c r="P6" s="1022"/>
      <c r="Q6" s="1015"/>
      <c r="R6" s="1015"/>
      <c r="S6" s="1015"/>
      <c r="T6" s="1015"/>
      <c r="U6" s="1015"/>
      <c r="V6" s="1015"/>
    </row>
    <row r="7" spans="1:22" ht="22.5" customHeight="1">
      <c r="A7" s="1021"/>
      <c r="B7" s="1015"/>
      <c r="C7" s="1022"/>
      <c r="D7" s="1015"/>
      <c r="E7" s="1031"/>
      <c r="F7" s="1032"/>
      <c r="G7" s="1032"/>
      <c r="H7" s="1032"/>
      <c r="I7" s="1032"/>
      <c r="J7" s="1024"/>
      <c r="K7" s="1024"/>
      <c r="L7" s="1024"/>
      <c r="M7" s="1024"/>
      <c r="N7" s="1024"/>
      <c r="O7" s="1024"/>
      <c r="P7" s="1025"/>
      <c r="Q7" s="1015"/>
      <c r="R7" s="1015"/>
      <c r="S7" s="1015"/>
      <c r="T7" s="1015"/>
      <c r="U7" s="1015"/>
      <c r="V7" s="1015"/>
    </row>
    <row r="8" spans="1:22" ht="52.5" customHeight="1">
      <c r="A8" s="1043" t="s">
        <v>17</v>
      </c>
      <c r="B8" s="1024"/>
      <c r="C8" s="1025"/>
      <c r="D8" s="1044" t="s">
        <v>18</v>
      </c>
      <c r="E8" s="26" t="s">
        <v>19</v>
      </c>
      <c r="F8" s="1014" t="s">
        <v>20</v>
      </c>
      <c r="G8" s="1015"/>
      <c r="H8" s="1015"/>
      <c r="I8" s="1015"/>
      <c r="J8" s="1015"/>
      <c r="K8" s="1015"/>
      <c r="L8" s="1015"/>
      <c r="M8" s="1015"/>
      <c r="N8" s="1015"/>
      <c r="O8" s="1015"/>
      <c r="P8" s="1015"/>
      <c r="Q8" s="1015"/>
      <c r="R8" s="1015"/>
      <c r="S8" s="1015"/>
      <c r="T8" s="1015"/>
      <c r="U8" s="1015"/>
      <c r="V8" s="1015"/>
    </row>
    <row r="9" spans="1:22" ht="16.8" hidden="1">
      <c r="A9" s="27"/>
      <c r="B9" s="28"/>
      <c r="C9" s="29"/>
      <c r="D9" s="1015"/>
      <c r="E9" s="30"/>
      <c r="F9" s="30"/>
      <c r="G9" s="30"/>
      <c r="H9" s="30"/>
      <c r="I9" s="30"/>
      <c r="J9" s="30"/>
      <c r="K9" s="30"/>
      <c r="L9" s="30"/>
      <c r="M9" s="30"/>
      <c r="N9" s="30"/>
      <c r="O9" s="30"/>
      <c r="P9" s="30"/>
      <c r="Q9" s="30"/>
      <c r="R9" s="30"/>
      <c r="S9" s="30"/>
      <c r="T9" s="30"/>
      <c r="U9" s="30"/>
      <c r="V9" s="30"/>
    </row>
    <row r="10" spans="1:22" ht="16.8" hidden="1">
      <c r="A10" s="27"/>
      <c r="B10" s="28"/>
      <c r="C10" s="29"/>
      <c r="D10" s="1015"/>
      <c r="E10" s="30"/>
      <c r="F10" s="30"/>
      <c r="G10" s="30"/>
      <c r="H10" s="30"/>
      <c r="I10" s="30"/>
      <c r="J10" s="30"/>
      <c r="K10" s="30"/>
      <c r="L10" s="30"/>
      <c r="M10" s="30"/>
      <c r="N10" s="30"/>
      <c r="O10" s="30"/>
      <c r="P10" s="30"/>
      <c r="Q10" s="30"/>
      <c r="R10" s="30"/>
      <c r="S10" s="30"/>
      <c r="T10" s="30"/>
      <c r="U10" s="30"/>
      <c r="V10" s="30"/>
    </row>
    <row r="11" spans="1:22" ht="16.8" hidden="1">
      <c r="A11" s="27"/>
      <c r="B11" s="28"/>
      <c r="C11" s="29"/>
      <c r="D11" s="1015"/>
      <c r="E11" s="30"/>
      <c r="F11" s="30"/>
      <c r="G11" s="30"/>
      <c r="H11" s="30"/>
      <c r="I11" s="30"/>
      <c r="J11" s="30"/>
      <c r="K11" s="30"/>
      <c r="L11" s="30"/>
      <c r="M11" s="30"/>
      <c r="N11" s="30"/>
      <c r="O11" s="30"/>
      <c r="P11" s="30"/>
      <c r="Q11" s="30"/>
      <c r="R11" s="30"/>
      <c r="S11" s="30"/>
      <c r="T11" s="30"/>
      <c r="U11" s="30"/>
      <c r="V11" s="30"/>
    </row>
    <row r="12" spans="1:22" ht="16.8" hidden="1">
      <c r="A12" s="27"/>
      <c r="B12" s="28"/>
      <c r="C12" s="29"/>
      <c r="D12" s="1015"/>
      <c r="E12" s="30"/>
      <c r="F12" s="30"/>
      <c r="G12" s="30"/>
      <c r="H12" s="30"/>
      <c r="I12" s="30"/>
      <c r="J12" s="30"/>
      <c r="K12" s="30"/>
      <c r="L12" s="30"/>
      <c r="M12" s="30"/>
      <c r="N12" s="30"/>
      <c r="O12" s="30"/>
      <c r="P12" s="30"/>
      <c r="Q12" s="30"/>
      <c r="R12" s="30"/>
      <c r="S12" s="30"/>
      <c r="T12" s="30"/>
      <c r="U12" s="30"/>
      <c r="V12" s="30"/>
    </row>
    <row r="13" spans="1:22" ht="16.8" hidden="1">
      <c r="A13" s="27"/>
      <c r="B13" s="28"/>
      <c r="C13" s="29"/>
      <c r="D13" s="1015"/>
      <c r="E13" s="30"/>
      <c r="F13" s="30"/>
      <c r="G13" s="30"/>
      <c r="H13" s="30"/>
      <c r="I13" s="30"/>
      <c r="J13" s="30"/>
      <c r="K13" s="30"/>
      <c r="L13" s="30"/>
      <c r="M13" s="30"/>
      <c r="N13" s="30"/>
      <c r="O13" s="30"/>
      <c r="P13" s="30"/>
      <c r="Q13" s="30"/>
      <c r="R13" s="30"/>
      <c r="S13" s="30"/>
      <c r="T13" s="30"/>
      <c r="U13" s="30"/>
      <c r="V13" s="30"/>
    </row>
    <row r="14" spans="1:22" ht="16.8" hidden="1">
      <c r="A14" s="27"/>
      <c r="B14" s="28"/>
      <c r="C14" s="29"/>
      <c r="D14" s="1015"/>
      <c r="E14" s="30"/>
      <c r="F14" s="30"/>
      <c r="G14" s="30"/>
      <c r="H14" s="30"/>
      <c r="I14" s="30"/>
      <c r="J14" s="30"/>
      <c r="K14" s="30"/>
      <c r="L14" s="30"/>
      <c r="M14" s="30"/>
      <c r="N14" s="30"/>
      <c r="O14" s="30"/>
      <c r="P14" s="30"/>
      <c r="Q14" s="30"/>
      <c r="R14" s="30"/>
      <c r="S14" s="30"/>
      <c r="T14" s="30"/>
      <c r="U14" s="30"/>
      <c r="V14" s="30"/>
    </row>
    <row r="15" spans="1:22" ht="16.8" hidden="1">
      <c r="A15" s="27"/>
      <c r="B15" s="28"/>
      <c r="C15" s="29"/>
      <c r="D15" s="1015"/>
      <c r="E15" s="30"/>
      <c r="F15" s="30"/>
      <c r="G15" s="30"/>
      <c r="H15" s="30"/>
      <c r="I15" s="30"/>
      <c r="J15" s="30"/>
      <c r="K15" s="30"/>
      <c r="L15" s="30"/>
      <c r="M15" s="30"/>
      <c r="N15" s="30"/>
      <c r="O15" s="30"/>
      <c r="P15" s="30"/>
      <c r="Q15" s="30"/>
      <c r="R15" s="30"/>
      <c r="S15" s="30"/>
      <c r="T15" s="30"/>
      <c r="U15" s="30"/>
      <c r="V15" s="30"/>
    </row>
    <row r="16" spans="1:22" ht="16.8" hidden="1">
      <c r="A16" s="27"/>
      <c r="B16" s="28"/>
      <c r="C16" s="29"/>
      <c r="D16" s="1015"/>
      <c r="E16" s="30"/>
      <c r="F16" s="30"/>
      <c r="G16" s="30"/>
      <c r="H16" s="30"/>
      <c r="I16" s="30"/>
      <c r="J16" s="30"/>
      <c r="K16" s="30"/>
      <c r="L16" s="30"/>
      <c r="M16" s="30"/>
      <c r="N16" s="30"/>
      <c r="O16" s="30"/>
      <c r="P16" s="30"/>
      <c r="Q16" s="30"/>
      <c r="R16" s="30"/>
      <c r="S16" s="30"/>
      <c r="T16" s="30"/>
      <c r="U16" s="30"/>
      <c r="V16" s="30"/>
    </row>
    <row r="17" spans="1:22" ht="16.8" hidden="1">
      <c r="A17" s="27"/>
      <c r="B17" s="28"/>
      <c r="C17" s="29"/>
      <c r="D17" s="1015"/>
      <c r="E17" s="30"/>
      <c r="F17" s="30"/>
      <c r="G17" s="30"/>
      <c r="H17" s="30"/>
      <c r="I17" s="30"/>
      <c r="J17" s="30"/>
      <c r="K17" s="30"/>
      <c r="L17" s="30"/>
      <c r="M17" s="30"/>
      <c r="N17" s="30"/>
      <c r="O17" s="30"/>
      <c r="P17" s="30"/>
      <c r="Q17" s="30"/>
      <c r="R17" s="30"/>
      <c r="S17" s="30"/>
      <c r="T17" s="30"/>
      <c r="U17" s="30"/>
      <c r="V17" s="30"/>
    </row>
    <row r="18" spans="1:22" ht="16.8" hidden="1">
      <c r="A18" s="27"/>
      <c r="B18" s="28"/>
      <c r="C18" s="29"/>
      <c r="D18" s="1015"/>
      <c r="E18" s="30"/>
      <c r="F18" s="30"/>
      <c r="G18" s="30"/>
      <c r="H18" s="30"/>
      <c r="I18" s="30"/>
      <c r="J18" s="30"/>
      <c r="K18" s="30"/>
      <c r="L18" s="30"/>
      <c r="M18" s="30"/>
      <c r="N18" s="30"/>
      <c r="O18" s="30"/>
      <c r="P18" s="30"/>
      <c r="Q18" s="30"/>
      <c r="R18" s="30"/>
      <c r="S18" s="30"/>
      <c r="T18" s="30"/>
      <c r="U18" s="30"/>
      <c r="V18" s="30"/>
    </row>
    <row r="19" spans="1:22" ht="16.8" hidden="1">
      <c r="A19" s="27"/>
      <c r="B19" s="28"/>
      <c r="C19" s="29"/>
      <c r="D19" s="1015"/>
      <c r="E19" s="30"/>
      <c r="F19" s="30"/>
      <c r="G19" s="30"/>
      <c r="H19" s="30"/>
      <c r="I19" s="30"/>
      <c r="J19" s="30"/>
      <c r="K19" s="30"/>
      <c r="L19" s="30"/>
      <c r="M19" s="30"/>
      <c r="N19" s="30"/>
      <c r="O19" s="30"/>
      <c r="P19" s="30"/>
      <c r="Q19" s="30"/>
      <c r="R19" s="30"/>
      <c r="S19" s="30"/>
      <c r="T19" s="30"/>
      <c r="U19" s="30"/>
      <c r="V19" s="30"/>
    </row>
    <row r="20" spans="1:22" ht="16.8" hidden="1">
      <c r="A20" s="27"/>
      <c r="B20" s="28"/>
      <c r="C20" s="29"/>
      <c r="D20" s="1015"/>
      <c r="E20" s="30"/>
      <c r="F20" s="30"/>
      <c r="G20" s="30"/>
      <c r="H20" s="30"/>
      <c r="I20" s="30"/>
      <c r="J20" s="30"/>
      <c r="K20" s="30"/>
      <c r="L20" s="30"/>
      <c r="M20" s="30"/>
      <c r="N20" s="30"/>
      <c r="O20" s="30"/>
      <c r="P20" s="30"/>
      <c r="Q20" s="30"/>
      <c r="R20" s="30"/>
      <c r="S20" s="30"/>
      <c r="T20" s="30"/>
      <c r="U20" s="30"/>
      <c r="V20" s="30"/>
    </row>
    <row r="21" spans="1:22" ht="24" customHeight="1">
      <c r="A21" s="1046" t="s">
        <v>21</v>
      </c>
      <c r="B21" s="1019"/>
      <c r="C21" s="1020"/>
      <c r="D21" s="1015"/>
      <c r="E21" s="30"/>
      <c r="F21" s="1016"/>
      <c r="G21" s="1015"/>
      <c r="H21" s="1015"/>
      <c r="I21" s="1015"/>
      <c r="J21" s="1015"/>
      <c r="K21" s="1015"/>
      <c r="L21" s="1015"/>
      <c r="M21" s="1015"/>
      <c r="N21" s="1015"/>
      <c r="O21" s="1015"/>
      <c r="P21" s="1015"/>
      <c r="Q21" s="1015"/>
      <c r="R21" s="1015"/>
      <c r="S21" s="1015"/>
      <c r="T21" s="1015"/>
      <c r="U21" s="1015"/>
      <c r="V21" s="1015"/>
    </row>
    <row r="22" spans="1:22" ht="16.8">
      <c r="A22" s="1036" t="s">
        <v>22</v>
      </c>
      <c r="B22" s="1037"/>
      <c r="C22" s="1038"/>
      <c r="D22" s="1015"/>
      <c r="E22" s="30"/>
      <c r="F22" s="1015"/>
      <c r="G22" s="1015"/>
      <c r="H22" s="1015"/>
      <c r="I22" s="1015"/>
      <c r="J22" s="1015"/>
      <c r="K22" s="1015"/>
      <c r="L22" s="1015"/>
      <c r="M22" s="1015"/>
      <c r="N22" s="1015"/>
      <c r="O22" s="1015"/>
      <c r="P22" s="1015"/>
      <c r="Q22" s="1015"/>
      <c r="R22" s="1015"/>
      <c r="S22" s="1015"/>
      <c r="T22" s="1015"/>
      <c r="U22" s="1015"/>
      <c r="V22" s="1015"/>
    </row>
    <row r="23" spans="1:22" ht="16.8">
      <c r="A23" s="1033"/>
      <c r="B23" s="31" t="s">
        <v>23</v>
      </c>
      <c r="C23" s="32" t="s">
        <v>24</v>
      </c>
      <c r="D23" s="1045"/>
      <c r="E23" s="30"/>
      <c r="F23" s="1015"/>
      <c r="G23" s="1015"/>
      <c r="H23" s="1015"/>
      <c r="I23" s="1015"/>
      <c r="J23" s="1015"/>
      <c r="K23" s="1015"/>
      <c r="L23" s="1015"/>
      <c r="M23" s="1015"/>
      <c r="N23" s="1015"/>
      <c r="O23" s="1015"/>
      <c r="P23" s="1015"/>
      <c r="Q23" s="1015"/>
      <c r="R23" s="1015"/>
      <c r="S23" s="1015"/>
      <c r="T23" s="1015"/>
      <c r="U23" s="1015"/>
      <c r="V23" s="1015"/>
    </row>
    <row r="24" spans="1:22" ht="14.4">
      <c r="A24" s="1021"/>
      <c r="B24" s="31" t="s">
        <v>23</v>
      </c>
      <c r="C24" s="33" t="s">
        <v>25</v>
      </c>
      <c r="D24" s="34" t="s">
        <v>26</v>
      </c>
      <c r="E24" s="35">
        <v>3</v>
      </c>
      <c r="F24" s="1015"/>
      <c r="G24" s="1015"/>
      <c r="H24" s="1015"/>
      <c r="I24" s="1015"/>
      <c r="J24" s="1015"/>
      <c r="K24" s="1015"/>
      <c r="L24" s="1015"/>
      <c r="M24" s="1015"/>
      <c r="N24" s="1015"/>
      <c r="O24" s="1015"/>
      <c r="P24" s="1015"/>
      <c r="Q24" s="1015"/>
      <c r="R24" s="1015"/>
      <c r="S24" s="1015"/>
      <c r="T24" s="1015"/>
      <c r="U24" s="1015"/>
      <c r="V24" s="1015"/>
    </row>
    <row r="25" spans="1:22" ht="14.4">
      <c r="A25" s="1021"/>
      <c r="B25" s="31" t="s">
        <v>23</v>
      </c>
      <c r="C25" s="33" t="s">
        <v>27</v>
      </c>
      <c r="D25" s="36" t="s">
        <v>28</v>
      </c>
      <c r="E25" s="37">
        <v>3</v>
      </c>
      <c r="F25" s="1015"/>
      <c r="G25" s="1015"/>
      <c r="H25" s="1015"/>
      <c r="I25" s="1015"/>
      <c r="J25" s="1015"/>
      <c r="K25" s="1015"/>
      <c r="L25" s="1015"/>
      <c r="M25" s="1015"/>
      <c r="N25" s="1015"/>
      <c r="O25" s="1015"/>
      <c r="P25" s="1015"/>
      <c r="Q25" s="1015"/>
      <c r="R25" s="1015"/>
      <c r="S25" s="1015"/>
      <c r="T25" s="1015"/>
      <c r="U25" s="1015"/>
      <c r="V25" s="1015"/>
    </row>
    <row r="26" spans="1:22" ht="14.4">
      <c r="A26" s="1021"/>
      <c r="B26" s="31" t="s">
        <v>23</v>
      </c>
      <c r="C26" s="33" t="s">
        <v>29</v>
      </c>
      <c r="D26" s="36" t="s">
        <v>30</v>
      </c>
      <c r="E26" s="37">
        <v>2</v>
      </c>
      <c r="F26" s="1015"/>
      <c r="G26" s="1015"/>
      <c r="H26" s="1015"/>
      <c r="I26" s="1015"/>
      <c r="J26" s="1015"/>
      <c r="K26" s="1015"/>
      <c r="L26" s="1015"/>
      <c r="M26" s="1015"/>
      <c r="N26" s="1015"/>
      <c r="O26" s="1015"/>
      <c r="P26" s="1015"/>
      <c r="Q26" s="1015"/>
      <c r="R26" s="1015"/>
      <c r="S26" s="1015"/>
      <c r="T26" s="1015"/>
      <c r="U26" s="1015"/>
      <c r="V26" s="1015"/>
    </row>
    <row r="27" spans="1:22" ht="14.4">
      <c r="A27" s="1021"/>
      <c r="B27" s="1047"/>
      <c r="C27" s="38" t="s">
        <v>31</v>
      </c>
      <c r="D27" s="36" t="s">
        <v>32</v>
      </c>
      <c r="E27" s="37">
        <v>1</v>
      </c>
      <c r="F27" s="1015"/>
      <c r="G27" s="1015"/>
      <c r="H27" s="1015"/>
      <c r="I27" s="1015"/>
      <c r="J27" s="1015"/>
      <c r="K27" s="1015"/>
      <c r="L27" s="1015"/>
      <c r="M27" s="1015"/>
      <c r="N27" s="1015"/>
      <c r="O27" s="1015"/>
      <c r="P27" s="1015"/>
      <c r="Q27" s="1015"/>
      <c r="R27" s="1015"/>
      <c r="S27" s="1015"/>
      <c r="T27" s="1015"/>
      <c r="U27" s="1015"/>
      <c r="V27" s="1015"/>
    </row>
    <row r="28" spans="1:22" ht="14.4">
      <c r="A28" s="1021"/>
      <c r="B28" s="1048"/>
      <c r="C28" s="38" t="s">
        <v>33</v>
      </c>
      <c r="D28" s="36" t="s">
        <v>34</v>
      </c>
      <c r="E28" s="37">
        <v>3</v>
      </c>
      <c r="F28" s="1015"/>
      <c r="G28" s="1015"/>
      <c r="H28" s="1015"/>
      <c r="I28" s="1015"/>
      <c r="J28" s="1015"/>
      <c r="K28" s="1015"/>
      <c r="L28" s="1015"/>
      <c r="M28" s="1015"/>
      <c r="N28" s="1015"/>
      <c r="O28" s="1015"/>
      <c r="P28" s="1015"/>
      <c r="Q28" s="1015"/>
      <c r="R28" s="1015"/>
      <c r="S28" s="1015"/>
      <c r="T28" s="1015"/>
      <c r="U28" s="1015"/>
      <c r="V28" s="1015"/>
    </row>
    <row r="29" spans="1:22" ht="18.75" customHeight="1">
      <c r="A29" s="1021"/>
      <c r="B29" s="1048"/>
      <c r="C29" s="38" t="s">
        <v>35</v>
      </c>
      <c r="D29" s="39" t="s">
        <v>36</v>
      </c>
      <c r="E29" s="40">
        <v>3</v>
      </c>
      <c r="F29" s="1015"/>
      <c r="G29" s="1015"/>
      <c r="H29" s="1015"/>
      <c r="I29" s="1015"/>
      <c r="J29" s="1015"/>
      <c r="K29" s="1015"/>
      <c r="L29" s="1015"/>
      <c r="M29" s="1015"/>
      <c r="N29" s="1015"/>
      <c r="O29" s="1015"/>
      <c r="P29" s="1015"/>
      <c r="Q29" s="1015"/>
      <c r="R29" s="1015"/>
      <c r="S29" s="1015"/>
      <c r="T29" s="1015"/>
      <c r="U29" s="1015"/>
      <c r="V29" s="1015"/>
    </row>
    <row r="30" spans="1:22" ht="13.2">
      <c r="A30" s="1021"/>
      <c r="B30" s="1049"/>
      <c r="C30" s="38" t="s">
        <v>37</v>
      </c>
      <c r="D30" s="1017">
        <f>Data!G45</f>
        <v>31</v>
      </c>
      <c r="E30" s="1015"/>
      <c r="F30" s="1015"/>
      <c r="G30" s="1015"/>
      <c r="H30" s="1015"/>
      <c r="I30" s="1015"/>
      <c r="J30" s="1015"/>
      <c r="K30" s="1015"/>
      <c r="L30" s="1015"/>
      <c r="M30" s="1015"/>
      <c r="N30" s="1015"/>
      <c r="O30" s="1015"/>
      <c r="P30" s="1015"/>
      <c r="Q30" s="1015"/>
      <c r="R30" s="1015"/>
      <c r="S30" s="1015"/>
      <c r="T30" s="1015"/>
      <c r="U30" s="1015"/>
      <c r="V30" s="1015"/>
    </row>
    <row r="31" spans="1:22" ht="39.6">
      <c r="A31" s="1034"/>
      <c r="B31" s="31" t="s">
        <v>23</v>
      </c>
      <c r="C31" s="41" t="s">
        <v>38</v>
      </c>
      <c r="D31" s="1015"/>
      <c r="E31" s="1015"/>
      <c r="F31" s="1015"/>
      <c r="G31" s="1015"/>
      <c r="H31" s="1015"/>
      <c r="I31" s="1015"/>
      <c r="J31" s="1015"/>
      <c r="K31" s="1015"/>
      <c r="L31" s="1015"/>
      <c r="M31" s="1015"/>
      <c r="N31" s="1015"/>
      <c r="O31" s="1015"/>
      <c r="P31" s="1015"/>
      <c r="Q31" s="1015"/>
      <c r="R31" s="1015"/>
      <c r="S31" s="1015"/>
      <c r="T31" s="1015"/>
      <c r="U31" s="1015"/>
      <c r="V31" s="1015"/>
    </row>
    <row r="32" spans="1:22" ht="13.2">
      <c r="A32" s="1036" t="s">
        <v>39</v>
      </c>
      <c r="B32" s="1037"/>
      <c r="C32" s="1038"/>
      <c r="D32" s="1015"/>
      <c r="E32" s="1015"/>
      <c r="F32" s="1015"/>
      <c r="G32" s="1015"/>
      <c r="H32" s="1015"/>
      <c r="I32" s="1015"/>
      <c r="J32" s="1015"/>
      <c r="K32" s="1015"/>
      <c r="L32" s="1015"/>
      <c r="M32" s="1015"/>
      <c r="N32" s="1015"/>
      <c r="O32" s="1015"/>
      <c r="P32" s="1015"/>
      <c r="Q32" s="1015"/>
      <c r="R32" s="1015"/>
      <c r="S32" s="1015"/>
      <c r="T32" s="1015"/>
      <c r="U32" s="1015"/>
      <c r="V32" s="1015"/>
    </row>
    <row r="33" spans="1:22" ht="13.2">
      <c r="A33" s="1033"/>
      <c r="B33" s="42" t="s">
        <v>23</v>
      </c>
      <c r="C33" s="43" t="s">
        <v>40</v>
      </c>
      <c r="D33" s="1015"/>
      <c r="E33" s="1015"/>
      <c r="F33" s="1015"/>
      <c r="G33" s="1015"/>
      <c r="H33" s="1015"/>
      <c r="I33" s="1015"/>
      <c r="J33" s="1015"/>
      <c r="K33" s="1015"/>
      <c r="L33" s="1015"/>
      <c r="M33" s="1015"/>
      <c r="N33" s="1015"/>
      <c r="O33" s="1015"/>
      <c r="P33" s="1015"/>
      <c r="Q33" s="1015"/>
      <c r="R33" s="1015"/>
      <c r="S33" s="1015"/>
      <c r="T33" s="1015"/>
      <c r="U33" s="1015"/>
      <c r="V33" s="1015"/>
    </row>
    <row r="34" spans="1:22" ht="13.2">
      <c r="A34" s="1021"/>
      <c r="B34" s="42" t="s">
        <v>23</v>
      </c>
      <c r="C34" s="44" t="s">
        <v>41</v>
      </c>
      <c r="D34" s="1015"/>
      <c r="E34" s="1015"/>
      <c r="F34" s="1015"/>
      <c r="G34" s="1015"/>
      <c r="H34" s="1015"/>
      <c r="I34" s="1015"/>
      <c r="J34" s="1015"/>
      <c r="K34" s="1015"/>
      <c r="L34" s="1015"/>
      <c r="M34" s="1015"/>
      <c r="N34" s="1015"/>
      <c r="O34" s="1015"/>
      <c r="P34" s="1015"/>
      <c r="Q34" s="1015"/>
      <c r="R34" s="1015"/>
      <c r="S34" s="1015"/>
      <c r="T34" s="1015"/>
      <c r="U34" s="1015"/>
      <c r="V34" s="1015"/>
    </row>
    <row r="35" spans="1:22" ht="26.4">
      <c r="A35" s="1021"/>
      <c r="B35" s="42" t="s">
        <v>23</v>
      </c>
      <c r="C35" s="44" t="s">
        <v>42</v>
      </c>
      <c r="D35" s="1015"/>
      <c r="E35" s="1015"/>
      <c r="F35" s="1015"/>
      <c r="G35" s="1015"/>
      <c r="H35" s="1015"/>
      <c r="I35" s="1015"/>
      <c r="J35" s="1015"/>
      <c r="K35" s="1015"/>
      <c r="L35" s="1015"/>
      <c r="M35" s="1015"/>
      <c r="N35" s="1015"/>
      <c r="O35" s="1015"/>
      <c r="P35" s="1015"/>
      <c r="Q35" s="1015"/>
      <c r="R35" s="1015"/>
      <c r="S35" s="1015"/>
      <c r="T35" s="1015"/>
      <c r="U35" s="1015"/>
      <c r="V35" s="1015"/>
    </row>
    <row r="36" spans="1:22" ht="13.2">
      <c r="A36" s="1034"/>
      <c r="B36" s="42" t="s">
        <v>23</v>
      </c>
      <c r="C36" s="45" t="s">
        <v>43</v>
      </c>
      <c r="D36" s="1015"/>
      <c r="E36" s="1015"/>
      <c r="F36" s="1015"/>
      <c r="G36" s="1015"/>
      <c r="H36" s="1015"/>
      <c r="I36" s="1015"/>
      <c r="J36" s="1015"/>
      <c r="K36" s="1015"/>
      <c r="L36" s="1015"/>
      <c r="M36" s="1015"/>
      <c r="N36" s="1015"/>
      <c r="O36" s="1015"/>
      <c r="P36" s="1015"/>
      <c r="Q36" s="1015"/>
      <c r="R36" s="1015"/>
      <c r="S36" s="1015"/>
      <c r="T36" s="1015"/>
      <c r="U36" s="1015"/>
      <c r="V36" s="1015"/>
    </row>
    <row r="37" spans="1:22" ht="13.2">
      <c r="A37" s="1036" t="s">
        <v>44</v>
      </c>
      <c r="B37" s="1037"/>
      <c r="C37" s="1038"/>
      <c r="D37" s="1015"/>
      <c r="E37" s="1015"/>
      <c r="F37" s="1015"/>
      <c r="G37" s="1015"/>
      <c r="H37" s="1015"/>
      <c r="I37" s="1015"/>
      <c r="J37" s="1015"/>
      <c r="K37" s="1015"/>
      <c r="L37" s="1015"/>
      <c r="M37" s="1015"/>
      <c r="N37" s="1015"/>
      <c r="O37" s="1015"/>
      <c r="P37" s="1015"/>
      <c r="Q37" s="1015"/>
      <c r="R37" s="1015"/>
      <c r="S37" s="1015"/>
      <c r="T37" s="1015"/>
      <c r="U37" s="1015"/>
      <c r="V37" s="1015"/>
    </row>
    <row r="38" spans="1:22" ht="26.4">
      <c r="A38" s="1033"/>
      <c r="B38" s="46" t="s">
        <v>23</v>
      </c>
      <c r="C38" s="47" t="s">
        <v>45</v>
      </c>
      <c r="D38" s="1015"/>
      <c r="E38" s="1015"/>
      <c r="F38" s="1015"/>
      <c r="G38" s="1015"/>
      <c r="H38" s="1015"/>
      <c r="I38" s="1015"/>
      <c r="J38" s="1015"/>
      <c r="K38" s="1015"/>
      <c r="L38" s="1015"/>
      <c r="M38" s="1015"/>
      <c r="N38" s="1015"/>
      <c r="O38" s="1015"/>
      <c r="P38" s="1015"/>
      <c r="Q38" s="1015"/>
      <c r="R38" s="1015"/>
      <c r="S38" s="1015"/>
      <c r="T38" s="1015"/>
      <c r="U38" s="1015"/>
      <c r="V38" s="1015"/>
    </row>
    <row r="39" spans="1:22" ht="26.4">
      <c r="A39" s="1034"/>
      <c r="B39" s="46" t="s">
        <v>23</v>
      </c>
      <c r="C39" s="48" t="s">
        <v>46</v>
      </c>
      <c r="D39" s="1015"/>
      <c r="E39" s="1015"/>
      <c r="F39" s="1015"/>
      <c r="G39" s="1015"/>
      <c r="H39" s="1015"/>
      <c r="I39" s="1015"/>
      <c r="J39" s="1015"/>
      <c r="K39" s="1015"/>
      <c r="L39" s="1015"/>
      <c r="M39" s="1015"/>
      <c r="N39" s="1015"/>
      <c r="O39" s="1015"/>
      <c r="P39" s="1015"/>
      <c r="Q39" s="1015"/>
      <c r="R39" s="1015"/>
      <c r="S39" s="1015"/>
      <c r="T39" s="1015"/>
      <c r="U39" s="1015"/>
      <c r="V39" s="1015"/>
    </row>
    <row r="40" spans="1:22" ht="13.2">
      <c r="A40" s="1036" t="s">
        <v>47</v>
      </c>
      <c r="B40" s="1037"/>
      <c r="C40" s="1038"/>
      <c r="D40" s="1015"/>
      <c r="E40" s="1015"/>
      <c r="F40" s="1015"/>
      <c r="G40" s="1015"/>
      <c r="H40" s="1015"/>
      <c r="I40" s="1015"/>
      <c r="J40" s="1015"/>
      <c r="K40" s="1015"/>
      <c r="L40" s="1015"/>
      <c r="M40" s="1015"/>
      <c r="N40" s="1015"/>
      <c r="O40" s="1015"/>
      <c r="P40" s="1015"/>
      <c r="Q40" s="1015"/>
      <c r="R40" s="1015"/>
      <c r="S40" s="1015"/>
      <c r="T40" s="1015"/>
      <c r="U40" s="1015"/>
      <c r="V40" s="1015"/>
    </row>
    <row r="41" spans="1:22" ht="13.2">
      <c r="A41" s="1035"/>
      <c r="B41" s="49" t="s">
        <v>23</v>
      </c>
      <c r="C41" s="50" t="s">
        <v>48</v>
      </c>
      <c r="D41" s="1015"/>
      <c r="E41" s="1015"/>
      <c r="F41" s="1015"/>
      <c r="G41" s="1015"/>
      <c r="H41" s="1015"/>
      <c r="I41" s="1015"/>
      <c r="J41" s="1015"/>
      <c r="K41" s="1015"/>
      <c r="L41" s="1015"/>
      <c r="M41" s="1015"/>
      <c r="N41" s="1015"/>
      <c r="O41" s="1015"/>
      <c r="P41" s="1015"/>
      <c r="Q41" s="1015"/>
      <c r="R41" s="1015"/>
      <c r="S41" s="1015"/>
      <c r="T41" s="1015"/>
      <c r="U41" s="1015"/>
      <c r="V41" s="1015"/>
    </row>
    <row r="42" spans="1:22" ht="13.2">
      <c r="A42" s="1021"/>
      <c r="B42" s="49" t="s">
        <v>23</v>
      </c>
      <c r="C42" s="51" t="s">
        <v>49</v>
      </c>
      <c r="D42" s="1015"/>
      <c r="E42" s="1015"/>
      <c r="F42" s="1015"/>
      <c r="G42" s="1015"/>
      <c r="H42" s="1015"/>
      <c r="I42" s="1015"/>
      <c r="J42" s="1015"/>
      <c r="K42" s="1015"/>
      <c r="L42" s="1015"/>
      <c r="M42" s="1015"/>
      <c r="N42" s="1015"/>
      <c r="O42" s="1015"/>
      <c r="P42" s="1015"/>
      <c r="Q42" s="1015"/>
      <c r="R42" s="1015"/>
      <c r="S42" s="1015"/>
      <c r="T42" s="1015"/>
      <c r="U42" s="1015"/>
      <c r="V42" s="1015"/>
    </row>
    <row r="43" spans="1:22" ht="13.2">
      <c r="A43" s="1021"/>
      <c r="B43" s="49" t="s">
        <v>23</v>
      </c>
      <c r="C43" s="51" t="s">
        <v>50</v>
      </c>
      <c r="D43" s="1015"/>
      <c r="E43" s="1015"/>
      <c r="F43" s="1015"/>
      <c r="G43" s="1015"/>
      <c r="H43" s="1015"/>
      <c r="I43" s="1015"/>
      <c r="J43" s="1015"/>
      <c r="K43" s="1015"/>
      <c r="L43" s="1015"/>
      <c r="M43" s="1015"/>
      <c r="N43" s="1015"/>
      <c r="O43" s="1015"/>
      <c r="P43" s="1015"/>
      <c r="Q43" s="1015"/>
      <c r="R43" s="1015"/>
      <c r="S43" s="1015"/>
      <c r="T43" s="1015"/>
      <c r="U43" s="1015"/>
      <c r="V43" s="1015"/>
    </row>
    <row r="44" spans="1:22" ht="13.2">
      <c r="A44" s="1021"/>
      <c r="B44" s="49" t="s">
        <v>23</v>
      </c>
      <c r="C44" s="51" t="s">
        <v>51</v>
      </c>
      <c r="D44" s="1015"/>
      <c r="E44" s="1015"/>
      <c r="F44" s="1015"/>
      <c r="G44" s="1015"/>
      <c r="H44" s="1015"/>
      <c r="I44" s="1015"/>
      <c r="J44" s="1015"/>
      <c r="K44" s="1015"/>
      <c r="L44" s="1015"/>
      <c r="M44" s="1015"/>
      <c r="N44" s="1015"/>
      <c r="O44" s="1015"/>
      <c r="P44" s="1015"/>
      <c r="Q44" s="1015"/>
      <c r="R44" s="1015"/>
      <c r="S44" s="1015"/>
      <c r="T44" s="1015"/>
      <c r="U44" s="1015"/>
      <c r="V44" s="1015"/>
    </row>
    <row r="45" spans="1:22" ht="26.4">
      <c r="A45" s="1021"/>
      <c r="B45" s="49" t="s">
        <v>23</v>
      </c>
      <c r="C45" s="52" t="s">
        <v>52</v>
      </c>
      <c r="D45" s="1015"/>
      <c r="E45" s="1015"/>
      <c r="F45" s="1015"/>
      <c r="G45" s="1015"/>
      <c r="H45" s="1015"/>
      <c r="I45" s="1015"/>
      <c r="J45" s="1015"/>
      <c r="K45" s="1015"/>
      <c r="L45" s="1015"/>
      <c r="M45" s="1015"/>
      <c r="N45" s="1015"/>
      <c r="O45" s="1015"/>
      <c r="P45" s="1015"/>
      <c r="Q45" s="1015"/>
      <c r="R45" s="1015"/>
      <c r="S45" s="1015"/>
      <c r="T45" s="1015"/>
      <c r="U45" s="1015"/>
      <c r="V45" s="1015"/>
    </row>
    <row r="46" spans="1:22" ht="13.2">
      <c r="A46" s="1021"/>
      <c r="B46" s="49" t="s">
        <v>23</v>
      </c>
      <c r="C46" s="52" t="s">
        <v>53</v>
      </c>
      <c r="D46" s="1015"/>
      <c r="E46" s="1015"/>
      <c r="F46" s="1015"/>
      <c r="G46" s="1015"/>
      <c r="H46" s="1015"/>
      <c r="I46" s="1015"/>
      <c r="J46" s="1015"/>
      <c r="K46" s="1015"/>
      <c r="L46" s="1015"/>
      <c r="M46" s="1015"/>
      <c r="N46" s="1015"/>
      <c r="O46" s="1015"/>
      <c r="P46" s="1015"/>
      <c r="Q46" s="1015"/>
      <c r="R46" s="1015"/>
      <c r="S46" s="1015"/>
      <c r="T46" s="1015"/>
      <c r="U46" s="1015"/>
      <c r="V46" s="1015"/>
    </row>
    <row r="47" spans="1:22" ht="13.2">
      <c r="A47" s="1034"/>
      <c r="B47" s="1039" t="s">
        <v>54</v>
      </c>
      <c r="C47" s="1038"/>
      <c r="D47" s="1015"/>
      <c r="E47" s="1015"/>
      <c r="F47" s="1015"/>
      <c r="G47" s="1015"/>
      <c r="H47" s="1015"/>
      <c r="I47" s="1015"/>
      <c r="J47" s="1015"/>
      <c r="K47" s="1015"/>
      <c r="L47" s="1015"/>
      <c r="M47" s="1015"/>
      <c r="N47" s="1015"/>
      <c r="O47" s="1015"/>
      <c r="P47" s="1015"/>
      <c r="Q47" s="1015"/>
      <c r="R47" s="1015"/>
      <c r="S47" s="1015"/>
      <c r="T47" s="1015"/>
      <c r="U47" s="1015"/>
      <c r="V47" s="1015"/>
    </row>
    <row r="48" spans="1:22" ht="13.2">
      <c r="A48" s="1036" t="s">
        <v>55</v>
      </c>
      <c r="B48" s="1037"/>
      <c r="C48" s="1038"/>
      <c r="D48" s="1015"/>
      <c r="E48" s="1015"/>
      <c r="F48" s="1015"/>
      <c r="G48" s="1015"/>
      <c r="H48" s="1015"/>
      <c r="I48" s="1015"/>
      <c r="J48" s="1015"/>
      <c r="K48" s="1015"/>
      <c r="L48" s="1015"/>
      <c r="M48" s="1015"/>
      <c r="N48" s="1015"/>
      <c r="O48" s="1015"/>
      <c r="P48" s="1015"/>
      <c r="Q48" s="1015"/>
      <c r="R48" s="1015"/>
      <c r="S48" s="1015"/>
      <c r="T48" s="1015"/>
      <c r="U48" s="1015"/>
      <c r="V48" s="1015"/>
    </row>
    <row r="49" spans="1:22" ht="13.2">
      <c r="A49" s="1035"/>
      <c r="B49" s="53" t="s">
        <v>23</v>
      </c>
      <c r="C49" s="54" t="s">
        <v>56</v>
      </c>
      <c r="D49" s="1015"/>
      <c r="E49" s="1015"/>
      <c r="F49" s="1015"/>
      <c r="G49" s="1015"/>
      <c r="H49" s="1015"/>
      <c r="I49" s="1015"/>
      <c r="J49" s="1015"/>
      <c r="K49" s="1015"/>
      <c r="L49" s="1015"/>
      <c r="M49" s="1015"/>
      <c r="N49" s="1015"/>
      <c r="O49" s="1015"/>
      <c r="P49" s="1015"/>
      <c r="Q49" s="1015"/>
      <c r="R49" s="1015"/>
      <c r="S49" s="1015"/>
      <c r="T49" s="1015"/>
      <c r="U49" s="1015"/>
      <c r="V49" s="1015"/>
    </row>
    <row r="50" spans="1:22" ht="13.2">
      <c r="A50" s="1021"/>
      <c r="B50" s="53" t="s">
        <v>23</v>
      </c>
      <c r="C50" s="55" t="s">
        <v>57</v>
      </c>
      <c r="D50" s="1015"/>
      <c r="E50" s="1015"/>
      <c r="F50" s="1015"/>
      <c r="G50" s="1015"/>
      <c r="H50" s="1015"/>
      <c r="I50" s="1015"/>
      <c r="J50" s="1015"/>
      <c r="K50" s="1015"/>
      <c r="L50" s="1015"/>
      <c r="M50" s="1015"/>
      <c r="N50" s="1015"/>
      <c r="O50" s="1015"/>
      <c r="P50" s="1015"/>
      <c r="Q50" s="1015"/>
      <c r="R50" s="1015"/>
      <c r="S50" s="1015"/>
      <c r="T50" s="1015"/>
      <c r="U50" s="1015"/>
      <c r="V50" s="1015"/>
    </row>
    <row r="51" spans="1:22" ht="13.2">
      <c r="A51" s="1034"/>
      <c r="B51" s="56" t="s">
        <v>23</v>
      </c>
      <c r="C51" s="57" t="s">
        <v>58</v>
      </c>
      <c r="D51" s="1015"/>
      <c r="E51" s="1015"/>
      <c r="F51" s="1015"/>
      <c r="G51" s="1015"/>
      <c r="H51" s="1015"/>
      <c r="I51" s="1015"/>
      <c r="J51" s="1015"/>
      <c r="K51" s="1015"/>
      <c r="L51" s="1015"/>
      <c r="M51" s="1015"/>
      <c r="N51" s="1015"/>
      <c r="O51" s="1015"/>
      <c r="P51" s="1015"/>
      <c r="Q51" s="1015"/>
      <c r="R51" s="1015"/>
      <c r="S51" s="1015"/>
      <c r="T51" s="1015"/>
      <c r="U51" s="1015"/>
      <c r="V51" s="1015"/>
    </row>
    <row r="52" spans="1:22" ht="13.2">
      <c r="A52" s="1040" t="s">
        <v>59</v>
      </c>
      <c r="B52" s="1037"/>
      <c r="C52" s="1038"/>
      <c r="D52" s="1015"/>
      <c r="E52" s="1015"/>
      <c r="F52" s="1015"/>
      <c r="G52" s="1015"/>
      <c r="H52" s="1015"/>
      <c r="I52" s="1015"/>
      <c r="J52" s="1015"/>
      <c r="K52" s="1015"/>
      <c r="L52" s="1015"/>
      <c r="M52" s="1015"/>
      <c r="N52" s="1015"/>
      <c r="O52" s="1015"/>
      <c r="P52" s="1015"/>
      <c r="Q52" s="1015"/>
      <c r="R52" s="1015"/>
      <c r="S52" s="1015"/>
      <c r="T52" s="1015"/>
      <c r="U52" s="1015"/>
      <c r="V52" s="1015"/>
    </row>
    <row r="53" spans="1:22" ht="13.2">
      <c r="A53" s="58"/>
      <c r="B53" s="1041" t="s">
        <v>60</v>
      </c>
      <c r="C53" s="1038"/>
      <c r="D53" s="1015"/>
      <c r="E53" s="1015"/>
      <c r="F53" s="1015"/>
      <c r="G53" s="1015"/>
      <c r="H53" s="1015"/>
      <c r="I53" s="1015"/>
      <c r="J53" s="1015"/>
      <c r="K53" s="1015"/>
      <c r="L53" s="1015"/>
      <c r="M53" s="1015"/>
      <c r="N53" s="1015"/>
      <c r="O53" s="1015"/>
      <c r="P53" s="1015"/>
      <c r="Q53" s="1015"/>
      <c r="R53" s="1015"/>
      <c r="S53" s="1015"/>
      <c r="T53" s="1015"/>
      <c r="U53" s="1015"/>
      <c r="V53" s="1015"/>
    </row>
    <row r="54" spans="1:22" ht="13.2">
      <c r="A54" s="1018" t="s">
        <v>61</v>
      </c>
      <c r="B54" s="1019"/>
      <c r="C54" s="1019"/>
      <c r="D54" s="1019"/>
      <c r="E54" s="1019"/>
      <c r="F54" s="1019"/>
      <c r="G54" s="1019"/>
      <c r="H54" s="1019"/>
      <c r="I54" s="1019"/>
      <c r="J54" s="1019"/>
      <c r="K54" s="1019"/>
      <c r="L54" s="1019"/>
      <c r="M54" s="1019"/>
      <c r="N54" s="1019"/>
      <c r="O54" s="1019"/>
      <c r="P54" s="1019"/>
      <c r="Q54" s="1019"/>
      <c r="R54" s="1019"/>
      <c r="S54" s="1019"/>
      <c r="T54" s="1019"/>
      <c r="U54" s="1019"/>
      <c r="V54" s="1020"/>
    </row>
    <row r="55" spans="1:22" ht="13.2">
      <c r="A55" s="1021"/>
      <c r="B55" s="1015"/>
      <c r="C55" s="1015"/>
      <c r="D55" s="1015"/>
      <c r="E55" s="1015"/>
      <c r="F55" s="1015"/>
      <c r="G55" s="1015"/>
      <c r="H55" s="1015"/>
      <c r="I55" s="1015"/>
      <c r="J55" s="1015"/>
      <c r="K55" s="1015"/>
      <c r="L55" s="1015"/>
      <c r="M55" s="1015"/>
      <c r="N55" s="1015"/>
      <c r="O55" s="1015"/>
      <c r="P55" s="1015"/>
      <c r="Q55" s="1015"/>
      <c r="R55" s="1015"/>
      <c r="S55" s="1015"/>
      <c r="T55" s="1015"/>
      <c r="U55" s="1015"/>
      <c r="V55" s="1022"/>
    </row>
    <row r="56" spans="1:22" ht="13.2">
      <c r="A56" s="1021"/>
      <c r="B56" s="1015"/>
      <c r="C56" s="1015"/>
      <c r="D56" s="1015"/>
      <c r="E56" s="1015"/>
      <c r="F56" s="1015"/>
      <c r="G56" s="1015"/>
      <c r="H56" s="1015"/>
      <c r="I56" s="1015"/>
      <c r="J56" s="1015"/>
      <c r="K56" s="1015"/>
      <c r="L56" s="1015"/>
      <c r="M56" s="1015"/>
      <c r="N56" s="1015"/>
      <c r="O56" s="1015"/>
      <c r="P56" s="1015"/>
      <c r="Q56" s="1015"/>
      <c r="R56" s="1015"/>
      <c r="S56" s="1015"/>
      <c r="T56" s="1015"/>
      <c r="U56" s="1015"/>
      <c r="V56" s="1022"/>
    </row>
    <row r="57" spans="1:22" ht="13.2">
      <c r="A57" s="1021"/>
      <c r="B57" s="1015"/>
      <c r="C57" s="1015"/>
      <c r="D57" s="1015"/>
      <c r="E57" s="1015"/>
      <c r="F57" s="1015"/>
      <c r="G57" s="1015"/>
      <c r="H57" s="1015"/>
      <c r="I57" s="1015"/>
      <c r="J57" s="1015"/>
      <c r="K57" s="1015"/>
      <c r="L57" s="1015"/>
      <c r="M57" s="1015"/>
      <c r="N57" s="1015"/>
      <c r="O57" s="1015"/>
      <c r="P57" s="1015"/>
      <c r="Q57" s="1015"/>
      <c r="R57" s="1015"/>
      <c r="S57" s="1015"/>
      <c r="T57" s="1015"/>
      <c r="U57" s="1015"/>
      <c r="V57" s="1022"/>
    </row>
    <row r="58" spans="1:22" ht="13.2">
      <c r="A58" s="1021"/>
      <c r="B58" s="1015"/>
      <c r="C58" s="1015"/>
      <c r="D58" s="1015"/>
      <c r="E58" s="1015"/>
      <c r="F58" s="1015"/>
      <c r="G58" s="1015"/>
      <c r="H58" s="1015"/>
      <c r="I58" s="1015"/>
      <c r="J58" s="1015"/>
      <c r="K58" s="1015"/>
      <c r="L58" s="1015"/>
      <c r="M58" s="1015"/>
      <c r="N58" s="1015"/>
      <c r="O58" s="1015"/>
      <c r="P58" s="1015"/>
      <c r="Q58" s="1015"/>
      <c r="R58" s="1015"/>
      <c r="S58" s="1015"/>
      <c r="T58" s="1015"/>
      <c r="U58" s="1015"/>
      <c r="V58" s="1022"/>
    </row>
    <row r="59" spans="1:22" ht="13.2">
      <c r="A59" s="1021"/>
      <c r="B59" s="1015"/>
      <c r="C59" s="1015"/>
      <c r="D59" s="1015"/>
      <c r="E59" s="1015"/>
      <c r="F59" s="1015"/>
      <c r="G59" s="1015"/>
      <c r="H59" s="1015"/>
      <c r="I59" s="1015"/>
      <c r="J59" s="1015"/>
      <c r="K59" s="1015"/>
      <c r="L59" s="1015"/>
      <c r="M59" s="1015"/>
      <c r="N59" s="1015"/>
      <c r="O59" s="1015"/>
      <c r="P59" s="1015"/>
      <c r="Q59" s="1015"/>
      <c r="R59" s="1015"/>
      <c r="S59" s="1015"/>
      <c r="T59" s="1015"/>
      <c r="U59" s="1015"/>
      <c r="V59" s="1022"/>
    </row>
    <row r="60" spans="1:22" ht="13.2">
      <c r="A60" s="1021"/>
      <c r="B60" s="1015"/>
      <c r="C60" s="1015"/>
      <c r="D60" s="1015"/>
      <c r="E60" s="1015"/>
      <c r="F60" s="1015"/>
      <c r="G60" s="1015"/>
      <c r="H60" s="1015"/>
      <c r="I60" s="1015"/>
      <c r="J60" s="1015"/>
      <c r="K60" s="1015"/>
      <c r="L60" s="1015"/>
      <c r="M60" s="1015"/>
      <c r="N60" s="1015"/>
      <c r="O60" s="1015"/>
      <c r="P60" s="1015"/>
      <c r="Q60" s="1015"/>
      <c r="R60" s="1015"/>
      <c r="S60" s="1015"/>
      <c r="T60" s="1015"/>
      <c r="U60" s="1015"/>
      <c r="V60" s="1022"/>
    </row>
    <row r="61" spans="1:22" ht="13.2">
      <c r="A61" s="1021"/>
      <c r="B61" s="1015"/>
      <c r="C61" s="1015"/>
      <c r="D61" s="1015"/>
      <c r="E61" s="1015"/>
      <c r="F61" s="1015"/>
      <c r="G61" s="1015"/>
      <c r="H61" s="1015"/>
      <c r="I61" s="1015"/>
      <c r="J61" s="1015"/>
      <c r="K61" s="1015"/>
      <c r="L61" s="1015"/>
      <c r="M61" s="1015"/>
      <c r="N61" s="1015"/>
      <c r="O61" s="1015"/>
      <c r="P61" s="1015"/>
      <c r="Q61" s="1015"/>
      <c r="R61" s="1015"/>
      <c r="S61" s="1015"/>
      <c r="T61" s="1015"/>
      <c r="U61" s="1015"/>
      <c r="V61" s="1022"/>
    </row>
    <row r="62" spans="1:22" ht="13.2">
      <c r="A62" s="1021"/>
      <c r="B62" s="1015"/>
      <c r="C62" s="1015"/>
      <c r="D62" s="1015"/>
      <c r="E62" s="1015"/>
      <c r="F62" s="1015"/>
      <c r="G62" s="1015"/>
      <c r="H62" s="1015"/>
      <c r="I62" s="1015"/>
      <c r="J62" s="1015"/>
      <c r="K62" s="1015"/>
      <c r="L62" s="1015"/>
      <c r="M62" s="1015"/>
      <c r="N62" s="1015"/>
      <c r="O62" s="1015"/>
      <c r="P62" s="1015"/>
      <c r="Q62" s="1015"/>
      <c r="R62" s="1015"/>
      <c r="S62" s="1015"/>
      <c r="T62" s="1015"/>
      <c r="U62" s="1015"/>
      <c r="V62" s="1022"/>
    </row>
    <row r="63" spans="1:22" ht="13.2">
      <c r="A63" s="1021"/>
      <c r="B63" s="1015"/>
      <c r="C63" s="1015"/>
      <c r="D63" s="1015"/>
      <c r="E63" s="1015"/>
      <c r="F63" s="1015"/>
      <c r="G63" s="1015"/>
      <c r="H63" s="1015"/>
      <c r="I63" s="1015"/>
      <c r="J63" s="1015"/>
      <c r="K63" s="1015"/>
      <c r="L63" s="1015"/>
      <c r="M63" s="1015"/>
      <c r="N63" s="1015"/>
      <c r="O63" s="1015"/>
      <c r="P63" s="1015"/>
      <c r="Q63" s="1015"/>
      <c r="R63" s="1015"/>
      <c r="S63" s="1015"/>
      <c r="T63" s="1015"/>
      <c r="U63" s="1015"/>
      <c r="V63" s="1022"/>
    </row>
    <row r="64" spans="1:22" ht="13.2">
      <c r="A64" s="1021"/>
      <c r="B64" s="1015"/>
      <c r="C64" s="1015"/>
      <c r="D64" s="1015"/>
      <c r="E64" s="1015"/>
      <c r="F64" s="1015"/>
      <c r="G64" s="1015"/>
      <c r="H64" s="1015"/>
      <c r="I64" s="1015"/>
      <c r="J64" s="1015"/>
      <c r="K64" s="1015"/>
      <c r="L64" s="1015"/>
      <c r="M64" s="1015"/>
      <c r="N64" s="1015"/>
      <c r="O64" s="1015"/>
      <c r="P64" s="1015"/>
      <c r="Q64" s="1015"/>
      <c r="R64" s="1015"/>
      <c r="S64" s="1015"/>
      <c r="T64" s="1015"/>
      <c r="U64" s="1015"/>
      <c r="V64" s="1022"/>
    </row>
    <row r="65" spans="1:22" ht="13.2">
      <c r="A65" s="1021"/>
      <c r="B65" s="1015"/>
      <c r="C65" s="1015"/>
      <c r="D65" s="1015"/>
      <c r="E65" s="1015"/>
      <c r="F65" s="1015"/>
      <c r="G65" s="1015"/>
      <c r="H65" s="1015"/>
      <c r="I65" s="1015"/>
      <c r="J65" s="1015"/>
      <c r="K65" s="1015"/>
      <c r="L65" s="1015"/>
      <c r="M65" s="1015"/>
      <c r="N65" s="1015"/>
      <c r="O65" s="1015"/>
      <c r="P65" s="1015"/>
      <c r="Q65" s="1015"/>
      <c r="R65" s="1015"/>
      <c r="S65" s="1015"/>
      <c r="T65" s="1015"/>
      <c r="U65" s="1015"/>
      <c r="V65" s="1022"/>
    </row>
    <row r="66" spans="1:22" ht="13.2">
      <c r="A66" s="1021"/>
      <c r="B66" s="1015"/>
      <c r="C66" s="1015"/>
      <c r="D66" s="1015"/>
      <c r="E66" s="1015"/>
      <c r="F66" s="1015"/>
      <c r="G66" s="1015"/>
      <c r="H66" s="1015"/>
      <c r="I66" s="1015"/>
      <c r="J66" s="1015"/>
      <c r="K66" s="1015"/>
      <c r="L66" s="1015"/>
      <c r="M66" s="1015"/>
      <c r="N66" s="1015"/>
      <c r="O66" s="1015"/>
      <c r="P66" s="1015"/>
      <c r="Q66" s="1015"/>
      <c r="R66" s="1015"/>
      <c r="S66" s="1015"/>
      <c r="T66" s="1015"/>
      <c r="U66" s="1015"/>
      <c r="V66" s="1022"/>
    </row>
    <row r="67" spans="1:22" ht="13.2">
      <c r="A67" s="1021"/>
      <c r="B67" s="1015"/>
      <c r="C67" s="1015"/>
      <c r="D67" s="1015"/>
      <c r="E67" s="1015"/>
      <c r="F67" s="1015"/>
      <c r="G67" s="1015"/>
      <c r="H67" s="1015"/>
      <c r="I67" s="1015"/>
      <c r="J67" s="1015"/>
      <c r="K67" s="1015"/>
      <c r="L67" s="1015"/>
      <c r="M67" s="1015"/>
      <c r="N67" s="1015"/>
      <c r="O67" s="1015"/>
      <c r="P67" s="1015"/>
      <c r="Q67" s="1015"/>
      <c r="R67" s="1015"/>
      <c r="S67" s="1015"/>
      <c r="T67" s="1015"/>
      <c r="U67" s="1015"/>
      <c r="V67" s="1022"/>
    </row>
    <row r="68" spans="1:22" ht="13.2">
      <c r="A68" s="1021"/>
      <c r="B68" s="1015"/>
      <c r="C68" s="1015"/>
      <c r="D68" s="1015"/>
      <c r="E68" s="1015"/>
      <c r="F68" s="1015"/>
      <c r="G68" s="1015"/>
      <c r="H68" s="1015"/>
      <c r="I68" s="1015"/>
      <c r="J68" s="1015"/>
      <c r="K68" s="1015"/>
      <c r="L68" s="1015"/>
      <c r="M68" s="1015"/>
      <c r="N68" s="1015"/>
      <c r="O68" s="1015"/>
      <c r="P68" s="1015"/>
      <c r="Q68" s="1015"/>
      <c r="R68" s="1015"/>
      <c r="S68" s="1015"/>
      <c r="T68" s="1015"/>
      <c r="U68" s="1015"/>
      <c r="V68" s="1022"/>
    </row>
    <row r="69" spans="1:22" ht="13.2">
      <c r="A69" s="1021"/>
      <c r="B69" s="1015"/>
      <c r="C69" s="1015"/>
      <c r="D69" s="1015"/>
      <c r="E69" s="1015"/>
      <c r="F69" s="1015"/>
      <c r="G69" s="1015"/>
      <c r="H69" s="1015"/>
      <c r="I69" s="1015"/>
      <c r="J69" s="1015"/>
      <c r="K69" s="1015"/>
      <c r="L69" s="1015"/>
      <c r="M69" s="1015"/>
      <c r="N69" s="1015"/>
      <c r="O69" s="1015"/>
      <c r="P69" s="1015"/>
      <c r="Q69" s="1015"/>
      <c r="R69" s="1015"/>
      <c r="S69" s="1015"/>
      <c r="T69" s="1015"/>
      <c r="U69" s="1015"/>
      <c r="V69" s="1022"/>
    </row>
    <row r="70" spans="1:22" ht="13.2">
      <c r="A70" s="1021"/>
      <c r="B70" s="1015"/>
      <c r="C70" s="1015"/>
      <c r="D70" s="1015"/>
      <c r="E70" s="1015"/>
      <c r="F70" s="1015"/>
      <c r="G70" s="1015"/>
      <c r="H70" s="1015"/>
      <c r="I70" s="1015"/>
      <c r="J70" s="1015"/>
      <c r="K70" s="1015"/>
      <c r="L70" s="1015"/>
      <c r="M70" s="1015"/>
      <c r="N70" s="1015"/>
      <c r="O70" s="1015"/>
      <c r="P70" s="1015"/>
      <c r="Q70" s="1015"/>
      <c r="R70" s="1015"/>
      <c r="S70" s="1015"/>
      <c r="T70" s="1015"/>
      <c r="U70" s="1015"/>
      <c r="V70" s="1022"/>
    </row>
    <row r="71" spans="1:22" ht="13.2">
      <c r="A71" s="1021"/>
      <c r="B71" s="1015"/>
      <c r="C71" s="1015"/>
      <c r="D71" s="1015"/>
      <c r="E71" s="1015"/>
      <c r="F71" s="1015"/>
      <c r="G71" s="1015"/>
      <c r="H71" s="1015"/>
      <c r="I71" s="1015"/>
      <c r="J71" s="1015"/>
      <c r="K71" s="1015"/>
      <c r="L71" s="1015"/>
      <c r="M71" s="1015"/>
      <c r="N71" s="1015"/>
      <c r="O71" s="1015"/>
      <c r="P71" s="1015"/>
      <c r="Q71" s="1015"/>
      <c r="R71" s="1015"/>
      <c r="S71" s="1015"/>
      <c r="T71" s="1015"/>
      <c r="U71" s="1015"/>
      <c r="V71" s="1022"/>
    </row>
    <row r="72" spans="1:22" ht="13.2">
      <c r="A72" s="1021"/>
      <c r="B72" s="1015"/>
      <c r="C72" s="1015"/>
      <c r="D72" s="1015"/>
      <c r="E72" s="1015"/>
      <c r="F72" s="1015"/>
      <c r="G72" s="1015"/>
      <c r="H72" s="1015"/>
      <c r="I72" s="1015"/>
      <c r="J72" s="1015"/>
      <c r="K72" s="1015"/>
      <c r="L72" s="1015"/>
      <c r="M72" s="1015"/>
      <c r="N72" s="1015"/>
      <c r="O72" s="1015"/>
      <c r="P72" s="1015"/>
      <c r="Q72" s="1015"/>
      <c r="R72" s="1015"/>
      <c r="S72" s="1015"/>
      <c r="T72" s="1015"/>
      <c r="U72" s="1015"/>
      <c r="V72" s="1022"/>
    </row>
    <row r="73" spans="1:22" ht="13.2">
      <c r="A73" s="1021"/>
      <c r="B73" s="1015"/>
      <c r="C73" s="1015"/>
      <c r="D73" s="1015"/>
      <c r="E73" s="1015"/>
      <c r="F73" s="1015"/>
      <c r="G73" s="1015"/>
      <c r="H73" s="1015"/>
      <c r="I73" s="1015"/>
      <c r="J73" s="1015"/>
      <c r="K73" s="1015"/>
      <c r="L73" s="1015"/>
      <c r="M73" s="1015"/>
      <c r="N73" s="1015"/>
      <c r="O73" s="1015"/>
      <c r="P73" s="1015"/>
      <c r="Q73" s="1015"/>
      <c r="R73" s="1015"/>
      <c r="S73" s="1015"/>
      <c r="T73" s="1015"/>
      <c r="U73" s="1015"/>
      <c r="V73" s="1022"/>
    </row>
    <row r="74" spans="1:22" ht="13.2">
      <c r="A74" s="1021"/>
      <c r="B74" s="1015"/>
      <c r="C74" s="1015"/>
      <c r="D74" s="1015"/>
      <c r="E74" s="1015"/>
      <c r="F74" s="1015"/>
      <c r="G74" s="1015"/>
      <c r="H74" s="1015"/>
      <c r="I74" s="1015"/>
      <c r="J74" s="1015"/>
      <c r="K74" s="1015"/>
      <c r="L74" s="1015"/>
      <c r="M74" s="1015"/>
      <c r="N74" s="1015"/>
      <c r="O74" s="1015"/>
      <c r="P74" s="1015"/>
      <c r="Q74" s="1015"/>
      <c r="R74" s="1015"/>
      <c r="S74" s="1015"/>
      <c r="T74" s="1015"/>
      <c r="U74" s="1015"/>
      <c r="V74" s="1022"/>
    </row>
    <row r="75" spans="1:22" ht="13.2">
      <c r="A75" s="1021"/>
      <c r="B75" s="1015"/>
      <c r="C75" s="1015"/>
      <c r="D75" s="1015"/>
      <c r="E75" s="1015"/>
      <c r="F75" s="1015"/>
      <c r="G75" s="1015"/>
      <c r="H75" s="1015"/>
      <c r="I75" s="1015"/>
      <c r="J75" s="1015"/>
      <c r="K75" s="1015"/>
      <c r="L75" s="1015"/>
      <c r="M75" s="1015"/>
      <c r="N75" s="1015"/>
      <c r="O75" s="1015"/>
      <c r="P75" s="1015"/>
      <c r="Q75" s="1015"/>
      <c r="R75" s="1015"/>
      <c r="S75" s="1015"/>
      <c r="T75" s="1015"/>
      <c r="U75" s="1015"/>
      <c r="V75" s="1022"/>
    </row>
    <row r="76" spans="1:22" ht="13.2">
      <c r="A76" s="1021"/>
      <c r="B76" s="1015"/>
      <c r="C76" s="1015"/>
      <c r="D76" s="1015"/>
      <c r="E76" s="1015"/>
      <c r="F76" s="1015"/>
      <c r="G76" s="1015"/>
      <c r="H76" s="1015"/>
      <c r="I76" s="1015"/>
      <c r="J76" s="1015"/>
      <c r="K76" s="1015"/>
      <c r="L76" s="1015"/>
      <c r="M76" s="1015"/>
      <c r="N76" s="1015"/>
      <c r="O76" s="1015"/>
      <c r="P76" s="1015"/>
      <c r="Q76" s="1015"/>
      <c r="R76" s="1015"/>
      <c r="S76" s="1015"/>
      <c r="T76" s="1015"/>
      <c r="U76" s="1015"/>
      <c r="V76" s="1022"/>
    </row>
    <row r="77" spans="1:22" ht="13.2">
      <c r="A77" s="1021"/>
      <c r="B77" s="1015"/>
      <c r="C77" s="1015"/>
      <c r="D77" s="1015"/>
      <c r="E77" s="1015"/>
      <c r="F77" s="1015"/>
      <c r="G77" s="1015"/>
      <c r="H77" s="1015"/>
      <c r="I77" s="1015"/>
      <c r="J77" s="1015"/>
      <c r="K77" s="1015"/>
      <c r="L77" s="1015"/>
      <c r="M77" s="1015"/>
      <c r="N77" s="1015"/>
      <c r="O77" s="1015"/>
      <c r="P77" s="1015"/>
      <c r="Q77" s="1015"/>
      <c r="R77" s="1015"/>
      <c r="S77" s="1015"/>
      <c r="T77" s="1015"/>
      <c r="U77" s="1015"/>
      <c r="V77" s="1022"/>
    </row>
    <row r="78" spans="1:22" ht="13.2">
      <c r="A78" s="1021"/>
      <c r="B78" s="1015"/>
      <c r="C78" s="1015"/>
      <c r="D78" s="1015"/>
      <c r="E78" s="1015"/>
      <c r="F78" s="1015"/>
      <c r="G78" s="1015"/>
      <c r="H78" s="1015"/>
      <c r="I78" s="1015"/>
      <c r="J78" s="1015"/>
      <c r="K78" s="1015"/>
      <c r="L78" s="1015"/>
      <c r="M78" s="1015"/>
      <c r="N78" s="1015"/>
      <c r="O78" s="1015"/>
      <c r="P78" s="1015"/>
      <c r="Q78" s="1015"/>
      <c r="R78" s="1015"/>
      <c r="S78" s="1015"/>
      <c r="T78" s="1015"/>
      <c r="U78" s="1015"/>
      <c r="V78" s="1022"/>
    </row>
    <row r="79" spans="1:22" ht="13.2">
      <c r="A79" s="1021"/>
      <c r="B79" s="1015"/>
      <c r="C79" s="1015"/>
      <c r="D79" s="1015"/>
      <c r="E79" s="1015"/>
      <c r="F79" s="1015"/>
      <c r="G79" s="1015"/>
      <c r="H79" s="1015"/>
      <c r="I79" s="1015"/>
      <c r="J79" s="1015"/>
      <c r="K79" s="1015"/>
      <c r="L79" s="1015"/>
      <c r="M79" s="1015"/>
      <c r="N79" s="1015"/>
      <c r="O79" s="1015"/>
      <c r="P79" s="1015"/>
      <c r="Q79" s="1015"/>
      <c r="R79" s="1015"/>
      <c r="S79" s="1015"/>
      <c r="T79" s="1015"/>
      <c r="U79" s="1015"/>
      <c r="V79" s="1022"/>
    </row>
    <row r="80" spans="1:22" ht="13.2">
      <c r="A80" s="1021"/>
      <c r="B80" s="1015"/>
      <c r="C80" s="1015"/>
      <c r="D80" s="1015"/>
      <c r="E80" s="1015"/>
      <c r="F80" s="1015"/>
      <c r="G80" s="1015"/>
      <c r="H80" s="1015"/>
      <c r="I80" s="1015"/>
      <c r="J80" s="1015"/>
      <c r="K80" s="1015"/>
      <c r="L80" s="1015"/>
      <c r="M80" s="1015"/>
      <c r="N80" s="1015"/>
      <c r="O80" s="1015"/>
      <c r="P80" s="1015"/>
      <c r="Q80" s="1015"/>
      <c r="R80" s="1015"/>
      <c r="S80" s="1015"/>
      <c r="T80" s="1015"/>
      <c r="U80" s="1015"/>
      <c r="V80" s="1022"/>
    </row>
    <row r="81" spans="1:22" ht="13.2">
      <c r="A81" s="1021"/>
      <c r="B81" s="1015"/>
      <c r="C81" s="1015"/>
      <c r="D81" s="1015"/>
      <c r="E81" s="1015"/>
      <c r="F81" s="1015"/>
      <c r="G81" s="1015"/>
      <c r="H81" s="1015"/>
      <c r="I81" s="1015"/>
      <c r="J81" s="1015"/>
      <c r="K81" s="1015"/>
      <c r="L81" s="1015"/>
      <c r="M81" s="1015"/>
      <c r="N81" s="1015"/>
      <c r="O81" s="1015"/>
      <c r="P81" s="1015"/>
      <c r="Q81" s="1015"/>
      <c r="R81" s="1015"/>
      <c r="S81" s="1015"/>
      <c r="T81" s="1015"/>
      <c r="U81" s="1015"/>
      <c r="V81" s="1022"/>
    </row>
    <row r="82" spans="1:22" ht="13.2">
      <c r="A82" s="1021"/>
      <c r="B82" s="1015"/>
      <c r="C82" s="1015"/>
      <c r="D82" s="1015"/>
      <c r="E82" s="1015"/>
      <c r="F82" s="1015"/>
      <c r="G82" s="1015"/>
      <c r="H82" s="1015"/>
      <c r="I82" s="1015"/>
      <c r="J82" s="1015"/>
      <c r="K82" s="1015"/>
      <c r="L82" s="1015"/>
      <c r="M82" s="1015"/>
      <c r="N82" s="1015"/>
      <c r="O82" s="1015"/>
      <c r="P82" s="1015"/>
      <c r="Q82" s="1015"/>
      <c r="R82" s="1015"/>
      <c r="S82" s="1015"/>
      <c r="T82" s="1015"/>
      <c r="U82" s="1015"/>
      <c r="V82" s="1022"/>
    </row>
    <row r="83" spans="1:22" ht="13.2">
      <c r="A83" s="1021"/>
      <c r="B83" s="1015"/>
      <c r="C83" s="1015"/>
      <c r="D83" s="1015"/>
      <c r="E83" s="1015"/>
      <c r="F83" s="1015"/>
      <c r="G83" s="1015"/>
      <c r="H83" s="1015"/>
      <c r="I83" s="1015"/>
      <c r="J83" s="1015"/>
      <c r="K83" s="1015"/>
      <c r="L83" s="1015"/>
      <c r="M83" s="1015"/>
      <c r="N83" s="1015"/>
      <c r="O83" s="1015"/>
      <c r="P83" s="1015"/>
      <c r="Q83" s="1015"/>
      <c r="R83" s="1015"/>
      <c r="S83" s="1015"/>
      <c r="T83" s="1015"/>
      <c r="U83" s="1015"/>
      <c r="V83" s="1022"/>
    </row>
    <row r="84" spans="1:22" ht="13.2">
      <c r="A84" s="1021"/>
      <c r="B84" s="1015"/>
      <c r="C84" s="1015"/>
      <c r="D84" s="1015"/>
      <c r="E84" s="1015"/>
      <c r="F84" s="1015"/>
      <c r="G84" s="1015"/>
      <c r="H84" s="1015"/>
      <c r="I84" s="1015"/>
      <c r="J84" s="1015"/>
      <c r="K84" s="1015"/>
      <c r="L84" s="1015"/>
      <c r="M84" s="1015"/>
      <c r="N84" s="1015"/>
      <c r="O84" s="1015"/>
      <c r="P84" s="1015"/>
      <c r="Q84" s="1015"/>
      <c r="R84" s="1015"/>
      <c r="S84" s="1015"/>
      <c r="T84" s="1015"/>
      <c r="U84" s="1015"/>
      <c r="V84" s="1022"/>
    </row>
    <row r="85" spans="1:22" ht="13.2">
      <c r="A85" s="1021"/>
      <c r="B85" s="1015"/>
      <c r="C85" s="1015"/>
      <c r="D85" s="1015"/>
      <c r="E85" s="1015"/>
      <c r="F85" s="1015"/>
      <c r="G85" s="1015"/>
      <c r="H85" s="1015"/>
      <c r="I85" s="1015"/>
      <c r="J85" s="1015"/>
      <c r="K85" s="1015"/>
      <c r="L85" s="1015"/>
      <c r="M85" s="1015"/>
      <c r="N85" s="1015"/>
      <c r="O85" s="1015"/>
      <c r="P85" s="1015"/>
      <c r="Q85" s="1015"/>
      <c r="R85" s="1015"/>
      <c r="S85" s="1015"/>
      <c r="T85" s="1015"/>
      <c r="U85" s="1015"/>
      <c r="V85" s="1022"/>
    </row>
    <row r="86" spans="1:22" ht="13.2">
      <c r="A86" s="1021"/>
      <c r="B86" s="1015"/>
      <c r="C86" s="1015"/>
      <c r="D86" s="1015"/>
      <c r="E86" s="1015"/>
      <c r="F86" s="1015"/>
      <c r="G86" s="1015"/>
      <c r="H86" s="1015"/>
      <c r="I86" s="1015"/>
      <c r="J86" s="1015"/>
      <c r="K86" s="1015"/>
      <c r="L86" s="1015"/>
      <c r="M86" s="1015"/>
      <c r="N86" s="1015"/>
      <c r="O86" s="1015"/>
      <c r="P86" s="1015"/>
      <c r="Q86" s="1015"/>
      <c r="R86" s="1015"/>
      <c r="S86" s="1015"/>
      <c r="T86" s="1015"/>
      <c r="U86" s="1015"/>
      <c r="V86" s="1022"/>
    </row>
    <row r="87" spans="1:22" ht="13.2">
      <c r="A87" s="1021"/>
      <c r="B87" s="1015"/>
      <c r="C87" s="1015"/>
      <c r="D87" s="1015"/>
      <c r="E87" s="1015"/>
      <c r="F87" s="1015"/>
      <c r="G87" s="1015"/>
      <c r="H87" s="1015"/>
      <c r="I87" s="1015"/>
      <c r="J87" s="1015"/>
      <c r="K87" s="1015"/>
      <c r="L87" s="1015"/>
      <c r="M87" s="1015"/>
      <c r="N87" s="1015"/>
      <c r="O87" s="1015"/>
      <c r="P87" s="1015"/>
      <c r="Q87" s="1015"/>
      <c r="R87" s="1015"/>
      <c r="S87" s="1015"/>
      <c r="T87" s="1015"/>
      <c r="U87" s="1015"/>
      <c r="V87" s="1022"/>
    </row>
    <row r="88" spans="1:22" ht="13.2">
      <c r="A88" s="1021"/>
      <c r="B88" s="1015"/>
      <c r="C88" s="1015"/>
      <c r="D88" s="1015"/>
      <c r="E88" s="1015"/>
      <c r="F88" s="1015"/>
      <c r="G88" s="1015"/>
      <c r="H88" s="1015"/>
      <c r="I88" s="1015"/>
      <c r="J88" s="1015"/>
      <c r="K88" s="1015"/>
      <c r="L88" s="1015"/>
      <c r="M88" s="1015"/>
      <c r="N88" s="1015"/>
      <c r="O88" s="1015"/>
      <c r="P88" s="1015"/>
      <c r="Q88" s="1015"/>
      <c r="R88" s="1015"/>
      <c r="S88" s="1015"/>
      <c r="T88" s="1015"/>
      <c r="U88" s="1015"/>
      <c r="V88" s="1022"/>
    </row>
    <row r="89" spans="1:22" ht="13.2">
      <c r="A89" s="1021"/>
      <c r="B89" s="1015"/>
      <c r="C89" s="1015"/>
      <c r="D89" s="1015"/>
      <c r="E89" s="1015"/>
      <c r="F89" s="1015"/>
      <c r="G89" s="1015"/>
      <c r="H89" s="1015"/>
      <c r="I89" s="1015"/>
      <c r="J89" s="1015"/>
      <c r="K89" s="1015"/>
      <c r="L89" s="1015"/>
      <c r="M89" s="1015"/>
      <c r="N89" s="1015"/>
      <c r="O89" s="1015"/>
      <c r="P89" s="1015"/>
      <c r="Q89" s="1015"/>
      <c r="R89" s="1015"/>
      <c r="S89" s="1015"/>
      <c r="T89" s="1015"/>
      <c r="U89" s="1015"/>
      <c r="V89" s="1022"/>
    </row>
    <row r="90" spans="1:22" ht="13.2">
      <c r="A90" s="1021"/>
      <c r="B90" s="1015"/>
      <c r="C90" s="1015"/>
      <c r="D90" s="1015"/>
      <c r="E90" s="1015"/>
      <c r="F90" s="1015"/>
      <c r="G90" s="1015"/>
      <c r="H90" s="1015"/>
      <c r="I90" s="1015"/>
      <c r="J90" s="1015"/>
      <c r="K90" s="1015"/>
      <c r="L90" s="1015"/>
      <c r="M90" s="1015"/>
      <c r="N90" s="1015"/>
      <c r="O90" s="1015"/>
      <c r="P90" s="1015"/>
      <c r="Q90" s="1015"/>
      <c r="R90" s="1015"/>
      <c r="S90" s="1015"/>
      <c r="T90" s="1015"/>
      <c r="U90" s="1015"/>
      <c r="V90" s="1022"/>
    </row>
    <row r="91" spans="1:22" ht="13.2">
      <c r="A91" s="1021"/>
      <c r="B91" s="1015"/>
      <c r="C91" s="1015"/>
      <c r="D91" s="1015"/>
      <c r="E91" s="1015"/>
      <c r="F91" s="1015"/>
      <c r="G91" s="1015"/>
      <c r="H91" s="1015"/>
      <c r="I91" s="1015"/>
      <c r="J91" s="1015"/>
      <c r="K91" s="1015"/>
      <c r="L91" s="1015"/>
      <c r="M91" s="1015"/>
      <c r="N91" s="1015"/>
      <c r="O91" s="1015"/>
      <c r="P91" s="1015"/>
      <c r="Q91" s="1015"/>
      <c r="R91" s="1015"/>
      <c r="S91" s="1015"/>
      <c r="T91" s="1015"/>
      <c r="U91" s="1015"/>
      <c r="V91" s="1022"/>
    </row>
    <row r="92" spans="1:22" ht="13.2">
      <c r="A92" s="1021"/>
      <c r="B92" s="1015"/>
      <c r="C92" s="1015"/>
      <c r="D92" s="1015"/>
      <c r="E92" s="1015"/>
      <c r="F92" s="1015"/>
      <c r="G92" s="1015"/>
      <c r="H92" s="1015"/>
      <c r="I92" s="1015"/>
      <c r="J92" s="1015"/>
      <c r="K92" s="1015"/>
      <c r="L92" s="1015"/>
      <c r="M92" s="1015"/>
      <c r="N92" s="1015"/>
      <c r="O92" s="1015"/>
      <c r="P92" s="1015"/>
      <c r="Q92" s="1015"/>
      <c r="R92" s="1015"/>
      <c r="S92" s="1015"/>
      <c r="T92" s="1015"/>
      <c r="U92" s="1015"/>
      <c r="V92" s="1022"/>
    </row>
    <row r="93" spans="1:22" ht="13.2">
      <c r="A93" s="1021"/>
      <c r="B93" s="1015"/>
      <c r="C93" s="1015"/>
      <c r="D93" s="1015"/>
      <c r="E93" s="1015"/>
      <c r="F93" s="1015"/>
      <c r="G93" s="1015"/>
      <c r="H93" s="1015"/>
      <c r="I93" s="1015"/>
      <c r="J93" s="1015"/>
      <c r="K93" s="1015"/>
      <c r="L93" s="1015"/>
      <c r="M93" s="1015"/>
      <c r="N93" s="1015"/>
      <c r="O93" s="1015"/>
      <c r="P93" s="1015"/>
      <c r="Q93" s="1015"/>
      <c r="R93" s="1015"/>
      <c r="S93" s="1015"/>
      <c r="T93" s="1015"/>
      <c r="U93" s="1015"/>
      <c r="V93" s="1022"/>
    </row>
    <row r="94" spans="1:22" ht="13.2">
      <c r="A94" s="1021"/>
      <c r="B94" s="1015"/>
      <c r="C94" s="1015"/>
      <c r="D94" s="1015"/>
      <c r="E94" s="1015"/>
      <c r="F94" s="1015"/>
      <c r="G94" s="1015"/>
      <c r="H94" s="1015"/>
      <c r="I94" s="1015"/>
      <c r="J94" s="1015"/>
      <c r="K94" s="1015"/>
      <c r="L94" s="1015"/>
      <c r="M94" s="1015"/>
      <c r="N94" s="1015"/>
      <c r="O94" s="1015"/>
      <c r="P94" s="1015"/>
      <c r="Q94" s="1015"/>
      <c r="R94" s="1015"/>
      <c r="S94" s="1015"/>
      <c r="T94" s="1015"/>
      <c r="U94" s="1015"/>
      <c r="V94" s="1022"/>
    </row>
    <row r="95" spans="1:22" ht="13.2">
      <c r="A95" s="1021"/>
      <c r="B95" s="1015"/>
      <c r="C95" s="1015"/>
      <c r="D95" s="1015"/>
      <c r="E95" s="1015"/>
      <c r="F95" s="1015"/>
      <c r="G95" s="1015"/>
      <c r="H95" s="1015"/>
      <c r="I95" s="1015"/>
      <c r="J95" s="1015"/>
      <c r="K95" s="1015"/>
      <c r="L95" s="1015"/>
      <c r="M95" s="1015"/>
      <c r="N95" s="1015"/>
      <c r="O95" s="1015"/>
      <c r="P95" s="1015"/>
      <c r="Q95" s="1015"/>
      <c r="R95" s="1015"/>
      <c r="S95" s="1015"/>
      <c r="T95" s="1015"/>
      <c r="U95" s="1015"/>
      <c r="V95" s="1022"/>
    </row>
    <row r="96" spans="1:22" ht="13.2">
      <c r="A96" s="1021"/>
      <c r="B96" s="1015"/>
      <c r="C96" s="1015"/>
      <c r="D96" s="1015"/>
      <c r="E96" s="1015"/>
      <c r="F96" s="1015"/>
      <c r="G96" s="1015"/>
      <c r="H96" s="1015"/>
      <c r="I96" s="1015"/>
      <c r="J96" s="1015"/>
      <c r="K96" s="1015"/>
      <c r="L96" s="1015"/>
      <c r="M96" s="1015"/>
      <c r="N96" s="1015"/>
      <c r="O96" s="1015"/>
      <c r="P96" s="1015"/>
      <c r="Q96" s="1015"/>
      <c r="R96" s="1015"/>
      <c r="S96" s="1015"/>
      <c r="T96" s="1015"/>
      <c r="U96" s="1015"/>
      <c r="V96" s="1022"/>
    </row>
    <row r="97" spans="1:22" ht="13.2">
      <c r="A97" s="1021"/>
      <c r="B97" s="1015"/>
      <c r="C97" s="1015"/>
      <c r="D97" s="1015"/>
      <c r="E97" s="1015"/>
      <c r="F97" s="1015"/>
      <c r="G97" s="1015"/>
      <c r="H97" s="1015"/>
      <c r="I97" s="1015"/>
      <c r="J97" s="1015"/>
      <c r="K97" s="1015"/>
      <c r="L97" s="1015"/>
      <c r="M97" s="1015"/>
      <c r="N97" s="1015"/>
      <c r="O97" s="1015"/>
      <c r="P97" s="1015"/>
      <c r="Q97" s="1015"/>
      <c r="R97" s="1015"/>
      <c r="S97" s="1015"/>
      <c r="T97" s="1015"/>
      <c r="U97" s="1015"/>
      <c r="V97" s="1022"/>
    </row>
    <row r="98" spans="1:22" ht="13.2">
      <c r="A98" s="1021"/>
      <c r="B98" s="1015"/>
      <c r="C98" s="1015"/>
      <c r="D98" s="1015"/>
      <c r="E98" s="1015"/>
      <c r="F98" s="1015"/>
      <c r="G98" s="1015"/>
      <c r="H98" s="1015"/>
      <c r="I98" s="1015"/>
      <c r="J98" s="1015"/>
      <c r="K98" s="1015"/>
      <c r="L98" s="1015"/>
      <c r="M98" s="1015"/>
      <c r="N98" s="1015"/>
      <c r="O98" s="1015"/>
      <c r="P98" s="1015"/>
      <c r="Q98" s="1015"/>
      <c r="R98" s="1015"/>
      <c r="S98" s="1015"/>
      <c r="T98" s="1015"/>
      <c r="U98" s="1015"/>
      <c r="V98" s="1022"/>
    </row>
    <row r="99" spans="1:22" ht="13.2">
      <c r="A99" s="1021"/>
      <c r="B99" s="1015"/>
      <c r="C99" s="1015"/>
      <c r="D99" s="1015"/>
      <c r="E99" s="1015"/>
      <c r="F99" s="1015"/>
      <c r="G99" s="1015"/>
      <c r="H99" s="1015"/>
      <c r="I99" s="1015"/>
      <c r="J99" s="1015"/>
      <c r="K99" s="1015"/>
      <c r="L99" s="1015"/>
      <c r="M99" s="1015"/>
      <c r="N99" s="1015"/>
      <c r="O99" s="1015"/>
      <c r="P99" s="1015"/>
      <c r="Q99" s="1015"/>
      <c r="R99" s="1015"/>
      <c r="S99" s="1015"/>
      <c r="T99" s="1015"/>
      <c r="U99" s="1015"/>
      <c r="V99" s="1022"/>
    </row>
    <row r="100" spans="1:22" ht="13.2">
      <c r="A100" s="1021"/>
      <c r="B100" s="1015"/>
      <c r="C100" s="1015"/>
      <c r="D100" s="1015"/>
      <c r="E100" s="1015"/>
      <c r="F100" s="1015"/>
      <c r="G100" s="1015"/>
      <c r="H100" s="1015"/>
      <c r="I100" s="1015"/>
      <c r="J100" s="1015"/>
      <c r="K100" s="1015"/>
      <c r="L100" s="1015"/>
      <c r="M100" s="1015"/>
      <c r="N100" s="1015"/>
      <c r="O100" s="1015"/>
      <c r="P100" s="1015"/>
      <c r="Q100" s="1015"/>
      <c r="R100" s="1015"/>
      <c r="S100" s="1015"/>
      <c r="T100" s="1015"/>
      <c r="U100" s="1015"/>
      <c r="V100" s="1022"/>
    </row>
    <row r="101" spans="1:22" ht="13.2">
      <c r="A101" s="1021"/>
      <c r="B101" s="1015"/>
      <c r="C101" s="1015"/>
      <c r="D101" s="1015"/>
      <c r="E101" s="1015"/>
      <c r="F101" s="1015"/>
      <c r="G101" s="1015"/>
      <c r="H101" s="1015"/>
      <c r="I101" s="1015"/>
      <c r="J101" s="1015"/>
      <c r="K101" s="1015"/>
      <c r="L101" s="1015"/>
      <c r="M101" s="1015"/>
      <c r="N101" s="1015"/>
      <c r="O101" s="1015"/>
      <c r="P101" s="1015"/>
      <c r="Q101" s="1015"/>
      <c r="R101" s="1015"/>
      <c r="S101" s="1015"/>
      <c r="T101" s="1015"/>
      <c r="U101" s="1015"/>
      <c r="V101" s="1022"/>
    </row>
    <row r="102" spans="1:22" ht="13.2">
      <c r="A102" s="1021"/>
      <c r="B102" s="1015"/>
      <c r="C102" s="1015"/>
      <c r="D102" s="1015"/>
      <c r="E102" s="1015"/>
      <c r="F102" s="1015"/>
      <c r="G102" s="1015"/>
      <c r="H102" s="1015"/>
      <c r="I102" s="1015"/>
      <c r="J102" s="1015"/>
      <c r="K102" s="1015"/>
      <c r="L102" s="1015"/>
      <c r="M102" s="1015"/>
      <c r="N102" s="1015"/>
      <c r="O102" s="1015"/>
      <c r="P102" s="1015"/>
      <c r="Q102" s="1015"/>
      <c r="R102" s="1015"/>
      <c r="S102" s="1015"/>
      <c r="T102" s="1015"/>
      <c r="U102" s="1015"/>
      <c r="V102" s="1022"/>
    </row>
    <row r="103" spans="1:22" ht="13.2">
      <c r="A103" s="1021"/>
      <c r="B103" s="1015"/>
      <c r="C103" s="1015"/>
      <c r="D103" s="1015"/>
      <c r="E103" s="1015"/>
      <c r="F103" s="1015"/>
      <c r="G103" s="1015"/>
      <c r="H103" s="1015"/>
      <c r="I103" s="1015"/>
      <c r="J103" s="1015"/>
      <c r="K103" s="1015"/>
      <c r="L103" s="1015"/>
      <c r="M103" s="1015"/>
      <c r="N103" s="1015"/>
      <c r="O103" s="1015"/>
      <c r="P103" s="1015"/>
      <c r="Q103" s="1015"/>
      <c r="R103" s="1015"/>
      <c r="S103" s="1015"/>
      <c r="T103" s="1015"/>
      <c r="U103" s="1015"/>
      <c r="V103" s="1022"/>
    </row>
    <row r="104" spans="1:22" ht="13.2">
      <c r="A104" s="1021"/>
      <c r="B104" s="1015"/>
      <c r="C104" s="1015"/>
      <c r="D104" s="1015"/>
      <c r="E104" s="1015"/>
      <c r="F104" s="1015"/>
      <c r="G104" s="1015"/>
      <c r="H104" s="1015"/>
      <c r="I104" s="1015"/>
      <c r="J104" s="1015"/>
      <c r="K104" s="1015"/>
      <c r="L104" s="1015"/>
      <c r="M104" s="1015"/>
      <c r="N104" s="1015"/>
      <c r="O104" s="1015"/>
      <c r="P104" s="1015"/>
      <c r="Q104" s="1015"/>
      <c r="R104" s="1015"/>
      <c r="S104" s="1015"/>
      <c r="T104" s="1015"/>
      <c r="U104" s="1015"/>
      <c r="V104" s="1022"/>
    </row>
    <row r="105" spans="1:22" ht="13.2">
      <c r="A105" s="1021"/>
      <c r="B105" s="1015"/>
      <c r="C105" s="1015"/>
      <c r="D105" s="1015"/>
      <c r="E105" s="1015"/>
      <c r="F105" s="1015"/>
      <c r="G105" s="1015"/>
      <c r="H105" s="1015"/>
      <c r="I105" s="1015"/>
      <c r="J105" s="1015"/>
      <c r="K105" s="1015"/>
      <c r="L105" s="1015"/>
      <c r="M105" s="1015"/>
      <c r="N105" s="1015"/>
      <c r="O105" s="1015"/>
      <c r="P105" s="1015"/>
      <c r="Q105" s="1015"/>
      <c r="R105" s="1015"/>
      <c r="S105" s="1015"/>
      <c r="T105" s="1015"/>
      <c r="U105" s="1015"/>
      <c r="V105" s="1022"/>
    </row>
    <row r="106" spans="1:22" ht="13.2">
      <c r="A106" s="1021"/>
      <c r="B106" s="1015"/>
      <c r="C106" s="1015"/>
      <c r="D106" s="1015"/>
      <c r="E106" s="1015"/>
      <c r="F106" s="1015"/>
      <c r="G106" s="1015"/>
      <c r="H106" s="1015"/>
      <c r="I106" s="1015"/>
      <c r="J106" s="1015"/>
      <c r="K106" s="1015"/>
      <c r="L106" s="1015"/>
      <c r="M106" s="1015"/>
      <c r="N106" s="1015"/>
      <c r="O106" s="1015"/>
      <c r="P106" s="1015"/>
      <c r="Q106" s="1015"/>
      <c r="R106" s="1015"/>
      <c r="S106" s="1015"/>
      <c r="T106" s="1015"/>
      <c r="U106" s="1015"/>
      <c r="V106" s="1022"/>
    </row>
    <row r="107" spans="1:22" ht="13.2">
      <c r="A107" s="1021"/>
      <c r="B107" s="1015"/>
      <c r="C107" s="1015"/>
      <c r="D107" s="1015"/>
      <c r="E107" s="1015"/>
      <c r="F107" s="1015"/>
      <c r="G107" s="1015"/>
      <c r="H107" s="1015"/>
      <c r="I107" s="1015"/>
      <c r="J107" s="1015"/>
      <c r="K107" s="1015"/>
      <c r="L107" s="1015"/>
      <c r="M107" s="1015"/>
      <c r="N107" s="1015"/>
      <c r="O107" s="1015"/>
      <c r="P107" s="1015"/>
      <c r="Q107" s="1015"/>
      <c r="R107" s="1015"/>
      <c r="S107" s="1015"/>
      <c r="T107" s="1015"/>
      <c r="U107" s="1015"/>
      <c r="V107" s="1022"/>
    </row>
    <row r="108" spans="1:22" ht="13.2">
      <c r="A108" s="1021"/>
      <c r="B108" s="1015"/>
      <c r="C108" s="1015"/>
      <c r="D108" s="1015"/>
      <c r="E108" s="1015"/>
      <c r="F108" s="1015"/>
      <c r="G108" s="1015"/>
      <c r="H108" s="1015"/>
      <c r="I108" s="1015"/>
      <c r="J108" s="1015"/>
      <c r="K108" s="1015"/>
      <c r="L108" s="1015"/>
      <c r="M108" s="1015"/>
      <c r="N108" s="1015"/>
      <c r="O108" s="1015"/>
      <c r="P108" s="1015"/>
      <c r="Q108" s="1015"/>
      <c r="R108" s="1015"/>
      <c r="S108" s="1015"/>
      <c r="T108" s="1015"/>
      <c r="U108" s="1015"/>
      <c r="V108" s="1022"/>
    </row>
    <row r="109" spans="1:22" ht="13.2">
      <c r="A109" s="1021"/>
      <c r="B109" s="1015"/>
      <c r="C109" s="1015"/>
      <c r="D109" s="1015"/>
      <c r="E109" s="1015"/>
      <c r="F109" s="1015"/>
      <c r="G109" s="1015"/>
      <c r="H109" s="1015"/>
      <c r="I109" s="1015"/>
      <c r="J109" s="1015"/>
      <c r="K109" s="1015"/>
      <c r="L109" s="1015"/>
      <c r="M109" s="1015"/>
      <c r="N109" s="1015"/>
      <c r="O109" s="1015"/>
      <c r="P109" s="1015"/>
      <c r="Q109" s="1015"/>
      <c r="R109" s="1015"/>
      <c r="S109" s="1015"/>
      <c r="T109" s="1015"/>
      <c r="U109" s="1015"/>
      <c r="V109" s="1022"/>
    </row>
    <row r="110" spans="1:22" ht="13.2">
      <c r="A110" s="1021"/>
      <c r="B110" s="1015"/>
      <c r="C110" s="1015"/>
      <c r="D110" s="1015"/>
      <c r="E110" s="1015"/>
      <c r="F110" s="1015"/>
      <c r="G110" s="1015"/>
      <c r="H110" s="1015"/>
      <c r="I110" s="1015"/>
      <c r="J110" s="1015"/>
      <c r="K110" s="1015"/>
      <c r="L110" s="1015"/>
      <c r="M110" s="1015"/>
      <c r="N110" s="1015"/>
      <c r="O110" s="1015"/>
      <c r="P110" s="1015"/>
      <c r="Q110" s="1015"/>
      <c r="R110" s="1015"/>
      <c r="S110" s="1015"/>
      <c r="T110" s="1015"/>
      <c r="U110" s="1015"/>
      <c r="V110" s="1022"/>
    </row>
    <row r="111" spans="1:22" ht="13.2">
      <c r="A111" s="1021"/>
      <c r="B111" s="1015"/>
      <c r="C111" s="1015"/>
      <c r="D111" s="1015"/>
      <c r="E111" s="1015"/>
      <c r="F111" s="1015"/>
      <c r="G111" s="1015"/>
      <c r="H111" s="1015"/>
      <c r="I111" s="1015"/>
      <c r="J111" s="1015"/>
      <c r="K111" s="1015"/>
      <c r="L111" s="1015"/>
      <c r="M111" s="1015"/>
      <c r="N111" s="1015"/>
      <c r="O111" s="1015"/>
      <c r="P111" s="1015"/>
      <c r="Q111" s="1015"/>
      <c r="R111" s="1015"/>
      <c r="S111" s="1015"/>
      <c r="T111" s="1015"/>
      <c r="U111" s="1015"/>
      <c r="V111" s="1022"/>
    </row>
    <row r="112" spans="1:22" ht="13.2">
      <c r="A112" s="1021"/>
      <c r="B112" s="1015"/>
      <c r="C112" s="1015"/>
      <c r="D112" s="1015"/>
      <c r="E112" s="1015"/>
      <c r="F112" s="1015"/>
      <c r="G112" s="1015"/>
      <c r="H112" s="1015"/>
      <c r="I112" s="1015"/>
      <c r="J112" s="1015"/>
      <c r="K112" s="1015"/>
      <c r="L112" s="1015"/>
      <c r="M112" s="1015"/>
      <c r="N112" s="1015"/>
      <c r="O112" s="1015"/>
      <c r="P112" s="1015"/>
      <c r="Q112" s="1015"/>
      <c r="R112" s="1015"/>
      <c r="S112" s="1015"/>
      <c r="T112" s="1015"/>
      <c r="U112" s="1015"/>
      <c r="V112" s="1022"/>
    </row>
    <row r="113" spans="1:22" ht="13.2">
      <c r="A113" s="1021"/>
      <c r="B113" s="1015"/>
      <c r="C113" s="1015"/>
      <c r="D113" s="1015"/>
      <c r="E113" s="1015"/>
      <c r="F113" s="1015"/>
      <c r="G113" s="1015"/>
      <c r="H113" s="1015"/>
      <c r="I113" s="1015"/>
      <c r="J113" s="1015"/>
      <c r="K113" s="1015"/>
      <c r="L113" s="1015"/>
      <c r="M113" s="1015"/>
      <c r="N113" s="1015"/>
      <c r="O113" s="1015"/>
      <c r="P113" s="1015"/>
      <c r="Q113" s="1015"/>
      <c r="R113" s="1015"/>
      <c r="S113" s="1015"/>
      <c r="T113" s="1015"/>
      <c r="U113" s="1015"/>
      <c r="V113" s="1022"/>
    </row>
    <row r="114" spans="1:22" ht="409.6" customHeight="1">
      <c r="A114" s="1023"/>
      <c r="B114" s="1024"/>
      <c r="C114" s="1024"/>
      <c r="D114" s="1024"/>
      <c r="E114" s="1024"/>
      <c r="F114" s="1024"/>
      <c r="G114" s="1024"/>
      <c r="H114" s="1024"/>
      <c r="I114" s="1024"/>
      <c r="J114" s="1024"/>
      <c r="K114" s="1024"/>
      <c r="L114" s="1024"/>
      <c r="M114" s="1024"/>
      <c r="N114" s="1024"/>
      <c r="O114" s="1024"/>
      <c r="P114" s="1024"/>
      <c r="Q114" s="1024"/>
      <c r="R114" s="1024"/>
      <c r="S114" s="1024"/>
      <c r="T114" s="1024"/>
      <c r="U114" s="1024"/>
      <c r="V114" s="1025"/>
    </row>
    <row r="115" spans="1:22" ht="13.2">
      <c r="B115" s="28"/>
    </row>
    <row r="116" spans="1:22" ht="13.2">
      <c r="B116" s="28"/>
    </row>
    <row r="117" spans="1:22" ht="13.2">
      <c r="B117" s="28"/>
    </row>
    <row r="118" spans="1:22" ht="13.2">
      <c r="B118" s="28"/>
    </row>
    <row r="119" spans="1:22" ht="13.2">
      <c r="B119" s="28"/>
    </row>
    <row r="120" spans="1:22" ht="13.2">
      <c r="B120" s="28"/>
    </row>
    <row r="121" spans="1:22" ht="13.2">
      <c r="B121" s="28"/>
    </row>
    <row r="122" spans="1:22" ht="13.2">
      <c r="B122" s="28"/>
    </row>
    <row r="123" spans="1:22" ht="13.2">
      <c r="B123" s="28"/>
    </row>
    <row r="124" spans="1:22" ht="13.2">
      <c r="B124" s="28"/>
    </row>
    <row r="125" spans="1:22" ht="13.2">
      <c r="B125" s="28"/>
    </row>
    <row r="126" spans="1:22" ht="13.2">
      <c r="B126" s="28"/>
    </row>
    <row r="127" spans="1:22" ht="13.2">
      <c r="B127" s="28"/>
    </row>
    <row r="128" spans="1:22" ht="13.2">
      <c r="B128" s="28"/>
    </row>
    <row r="129" spans="2:2" ht="13.2">
      <c r="B129" s="28"/>
    </row>
    <row r="130" spans="2:2" ht="13.2">
      <c r="B130" s="28"/>
    </row>
    <row r="131" spans="2:2" ht="13.2">
      <c r="B131" s="28"/>
    </row>
    <row r="132" spans="2:2" ht="13.2">
      <c r="B132" s="28"/>
    </row>
    <row r="133" spans="2:2" ht="13.2">
      <c r="B133" s="28"/>
    </row>
    <row r="134" spans="2:2" ht="13.2">
      <c r="B134" s="28"/>
    </row>
    <row r="135" spans="2:2" ht="13.2">
      <c r="B135" s="28"/>
    </row>
    <row r="136" spans="2:2" ht="13.2">
      <c r="B136" s="28"/>
    </row>
    <row r="137" spans="2:2" ht="13.2">
      <c r="B137" s="28"/>
    </row>
    <row r="138" spans="2:2" ht="13.2">
      <c r="B138" s="28"/>
    </row>
    <row r="139" spans="2:2" ht="13.2">
      <c r="B139" s="28"/>
    </row>
    <row r="140" spans="2:2" ht="13.2">
      <c r="B140" s="28"/>
    </row>
    <row r="141" spans="2:2" ht="13.2">
      <c r="B141" s="28"/>
    </row>
    <row r="142" spans="2:2" ht="13.2">
      <c r="B142" s="28"/>
    </row>
    <row r="143" spans="2:2" ht="13.2">
      <c r="B143" s="28"/>
    </row>
    <row r="144" spans="2:2" ht="13.2">
      <c r="B144" s="28"/>
    </row>
    <row r="145" spans="2:2" ht="13.2">
      <c r="B145" s="28"/>
    </row>
    <row r="146" spans="2:2" ht="13.2">
      <c r="B146" s="28"/>
    </row>
    <row r="147" spans="2:2" ht="13.2">
      <c r="B147" s="28"/>
    </row>
    <row r="148" spans="2:2" ht="13.2">
      <c r="B148" s="28"/>
    </row>
    <row r="149" spans="2:2" ht="13.2">
      <c r="B149" s="28"/>
    </row>
    <row r="150" spans="2:2" ht="13.2">
      <c r="B150" s="28"/>
    </row>
    <row r="151" spans="2:2" ht="13.2">
      <c r="B151" s="28"/>
    </row>
    <row r="152" spans="2:2" ht="13.2">
      <c r="B152" s="28"/>
    </row>
    <row r="153" spans="2:2" ht="13.2">
      <c r="B153" s="28"/>
    </row>
    <row r="154" spans="2:2" ht="13.2">
      <c r="B154" s="28"/>
    </row>
    <row r="155" spans="2:2" ht="13.2">
      <c r="B155" s="28"/>
    </row>
    <row r="156" spans="2:2" ht="13.2">
      <c r="B156" s="28"/>
    </row>
    <row r="157" spans="2:2" ht="13.2">
      <c r="B157" s="28"/>
    </row>
    <row r="158" spans="2:2" ht="13.2">
      <c r="B158" s="28"/>
    </row>
    <row r="159" spans="2:2" ht="13.2">
      <c r="B159" s="28"/>
    </row>
    <row r="160" spans="2:2" ht="13.2">
      <c r="B160" s="28"/>
    </row>
    <row r="161" spans="2:2" ht="13.2">
      <c r="B161" s="28"/>
    </row>
    <row r="162" spans="2:2" ht="13.2">
      <c r="B162" s="28"/>
    </row>
    <row r="163" spans="2:2" ht="13.2">
      <c r="B163" s="28"/>
    </row>
    <row r="164" spans="2:2" ht="13.2">
      <c r="B164" s="28"/>
    </row>
    <row r="165" spans="2:2" ht="13.2">
      <c r="B165" s="28"/>
    </row>
    <row r="166" spans="2:2" ht="13.2">
      <c r="B166" s="28"/>
    </row>
    <row r="167" spans="2:2" ht="13.2">
      <c r="B167" s="28"/>
    </row>
    <row r="168" spans="2:2" ht="13.2">
      <c r="B168" s="28"/>
    </row>
    <row r="169" spans="2:2" ht="13.2">
      <c r="B169" s="28"/>
    </row>
    <row r="170" spans="2:2" ht="13.2">
      <c r="B170" s="28"/>
    </row>
    <row r="171" spans="2:2" ht="13.2">
      <c r="B171" s="28"/>
    </row>
    <row r="172" spans="2:2" ht="13.2">
      <c r="B172" s="28"/>
    </row>
    <row r="173" spans="2:2" ht="13.2">
      <c r="B173" s="28"/>
    </row>
    <row r="174" spans="2:2" ht="13.2">
      <c r="B174" s="28"/>
    </row>
    <row r="175" spans="2:2" ht="13.2">
      <c r="B175" s="28"/>
    </row>
    <row r="176" spans="2:2" ht="13.2">
      <c r="B176" s="28"/>
    </row>
    <row r="177" spans="2:2" ht="13.2">
      <c r="B177" s="28"/>
    </row>
    <row r="178" spans="2:2" ht="13.2">
      <c r="B178" s="28"/>
    </row>
    <row r="179" spans="2:2" ht="13.2">
      <c r="B179" s="28"/>
    </row>
    <row r="180" spans="2:2" ht="13.2">
      <c r="B180" s="28"/>
    </row>
    <row r="181" spans="2:2" ht="13.2">
      <c r="B181" s="28"/>
    </row>
    <row r="182" spans="2:2" ht="13.2">
      <c r="B182" s="28"/>
    </row>
    <row r="183" spans="2:2" ht="13.2">
      <c r="B183" s="28"/>
    </row>
    <row r="184" spans="2:2" ht="13.2">
      <c r="B184" s="28"/>
    </row>
    <row r="185" spans="2:2" ht="13.2">
      <c r="B185" s="28"/>
    </row>
    <row r="186" spans="2:2" ht="13.2">
      <c r="B186" s="28"/>
    </row>
    <row r="187" spans="2:2" ht="13.2">
      <c r="B187" s="28"/>
    </row>
    <row r="188" spans="2:2" ht="13.2">
      <c r="B188" s="28"/>
    </row>
    <row r="189" spans="2:2" ht="13.2">
      <c r="B189" s="28"/>
    </row>
    <row r="190" spans="2:2" ht="13.2">
      <c r="B190" s="28"/>
    </row>
    <row r="191" spans="2:2" ht="13.2">
      <c r="B191" s="28"/>
    </row>
    <row r="192" spans="2:2" ht="13.2">
      <c r="B192" s="28"/>
    </row>
    <row r="193" spans="2:2" ht="13.2">
      <c r="B193" s="28"/>
    </row>
    <row r="194" spans="2:2" ht="13.2">
      <c r="B194" s="28"/>
    </row>
    <row r="195" spans="2:2" ht="13.2">
      <c r="B195" s="28"/>
    </row>
    <row r="196" spans="2:2" ht="13.2">
      <c r="B196" s="28"/>
    </row>
    <row r="197" spans="2:2" ht="13.2">
      <c r="B197" s="28"/>
    </row>
    <row r="198" spans="2:2" ht="13.2">
      <c r="B198" s="28"/>
    </row>
    <row r="199" spans="2:2" ht="13.2">
      <c r="B199" s="28"/>
    </row>
    <row r="200" spans="2:2" ht="13.2">
      <c r="B200" s="28"/>
    </row>
    <row r="201" spans="2:2" ht="13.2">
      <c r="B201" s="28"/>
    </row>
    <row r="202" spans="2:2" ht="13.2">
      <c r="B202" s="28"/>
    </row>
    <row r="203" spans="2:2" ht="13.2">
      <c r="B203" s="28"/>
    </row>
    <row r="204" spans="2:2" ht="13.2">
      <c r="B204" s="28"/>
    </row>
    <row r="205" spans="2:2" ht="13.2">
      <c r="B205" s="28"/>
    </row>
    <row r="206" spans="2:2" ht="13.2">
      <c r="B206" s="28"/>
    </row>
    <row r="207" spans="2:2" ht="13.2">
      <c r="B207" s="28"/>
    </row>
    <row r="208" spans="2:2" ht="13.2">
      <c r="B208" s="28"/>
    </row>
    <row r="209" spans="2:2" ht="13.2">
      <c r="B209" s="28"/>
    </row>
    <row r="210" spans="2:2" ht="13.2">
      <c r="B210" s="28"/>
    </row>
    <row r="211" spans="2:2" ht="13.2">
      <c r="B211" s="28"/>
    </row>
    <row r="212" spans="2:2" ht="13.2">
      <c r="B212" s="28"/>
    </row>
    <row r="213" spans="2:2" ht="13.2">
      <c r="B213" s="28"/>
    </row>
    <row r="214" spans="2:2" ht="13.2">
      <c r="B214" s="28"/>
    </row>
    <row r="215" spans="2:2" ht="13.2">
      <c r="B215" s="28"/>
    </row>
    <row r="216" spans="2:2" ht="13.2">
      <c r="B216" s="28"/>
    </row>
    <row r="217" spans="2:2" ht="13.2">
      <c r="B217" s="28"/>
    </row>
    <row r="218" spans="2:2" ht="13.2">
      <c r="B218" s="28"/>
    </row>
    <row r="219" spans="2:2" ht="13.2">
      <c r="B219" s="28"/>
    </row>
    <row r="220" spans="2:2" ht="13.2">
      <c r="B220" s="28"/>
    </row>
    <row r="221" spans="2:2" ht="13.2">
      <c r="B221" s="28"/>
    </row>
    <row r="222" spans="2:2" ht="13.2">
      <c r="B222" s="28"/>
    </row>
    <row r="223" spans="2:2" ht="13.2">
      <c r="B223" s="28"/>
    </row>
    <row r="224" spans="2:2" ht="13.2">
      <c r="B224" s="28"/>
    </row>
    <row r="225" spans="2:2" ht="13.2">
      <c r="B225" s="28"/>
    </row>
    <row r="226" spans="2:2" ht="13.2">
      <c r="B226" s="28"/>
    </row>
    <row r="227" spans="2:2" ht="13.2">
      <c r="B227" s="28"/>
    </row>
    <row r="228" spans="2:2" ht="13.2">
      <c r="B228" s="28"/>
    </row>
    <row r="229" spans="2:2" ht="13.2">
      <c r="B229" s="28"/>
    </row>
    <row r="230" spans="2:2" ht="13.2">
      <c r="B230" s="28"/>
    </row>
    <row r="231" spans="2:2" ht="13.2">
      <c r="B231" s="28"/>
    </row>
    <row r="232" spans="2:2" ht="13.2">
      <c r="B232" s="28"/>
    </row>
    <row r="233" spans="2:2" ht="13.2">
      <c r="B233" s="28"/>
    </row>
    <row r="234" spans="2:2" ht="13.2">
      <c r="B234" s="28"/>
    </row>
    <row r="235" spans="2:2" ht="13.2">
      <c r="B235" s="28"/>
    </row>
    <row r="236" spans="2:2" ht="13.2">
      <c r="B236" s="28"/>
    </row>
    <row r="237" spans="2:2" ht="13.2">
      <c r="B237" s="28"/>
    </row>
    <row r="238" spans="2:2" ht="13.2">
      <c r="B238" s="28"/>
    </row>
    <row r="239" spans="2:2" ht="13.2">
      <c r="B239" s="28"/>
    </row>
    <row r="240" spans="2:2" ht="13.2">
      <c r="B240" s="28"/>
    </row>
    <row r="241" spans="2:2" ht="13.2">
      <c r="B241" s="28"/>
    </row>
    <row r="242" spans="2:2" ht="13.2">
      <c r="B242" s="28"/>
    </row>
    <row r="243" spans="2:2" ht="13.2">
      <c r="B243" s="28"/>
    </row>
    <row r="244" spans="2:2" ht="13.2">
      <c r="B244" s="28"/>
    </row>
    <row r="245" spans="2:2" ht="13.2">
      <c r="B245" s="28"/>
    </row>
    <row r="246" spans="2:2" ht="13.2">
      <c r="B246" s="28"/>
    </row>
    <row r="247" spans="2:2" ht="13.2">
      <c r="B247" s="28"/>
    </row>
    <row r="248" spans="2:2" ht="13.2">
      <c r="B248" s="28"/>
    </row>
    <row r="249" spans="2:2" ht="13.2">
      <c r="B249" s="28"/>
    </row>
    <row r="250" spans="2:2" ht="13.2">
      <c r="B250" s="28"/>
    </row>
    <row r="251" spans="2:2" ht="13.2">
      <c r="B251" s="28"/>
    </row>
    <row r="252" spans="2:2" ht="13.2">
      <c r="B252" s="28"/>
    </row>
    <row r="253" spans="2:2" ht="13.2">
      <c r="B253" s="28"/>
    </row>
    <row r="254" spans="2:2" ht="13.2">
      <c r="B254" s="28"/>
    </row>
    <row r="255" spans="2:2" ht="13.2">
      <c r="B255" s="28"/>
    </row>
    <row r="256" spans="2:2" ht="13.2">
      <c r="B256" s="28"/>
    </row>
    <row r="257" spans="2:2" ht="13.2">
      <c r="B257" s="28"/>
    </row>
    <row r="258" spans="2:2" ht="13.2">
      <c r="B258" s="28"/>
    </row>
    <row r="259" spans="2:2" ht="13.2">
      <c r="B259" s="28"/>
    </row>
    <row r="260" spans="2:2" ht="13.2">
      <c r="B260" s="28"/>
    </row>
    <row r="261" spans="2:2" ht="13.2">
      <c r="B261" s="28"/>
    </row>
    <row r="262" spans="2:2" ht="13.2">
      <c r="B262" s="28"/>
    </row>
    <row r="263" spans="2:2" ht="13.2">
      <c r="B263" s="28"/>
    </row>
    <row r="264" spans="2:2" ht="13.2">
      <c r="B264" s="28"/>
    </row>
    <row r="265" spans="2:2" ht="13.2">
      <c r="B265" s="28"/>
    </row>
    <row r="266" spans="2:2" ht="13.2">
      <c r="B266" s="28"/>
    </row>
    <row r="267" spans="2:2" ht="13.2">
      <c r="B267" s="28"/>
    </row>
    <row r="268" spans="2:2" ht="13.2">
      <c r="B268" s="28"/>
    </row>
    <row r="269" spans="2:2" ht="13.2">
      <c r="B269" s="28"/>
    </row>
    <row r="270" spans="2:2" ht="13.2">
      <c r="B270" s="28"/>
    </row>
    <row r="271" spans="2:2" ht="13.2">
      <c r="B271" s="28"/>
    </row>
    <row r="272" spans="2:2" ht="13.2">
      <c r="B272" s="28"/>
    </row>
    <row r="273" spans="2:2" ht="13.2">
      <c r="B273" s="28"/>
    </row>
    <row r="274" spans="2:2" ht="13.2">
      <c r="B274" s="28"/>
    </row>
    <row r="275" spans="2:2" ht="13.2">
      <c r="B275" s="28"/>
    </row>
    <row r="276" spans="2:2" ht="13.2">
      <c r="B276" s="28"/>
    </row>
    <row r="277" spans="2:2" ht="13.2">
      <c r="B277" s="28"/>
    </row>
    <row r="278" spans="2:2" ht="13.2">
      <c r="B278" s="28"/>
    </row>
    <row r="279" spans="2:2" ht="13.2">
      <c r="B279" s="28"/>
    </row>
    <row r="280" spans="2:2" ht="13.2">
      <c r="B280" s="28"/>
    </row>
    <row r="281" spans="2:2" ht="13.2">
      <c r="B281" s="28"/>
    </row>
    <row r="282" spans="2:2" ht="13.2">
      <c r="B282" s="28"/>
    </row>
    <row r="283" spans="2:2" ht="13.2">
      <c r="B283" s="28"/>
    </row>
    <row r="284" spans="2:2" ht="13.2">
      <c r="B284" s="28"/>
    </row>
    <row r="285" spans="2:2" ht="13.2">
      <c r="B285" s="28"/>
    </row>
    <row r="286" spans="2:2" ht="13.2">
      <c r="B286" s="28"/>
    </row>
    <row r="287" spans="2:2" ht="13.2">
      <c r="B287" s="28"/>
    </row>
    <row r="288" spans="2:2" ht="13.2">
      <c r="B288" s="28"/>
    </row>
    <row r="289" spans="2:2" ht="13.2">
      <c r="B289" s="28"/>
    </row>
    <row r="290" spans="2:2" ht="13.2">
      <c r="B290" s="28"/>
    </row>
    <row r="291" spans="2:2" ht="13.2">
      <c r="B291" s="28"/>
    </row>
    <row r="292" spans="2:2" ht="13.2">
      <c r="B292" s="28"/>
    </row>
    <row r="293" spans="2:2" ht="13.2">
      <c r="B293" s="28"/>
    </row>
    <row r="294" spans="2:2" ht="13.2">
      <c r="B294" s="28"/>
    </row>
    <row r="295" spans="2:2" ht="13.2">
      <c r="B295" s="28"/>
    </row>
    <row r="296" spans="2:2" ht="13.2">
      <c r="B296" s="28"/>
    </row>
    <row r="297" spans="2:2" ht="13.2">
      <c r="B297" s="28"/>
    </row>
    <row r="298" spans="2:2" ht="13.2">
      <c r="B298" s="28"/>
    </row>
    <row r="299" spans="2:2" ht="13.2">
      <c r="B299" s="28"/>
    </row>
    <row r="300" spans="2:2" ht="13.2">
      <c r="B300" s="28"/>
    </row>
    <row r="301" spans="2:2" ht="13.2">
      <c r="B301" s="28"/>
    </row>
    <row r="302" spans="2:2" ht="13.2">
      <c r="B302" s="28"/>
    </row>
    <row r="303" spans="2:2" ht="13.2">
      <c r="B303" s="28"/>
    </row>
    <row r="304" spans="2:2" ht="13.2">
      <c r="B304" s="28"/>
    </row>
    <row r="305" spans="2:2" ht="13.2">
      <c r="B305" s="28"/>
    </row>
    <row r="306" spans="2:2" ht="13.2">
      <c r="B306" s="28"/>
    </row>
    <row r="307" spans="2:2" ht="13.2">
      <c r="B307" s="28"/>
    </row>
    <row r="308" spans="2:2" ht="13.2">
      <c r="B308" s="28"/>
    </row>
    <row r="309" spans="2:2" ht="13.2">
      <c r="B309" s="28"/>
    </row>
    <row r="310" spans="2:2" ht="13.2">
      <c r="B310" s="28"/>
    </row>
    <row r="311" spans="2:2" ht="13.2">
      <c r="B311" s="28"/>
    </row>
    <row r="312" spans="2:2" ht="13.2">
      <c r="B312" s="28"/>
    </row>
    <row r="313" spans="2:2" ht="13.2">
      <c r="B313" s="28"/>
    </row>
    <row r="314" spans="2:2" ht="13.2">
      <c r="B314" s="28"/>
    </row>
    <row r="315" spans="2:2" ht="13.2">
      <c r="B315" s="28"/>
    </row>
    <row r="316" spans="2:2" ht="13.2">
      <c r="B316" s="28"/>
    </row>
    <row r="317" spans="2:2" ht="13.2">
      <c r="B317" s="28"/>
    </row>
    <row r="318" spans="2:2" ht="13.2">
      <c r="B318" s="28"/>
    </row>
    <row r="319" spans="2:2" ht="13.2">
      <c r="B319" s="28"/>
    </row>
    <row r="320" spans="2:2" ht="13.2">
      <c r="B320" s="28"/>
    </row>
    <row r="321" spans="2:2" ht="13.2">
      <c r="B321" s="28"/>
    </row>
    <row r="322" spans="2:2" ht="13.2">
      <c r="B322" s="28"/>
    </row>
    <row r="323" spans="2:2" ht="13.2">
      <c r="B323" s="28"/>
    </row>
    <row r="324" spans="2:2" ht="13.2">
      <c r="B324" s="28"/>
    </row>
    <row r="325" spans="2:2" ht="13.2">
      <c r="B325" s="28"/>
    </row>
    <row r="326" spans="2:2" ht="13.2">
      <c r="B326" s="28"/>
    </row>
    <row r="327" spans="2:2" ht="13.2">
      <c r="B327" s="28"/>
    </row>
    <row r="328" spans="2:2" ht="13.2">
      <c r="B328" s="28"/>
    </row>
    <row r="329" spans="2:2" ht="13.2">
      <c r="B329" s="28"/>
    </row>
    <row r="330" spans="2:2" ht="13.2">
      <c r="B330" s="28"/>
    </row>
    <row r="331" spans="2:2" ht="13.2">
      <c r="B331" s="28"/>
    </row>
    <row r="332" spans="2:2" ht="13.2">
      <c r="B332" s="28"/>
    </row>
    <row r="333" spans="2:2" ht="13.2">
      <c r="B333" s="28"/>
    </row>
    <row r="334" spans="2:2" ht="13.2">
      <c r="B334" s="28"/>
    </row>
    <row r="335" spans="2:2" ht="13.2">
      <c r="B335" s="28"/>
    </row>
    <row r="336" spans="2:2" ht="13.2">
      <c r="B336" s="28"/>
    </row>
    <row r="337" spans="2:2" ht="13.2">
      <c r="B337" s="28"/>
    </row>
    <row r="338" spans="2:2" ht="13.2">
      <c r="B338" s="28"/>
    </row>
    <row r="339" spans="2:2" ht="13.2">
      <c r="B339" s="28"/>
    </row>
    <row r="340" spans="2:2" ht="13.2">
      <c r="B340" s="28"/>
    </row>
    <row r="341" spans="2:2" ht="13.2">
      <c r="B341" s="28"/>
    </row>
    <row r="342" spans="2:2" ht="13.2">
      <c r="B342" s="28"/>
    </row>
    <row r="343" spans="2:2" ht="13.2">
      <c r="B343" s="28"/>
    </row>
    <row r="344" spans="2:2" ht="13.2">
      <c r="B344" s="28"/>
    </row>
    <row r="345" spans="2:2" ht="13.2">
      <c r="B345" s="28"/>
    </row>
    <row r="346" spans="2:2" ht="13.2">
      <c r="B346" s="28"/>
    </row>
    <row r="347" spans="2:2" ht="13.2">
      <c r="B347" s="28"/>
    </row>
    <row r="348" spans="2:2" ht="13.2">
      <c r="B348" s="28"/>
    </row>
    <row r="349" spans="2:2" ht="13.2">
      <c r="B349" s="28"/>
    </row>
    <row r="350" spans="2:2" ht="13.2">
      <c r="B350" s="28"/>
    </row>
    <row r="351" spans="2:2" ht="13.2">
      <c r="B351" s="28"/>
    </row>
    <row r="352" spans="2:2" ht="13.2">
      <c r="B352" s="28"/>
    </row>
    <row r="353" spans="2:2" ht="13.2">
      <c r="B353" s="28"/>
    </row>
    <row r="354" spans="2:2" ht="13.2">
      <c r="B354" s="28"/>
    </row>
    <row r="355" spans="2:2" ht="13.2">
      <c r="B355" s="28"/>
    </row>
    <row r="356" spans="2:2" ht="13.2">
      <c r="B356" s="28"/>
    </row>
    <row r="357" spans="2:2" ht="13.2">
      <c r="B357" s="28"/>
    </row>
    <row r="358" spans="2:2" ht="13.2">
      <c r="B358" s="28"/>
    </row>
    <row r="359" spans="2:2" ht="13.2">
      <c r="B359" s="28"/>
    </row>
    <row r="360" spans="2:2" ht="13.2">
      <c r="B360" s="28"/>
    </row>
    <row r="361" spans="2:2" ht="13.2">
      <c r="B361" s="28"/>
    </row>
    <row r="362" spans="2:2" ht="13.2">
      <c r="B362" s="28"/>
    </row>
    <row r="363" spans="2:2" ht="13.2">
      <c r="B363" s="28"/>
    </row>
    <row r="364" spans="2:2" ht="13.2">
      <c r="B364" s="28"/>
    </row>
    <row r="365" spans="2:2" ht="13.2">
      <c r="B365" s="28"/>
    </row>
    <row r="366" spans="2:2" ht="13.2">
      <c r="B366" s="28"/>
    </row>
    <row r="367" spans="2:2" ht="13.2">
      <c r="B367" s="28"/>
    </row>
    <row r="368" spans="2:2" ht="13.2">
      <c r="B368" s="28"/>
    </row>
    <row r="369" spans="2:2" ht="13.2">
      <c r="B369" s="28"/>
    </row>
    <row r="370" spans="2:2" ht="13.2">
      <c r="B370" s="28"/>
    </row>
    <row r="371" spans="2:2" ht="13.2">
      <c r="B371" s="28"/>
    </row>
    <row r="372" spans="2:2" ht="13.2">
      <c r="B372" s="28"/>
    </row>
    <row r="373" spans="2:2" ht="13.2">
      <c r="B373" s="28"/>
    </row>
    <row r="374" spans="2:2" ht="13.2">
      <c r="B374" s="28"/>
    </row>
    <row r="375" spans="2:2" ht="13.2">
      <c r="B375" s="28"/>
    </row>
    <row r="376" spans="2:2" ht="13.2">
      <c r="B376" s="28"/>
    </row>
    <row r="377" spans="2:2" ht="13.2">
      <c r="B377" s="28"/>
    </row>
    <row r="378" spans="2:2" ht="13.2">
      <c r="B378" s="28"/>
    </row>
    <row r="379" spans="2:2" ht="13.2">
      <c r="B379" s="28"/>
    </row>
    <row r="380" spans="2:2" ht="13.2">
      <c r="B380" s="28"/>
    </row>
    <row r="381" spans="2:2" ht="13.2">
      <c r="B381" s="28"/>
    </row>
    <row r="382" spans="2:2" ht="13.2">
      <c r="B382" s="28"/>
    </row>
    <row r="383" spans="2:2" ht="13.2">
      <c r="B383" s="28"/>
    </row>
    <row r="384" spans="2:2" ht="13.2">
      <c r="B384" s="28"/>
    </row>
    <row r="385" spans="2:2" ht="13.2">
      <c r="B385" s="28"/>
    </row>
    <row r="386" spans="2:2" ht="13.2">
      <c r="B386" s="28"/>
    </row>
    <row r="387" spans="2:2" ht="13.2">
      <c r="B387" s="28"/>
    </row>
    <row r="388" spans="2:2" ht="13.2">
      <c r="B388" s="28"/>
    </row>
    <row r="389" spans="2:2" ht="13.2">
      <c r="B389" s="28"/>
    </row>
    <row r="390" spans="2:2" ht="13.2">
      <c r="B390" s="28"/>
    </row>
    <row r="391" spans="2:2" ht="13.2">
      <c r="B391" s="28"/>
    </row>
    <row r="392" spans="2:2" ht="13.2">
      <c r="B392" s="28"/>
    </row>
    <row r="393" spans="2:2" ht="13.2">
      <c r="B393" s="28"/>
    </row>
    <row r="394" spans="2:2" ht="13.2">
      <c r="B394" s="28"/>
    </row>
    <row r="395" spans="2:2" ht="13.2">
      <c r="B395" s="28"/>
    </row>
    <row r="396" spans="2:2" ht="13.2">
      <c r="B396" s="28"/>
    </row>
    <row r="397" spans="2:2" ht="13.2">
      <c r="B397" s="28"/>
    </row>
    <row r="398" spans="2:2" ht="13.2">
      <c r="B398" s="28"/>
    </row>
    <row r="399" spans="2:2" ht="13.2">
      <c r="B399" s="28"/>
    </row>
    <row r="400" spans="2:2" ht="13.2">
      <c r="B400" s="28"/>
    </row>
    <row r="401" spans="2:2" ht="13.2">
      <c r="B401" s="28"/>
    </row>
    <row r="402" spans="2:2" ht="13.2">
      <c r="B402" s="28"/>
    </row>
    <row r="403" spans="2:2" ht="13.2">
      <c r="B403" s="28"/>
    </row>
    <row r="404" spans="2:2" ht="13.2">
      <c r="B404" s="28"/>
    </row>
    <row r="405" spans="2:2" ht="13.2">
      <c r="B405" s="28"/>
    </row>
    <row r="406" spans="2:2" ht="13.2">
      <c r="B406" s="28"/>
    </row>
    <row r="407" spans="2:2" ht="13.2">
      <c r="B407" s="28"/>
    </row>
    <row r="408" spans="2:2" ht="13.2">
      <c r="B408" s="28"/>
    </row>
    <row r="409" spans="2:2" ht="13.2">
      <c r="B409" s="28"/>
    </row>
    <row r="410" spans="2:2" ht="13.2">
      <c r="B410" s="28"/>
    </row>
    <row r="411" spans="2:2" ht="13.2">
      <c r="B411" s="28"/>
    </row>
    <row r="412" spans="2:2" ht="13.2">
      <c r="B412" s="28"/>
    </row>
    <row r="413" spans="2:2" ht="13.2">
      <c r="B413" s="28"/>
    </row>
    <row r="414" spans="2:2" ht="13.2">
      <c r="B414" s="28"/>
    </row>
    <row r="415" spans="2:2" ht="13.2">
      <c r="B415" s="28"/>
    </row>
    <row r="416" spans="2:2" ht="13.2">
      <c r="B416" s="28"/>
    </row>
    <row r="417" spans="2:2" ht="13.2">
      <c r="B417" s="28"/>
    </row>
    <row r="418" spans="2:2" ht="13.2">
      <c r="B418" s="28"/>
    </row>
    <row r="419" spans="2:2" ht="13.2">
      <c r="B419" s="28"/>
    </row>
    <row r="420" spans="2:2" ht="13.2">
      <c r="B420" s="28"/>
    </row>
    <row r="421" spans="2:2" ht="13.2">
      <c r="B421" s="28"/>
    </row>
    <row r="422" spans="2:2" ht="13.2">
      <c r="B422" s="28"/>
    </row>
    <row r="423" spans="2:2" ht="13.2">
      <c r="B423" s="28"/>
    </row>
    <row r="424" spans="2:2" ht="13.2">
      <c r="B424" s="28"/>
    </row>
    <row r="425" spans="2:2" ht="13.2">
      <c r="B425" s="28"/>
    </row>
    <row r="426" spans="2:2" ht="13.2">
      <c r="B426" s="28"/>
    </row>
    <row r="427" spans="2:2" ht="13.2">
      <c r="B427" s="28"/>
    </row>
    <row r="428" spans="2:2" ht="13.2">
      <c r="B428" s="28"/>
    </row>
    <row r="429" spans="2:2" ht="13.2">
      <c r="B429" s="28"/>
    </row>
    <row r="430" spans="2:2" ht="13.2">
      <c r="B430" s="28"/>
    </row>
    <row r="431" spans="2:2" ht="13.2">
      <c r="B431" s="28"/>
    </row>
    <row r="432" spans="2:2" ht="13.2">
      <c r="B432" s="28"/>
    </row>
    <row r="433" spans="2:2" ht="13.2">
      <c r="B433" s="28"/>
    </row>
    <row r="434" spans="2:2" ht="13.2">
      <c r="B434" s="28"/>
    </row>
    <row r="435" spans="2:2" ht="13.2">
      <c r="B435" s="28"/>
    </row>
    <row r="436" spans="2:2" ht="13.2">
      <c r="B436" s="28"/>
    </row>
    <row r="437" spans="2:2" ht="13.2">
      <c r="B437" s="28"/>
    </row>
    <row r="438" spans="2:2" ht="13.2">
      <c r="B438" s="28"/>
    </row>
    <row r="439" spans="2:2" ht="13.2">
      <c r="B439" s="28"/>
    </row>
    <row r="440" spans="2:2" ht="13.2">
      <c r="B440" s="28"/>
    </row>
    <row r="441" spans="2:2" ht="13.2">
      <c r="B441" s="28"/>
    </row>
    <row r="442" spans="2:2" ht="13.2">
      <c r="B442" s="28"/>
    </row>
    <row r="443" spans="2:2" ht="13.2">
      <c r="B443" s="28"/>
    </row>
    <row r="444" spans="2:2" ht="13.2">
      <c r="B444" s="28"/>
    </row>
    <row r="445" spans="2:2" ht="13.2">
      <c r="B445" s="28"/>
    </row>
    <row r="446" spans="2:2" ht="13.2">
      <c r="B446" s="28"/>
    </row>
    <row r="447" spans="2:2" ht="13.2">
      <c r="B447" s="28"/>
    </row>
    <row r="448" spans="2:2" ht="13.2">
      <c r="B448" s="28"/>
    </row>
    <row r="449" spans="2:2" ht="13.2">
      <c r="B449" s="28"/>
    </row>
    <row r="450" spans="2:2" ht="13.2">
      <c r="B450" s="28"/>
    </row>
    <row r="451" spans="2:2" ht="13.2">
      <c r="B451" s="28"/>
    </row>
    <row r="452" spans="2:2" ht="13.2">
      <c r="B452" s="28"/>
    </row>
    <row r="453" spans="2:2" ht="13.2">
      <c r="B453" s="28"/>
    </row>
    <row r="454" spans="2:2" ht="13.2">
      <c r="B454" s="28"/>
    </row>
    <row r="455" spans="2:2" ht="13.2">
      <c r="B455" s="28"/>
    </row>
    <row r="456" spans="2:2" ht="13.2">
      <c r="B456" s="28"/>
    </row>
    <row r="457" spans="2:2" ht="13.2">
      <c r="B457" s="28"/>
    </row>
    <row r="458" spans="2:2" ht="13.2">
      <c r="B458" s="28"/>
    </row>
    <row r="459" spans="2:2" ht="13.2">
      <c r="B459" s="28"/>
    </row>
    <row r="460" spans="2:2" ht="13.2">
      <c r="B460" s="28"/>
    </row>
    <row r="461" spans="2:2" ht="13.2">
      <c r="B461" s="28"/>
    </row>
    <row r="462" spans="2:2" ht="13.2">
      <c r="B462" s="28"/>
    </row>
    <row r="463" spans="2:2" ht="13.2">
      <c r="B463" s="28"/>
    </row>
    <row r="464" spans="2:2" ht="13.2">
      <c r="B464" s="28"/>
    </row>
    <row r="465" spans="2:2" ht="13.2">
      <c r="B465" s="28"/>
    </row>
    <row r="466" spans="2:2" ht="13.2">
      <c r="B466" s="28"/>
    </row>
    <row r="467" spans="2:2" ht="13.2">
      <c r="B467" s="28"/>
    </row>
    <row r="468" spans="2:2" ht="13.2">
      <c r="B468" s="28"/>
    </row>
    <row r="469" spans="2:2" ht="13.2">
      <c r="B469" s="28"/>
    </row>
    <row r="470" spans="2:2" ht="13.2">
      <c r="B470" s="28"/>
    </row>
    <row r="471" spans="2:2" ht="13.2">
      <c r="B471" s="28"/>
    </row>
    <row r="472" spans="2:2" ht="13.2">
      <c r="B472" s="28"/>
    </row>
    <row r="473" spans="2:2" ht="13.2">
      <c r="B473" s="28"/>
    </row>
    <row r="474" spans="2:2" ht="13.2">
      <c r="B474" s="28"/>
    </row>
    <row r="475" spans="2:2" ht="13.2">
      <c r="B475" s="28"/>
    </row>
    <row r="476" spans="2:2" ht="13.2">
      <c r="B476" s="28"/>
    </row>
    <row r="477" spans="2:2" ht="13.2">
      <c r="B477" s="28"/>
    </row>
    <row r="478" spans="2:2" ht="13.2">
      <c r="B478" s="28"/>
    </row>
    <row r="479" spans="2:2" ht="13.2">
      <c r="B479" s="28"/>
    </row>
    <row r="480" spans="2:2" ht="13.2">
      <c r="B480" s="28"/>
    </row>
    <row r="481" spans="2:2" ht="13.2">
      <c r="B481" s="28"/>
    </row>
    <row r="482" spans="2:2" ht="13.2">
      <c r="B482" s="28"/>
    </row>
    <row r="483" spans="2:2" ht="13.2">
      <c r="B483" s="28"/>
    </row>
    <row r="484" spans="2:2" ht="13.2">
      <c r="B484" s="28"/>
    </row>
    <row r="485" spans="2:2" ht="13.2">
      <c r="B485" s="28"/>
    </row>
    <row r="486" spans="2:2" ht="13.2">
      <c r="B486" s="28"/>
    </row>
    <row r="487" spans="2:2" ht="13.2">
      <c r="B487" s="28"/>
    </row>
    <row r="488" spans="2:2" ht="13.2">
      <c r="B488" s="28"/>
    </row>
    <row r="489" spans="2:2" ht="13.2">
      <c r="B489" s="28"/>
    </row>
    <row r="490" spans="2:2" ht="13.2">
      <c r="B490" s="28"/>
    </row>
    <row r="491" spans="2:2" ht="13.2">
      <c r="B491" s="28"/>
    </row>
    <row r="492" spans="2:2" ht="13.2">
      <c r="B492" s="28"/>
    </row>
    <row r="493" spans="2:2" ht="13.2">
      <c r="B493" s="28"/>
    </row>
    <row r="494" spans="2:2" ht="13.2">
      <c r="B494" s="28"/>
    </row>
    <row r="495" spans="2:2" ht="13.2">
      <c r="B495" s="28"/>
    </row>
    <row r="496" spans="2:2" ht="13.2">
      <c r="B496" s="28"/>
    </row>
    <row r="497" spans="2:2" ht="13.2">
      <c r="B497" s="28"/>
    </row>
    <row r="498" spans="2:2" ht="13.2">
      <c r="B498" s="28"/>
    </row>
    <row r="499" spans="2:2" ht="13.2">
      <c r="B499" s="28"/>
    </row>
    <row r="500" spans="2:2" ht="13.2">
      <c r="B500" s="28"/>
    </row>
    <row r="501" spans="2:2" ht="13.2">
      <c r="B501" s="28"/>
    </row>
    <row r="502" spans="2:2" ht="13.2">
      <c r="B502" s="28"/>
    </row>
    <row r="503" spans="2:2" ht="13.2">
      <c r="B503" s="28"/>
    </row>
    <row r="504" spans="2:2" ht="13.2">
      <c r="B504" s="28"/>
    </row>
    <row r="505" spans="2:2" ht="13.2">
      <c r="B505" s="28"/>
    </row>
    <row r="506" spans="2:2" ht="13.2">
      <c r="B506" s="28"/>
    </row>
    <row r="507" spans="2:2" ht="13.2">
      <c r="B507" s="28"/>
    </row>
    <row r="508" spans="2:2" ht="13.2">
      <c r="B508" s="28"/>
    </row>
    <row r="509" spans="2:2" ht="13.2">
      <c r="B509" s="28"/>
    </row>
    <row r="510" spans="2:2" ht="13.2">
      <c r="B510" s="28"/>
    </row>
    <row r="511" spans="2:2" ht="13.2">
      <c r="B511" s="28"/>
    </row>
    <row r="512" spans="2:2" ht="13.2">
      <c r="B512" s="28"/>
    </row>
    <row r="513" spans="2:2" ht="13.2">
      <c r="B513" s="28"/>
    </row>
    <row r="514" spans="2:2" ht="13.2">
      <c r="B514" s="28"/>
    </row>
    <row r="515" spans="2:2" ht="13.2">
      <c r="B515" s="28"/>
    </row>
    <row r="516" spans="2:2" ht="13.2">
      <c r="B516" s="28"/>
    </row>
    <row r="517" spans="2:2" ht="13.2">
      <c r="B517" s="28"/>
    </row>
    <row r="518" spans="2:2" ht="13.2">
      <c r="B518" s="28"/>
    </row>
    <row r="519" spans="2:2" ht="13.2">
      <c r="B519" s="28"/>
    </row>
    <row r="520" spans="2:2" ht="13.2">
      <c r="B520" s="28"/>
    </row>
    <row r="521" spans="2:2" ht="13.2">
      <c r="B521" s="28"/>
    </row>
    <row r="522" spans="2:2" ht="13.2">
      <c r="B522" s="28"/>
    </row>
    <row r="523" spans="2:2" ht="13.2">
      <c r="B523" s="28"/>
    </row>
    <row r="524" spans="2:2" ht="13.2">
      <c r="B524" s="28"/>
    </row>
    <row r="525" spans="2:2" ht="13.2">
      <c r="B525" s="28"/>
    </row>
    <row r="526" spans="2:2" ht="13.2">
      <c r="B526" s="28"/>
    </row>
    <row r="527" spans="2:2" ht="13.2">
      <c r="B527" s="28"/>
    </row>
    <row r="528" spans="2:2" ht="13.2">
      <c r="B528" s="28"/>
    </row>
    <row r="529" spans="2:2" ht="13.2">
      <c r="B529" s="28"/>
    </row>
    <row r="530" spans="2:2" ht="13.2">
      <c r="B530" s="28"/>
    </row>
    <row r="531" spans="2:2" ht="13.2">
      <c r="B531" s="28"/>
    </row>
    <row r="532" spans="2:2" ht="13.2">
      <c r="B532" s="28"/>
    </row>
    <row r="533" spans="2:2" ht="13.2">
      <c r="B533" s="28"/>
    </row>
    <row r="534" spans="2:2" ht="13.2">
      <c r="B534" s="28"/>
    </row>
    <row r="535" spans="2:2" ht="13.2">
      <c r="B535" s="28"/>
    </row>
    <row r="536" spans="2:2" ht="13.2">
      <c r="B536" s="28"/>
    </row>
    <row r="537" spans="2:2" ht="13.2">
      <c r="B537" s="28"/>
    </row>
    <row r="538" spans="2:2" ht="13.2">
      <c r="B538" s="28"/>
    </row>
    <row r="539" spans="2:2" ht="13.2">
      <c r="B539" s="28"/>
    </row>
    <row r="540" spans="2:2" ht="13.2">
      <c r="B540" s="28"/>
    </row>
    <row r="541" spans="2:2" ht="13.2">
      <c r="B541" s="28"/>
    </row>
    <row r="542" spans="2:2" ht="13.2">
      <c r="B542" s="28"/>
    </row>
    <row r="543" spans="2:2" ht="13.2">
      <c r="B543" s="28"/>
    </row>
    <row r="544" spans="2:2" ht="13.2">
      <c r="B544" s="28"/>
    </row>
    <row r="545" spans="2:2" ht="13.2">
      <c r="B545" s="28"/>
    </row>
    <row r="546" spans="2:2" ht="13.2">
      <c r="B546" s="28"/>
    </row>
    <row r="547" spans="2:2" ht="13.2">
      <c r="B547" s="28"/>
    </row>
    <row r="548" spans="2:2" ht="13.2">
      <c r="B548" s="28"/>
    </row>
    <row r="549" spans="2:2" ht="13.2">
      <c r="B549" s="28"/>
    </row>
    <row r="550" spans="2:2" ht="13.2">
      <c r="B550" s="28"/>
    </row>
    <row r="551" spans="2:2" ht="13.2">
      <c r="B551" s="28"/>
    </row>
    <row r="552" spans="2:2" ht="13.2">
      <c r="B552" s="28"/>
    </row>
    <row r="553" spans="2:2" ht="13.2">
      <c r="B553" s="28"/>
    </row>
    <row r="554" spans="2:2" ht="13.2">
      <c r="B554" s="28"/>
    </row>
    <row r="555" spans="2:2" ht="13.2">
      <c r="B555" s="28"/>
    </row>
    <row r="556" spans="2:2" ht="13.2">
      <c r="B556" s="28"/>
    </row>
    <row r="557" spans="2:2" ht="13.2">
      <c r="B557" s="28"/>
    </row>
    <row r="558" spans="2:2" ht="13.2">
      <c r="B558" s="28"/>
    </row>
    <row r="559" spans="2:2" ht="13.2">
      <c r="B559" s="28"/>
    </row>
    <row r="560" spans="2:2" ht="13.2">
      <c r="B560" s="28"/>
    </row>
    <row r="561" spans="2:2" ht="13.2">
      <c r="B561" s="28"/>
    </row>
    <row r="562" spans="2:2" ht="13.2">
      <c r="B562" s="28"/>
    </row>
    <row r="563" spans="2:2" ht="13.2">
      <c r="B563" s="28"/>
    </row>
    <row r="564" spans="2:2" ht="13.2">
      <c r="B564" s="28"/>
    </row>
    <row r="565" spans="2:2" ht="13.2">
      <c r="B565" s="28"/>
    </row>
    <row r="566" spans="2:2" ht="13.2">
      <c r="B566" s="28"/>
    </row>
    <row r="567" spans="2:2" ht="13.2">
      <c r="B567" s="28"/>
    </row>
    <row r="568" spans="2:2" ht="13.2">
      <c r="B568" s="28"/>
    </row>
    <row r="569" spans="2:2" ht="13.2">
      <c r="B569" s="28"/>
    </row>
    <row r="570" spans="2:2" ht="13.2">
      <c r="B570" s="28"/>
    </row>
    <row r="571" spans="2:2" ht="13.2">
      <c r="B571" s="28"/>
    </row>
    <row r="572" spans="2:2" ht="13.2">
      <c r="B572" s="28"/>
    </row>
    <row r="573" spans="2:2" ht="13.2">
      <c r="B573" s="28"/>
    </row>
    <row r="574" spans="2:2" ht="13.2">
      <c r="B574" s="28"/>
    </row>
    <row r="575" spans="2:2" ht="13.2">
      <c r="B575" s="28"/>
    </row>
    <row r="576" spans="2:2" ht="13.2">
      <c r="B576" s="28"/>
    </row>
    <row r="577" spans="2:2" ht="13.2">
      <c r="B577" s="28"/>
    </row>
    <row r="578" spans="2:2" ht="13.2">
      <c r="B578" s="28"/>
    </row>
    <row r="579" spans="2:2" ht="13.2">
      <c r="B579" s="28"/>
    </row>
    <row r="580" spans="2:2" ht="13.2">
      <c r="B580" s="28"/>
    </row>
    <row r="581" spans="2:2" ht="13.2">
      <c r="B581" s="28"/>
    </row>
    <row r="582" spans="2:2" ht="13.2">
      <c r="B582" s="28"/>
    </row>
    <row r="583" spans="2:2" ht="13.2">
      <c r="B583" s="28"/>
    </row>
    <row r="584" spans="2:2" ht="13.2">
      <c r="B584" s="28"/>
    </row>
    <row r="585" spans="2:2" ht="13.2">
      <c r="B585" s="28"/>
    </row>
    <row r="586" spans="2:2" ht="13.2">
      <c r="B586" s="28"/>
    </row>
    <row r="587" spans="2:2" ht="13.2">
      <c r="B587" s="28"/>
    </row>
    <row r="588" spans="2:2" ht="13.2">
      <c r="B588" s="28"/>
    </row>
    <row r="589" spans="2:2" ht="13.2">
      <c r="B589" s="28"/>
    </row>
    <row r="590" spans="2:2" ht="13.2">
      <c r="B590" s="28"/>
    </row>
    <row r="591" spans="2:2" ht="13.2">
      <c r="B591" s="28"/>
    </row>
    <row r="592" spans="2:2" ht="13.2">
      <c r="B592" s="28"/>
    </row>
    <row r="593" spans="2:2" ht="13.2">
      <c r="B593" s="28"/>
    </row>
    <row r="594" spans="2:2" ht="13.2">
      <c r="B594" s="28"/>
    </row>
    <row r="595" spans="2:2" ht="13.2">
      <c r="B595" s="28"/>
    </row>
    <row r="596" spans="2:2" ht="13.2">
      <c r="B596" s="28"/>
    </row>
    <row r="597" spans="2:2" ht="13.2">
      <c r="B597" s="28"/>
    </row>
    <row r="598" spans="2:2" ht="13.2">
      <c r="B598" s="28"/>
    </row>
    <row r="599" spans="2:2" ht="13.2">
      <c r="B599" s="28"/>
    </row>
    <row r="600" spans="2:2" ht="13.2">
      <c r="B600" s="28"/>
    </row>
    <row r="601" spans="2:2" ht="13.2">
      <c r="B601" s="28"/>
    </row>
    <row r="602" spans="2:2" ht="13.2">
      <c r="B602" s="28"/>
    </row>
    <row r="603" spans="2:2" ht="13.2">
      <c r="B603" s="28"/>
    </row>
    <row r="604" spans="2:2" ht="13.2">
      <c r="B604" s="28"/>
    </row>
    <row r="605" spans="2:2" ht="13.2">
      <c r="B605" s="28"/>
    </row>
    <row r="606" spans="2:2" ht="13.2">
      <c r="B606" s="28"/>
    </row>
    <row r="607" spans="2:2" ht="13.2">
      <c r="B607" s="28"/>
    </row>
    <row r="608" spans="2:2" ht="13.2">
      <c r="B608" s="28"/>
    </row>
    <row r="609" spans="2:2" ht="13.2">
      <c r="B609" s="28"/>
    </row>
    <row r="610" spans="2:2" ht="13.2">
      <c r="B610" s="28"/>
    </row>
    <row r="611" spans="2:2" ht="13.2">
      <c r="B611" s="28"/>
    </row>
    <row r="612" spans="2:2" ht="13.2">
      <c r="B612" s="28"/>
    </row>
    <row r="613" spans="2:2" ht="13.2">
      <c r="B613" s="28"/>
    </row>
    <row r="614" spans="2:2" ht="13.2">
      <c r="B614" s="28"/>
    </row>
    <row r="615" spans="2:2" ht="13.2">
      <c r="B615" s="28"/>
    </row>
    <row r="616" spans="2:2" ht="13.2">
      <c r="B616" s="28"/>
    </row>
    <row r="617" spans="2:2" ht="13.2">
      <c r="B617" s="28"/>
    </row>
    <row r="618" spans="2:2" ht="13.2">
      <c r="B618" s="28"/>
    </row>
    <row r="619" spans="2:2" ht="13.2">
      <c r="B619" s="28"/>
    </row>
    <row r="620" spans="2:2" ht="13.2">
      <c r="B620" s="28"/>
    </row>
    <row r="621" spans="2:2" ht="13.2">
      <c r="B621" s="28"/>
    </row>
    <row r="622" spans="2:2" ht="13.2">
      <c r="B622" s="28"/>
    </row>
    <row r="623" spans="2:2" ht="13.2">
      <c r="B623" s="28"/>
    </row>
    <row r="624" spans="2:2" ht="13.2">
      <c r="B624" s="28"/>
    </row>
    <row r="625" spans="2:2" ht="13.2">
      <c r="B625" s="28"/>
    </row>
    <row r="626" spans="2:2" ht="13.2">
      <c r="B626" s="28"/>
    </row>
    <row r="627" spans="2:2" ht="13.2">
      <c r="B627" s="28"/>
    </row>
    <row r="628" spans="2:2" ht="13.2">
      <c r="B628" s="28"/>
    </row>
    <row r="629" spans="2:2" ht="13.2">
      <c r="B629" s="28"/>
    </row>
    <row r="630" spans="2:2" ht="13.2">
      <c r="B630" s="28"/>
    </row>
    <row r="631" spans="2:2" ht="13.2">
      <c r="B631" s="28"/>
    </row>
    <row r="632" spans="2:2" ht="13.2">
      <c r="B632" s="28"/>
    </row>
    <row r="633" spans="2:2" ht="13.2">
      <c r="B633" s="28"/>
    </row>
    <row r="634" spans="2:2" ht="13.2">
      <c r="B634" s="28"/>
    </row>
    <row r="635" spans="2:2" ht="13.2">
      <c r="B635" s="28"/>
    </row>
    <row r="636" spans="2:2" ht="13.2">
      <c r="B636" s="28"/>
    </row>
    <row r="637" spans="2:2" ht="13.2">
      <c r="B637" s="28"/>
    </row>
    <row r="638" spans="2:2" ht="13.2">
      <c r="B638" s="28"/>
    </row>
    <row r="639" spans="2:2" ht="13.2">
      <c r="B639" s="28"/>
    </row>
    <row r="640" spans="2:2" ht="13.2">
      <c r="B640" s="28"/>
    </row>
    <row r="641" spans="2:2" ht="13.2">
      <c r="B641" s="28"/>
    </row>
    <row r="642" spans="2:2" ht="13.2">
      <c r="B642" s="28"/>
    </row>
    <row r="643" spans="2:2" ht="13.2">
      <c r="B643" s="28"/>
    </row>
    <row r="644" spans="2:2" ht="13.2">
      <c r="B644" s="28"/>
    </row>
    <row r="645" spans="2:2" ht="13.2">
      <c r="B645" s="28"/>
    </row>
    <row r="646" spans="2:2" ht="13.2">
      <c r="B646" s="28"/>
    </row>
    <row r="647" spans="2:2" ht="13.2">
      <c r="B647" s="28"/>
    </row>
    <row r="648" spans="2:2" ht="13.2">
      <c r="B648" s="28"/>
    </row>
    <row r="649" spans="2:2" ht="13.2">
      <c r="B649" s="28"/>
    </row>
    <row r="650" spans="2:2" ht="13.2">
      <c r="B650" s="28"/>
    </row>
    <row r="651" spans="2:2" ht="13.2">
      <c r="B651" s="28"/>
    </row>
    <row r="652" spans="2:2" ht="13.2">
      <c r="B652" s="28"/>
    </row>
    <row r="653" spans="2:2" ht="13.2">
      <c r="B653" s="28"/>
    </row>
    <row r="654" spans="2:2" ht="13.2">
      <c r="B654" s="28"/>
    </row>
    <row r="655" spans="2:2" ht="13.2">
      <c r="B655" s="28"/>
    </row>
    <row r="656" spans="2:2" ht="13.2">
      <c r="B656" s="28"/>
    </row>
    <row r="657" spans="2:2" ht="13.2">
      <c r="B657" s="28"/>
    </row>
    <row r="658" spans="2:2" ht="13.2">
      <c r="B658" s="28"/>
    </row>
    <row r="659" spans="2:2" ht="13.2">
      <c r="B659" s="28"/>
    </row>
    <row r="660" spans="2:2" ht="13.2">
      <c r="B660" s="28"/>
    </row>
    <row r="661" spans="2:2" ht="13.2">
      <c r="B661" s="28"/>
    </row>
    <row r="662" spans="2:2" ht="13.2">
      <c r="B662" s="28"/>
    </row>
    <row r="663" spans="2:2" ht="13.2">
      <c r="B663" s="28"/>
    </row>
    <row r="664" spans="2:2" ht="13.2">
      <c r="B664" s="28"/>
    </row>
    <row r="665" spans="2:2" ht="13.2">
      <c r="B665" s="28"/>
    </row>
    <row r="666" spans="2:2" ht="13.2">
      <c r="B666" s="28"/>
    </row>
    <row r="667" spans="2:2" ht="13.2">
      <c r="B667" s="28"/>
    </row>
    <row r="668" spans="2:2" ht="13.2">
      <c r="B668" s="28"/>
    </row>
    <row r="669" spans="2:2" ht="13.2">
      <c r="B669" s="28"/>
    </row>
    <row r="670" spans="2:2" ht="13.2">
      <c r="B670" s="28"/>
    </row>
    <row r="671" spans="2:2" ht="13.2">
      <c r="B671" s="28"/>
    </row>
    <row r="672" spans="2:2" ht="13.2">
      <c r="B672" s="28"/>
    </row>
    <row r="673" spans="2:2" ht="13.2">
      <c r="B673" s="28"/>
    </row>
    <row r="674" spans="2:2" ht="13.2">
      <c r="B674" s="28"/>
    </row>
    <row r="675" spans="2:2" ht="13.2">
      <c r="B675" s="28"/>
    </row>
    <row r="676" spans="2:2" ht="13.2">
      <c r="B676" s="28"/>
    </row>
    <row r="677" spans="2:2" ht="13.2">
      <c r="B677" s="28"/>
    </row>
    <row r="678" spans="2:2" ht="13.2">
      <c r="B678" s="28"/>
    </row>
    <row r="679" spans="2:2" ht="13.2">
      <c r="B679" s="28"/>
    </row>
    <row r="680" spans="2:2" ht="13.2">
      <c r="B680" s="28"/>
    </row>
    <row r="681" spans="2:2" ht="13.2">
      <c r="B681" s="28"/>
    </row>
    <row r="682" spans="2:2" ht="13.2">
      <c r="B682" s="28"/>
    </row>
    <row r="683" spans="2:2" ht="13.2">
      <c r="B683" s="28"/>
    </row>
    <row r="684" spans="2:2" ht="13.2">
      <c r="B684" s="28"/>
    </row>
    <row r="685" spans="2:2" ht="13.2">
      <c r="B685" s="28"/>
    </row>
    <row r="686" spans="2:2" ht="13.2">
      <c r="B686" s="28"/>
    </row>
    <row r="687" spans="2:2" ht="13.2">
      <c r="B687" s="28"/>
    </row>
    <row r="688" spans="2:2" ht="13.2">
      <c r="B688" s="28"/>
    </row>
    <row r="689" spans="2:2" ht="13.2">
      <c r="B689" s="28"/>
    </row>
    <row r="690" spans="2:2" ht="13.2">
      <c r="B690" s="28"/>
    </row>
    <row r="691" spans="2:2" ht="13.2">
      <c r="B691" s="28"/>
    </row>
    <row r="692" spans="2:2" ht="13.2">
      <c r="B692" s="28"/>
    </row>
    <row r="693" spans="2:2" ht="13.2">
      <c r="B693" s="28"/>
    </row>
    <row r="694" spans="2:2" ht="13.2">
      <c r="B694" s="28"/>
    </row>
    <row r="695" spans="2:2" ht="13.2">
      <c r="B695" s="28"/>
    </row>
    <row r="696" spans="2:2" ht="13.2">
      <c r="B696" s="28"/>
    </row>
    <row r="697" spans="2:2" ht="13.2">
      <c r="B697" s="28"/>
    </row>
    <row r="698" spans="2:2" ht="13.2">
      <c r="B698" s="28"/>
    </row>
    <row r="699" spans="2:2" ht="13.2">
      <c r="B699" s="28"/>
    </row>
    <row r="700" spans="2:2" ht="13.2">
      <c r="B700" s="28"/>
    </row>
    <row r="701" spans="2:2" ht="13.2">
      <c r="B701" s="28"/>
    </row>
    <row r="702" spans="2:2" ht="13.2">
      <c r="B702" s="28"/>
    </row>
    <row r="703" spans="2:2" ht="13.2">
      <c r="B703" s="28"/>
    </row>
    <row r="704" spans="2:2" ht="13.2">
      <c r="B704" s="28"/>
    </row>
    <row r="705" spans="2:2" ht="13.2">
      <c r="B705" s="28"/>
    </row>
    <row r="706" spans="2:2" ht="13.2">
      <c r="B706" s="28"/>
    </row>
    <row r="707" spans="2:2" ht="13.2">
      <c r="B707" s="28"/>
    </row>
    <row r="708" spans="2:2" ht="13.2">
      <c r="B708" s="28"/>
    </row>
    <row r="709" spans="2:2" ht="13.2">
      <c r="B709" s="28"/>
    </row>
    <row r="710" spans="2:2" ht="13.2">
      <c r="B710" s="28"/>
    </row>
    <row r="711" spans="2:2" ht="13.2">
      <c r="B711" s="28"/>
    </row>
    <row r="712" spans="2:2" ht="13.2">
      <c r="B712" s="28"/>
    </row>
    <row r="713" spans="2:2" ht="13.2">
      <c r="B713" s="28"/>
    </row>
    <row r="714" spans="2:2" ht="13.2">
      <c r="B714" s="28"/>
    </row>
    <row r="715" spans="2:2" ht="13.2">
      <c r="B715" s="28"/>
    </row>
    <row r="716" spans="2:2" ht="13.2">
      <c r="B716" s="28"/>
    </row>
    <row r="717" spans="2:2" ht="13.2">
      <c r="B717" s="28"/>
    </row>
    <row r="718" spans="2:2" ht="13.2">
      <c r="B718" s="28"/>
    </row>
    <row r="719" spans="2:2" ht="13.2">
      <c r="B719" s="28"/>
    </row>
    <row r="720" spans="2:2" ht="13.2">
      <c r="B720" s="28"/>
    </row>
    <row r="721" spans="2:2" ht="13.2">
      <c r="B721" s="28"/>
    </row>
    <row r="722" spans="2:2" ht="13.2">
      <c r="B722" s="28"/>
    </row>
    <row r="723" spans="2:2" ht="13.2">
      <c r="B723" s="28"/>
    </row>
    <row r="724" spans="2:2" ht="13.2">
      <c r="B724" s="28"/>
    </row>
    <row r="725" spans="2:2" ht="13.2">
      <c r="B725" s="28"/>
    </row>
    <row r="726" spans="2:2" ht="13.2">
      <c r="B726" s="28"/>
    </row>
    <row r="727" spans="2:2" ht="13.2">
      <c r="B727" s="28"/>
    </row>
    <row r="728" spans="2:2" ht="13.2">
      <c r="B728" s="28"/>
    </row>
    <row r="729" spans="2:2" ht="13.2">
      <c r="B729" s="28"/>
    </row>
    <row r="730" spans="2:2" ht="13.2">
      <c r="B730" s="28"/>
    </row>
    <row r="731" spans="2:2" ht="13.2">
      <c r="B731" s="28"/>
    </row>
    <row r="732" spans="2:2" ht="13.2">
      <c r="B732" s="28"/>
    </row>
    <row r="733" spans="2:2" ht="13.2">
      <c r="B733" s="28"/>
    </row>
    <row r="734" spans="2:2" ht="13.2">
      <c r="B734" s="28"/>
    </row>
    <row r="735" spans="2:2" ht="13.2">
      <c r="B735" s="28"/>
    </row>
    <row r="736" spans="2:2" ht="13.2">
      <c r="B736" s="28"/>
    </row>
    <row r="737" spans="2:2" ht="13.2">
      <c r="B737" s="28"/>
    </row>
    <row r="738" spans="2:2" ht="13.2">
      <c r="B738" s="28"/>
    </row>
    <row r="739" spans="2:2" ht="13.2">
      <c r="B739" s="28"/>
    </row>
    <row r="740" spans="2:2" ht="13.2">
      <c r="B740" s="28"/>
    </row>
    <row r="741" spans="2:2" ht="13.2">
      <c r="B741" s="28"/>
    </row>
    <row r="742" spans="2:2" ht="13.2">
      <c r="B742" s="28"/>
    </row>
    <row r="743" spans="2:2" ht="13.2">
      <c r="B743" s="28"/>
    </row>
    <row r="744" spans="2:2" ht="13.2">
      <c r="B744" s="28"/>
    </row>
    <row r="745" spans="2:2" ht="13.2">
      <c r="B745" s="28"/>
    </row>
    <row r="746" spans="2:2" ht="13.2">
      <c r="B746" s="28"/>
    </row>
    <row r="747" spans="2:2" ht="13.2">
      <c r="B747" s="28"/>
    </row>
    <row r="748" spans="2:2" ht="13.2">
      <c r="B748" s="28"/>
    </row>
    <row r="749" spans="2:2" ht="13.2">
      <c r="B749" s="28"/>
    </row>
    <row r="750" spans="2:2" ht="13.2">
      <c r="B750" s="28"/>
    </row>
    <row r="751" spans="2:2" ht="13.2">
      <c r="B751" s="28"/>
    </row>
    <row r="752" spans="2:2" ht="13.2">
      <c r="B752" s="28"/>
    </row>
    <row r="753" spans="2:2" ht="13.2">
      <c r="B753" s="28"/>
    </row>
    <row r="754" spans="2:2" ht="13.2">
      <c r="B754" s="28"/>
    </row>
    <row r="755" spans="2:2" ht="13.2">
      <c r="B755" s="28"/>
    </row>
    <row r="756" spans="2:2" ht="13.2">
      <c r="B756" s="28"/>
    </row>
    <row r="757" spans="2:2" ht="13.2">
      <c r="B757" s="28"/>
    </row>
    <row r="758" spans="2:2" ht="13.2">
      <c r="B758" s="28"/>
    </row>
    <row r="759" spans="2:2" ht="13.2">
      <c r="B759" s="28"/>
    </row>
    <row r="760" spans="2:2" ht="13.2">
      <c r="B760" s="28"/>
    </row>
    <row r="761" spans="2:2" ht="13.2">
      <c r="B761" s="28"/>
    </row>
    <row r="762" spans="2:2" ht="13.2">
      <c r="B762" s="28"/>
    </row>
    <row r="763" spans="2:2" ht="13.2">
      <c r="B763" s="28"/>
    </row>
    <row r="764" spans="2:2" ht="13.2">
      <c r="B764" s="28"/>
    </row>
    <row r="765" spans="2:2" ht="13.2">
      <c r="B765" s="28"/>
    </row>
    <row r="766" spans="2:2" ht="13.2">
      <c r="B766" s="28"/>
    </row>
    <row r="767" spans="2:2" ht="13.2">
      <c r="B767" s="28"/>
    </row>
    <row r="768" spans="2:2" ht="13.2">
      <c r="B768" s="28"/>
    </row>
    <row r="769" spans="2:2" ht="13.2">
      <c r="B769" s="28"/>
    </row>
    <row r="770" spans="2:2" ht="13.2">
      <c r="B770" s="28"/>
    </row>
    <row r="771" spans="2:2" ht="13.2">
      <c r="B771" s="28"/>
    </row>
    <row r="772" spans="2:2" ht="13.2">
      <c r="B772" s="28"/>
    </row>
    <row r="773" spans="2:2" ht="13.2">
      <c r="B773" s="28"/>
    </row>
    <row r="774" spans="2:2" ht="13.2">
      <c r="B774" s="28"/>
    </row>
    <row r="775" spans="2:2" ht="13.2">
      <c r="B775" s="28"/>
    </row>
    <row r="776" spans="2:2" ht="13.2">
      <c r="B776" s="28"/>
    </row>
    <row r="777" spans="2:2" ht="13.2">
      <c r="B777" s="28"/>
    </row>
    <row r="778" spans="2:2" ht="13.2">
      <c r="B778" s="28"/>
    </row>
    <row r="779" spans="2:2" ht="13.2">
      <c r="B779" s="28"/>
    </row>
    <row r="780" spans="2:2" ht="13.2">
      <c r="B780" s="28"/>
    </row>
    <row r="781" spans="2:2" ht="13.2">
      <c r="B781" s="28"/>
    </row>
    <row r="782" spans="2:2" ht="13.2">
      <c r="B782" s="28"/>
    </row>
    <row r="783" spans="2:2" ht="13.2">
      <c r="B783" s="28"/>
    </row>
    <row r="784" spans="2:2" ht="13.2">
      <c r="B784" s="28"/>
    </row>
    <row r="785" spans="2:2" ht="13.2">
      <c r="B785" s="28"/>
    </row>
    <row r="786" spans="2:2" ht="13.2">
      <c r="B786" s="28"/>
    </row>
    <row r="787" spans="2:2" ht="13.2">
      <c r="B787" s="28"/>
    </row>
    <row r="788" spans="2:2" ht="13.2">
      <c r="B788" s="28"/>
    </row>
    <row r="789" spans="2:2" ht="13.2">
      <c r="B789" s="28"/>
    </row>
    <row r="790" spans="2:2" ht="13.2">
      <c r="B790" s="28"/>
    </row>
    <row r="791" spans="2:2" ht="13.2">
      <c r="B791" s="28"/>
    </row>
    <row r="792" spans="2:2" ht="13.2">
      <c r="B792" s="28"/>
    </row>
    <row r="793" spans="2:2" ht="13.2">
      <c r="B793" s="28"/>
    </row>
    <row r="794" spans="2:2" ht="13.2">
      <c r="B794" s="28"/>
    </row>
    <row r="795" spans="2:2" ht="13.2">
      <c r="B795" s="28"/>
    </row>
    <row r="796" spans="2:2" ht="13.2">
      <c r="B796" s="28"/>
    </row>
    <row r="797" spans="2:2" ht="13.2">
      <c r="B797" s="28"/>
    </row>
    <row r="798" spans="2:2" ht="13.2">
      <c r="B798" s="28"/>
    </row>
    <row r="799" spans="2:2" ht="13.2">
      <c r="B799" s="28"/>
    </row>
    <row r="800" spans="2:2" ht="13.2">
      <c r="B800" s="28"/>
    </row>
    <row r="801" spans="2:2" ht="13.2">
      <c r="B801" s="28"/>
    </row>
    <row r="802" spans="2:2" ht="13.2">
      <c r="B802" s="28"/>
    </row>
    <row r="803" spans="2:2" ht="13.2">
      <c r="B803" s="28"/>
    </row>
    <row r="804" spans="2:2" ht="13.2">
      <c r="B804" s="28"/>
    </row>
    <row r="805" spans="2:2" ht="13.2">
      <c r="B805" s="28"/>
    </row>
    <row r="806" spans="2:2" ht="13.2">
      <c r="B806" s="28"/>
    </row>
    <row r="807" spans="2:2" ht="13.2">
      <c r="B807" s="28"/>
    </row>
    <row r="808" spans="2:2" ht="13.2">
      <c r="B808" s="28"/>
    </row>
    <row r="809" spans="2:2" ht="13.2">
      <c r="B809" s="28"/>
    </row>
    <row r="810" spans="2:2" ht="13.2">
      <c r="B810" s="28"/>
    </row>
    <row r="811" spans="2:2" ht="13.2">
      <c r="B811" s="28"/>
    </row>
    <row r="812" spans="2:2" ht="13.2">
      <c r="B812" s="28"/>
    </row>
    <row r="813" spans="2:2" ht="13.2">
      <c r="B813" s="28"/>
    </row>
    <row r="814" spans="2:2" ht="13.2">
      <c r="B814" s="28"/>
    </row>
    <row r="815" spans="2:2" ht="13.2">
      <c r="B815" s="28"/>
    </row>
    <row r="816" spans="2:2" ht="13.2">
      <c r="B816" s="28"/>
    </row>
    <row r="817" spans="2:2" ht="13.2">
      <c r="B817" s="28"/>
    </row>
    <row r="818" spans="2:2" ht="13.2">
      <c r="B818" s="28"/>
    </row>
    <row r="819" spans="2:2" ht="13.2">
      <c r="B819" s="28"/>
    </row>
    <row r="820" spans="2:2" ht="13.2">
      <c r="B820" s="28"/>
    </row>
    <row r="821" spans="2:2" ht="13.2">
      <c r="B821" s="28"/>
    </row>
    <row r="822" spans="2:2" ht="13.2">
      <c r="B822" s="28"/>
    </row>
    <row r="823" spans="2:2" ht="13.2">
      <c r="B823" s="28"/>
    </row>
    <row r="824" spans="2:2" ht="13.2">
      <c r="B824" s="28"/>
    </row>
    <row r="825" spans="2:2" ht="13.2">
      <c r="B825" s="28"/>
    </row>
    <row r="826" spans="2:2" ht="13.2">
      <c r="B826" s="28"/>
    </row>
    <row r="827" spans="2:2" ht="13.2">
      <c r="B827" s="28"/>
    </row>
    <row r="828" spans="2:2" ht="13.2">
      <c r="B828" s="28"/>
    </row>
    <row r="829" spans="2:2" ht="13.2">
      <c r="B829" s="28"/>
    </row>
    <row r="830" spans="2:2" ht="13.2">
      <c r="B830" s="28"/>
    </row>
    <row r="831" spans="2:2" ht="13.2">
      <c r="B831" s="28"/>
    </row>
    <row r="832" spans="2:2" ht="13.2">
      <c r="B832" s="28"/>
    </row>
    <row r="833" spans="2:2" ht="13.2">
      <c r="B833" s="28"/>
    </row>
    <row r="834" spans="2:2" ht="13.2">
      <c r="B834" s="28"/>
    </row>
    <row r="835" spans="2:2" ht="13.2">
      <c r="B835" s="28"/>
    </row>
    <row r="836" spans="2:2" ht="13.2">
      <c r="B836" s="28"/>
    </row>
    <row r="837" spans="2:2" ht="13.2">
      <c r="B837" s="28"/>
    </row>
    <row r="838" spans="2:2" ht="13.2">
      <c r="B838" s="28"/>
    </row>
    <row r="839" spans="2:2" ht="13.2">
      <c r="B839" s="28"/>
    </row>
    <row r="840" spans="2:2" ht="13.2">
      <c r="B840" s="28"/>
    </row>
    <row r="841" spans="2:2" ht="13.2">
      <c r="B841" s="28"/>
    </row>
    <row r="842" spans="2:2" ht="13.2">
      <c r="B842" s="28"/>
    </row>
    <row r="843" spans="2:2" ht="13.2">
      <c r="B843" s="28"/>
    </row>
    <row r="844" spans="2:2" ht="13.2">
      <c r="B844" s="28"/>
    </row>
    <row r="845" spans="2:2" ht="13.2">
      <c r="B845" s="28"/>
    </row>
    <row r="846" spans="2:2" ht="13.2">
      <c r="B846" s="28"/>
    </row>
    <row r="847" spans="2:2" ht="13.2">
      <c r="B847" s="28"/>
    </row>
    <row r="848" spans="2:2" ht="13.2">
      <c r="B848" s="28"/>
    </row>
    <row r="849" spans="2:2" ht="13.2">
      <c r="B849" s="28"/>
    </row>
    <row r="850" spans="2:2" ht="13.2">
      <c r="B850" s="28"/>
    </row>
    <row r="851" spans="2:2" ht="13.2">
      <c r="B851" s="28"/>
    </row>
    <row r="852" spans="2:2" ht="13.2">
      <c r="B852" s="28"/>
    </row>
    <row r="853" spans="2:2" ht="13.2">
      <c r="B853" s="28"/>
    </row>
    <row r="854" spans="2:2" ht="13.2">
      <c r="B854" s="28"/>
    </row>
    <row r="855" spans="2:2" ht="13.2">
      <c r="B855" s="28"/>
    </row>
    <row r="856" spans="2:2" ht="13.2">
      <c r="B856" s="28"/>
    </row>
    <row r="857" spans="2:2" ht="13.2">
      <c r="B857" s="28"/>
    </row>
    <row r="858" spans="2:2" ht="13.2">
      <c r="B858" s="28"/>
    </row>
    <row r="859" spans="2:2" ht="13.2">
      <c r="B859" s="28"/>
    </row>
    <row r="860" spans="2:2" ht="13.2">
      <c r="B860" s="28"/>
    </row>
    <row r="861" spans="2:2" ht="13.2">
      <c r="B861" s="28"/>
    </row>
    <row r="862" spans="2:2" ht="13.2">
      <c r="B862" s="28"/>
    </row>
    <row r="863" spans="2:2" ht="13.2">
      <c r="B863" s="28"/>
    </row>
    <row r="864" spans="2:2" ht="13.2">
      <c r="B864" s="28"/>
    </row>
    <row r="865" spans="2:2" ht="13.2">
      <c r="B865" s="28"/>
    </row>
    <row r="866" spans="2:2" ht="13.2">
      <c r="B866" s="28"/>
    </row>
    <row r="867" spans="2:2" ht="13.2">
      <c r="B867" s="28"/>
    </row>
    <row r="868" spans="2:2" ht="13.2">
      <c r="B868" s="28"/>
    </row>
    <row r="869" spans="2:2" ht="13.2">
      <c r="B869" s="28"/>
    </row>
    <row r="870" spans="2:2" ht="13.2">
      <c r="B870" s="28"/>
    </row>
    <row r="871" spans="2:2" ht="13.2">
      <c r="B871" s="28"/>
    </row>
    <row r="872" spans="2:2" ht="13.2">
      <c r="B872" s="28"/>
    </row>
    <row r="873" spans="2:2" ht="13.2">
      <c r="B873" s="28"/>
    </row>
    <row r="874" spans="2:2" ht="13.2">
      <c r="B874" s="28"/>
    </row>
    <row r="875" spans="2:2" ht="13.2">
      <c r="B875" s="28"/>
    </row>
    <row r="876" spans="2:2" ht="13.2">
      <c r="B876" s="28"/>
    </row>
    <row r="877" spans="2:2" ht="13.2">
      <c r="B877" s="28"/>
    </row>
    <row r="878" spans="2:2" ht="13.2">
      <c r="B878" s="28"/>
    </row>
    <row r="879" spans="2:2" ht="13.2">
      <c r="B879" s="28"/>
    </row>
    <row r="880" spans="2:2" ht="13.2">
      <c r="B880" s="28"/>
    </row>
    <row r="881" spans="2:2" ht="13.2">
      <c r="B881" s="28"/>
    </row>
    <row r="882" spans="2:2" ht="13.2">
      <c r="B882" s="28"/>
    </row>
    <row r="883" spans="2:2" ht="13.2">
      <c r="B883" s="28"/>
    </row>
    <row r="884" spans="2:2" ht="13.2">
      <c r="B884" s="28"/>
    </row>
    <row r="885" spans="2:2" ht="13.2">
      <c r="B885" s="28"/>
    </row>
    <row r="886" spans="2:2" ht="13.2">
      <c r="B886" s="28"/>
    </row>
    <row r="887" spans="2:2" ht="13.2">
      <c r="B887" s="28"/>
    </row>
    <row r="888" spans="2:2" ht="13.2">
      <c r="B888" s="28"/>
    </row>
    <row r="889" spans="2:2" ht="13.2">
      <c r="B889" s="28"/>
    </row>
    <row r="890" spans="2:2" ht="13.2">
      <c r="B890" s="28"/>
    </row>
    <row r="891" spans="2:2" ht="13.2">
      <c r="B891" s="28"/>
    </row>
    <row r="892" spans="2:2" ht="13.2">
      <c r="B892" s="28"/>
    </row>
    <row r="893" spans="2:2" ht="13.2">
      <c r="B893" s="28"/>
    </row>
    <row r="894" spans="2:2" ht="13.2">
      <c r="B894" s="28"/>
    </row>
    <row r="895" spans="2:2" ht="13.2">
      <c r="B895" s="28"/>
    </row>
    <row r="896" spans="2:2" ht="13.2">
      <c r="B896" s="28"/>
    </row>
    <row r="897" spans="2:2" ht="13.2">
      <c r="B897" s="28"/>
    </row>
    <row r="898" spans="2:2" ht="13.2">
      <c r="B898" s="28"/>
    </row>
    <row r="899" spans="2:2" ht="13.2">
      <c r="B899" s="28"/>
    </row>
    <row r="900" spans="2:2" ht="13.2">
      <c r="B900" s="28"/>
    </row>
    <row r="901" spans="2:2" ht="13.2">
      <c r="B901" s="28"/>
    </row>
    <row r="902" spans="2:2" ht="13.2">
      <c r="B902" s="28"/>
    </row>
    <row r="903" spans="2:2" ht="13.2">
      <c r="B903" s="28"/>
    </row>
    <row r="904" spans="2:2" ht="13.2">
      <c r="B904" s="28"/>
    </row>
    <row r="905" spans="2:2" ht="13.2">
      <c r="B905" s="28"/>
    </row>
    <row r="906" spans="2:2" ht="13.2">
      <c r="B906" s="28"/>
    </row>
    <row r="907" spans="2:2" ht="13.2">
      <c r="B907" s="28"/>
    </row>
    <row r="908" spans="2:2" ht="13.2">
      <c r="B908" s="28"/>
    </row>
    <row r="909" spans="2:2" ht="13.2">
      <c r="B909" s="28"/>
    </row>
    <row r="910" spans="2:2" ht="13.2">
      <c r="B910" s="28"/>
    </row>
    <row r="911" spans="2:2" ht="13.2">
      <c r="B911" s="28"/>
    </row>
    <row r="912" spans="2:2" ht="13.2">
      <c r="B912" s="28"/>
    </row>
    <row r="913" spans="2:2" ht="13.2">
      <c r="B913" s="28"/>
    </row>
    <row r="914" spans="2:2" ht="13.2">
      <c r="B914" s="28"/>
    </row>
    <row r="915" spans="2:2" ht="13.2">
      <c r="B915" s="28"/>
    </row>
    <row r="916" spans="2:2" ht="13.2">
      <c r="B916" s="28"/>
    </row>
    <row r="917" spans="2:2" ht="13.2">
      <c r="B917" s="28"/>
    </row>
    <row r="918" spans="2:2" ht="13.2">
      <c r="B918" s="28"/>
    </row>
    <row r="919" spans="2:2" ht="13.2">
      <c r="B919" s="28"/>
    </row>
    <row r="920" spans="2:2" ht="13.2">
      <c r="B920" s="28"/>
    </row>
    <row r="921" spans="2:2" ht="13.2">
      <c r="B921" s="28"/>
    </row>
    <row r="922" spans="2:2" ht="13.2">
      <c r="B922" s="28"/>
    </row>
    <row r="923" spans="2:2" ht="13.2">
      <c r="B923" s="28"/>
    </row>
    <row r="924" spans="2:2" ht="13.2">
      <c r="B924" s="28"/>
    </row>
    <row r="925" spans="2:2" ht="13.2">
      <c r="B925" s="28"/>
    </row>
    <row r="926" spans="2:2" ht="13.2">
      <c r="B926" s="28"/>
    </row>
    <row r="927" spans="2:2" ht="13.2">
      <c r="B927" s="28"/>
    </row>
    <row r="928" spans="2:2" ht="13.2">
      <c r="B928" s="28"/>
    </row>
    <row r="929" spans="2:2" ht="13.2">
      <c r="B929" s="28"/>
    </row>
    <row r="930" spans="2:2" ht="13.2">
      <c r="B930" s="28"/>
    </row>
    <row r="931" spans="2:2" ht="13.2">
      <c r="B931" s="28"/>
    </row>
    <row r="932" spans="2:2" ht="13.2">
      <c r="B932" s="28"/>
    </row>
    <row r="933" spans="2:2" ht="13.2">
      <c r="B933" s="28"/>
    </row>
    <row r="934" spans="2:2" ht="13.2">
      <c r="B934" s="28"/>
    </row>
    <row r="935" spans="2:2" ht="13.2">
      <c r="B935" s="28"/>
    </row>
    <row r="936" spans="2:2" ht="13.2">
      <c r="B936" s="28"/>
    </row>
    <row r="937" spans="2:2" ht="13.2">
      <c r="B937" s="28"/>
    </row>
    <row r="938" spans="2:2" ht="13.2">
      <c r="B938" s="28"/>
    </row>
    <row r="939" spans="2:2" ht="13.2">
      <c r="B939" s="28"/>
    </row>
    <row r="940" spans="2:2" ht="13.2">
      <c r="B940" s="28"/>
    </row>
    <row r="941" spans="2:2" ht="13.2">
      <c r="B941" s="28"/>
    </row>
    <row r="942" spans="2:2" ht="13.2">
      <c r="B942" s="28"/>
    </row>
    <row r="943" spans="2:2" ht="13.2">
      <c r="B943" s="28"/>
    </row>
    <row r="944" spans="2:2" ht="13.2">
      <c r="B944" s="28"/>
    </row>
    <row r="945" spans="2:2" ht="13.2">
      <c r="B945" s="28"/>
    </row>
    <row r="946" spans="2:2" ht="13.2">
      <c r="B946" s="28"/>
    </row>
    <row r="947" spans="2:2" ht="13.2">
      <c r="B947" s="28"/>
    </row>
    <row r="948" spans="2:2" ht="13.2">
      <c r="B948" s="28"/>
    </row>
    <row r="949" spans="2:2" ht="13.2">
      <c r="B949" s="28"/>
    </row>
    <row r="950" spans="2:2" ht="13.2">
      <c r="B950" s="28"/>
    </row>
    <row r="951" spans="2:2" ht="13.2">
      <c r="B951" s="28"/>
    </row>
    <row r="952" spans="2:2" ht="13.2">
      <c r="B952" s="28"/>
    </row>
    <row r="953" spans="2:2" ht="13.2">
      <c r="B953" s="28"/>
    </row>
    <row r="954" spans="2:2" ht="13.2">
      <c r="B954" s="28"/>
    </row>
    <row r="955" spans="2:2" ht="13.2">
      <c r="B955" s="28"/>
    </row>
    <row r="956" spans="2:2" ht="13.2">
      <c r="B956" s="28"/>
    </row>
    <row r="957" spans="2:2" ht="13.2">
      <c r="B957" s="28"/>
    </row>
    <row r="958" spans="2:2" ht="13.2">
      <c r="B958" s="28"/>
    </row>
    <row r="959" spans="2:2" ht="13.2">
      <c r="B959" s="28"/>
    </row>
    <row r="960" spans="2:2" ht="13.2">
      <c r="B960" s="28"/>
    </row>
    <row r="961" spans="2:2" ht="13.2">
      <c r="B961" s="28"/>
    </row>
    <row r="962" spans="2:2" ht="13.2">
      <c r="B962" s="28"/>
    </row>
    <row r="963" spans="2:2" ht="13.2">
      <c r="B963" s="28"/>
    </row>
    <row r="964" spans="2:2" ht="13.2">
      <c r="B964" s="28"/>
    </row>
    <row r="965" spans="2:2" ht="13.2">
      <c r="B965" s="28"/>
    </row>
    <row r="966" spans="2:2" ht="13.2">
      <c r="B966" s="28"/>
    </row>
    <row r="967" spans="2:2" ht="13.2">
      <c r="B967" s="28"/>
    </row>
    <row r="968" spans="2:2" ht="13.2">
      <c r="B968" s="28"/>
    </row>
    <row r="969" spans="2:2" ht="13.2">
      <c r="B969" s="28"/>
    </row>
    <row r="970" spans="2:2" ht="13.2">
      <c r="B970" s="28"/>
    </row>
    <row r="971" spans="2:2" ht="13.2">
      <c r="B971" s="28"/>
    </row>
    <row r="972" spans="2:2" ht="13.2">
      <c r="B972" s="28"/>
    </row>
    <row r="973" spans="2:2" ht="13.2">
      <c r="B973" s="28"/>
    </row>
    <row r="974" spans="2:2" ht="13.2">
      <c r="B974" s="28"/>
    </row>
    <row r="975" spans="2:2" ht="13.2">
      <c r="B975" s="28"/>
    </row>
    <row r="976" spans="2:2" ht="13.2">
      <c r="B976" s="28"/>
    </row>
    <row r="977" spans="2:2" ht="13.2">
      <c r="B977" s="28"/>
    </row>
    <row r="978" spans="2:2" ht="13.2">
      <c r="B978" s="28"/>
    </row>
    <row r="979" spans="2:2" ht="13.2">
      <c r="B979" s="28"/>
    </row>
    <row r="980" spans="2:2" ht="13.2">
      <c r="B980" s="28"/>
    </row>
    <row r="981" spans="2:2" ht="13.2">
      <c r="B981" s="28"/>
    </row>
    <row r="982" spans="2:2" ht="13.2">
      <c r="B982" s="28"/>
    </row>
    <row r="983" spans="2:2" ht="13.2">
      <c r="B983" s="28"/>
    </row>
    <row r="984" spans="2:2" ht="13.2">
      <c r="B984" s="28"/>
    </row>
    <row r="985" spans="2:2" ht="13.2">
      <c r="B985" s="28"/>
    </row>
    <row r="986" spans="2:2" ht="13.2">
      <c r="B986" s="28"/>
    </row>
    <row r="987" spans="2:2" ht="13.2">
      <c r="B987" s="28"/>
    </row>
    <row r="988" spans="2:2" ht="13.2">
      <c r="B988" s="28"/>
    </row>
    <row r="989" spans="2:2" ht="13.2">
      <c r="B989" s="28"/>
    </row>
    <row r="990" spans="2:2" ht="13.2">
      <c r="B990" s="28"/>
    </row>
    <row r="991" spans="2:2" ht="13.2">
      <c r="B991" s="28"/>
    </row>
    <row r="992" spans="2:2" ht="13.2">
      <c r="B992" s="28"/>
    </row>
    <row r="993" spans="2:2" ht="13.2">
      <c r="B993" s="28"/>
    </row>
    <row r="994" spans="2:2" ht="13.2">
      <c r="B994" s="28"/>
    </row>
    <row r="995" spans="2:2" ht="13.2">
      <c r="B995" s="28"/>
    </row>
    <row r="996" spans="2:2" ht="13.2">
      <c r="B996" s="28"/>
    </row>
    <row r="997" spans="2:2" ht="13.2">
      <c r="B997" s="28"/>
    </row>
    <row r="998" spans="2:2" ht="13.2">
      <c r="B998" s="28"/>
    </row>
    <row r="999" spans="2:2" ht="13.2">
      <c r="B999" s="28"/>
    </row>
    <row r="1000" spans="2:2" ht="13.2">
      <c r="B1000" s="28"/>
    </row>
    <row r="1001" spans="2:2" ht="13.2">
      <c r="B1001" s="28"/>
    </row>
    <row r="1002" spans="2:2" ht="13.2">
      <c r="B1002" s="28"/>
    </row>
    <row r="1003" spans="2:2" ht="13.2">
      <c r="B1003" s="28"/>
    </row>
    <row r="1004" spans="2:2" ht="13.2">
      <c r="B1004" s="28"/>
    </row>
  </sheetData>
  <autoFilter ref="F1:I6"/>
  <mergeCells count="29">
    <mergeCell ref="B53:C53"/>
    <mergeCell ref="A1:C7"/>
    <mergeCell ref="A8:C8"/>
    <mergeCell ref="D8:D23"/>
    <mergeCell ref="A21:C21"/>
    <mergeCell ref="A22:C22"/>
    <mergeCell ref="B27:B30"/>
    <mergeCell ref="A32:C32"/>
    <mergeCell ref="A37:C37"/>
    <mergeCell ref="A40:C40"/>
    <mergeCell ref="B47:C47"/>
    <mergeCell ref="A48:C48"/>
    <mergeCell ref="A52:C52"/>
    <mergeCell ref="F8:V8"/>
    <mergeCell ref="F21:V29"/>
    <mergeCell ref="D30:V53"/>
    <mergeCell ref="A54:V114"/>
    <mergeCell ref="D1:D7"/>
    <mergeCell ref="E1:E6"/>
    <mergeCell ref="J1:J6"/>
    <mergeCell ref="M1:M6"/>
    <mergeCell ref="P1:P6"/>
    <mergeCell ref="Q1:V7"/>
    <mergeCell ref="E7:P7"/>
    <mergeCell ref="A23:A31"/>
    <mergeCell ref="A33:A36"/>
    <mergeCell ref="A38:A39"/>
    <mergeCell ref="A41:A47"/>
    <mergeCell ref="A49:A51"/>
  </mergeCells>
  <conditionalFormatting sqref="L2:L6 O2:O6">
    <cfRule type="cellIs" dxfId="27" priority="1" operator="greaterThan">
      <formula>0</formula>
    </cfRule>
  </conditionalFormatting>
  <conditionalFormatting sqref="L2:L6 O2:O6">
    <cfRule type="cellIs" dxfId="26" priority="2" operator="lessThan">
      <formula>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34343"/>
    <outlinePr summaryBelow="0" summaryRight="0"/>
  </sheetPr>
  <dimension ref="A1:R1001"/>
  <sheetViews>
    <sheetView tabSelected="1" workbookViewId="0">
      <pane ySplit="1" topLeftCell="A2" activePane="bottomLeft" state="frozen"/>
      <selection pane="bottomLeft" activeCell="B3" sqref="B3"/>
    </sheetView>
  </sheetViews>
  <sheetFormatPr defaultColWidth="12.6640625" defaultRowHeight="15.75" customHeight="1"/>
  <cols>
    <col min="1" max="1" width="4.77734375" customWidth="1"/>
    <col min="2" max="2" width="22.44140625" customWidth="1"/>
    <col min="3" max="5" width="18.33203125" customWidth="1"/>
    <col min="6" max="6" width="23.6640625" customWidth="1"/>
    <col min="7" max="7" width="22.44140625" customWidth="1"/>
    <col min="8" max="8" width="10.44140625" customWidth="1"/>
    <col min="9" max="9" width="13.109375" customWidth="1"/>
    <col min="11" max="11" width="11.109375" customWidth="1"/>
    <col min="15" max="15" width="11.109375" customWidth="1"/>
  </cols>
  <sheetData>
    <row r="1" spans="1:18" ht="22.5" customHeight="1">
      <c r="A1" s="59" t="s">
        <v>62</v>
      </c>
      <c r="B1" s="59" t="s">
        <v>63</v>
      </c>
      <c r="C1" s="59" t="s">
        <v>64</v>
      </c>
      <c r="D1" s="59" t="s">
        <v>34</v>
      </c>
      <c r="E1" s="59" t="s">
        <v>32</v>
      </c>
      <c r="F1" s="59" t="s">
        <v>65</v>
      </c>
      <c r="G1" s="60" t="s">
        <v>66</v>
      </c>
      <c r="H1" s="59" t="s">
        <v>67</v>
      </c>
      <c r="I1" s="61" t="s">
        <v>68</v>
      </c>
      <c r="J1" s="62" t="s">
        <v>69</v>
      </c>
      <c r="K1" s="62" t="s">
        <v>70</v>
      </c>
      <c r="L1" s="62" t="s">
        <v>71</v>
      </c>
      <c r="M1" s="62" t="s">
        <v>72</v>
      </c>
    </row>
    <row r="2" spans="1:18" ht="22.5" customHeight="1">
      <c r="A2" s="63">
        <v>1</v>
      </c>
      <c r="B2" s="64" t="s">
        <v>73</v>
      </c>
      <c r="C2" s="65" t="s">
        <v>74</v>
      </c>
      <c r="D2" s="66"/>
      <c r="E2" s="66"/>
      <c r="F2" s="66"/>
      <c r="G2" s="67">
        <v>1.75</v>
      </c>
      <c r="H2" s="68">
        <f>CSK!E5+GT!F12</f>
        <v>1048</v>
      </c>
      <c r="I2" s="69" t="s">
        <v>75</v>
      </c>
      <c r="J2" s="70">
        <f t="shared" ref="J2:J16" si="0">G2*100</f>
        <v>175</v>
      </c>
      <c r="K2" s="71">
        <f t="shared" ref="K2:K16" si="1">H2-J2</f>
        <v>873</v>
      </c>
      <c r="L2" s="72">
        <f>Points!H82+Points!L97</f>
        <v>1048</v>
      </c>
      <c r="M2" s="73">
        <f t="shared" ref="M2:M16" si="2">H2-L2</f>
        <v>0</v>
      </c>
    </row>
    <row r="3" spans="1:18" ht="22.5" customHeight="1">
      <c r="A3" s="63">
        <v>2</v>
      </c>
      <c r="B3" s="64" t="s">
        <v>76</v>
      </c>
      <c r="C3" s="74" t="s">
        <v>77</v>
      </c>
      <c r="D3" s="75" t="s">
        <v>78</v>
      </c>
      <c r="E3" s="75" t="s">
        <v>78</v>
      </c>
      <c r="F3" s="64"/>
      <c r="G3" s="67">
        <v>3.25</v>
      </c>
      <c r="H3" s="68">
        <f>DC!E5</f>
        <v>459</v>
      </c>
      <c r="I3" s="76" t="s">
        <v>79</v>
      </c>
      <c r="J3" s="70">
        <f t="shared" si="0"/>
        <v>325</v>
      </c>
      <c r="K3" s="71">
        <f t="shared" si="1"/>
        <v>134</v>
      </c>
      <c r="L3" s="72">
        <f>Points!H83</f>
        <v>459</v>
      </c>
      <c r="M3" s="73">
        <f t="shared" si="2"/>
        <v>0</v>
      </c>
      <c r="O3" s="1050"/>
      <c r="P3" s="1019"/>
      <c r="Q3" s="1019"/>
      <c r="R3" s="1020"/>
    </row>
    <row r="4" spans="1:18" ht="22.5" customHeight="1">
      <c r="A4" s="63">
        <v>3</v>
      </c>
      <c r="B4" s="64" t="s">
        <v>80</v>
      </c>
      <c r="C4" s="65" t="s">
        <v>74</v>
      </c>
      <c r="D4" s="66"/>
      <c r="E4" s="66"/>
      <c r="F4" s="66"/>
      <c r="G4" s="67">
        <v>3.75</v>
      </c>
      <c r="H4" s="68">
        <f>DC!E6</f>
        <v>388</v>
      </c>
      <c r="I4" s="77" t="s">
        <v>79</v>
      </c>
      <c r="J4" s="70">
        <f t="shared" si="0"/>
        <v>375</v>
      </c>
      <c r="K4" s="71">
        <f t="shared" si="1"/>
        <v>13</v>
      </c>
      <c r="L4" s="72">
        <f>Points!H84</f>
        <v>388</v>
      </c>
      <c r="M4" s="73">
        <f t="shared" si="2"/>
        <v>0</v>
      </c>
      <c r="O4" s="1021"/>
      <c r="P4" s="1015"/>
      <c r="Q4" s="1015"/>
      <c r="R4" s="1022"/>
    </row>
    <row r="5" spans="1:18" ht="22.5" customHeight="1">
      <c r="A5" s="63">
        <v>4</v>
      </c>
      <c r="B5" s="64" t="s">
        <v>81</v>
      </c>
      <c r="C5" s="78" t="s">
        <v>77</v>
      </c>
      <c r="D5" s="66"/>
      <c r="E5" s="66"/>
      <c r="F5" s="66"/>
      <c r="G5" s="67">
        <v>15.5</v>
      </c>
      <c r="H5" s="79">
        <f>GT!F5</f>
        <v>1178</v>
      </c>
      <c r="I5" s="80" t="s">
        <v>82</v>
      </c>
      <c r="J5" s="70">
        <f t="shared" si="0"/>
        <v>1550</v>
      </c>
      <c r="K5" s="71">
        <f t="shared" si="1"/>
        <v>-372</v>
      </c>
      <c r="L5" s="72">
        <f>Points!H85</f>
        <v>1178</v>
      </c>
      <c r="M5" s="73">
        <f t="shared" si="2"/>
        <v>0</v>
      </c>
      <c r="O5" s="1021"/>
      <c r="P5" s="1015"/>
      <c r="Q5" s="1015"/>
      <c r="R5" s="1022"/>
    </row>
    <row r="6" spans="1:18" ht="22.5" customHeight="1">
      <c r="A6" s="63">
        <v>5</v>
      </c>
      <c r="B6" s="64" t="s">
        <v>83</v>
      </c>
      <c r="C6" s="65" t="s">
        <v>74</v>
      </c>
      <c r="D6" s="66"/>
      <c r="E6" s="66"/>
      <c r="F6" s="66"/>
      <c r="G6" s="67">
        <v>3.25</v>
      </c>
      <c r="H6" s="79">
        <f>GT!F6</f>
        <v>775</v>
      </c>
      <c r="I6" s="81" t="s">
        <v>82</v>
      </c>
      <c r="J6" s="70">
        <f t="shared" si="0"/>
        <v>325</v>
      </c>
      <c r="K6" s="71">
        <f t="shared" si="1"/>
        <v>450</v>
      </c>
      <c r="L6" s="72">
        <f>Points!H86</f>
        <v>775</v>
      </c>
      <c r="M6" s="73">
        <f t="shared" si="2"/>
        <v>0</v>
      </c>
      <c r="O6" s="1021"/>
      <c r="P6" s="1015"/>
      <c r="Q6" s="1015"/>
      <c r="R6" s="1022"/>
    </row>
    <row r="7" spans="1:18" ht="22.5" customHeight="1">
      <c r="A7" s="63">
        <v>7</v>
      </c>
      <c r="B7" s="64" t="s">
        <v>84</v>
      </c>
      <c r="C7" s="82" t="s">
        <v>77</v>
      </c>
      <c r="D7" s="66"/>
      <c r="E7" s="66"/>
      <c r="F7" s="75" t="s">
        <v>36</v>
      </c>
      <c r="G7" s="67">
        <v>5.55</v>
      </c>
      <c r="H7" s="79">
        <f>KKR!E5</f>
        <v>676</v>
      </c>
      <c r="I7" s="83" t="s">
        <v>85</v>
      </c>
      <c r="J7" s="70">
        <f t="shared" si="0"/>
        <v>555</v>
      </c>
      <c r="K7" s="71">
        <f t="shared" si="1"/>
        <v>121</v>
      </c>
      <c r="L7" s="72">
        <f>Points!H87</f>
        <v>676</v>
      </c>
      <c r="M7" s="73">
        <f t="shared" si="2"/>
        <v>0</v>
      </c>
      <c r="O7" s="1021"/>
      <c r="P7" s="1015"/>
      <c r="Q7" s="1015"/>
      <c r="R7" s="1022"/>
    </row>
    <row r="8" spans="1:18" ht="22.5" customHeight="1">
      <c r="A8" s="63">
        <v>8</v>
      </c>
      <c r="B8" s="64" t="s">
        <v>86</v>
      </c>
      <c r="C8" s="84" t="s">
        <v>87</v>
      </c>
      <c r="D8" s="75" t="s">
        <v>78</v>
      </c>
      <c r="E8" s="66"/>
      <c r="F8" s="66"/>
      <c r="G8" s="67">
        <v>7</v>
      </c>
      <c r="H8" s="79">
        <f>LSG!E5</f>
        <v>854</v>
      </c>
      <c r="I8" s="85" t="s">
        <v>88</v>
      </c>
      <c r="J8" s="70">
        <f t="shared" si="0"/>
        <v>700</v>
      </c>
      <c r="K8" s="71">
        <f t="shared" si="1"/>
        <v>154</v>
      </c>
      <c r="L8" s="72">
        <f>Points!H88</f>
        <v>854</v>
      </c>
      <c r="M8" s="73">
        <f t="shared" si="2"/>
        <v>0</v>
      </c>
      <c r="O8" s="1021"/>
      <c r="P8" s="1015"/>
      <c r="Q8" s="1015"/>
      <c r="R8" s="1022"/>
    </row>
    <row r="9" spans="1:18" ht="22.5" customHeight="1">
      <c r="A9" s="63">
        <v>9</v>
      </c>
      <c r="B9" s="64" t="s">
        <v>89</v>
      </c>
      <c r="C9" s="78" t="s">
        <v>77</v>
      </c>
      <c r="D9" s="75" t="s">
        <v>78</v>
      </c>
      <c r="E9" s="75" t="s">
        <v>78</v>
      </c>
      <c r="F9" s="66"/>
      <c r="G9" s="67">
        <v>10</v>
      </c>
      <c r="H9" s="79">
        <f>LSG!E6</f>
        <v>425</v>
      </c>
      <c r="I9" s="85" t="s">
        <v>88</v>
      </c>
      <c r="J9" s="70">
        <f t="shared" si="0"/>
        <v>1000</v>
      </c>
      <c r="K9" s="71">
        <f t="shared" si="1"/>
        <v>-575</v>
      </c>
      <c r="L9" s="72">
        <f>Points!H89</f>
        <v>425</v>
      </c>
      <c r="M9" s="73">
        <f t="shared" si="2"/>
        <v>0</v>
      </c>
      <c r="O9" s="1021"/>
      <c r="P9" s="1015"/>
      <c r="Q9" s="1015"/>
      <c r="R9" s="1022"/>
    </row>
    <row r="10" spans="1:18" ht="22.5" customHeight="1">
      <c r="A10" s="63">
        <v>13</v>
      </c>
      <c r="B10" s="64" t="s">
        <v>90</v>
      </c>
      <c r="C10" s="84" t="s">
        <v>87</v>
      </c>
      <c r="D10" s="75" t="s">
        <v>78</v>
      </c>
      <c r="E10" s="86"/>
      <c r="F10" s="86"/>
      <c r="G10" s="87">
        <v>2</v>
      </c>
      <c r="H10" s="68">
        <f>PBSK!E5</f>
        <v>415</v>
      </c>
      <c r="I10" s="88" t="s">
        <v>91</v>
      </c>
      <c r="J10" s="70">
        <f t="shared" si="0"/>
        <v>200</v>
      </c>
      <c r="K10" s="71">
        <f t="shared" si="1"/>
        <v>215</v>
      </c>
      <c r="L10" s="72">
        <f>Points!H90</f>
        <v>415</v>
      </c>
      <c r="M10" s="73">
        <f t="shared" si="2"/>
        <v>0</v>
      </c>
      <c r="O10" s="1021"/>
      <c r="P10" s="1015"/>
      <c r="Q10" s="1015"/>
      <c r="R10" s="1022"/>
    </row>
    <row r="11" spans="1:18" ht="22.5" customHeight="1">
      <c r="A11" s="63">
        <v>11</v>
      </c>
      <c r="B11" s="64" t="s">
        <v>92</v>
      </c>
      <c r="C11" s="78" t="s">
        <v>77</v>
      </c>
      <c r="D11" s="66"/>
      <c r="E11" s="75" t="s">
        <v>78</v>
      </c>
      <c r="F11" s="75" t="s">
        <v>36</v>
      </c>
      <c r="G11" s="67">
        <v>5.5</v>
      </c>
      <c r="H11" s="68">
        <f>PBSK!E6</f>
        <v>831</v>
      </c>
      <c r="I11" s="88" t="s">
        <v>91</v>
      </c>
      <c r="J11" s="70">
        <f t="shared" si="0"/>
        <v>550</v>
      </c>
      <c r="K11" s="71">
        <f t="shared" si="1"/>
        <v>281</v>
      </c>
      <c r="L11" s="72">
        <f>Points!H91</f>
        <v>831</v>
      </c>
      <c r="M11" s="73">
        <f t="shared" si="2"/>
        <v>0</v>
      </c>
      <c r="O11" s="1021"/>
      <c r="P11" s="1015"/>
      <c r="Q11" s="1015"/>
      <c r="R11" s="1022"/>
    </row>
    <row r="12" spans="1:18" ht="22.5" customHeight="1">
      <c r="A12" s="63">
        <v>12</v>
      </c>
      <c r="B12" s="64" t="s">
        <v>93</v>
      </c>
      <c r="C12" s="78" t="s">
        <v>77</v>
      </c>
      <c r="D12" s="66"/>
      <c r="E12" s="66"/>
      <c r="F12" s="75" t="s">
        <v>36</v>
      </c>
      <c r="G12" s="67">
        <v>3</v>
      </c>
      <c r="H12" s="68">
        <f>PBSK!E7</f>
        <v>350</v>
      </c>
      <c r="I12" s="88" t="s">
        <v>91</v>
      </c>
      <c r="J12" s="70">
        <f t="shared" si="0"/>
        <v>300</v>
      </c>
      <c r="K12" s="71">
        <f t="shared" si="1"/>
        <v>50</v>
      </c>
      <c r="L12" s="72">
        <f>Points!H92</f>
        <v>350</v>
      </c>
      <c r="M12" s="73">
        <f t="shared" si="2"/>
        <v>0</v>
      </c>
      <c r="O12" s="1021"/>
      <c r="P12" s="1015"/>
      <c r="Q12" s="1015"/>
      <c r="R12" s="1022"/>
    </row>
    <row r="13" spans="1:18" ht="22.5" customHeight="1">
      <c r="A13" s="63">
        <v>14</v>
      </c>
      <c r="B13" s="64" t="s">
        <v>94</v>
      </c>
      <c r="C13" s="78" t="s">
        <v>77</v>
      </c>
      <c r="D13" s="66"/>
      <c r="E13" s="75" t="s">
        <v>78</v>
      </c>
      <c r="F13" s="66"/>
      <c r="G13" s="67">
        <v>2.5</v>
      </c>
      <c r="H13" s="79">
        <f>RCB!E5</f>
        <v>357</v>
      </c>
      <c r="I13" s="89" t="s">
        <v>95</v>
      </c>
      <c r="J13" s="70">
        <f t="shared" si="0"/>
        <v>250</v>
      </c>
      <c r="K13" s="71">
        <f t="shared" si="1"/>
        <v>107</v>
      </c>
      <c r="L13" s="72">
        <f>Points!H93</f>
        <v>357</v>
      </c>
      <c r="M13" s="73">
        <f t="shared" si="2"/>
        <v>0</v>
      </c>
      <c r="O13" s="1021"/>
      <c r="P13" s="1015"/>
      <c r="Q13" s="1015"/>
      <c r="R13" s="1022"/>
    </row>
    <row r="14" spans="1:18" ht="22.5" customHeight="1">
      <c r="A14" s="63">
        <v>6</v>
      </c>
      <c r="B14" s="64" t="s">
        <v>96</v>
      </c>
      <c r="C14" s="65" t="s">
        <v>74</v>
      </c>
      <c r="D14" s="75" t="s">
        <v>78</v>
      </c>
      <c r="E14" s="86"/>
      <c r="F14" s="86"/>
      <c r="G14" s="87">
        <v>6</v>
      </c>
      <c r="H14" s="68">
        <f>RR!E5</f>
        <v>1083</v>
      </c>
      <c r="I14" s="90" t="s">
        <v>97</v>
      </c>
      <c r="J14" s="70">
        <f t="shared" si="0"/>
        <v>600</v>
      </c>
      <c r="K14" s="71">
        <f t="shared" si="1"/>
        <v>483</v>
      </c>
      <c r="L14" s="72">
        <f>Points!H94</f>
        <v>1083</v>
      </c>
      <c r="M14" s="73">
        <f t="shared" si="2"/>
        <v>0</v>
      </c>
      <c r="O14" s="1023"/>
      <c r="P14" s="1024"/>
      <c r="Q14" s="1024"/>
      <c r="R14" s="1025"/>
    </row>
    <row r="15" spans="1:18" ht="22.5" customHeight="1">
      <c r="A15" s="63">
        <v>15</v>
      </c>
      <c r="B15" s="64" t="s">
        <v>98</v>
      </c>
      <c r="C15" s="84" t="s">
        <v>87</v>
      </c>
      <c r="D15" s="66"/>
      <c r="E15" s="66"/>
      <c r="F15" s="66"/>
      <c r="G15" s="67">
        <v>9.5</v>
      </c>
      <c r="H15" s="68">
        <f>RR!E6</f>
        <v>715</v>
      </c>
      <c r="I15" s="90" t="s">
        <v>97</v>
      </c>
      <c r="J15" s="70">
        <f t="shared" si="0"/>
        <v>950</v>
      </c>
      <c r="K15" s="71">
        <f t="shared" si="1"/>
        <v>-235</v>
      </c>
      <c r="L15" s="72">
        <f>Points!H95</f>
        <v>715</v>
      </c>
      <c r="M15" s="73">
        <f t="shared" si="2"/>
        <v>0</v>
      </c>
    </row>
    <row r="16" spans="1:18" ht="22.5" customHeight="1">
      <c r="A16" s="63">
        <v>10</v>
      </c>
      <c r="B16" s="64" t="s">
        <v>99</v>
      </c>
      <c r="C16" s="65" t="s">
        <v>74</v>
      </c>
      <c r="D16" s="66"/>
      <c r="E16" s="66"/>
      <c r="F16" s="66"/>
      <c r="G16" s="67">
        <v>2</v>
      </c>
      <c r="H16" s="79">
        <f>LSG!E7</f>
        <v>543</v>
      </c>
      <c r="I16" s="91" t="s">
        <v>88</v>
      </c>
      <c r="J16" s="70">
        <f t="shared" si="0"/>
        <v>200</v>
      </c>
      <c r="K16" s="71">
        <f t="shared" si="1"/>
        <v>343</v>
      </c>
      <c r="L16" s="72">
        <f>Points!H96</f>
        <v>543</v>
      </c>
      <c r="M16" s="73">
        <f t="shared" si="2"/>
        <v>0</v>
      </c>
    </row>
    <row r="17" spans="1:14" ht="22.5" customHeight="1">
      <c r="A17" s="63"/>
      <c r="B17" s="64"/>
      <c r="C17" s="66"/>
      <c r="D17" s="66"/>
      <c r="E17" s="66"/>
      <c r="F17" s="66"/>
      <c r="G17" s="67"/>
      <c r="H17" s="79"/>
      <c r="I17" s="70"/>
      <c r="J17" s="70"/>
      <c r="K17" s="92"/>
      <c r="L17" s="73"/>
      <c r="M17" s="73"/>
    </row>
    <row r="18" spans="1:14" ht="15.6">
      <c r="A18" s="93"/>
      <c r="B18" s="94"/>
      <c r="C18" s="95"/>
      <c r="D18" s="94"/>
      <c r="E18" s="94"/>
      <c r="F18" s="94"/>
      <c r="G18" s="96" t="s">
        <v>1</v>
      </c>
      <c r="H18" s="97">
        <f>SUM(LARGE(H2:H17, 1),LARGE(H2:H17,2),LARGE(H2:H17,3),LARGE(H2:H17,4),LARGE(H2:H17,5),LARGE(H2:H17, 6),LARGE(H2:H17,7),LARGE(H2:H17,8),LARGE(H2:H17,9),LARGE(H2:H17,10),LARGE(H2:H17,11),LARGE(H2:H17,12))</f>
        <v>9002</v>
      </c>
      <c r="I18" s="97">
        <f ca="1">IFERROR(__xludf.DUMMYFUNCTION("SUM(QUERY(H2:H16, ""SELECT Col1 WHERE Col1 IS NOT NULL ORDER BY Col1 DESC LIMIT 12"")) "),9002)</f>
        <v>9002</v>
      </c>
      <c r="J18" s="98"/>
    </row>
    <row r="19" spans="1:14" ht="15.6">
      <c r="C19" s="99"/>
      <c r="G19" s="100" t="s">
        <v>100</v>
      </c>
      <c r="H19" s="97">
        <f>SUM(Warriors[Points])</f>
        <v>10097</v>
      </c>
      <c r="I19" s="101"/>
      <c r="J19" s="98"/>
    </row>
    <row r="20" spans="1:14" ht="15.6">
      <c r="C20" s="99"/>
      <c r="G20" s="100" t="s">
        <v>101</v>
      </c>
      <c r="H20" s="97">
        <f ca="1">IFERROR(__xludf.DUMMYFUNCTION("SUM(QUERY({H3:H16;H23:H100}, ""SELECT Col1 WHERE Col1 IS NOT NULL ORDER BY Col1 DESC LIMIT 12""))"),9600)</f>
        <v>9600</v>
      </c>
      <c r="I20" s="97" t="s">
        <v>102</v>
      </c>
      <c r="J20" s="102">
        <f ca="1">H20-H18</f>
        <v>598</v>
      </c>
    </row>
    <row r="21" spans="1:14" ht="22.5" customHeight="1">
      <c r="A21" s="59" t="s">
        <v>62</v>
      </c>
      <c r="B21" s="59" t="s">
        <v>63</v>
      </c>
      <c r="C21" s="59" t="s">
        <v>64</v>
      </c>
      <c r="D21" s="59" t="s">
        <v>34</v>
      </c>
      <c r="E21" s="59" t="s">
        <v>32</v>
      </c>
      <c r="F21" s="59" t="s">
        <v>65</v>
      </c>
      <c r="G21" s="60" t="s">
        <v>66</v>
      </c>
      <c r="H21" s="59" t="s">
        <v>67</v>
      </c>
      <c r="I21" s="61" t="s">
        <v>68</v>
      </c>
      <c r="J21" s="62" t="s">
        <v>69</v>
      </c>
      <c r="K21" s="62" t="s">
        <v>70</v>
      </c>
    </row>
    <row r="22" spans="1:14" ht="22.5" customHeight="1">
      <c r="A22" s="103">
        <v>1</v>
      </c>
      <c r="B22" s="104" t="s">
        <v>103</v>
      </c>
      <c r="C22" s="65" t="s">
        <v>74</v>
      </c>
      <c r="D22" s="75" t="s">
        <v>78</v>
      </c>
      <c r="E22" s="75"/>
      <c r="F22" s="75"/>
      <c r="G22" s="105">
        <v>2</v>
      </c>
      <c r="H22" s="106">
        <f>GT!F12</f>
        <v>935</v>
      </c>
      <c r="I22" s="80" t="s">
        <v>82</v>
      </c>
      <c r="J22" s="107">
        <f t="shared" ref="J22:J24" si="3">G22*100</f>
        <v>200</v>
      </c>
      <c r="K22" s="108">
        <f t="shared" ref="K22:K24" si="4">H22-J22</f>
        <v>735</v>
      </c>
    </row>
    <row r="23" spans="1:14" ht="22.5" customHeight="1">
      <c r="A23" s="63">
        <v>2</v>
      </c>
      <c r="B23" s="64" t="s">
        <v>104</v>
      </c>
      <c r="C23" s="78" t="s">
        <v>77</v>
      </c>
      <c r="D23" s="109"/>
      <c r="E23" s="109"/>
      <c r="F23" s="109"/>
      <c r="G23" s="67">
        <v>1.25</v>
      </c>
      <c r="H23" s="68">
        <f>KKR!E11</f>
        <v>536</v>
      </c>
      <c r="I23" s="110" t="s">
        <v>85</v>
      </c>
      <c r="J23" s="70">
        <f t="shared" si="3"/>
        <v>125</v>
      </c>
      <c r="K23" s="92">
        <f t="shared" si="4"/>
        <v>411</v>
      </c>
    </row>
    <row r="24" spans="1:14" ht="22.5" customHeight="1">
      <c r="A24" s="63">
        <v>3</v>
      </c>
      <c r="B24" s="64" t="s">
        <v>105</v>
      </c>
      <c r="C24" s="78" t="s">
        <v>77</v>
      </c>
      <c r="D24" s="109"/>
      <c r="E24" s="75" t="s">
        <v>78</v>
      </c>
      <c r="F24" s="111" t="s">
        <v>36</v>
      </c>
      <c r="G24" s="67">
        <v>0.55000000000000004</v>
      </c>
      <c r="H24" s="68">
        <f>CSK!E14</f>
        <v>439</v>
      </c>
      <c r="I24" s="112" t="s">
        <v>106</v>
      </c>
      <c r="J24" s="70">
        <f t="shared" si="3"/>
        <v>55.000000000000007</v>
      </c>
      <c r="K24" s="92">
        <f t="shared" si="4"/>
        <v>384</v>
      </c>
    </row>
    <row r="25" spans="1:14" ht="22.5" customHeight="1">
      <c r="A25" s="113"/>
      <c r="B25" s="114" t="s">
        <v>107</v>
      </c>
      <c r="G25" s="115"/>
      <c r="H25" s="116">
        <f>Points!H82</f>
        <v>113</v>
      </c>
      <c r="I25" s="116"/>
      <c r="K25" s="117"/>
    </row>
    <row r="26" spans="1:14" ht="22.5" customHeight="1">
      <c r="A26" s="113"/>
      <c r="B26" s="118" t="s">
        <v>108</v>
      </c>
      <c r="C26" s="119"/>
      <c r="D26" s="119"/>
      <c r="E26" s="119"/>
      <c r="F26" s="119"/>
      <c r="G26" s="120"/>
      <c r="H26" s="119">
        <f>Points!H97</f>
        <v>1109</v>
      </c>
      <c r="I26" s="119"/>
      <c r="J26" s="119"/>
      <c r="K26" s="117"/>
    </row>
    <row r="27" spans="1:14" ht="22.8">
      <c r="G27" s="121"/>
      <c r="I27" s="101"/>
      <c r="N27" s="122" t="s">
        <v>7</v>
      </c>
    </row>
    <row r="28" spans="1:14" ht="22.8">
      <c r="G28" s="121"/>
      <c r="I28" s="101"/>
      <c r="N28" s="122" t="s">
        <v>109</v>
      </c>
    </row>
    <row r="29" spans="1:14" ht="22.8">
      <c r="G29" s="121"/>
      <c r="I29" s="101"/>
      <c r="N29" s="122" t="s">
        <v>110</v>
      </c>
    </row>
    <row r="30" spans="1:14" ht="22.8">
      <c r="G30" s="121"/>
      <c r="I30" s="101"/>
      <c r="N30" s="122" t="s">
        <v>111</v>
      </c>
    </row>
    <row r="31" spans="1:14" ht="22.8">
      <c r="G31" s="121"/>
      <c r="I31" s="101"/>
      <c r="N31" s="122" t="s">
        <v>112</v>
      </c>
    </row>
    <row r="32" spans="1:14" ht="22.8">
      <c r="G32" s="121"/>
      <c r="I32" s="101"/>
      <c r="N32" s="122" t="s">
        <v>113</v>
      </c>
    </row>
    <row r="33" spans="7:14" ht="22.8">
      <c r="G33" s="121"/>
      <c r="I33" s="101"/>
      <c r="N33" s="123"/>
    </row>
    <row r="34" spans="7:14" ht="22.8">
      <c r="G34" s="121"/>
      <c r="I34" s="101"/>
      <c r="N34" s="122" t="s">
        <v>114</v>
      </c>
    </row>
    <row r="35" spans="7:14" ht="13.2">
      <c r="G35" s="121"/>
      <c r="I35" s="101"/>
    </row>
    <row r="36" spans="7:14" ht="13.2">
      <c r="G36" s="121"/>
      <c r="I36" s="101"/>
    </row>
    <row r="37" spans="7:14" ht="13.2">
      <c r="G37" s="121"/>
      <c r="I37" s="101"/>
    </row>
    <row r="38" spans="7:14" ht="13.2">
      <c r="G38" s="121"/>
      <c r="I38" s="101"/>
    </row>
    <row r="39" spans="7:14" ht="13.2">
      <c r="G39" s="121"/>
      <c r="I39" s="101"/>
    </row>
    <row r="40" spans="7:14" ht="13.2">
      <c r="G40" s="121"/>
      <c r="I40" s="101"/>
    </row>
    <row r="41" spans="7:14" ht="13.2">
      <c r="G41" s="121"/>
      <c r="I41" s="101"/>
    </row>
    <row r="42" spans="7:14" ht="13.2">
      <c r="G42" s="121"/>
      <c r="I42" s="101"/>
    </row>
    <row r="43" spans="7:14" ht="13.2">
      <c r="G43" s="121"/>
      <c r="I43" s="101"/>
    </row>
    <row r="44" spans="7:14" ht="13.2">
      <c r="G44" s="121"/>
      <c r="I44" s="101"/>
    </row>
    <row r="45" spans="7:14" ht="13.2">
      <c r="G45" s="121"/>
      <c r="I45" s="101"/>
    </row>
    <row r="46" spans="7:14" ht="13.2">
      <c r="G46" s="121"/>
      <c r="I46" s="101"/>
    </row>
    <row r="47" spans="7:14" ht="13.2">
      <c r="G47" s="121"/>
      <c r="I47" s="101"/>
    </row>
    <row r="48" spans="7:14" ht="13.2">
      <c r="G48" s="121"/>
      <c r="I48" s="101"/>
    </row>
    <row r="49" spans="1:11" ht="13.2">
      <c r="G49" s="121"/>
      <c r="I49" s="101"/>
    </row>
    <row r="50" spans="1:11" ht="22.5" customHeight="1">
      <c r="A50" s="59" t="s">
        <v>62</v>
      </c>
      <c r="B50" s="59" t="s">
        <v>63</v>
      </c>
      <c r="C50" s="59" t="s">
        <v>64</v>
      </c>
      <c r="D50" s="59" t="s">
        <v>34</v>
      </c>
      <c r="E50" s="59" t="s">
        <v>32</v>
      </c>
      <c r="F50" s="59" t="s">
        <v>65</v>
      </c>
      <c r="G50" s="60" t="s">
        <v>66</v>
      </c>
      <c r="H50" s="59" t="s">
        <v>67</v>
      </c>
      <c r="I50" s="61" t="s">
        <v>68</v>
      </c>
      <c r="J50" s="62" t="s">
        <v>69</v>
      </c>
      <c r="K50" s="62" t="s">
        <v>70</v>
      </c>
    </row>
    <row r="51" spans="1:11" ht="22.5" customHeight="1">
      <c r="A51" s="124">
        <v>1</v>
      </c>
      <c r="B51" s="109" t="s">
        <v>115</v>
      </c>
      <c r="C51" s="125" t="s">
        <v>87</v>
      </c>
      <c r="D51" s="126"/>
      <c r="E51" s="126"/>
      <c r="F51" s="75" t="s">
        <v>36</v>
      </c>
      <c r="G51" s="127">
        <v>0.3</v>
      </c>
      <c r="H51" s="68">
        <f>Extra!E5</f>
        <v>286</v>
      </c>
      <c r="I51" s="128" t="s">
        <v>79</v>
      </c>
      <c r="J51" s="70">
        <f t="shared" ref="J51:J59" si="5">G51*100</f>
        <v>30</v>
      </c>
      <c r="K51" s="92">
        <f t="shared" ref="K51:K59" si="6">H51-J51</f>
        <v>256</v>
      </c>
    </row>
    <row r="52" spans="1:11" ht="22.5" customHeight="1">
      <c r="A52" s="129">
        <v>2</v>
      </c>
      <c r="B52" s="130" t="s">
        <v>116</v>
      </c>
      <c r="C52" s="82" t="s">
        <v>77</v>
      </c>
      <c r="D52" s="75" t="s">
        <v>78</v>
      </c>
      <c r="E52" s="75" t="s">
        <v>78</v>
      </c>
      <c r="F52" s="131"/>
      <c r="G52" s="132">
        <v>2</v>
      </c>
      <c r="H52" s="68">
        <f>Extra!E6</f>
        <v>0</v>
      </c>
      <c r="I52" s="76" t="s">
        <v>79</v>
      </c>
      <c r="J52" s="133">
        <f t="shared" si="5"/>
        <v>200</v>
      </c>
      <c r="K52" s="134">
        <f t="shared" si="6"/>
        <v>-200</v>
      </c>
    </row>
    <row r="53" spans="1:11" ht="22.5" customHeight="1">
      <c r="A53" s="124">
        <v>3</v>
      </c>
      <c r="B53" s="109" t="s">
        <v>117</v>
      </c>
      <c r="C53" s="125" t="s">
        <v>87</v>
      </c>
      <c r="D53" s="75" t="s">
        <v>78</v>
      </c>
      <c r="E53" s="135"/>
      <c r="F53" s="135"/>
      <c r="G53" s="136">
        <v>1.5</v>
      </c>
      <c r="H53" s="68">
        <f>Extra!E7</f>
        <v>507</v>
      </c>
      <c r="I53" s="137" t="s">
        <v>118</v>
      </c>
      <c r="J53" s="70">
        <f t="shared" si="5"/>
        <v>150</v>
      </c>
      <c r="K53" s="92">
        <f t="shared" si="6"/>
        <v>357</v>
      </c>
    </row>
    <row r="54" spans="1:11" ht="22.5" customHeight="1">
      <c r="A54" s="138">
        <v>4</v>
      </c>
      <c r="B54" s="64" t="s">
        <v>119</v>
      </c>
      <c r="C54" s="84" t="s">
        <v>87</v>
      </c>
      <c r="D54" s="75" t="s">
        <v>78</v>
      </c>
      <c r="E54" s="66"/>
      <c r="F54" s="66"/>
      <c r="G54" s="67">
        <v>4</v>
      </c>
      <c r="H54" s="68">
        <f>Extra!E8</f>
        <v>510</v>
      </c>
      <c r="I54" s="139" t="s">
        <v>95</v>
      </c>
      <c r="J54" s="70">
        <f t="shared" si="5"/>
        <v>400</v>
      </c>
      <c r="K54" s="92">
        <f t="shared" si="6"/>
        <v>110</v>
      </c>
    </row>
    <row r="55" spans="1:11" ht="22.5" customHeight="1">
      <c r="A55" s="124">
        <v>5</v>
      </c>
      <c r="B55" s="109" t="s">
        <v>120</v>
      </c>
      <c r="C55" s="125" t="s">
        <v>87</v>
      </c>
      <c r="D55" s="75" t="s">
        <v>78</v>
      </c>
      <c r="E55" s="126"/>
      <c r="F55" s="126"/>
      <c r="G55" s="127">
        <v>2</v>
      </c>
      <c r="H55" s="68">
        <f>Extra!E9</f>
        <v>790</v>
      </c>
      <c r="I55" s="140" t="s">
        <v>91</v>
      </c>
      <c r="J55" s="70">
        <f t="shared" si="5"/>
        <v>200</v>
      </c>
      <c r="K55" s="92">
        <f t="shared" si="6"/>
        <v>590</v>
      </c>
    </row>
    <row r="56" spans="1:11" ht="22.5" customHeight="1">
      <c r="A56" s="124">
        <v>6</v>
      </c>
      <c r="B56" s="109" t="s">
        <v>121</v>
      </c>
      <c r="C56" s="125" t="s">
        <v>87</v>
      </c>
      <c r="D56" s="75" t="s">
        <v>78</v>
      </c>
      <c r="E56" s="86"/>
      <c r="F56" s="86"/>
      <c r="G56" s="87">
        <v>2</v>
      </c>
      <c r="H56" s="68">
        <f>Extra!E10</f>
        <v>57</v>
      </c>
      <c r="I56" s="141" t="s">
        <v>122</v>
      </c>
      <c r="J56" s="70">
        <f t="shared" si="5"/>
        <v>200</v>
      </c>
      <c r="K56" s="92">
        <f t="shared" si="6"/>
        <v>-143</v>
      </c>
    </row>
    <row r="57" spans="1:11" ht="22.5" customHeight="1">
      <c r="A57" s="124">
        <v>7</v>
      </c>
      <c r="B57" s="109" t="s">
        <v>123</v>
      </c>
      <c r="C57" s="142" t="s">
        <v>74</v>
      </c>
      <c r="D57" s="135"/>
      <c r="E57" s="135"/>
      <c r="F57" s="75" t="s">
        <v>36</v>
      </c>
      <c r="G57" s="136">
        <v>0.3</v>
      </c>
      <c r="H57" s="68">
        <f>Extra!E11</f>
        <v>267</v>
      </c>
      <c r="I57" s="140" t="s">
        <v>91</v>
      </c>
      <c r="J57" s="70">
        <f t="shared" si="5"/>
        <v>30</v>
      </c>
      <c r="K57" s="92">
        <f t="shared" si="6"/>
        <v>237</v>
      </c>
    </row>
    <row r="58" spans="1:11" ht="22.5" customHeight="1">
      <c r="A58" s="138">
        <v>8</v>
      </c>
      <c r="B58" s="109" t="s">
        <v>124</v>
      </c>
      <c r="C58" s="142" t="s">
        <v>74</v>
      </c>
      <c r="D58" s="86"/>
      <c r="E58" s="86"/>
      <c r="F58" s="75" t="s">
        <v>36</v>
      </c>
      <c r="G58" s="87">
        <v>0.3</v>
      </c>
      <c r="H58" s="68">
        <f>Extra!E12</f>
        <v>350</v>
      </c>
      <c r="I58" s="89" t="s">
        <v>95</v>
      </c>
      <c r="J58" s="70">
        <f t="shared" si="5"/>
        <v>30</v>
      </c>
      <c r="K58" s="92">
        <f t="shared" si="6"/>
        <v>320</v>
      </c>
    </row>
    <row r="59" spans="1:11" ht="22.5" customHeight="1">
      <c r="A59" s="124">
        <v>9</v>
      </c>
      <c r="B59" s="64" t="s">
        <v>125</v>
      </c>
      <c r="C59" s="78" t="s">
        <v>77</v>
      </c>
      <c r="D59" s="75" t="s">
        <v>78</v>
      </c>
      <c r="E59" s="66"/>
      <c r="F59" s="66"/>
      <c r="G59" s="67">
        <v>2</v>
      </c>
      <c r="H59" s="68">
        <f>Extra!E13</f>
        <v>384</v>
      </c>
      <c r="I59" s="77" t="s">
        <v>79</v>
      </c>
      <c r="J59" s="70">
        <f t="shared" si="5"/>
        <v>200</v>
      </c>
      <c r="K59" s="92">
        <f t="shared" si="6"/>
        <v>184</v>
      </c>
    </row>
    <row r="60" spans="1:11" ht="22.5" customHeight="1">
      <c r="A60" s="143"/>
      <c r="G60" s="115"/>
      <c r="I60" s="116"/>
      <c r="K60" s="117"/>
    </row>
    <row r="61" spans="1:11" ht="13.2">
      <c r="G61" s="121"/>
      <c r="I61" s="101"/>
    </row>
    <row r="62" spans="1:11" ht="13.2">
      <c r="I62" s="101"/>
    </row>
    <row r="63" spans="1:11" ht="13.2">
      <c r="G63" s="121"/>
      <c r="I63" s="101"/>
    </row>
    <row r="64" spans="1:11" ht="13.2">
      <c r="G64" s="121"/>
      <c r="I64" s="101"/>
    </row>
    <row r="65" spans="1:9" ht="13.2">
      <c r="G65" s="121"/>
      <c r="I65" s="101"/>
    </row>
    <row r="66" spans="1:9" ht="13.2">
      <c r="A66" s="144"/>
      <c r="I66" s="101"/>
    </row>
    <row r="67" spans="1:9" ht="13.2">
      <c r="A67" s="144"/>
      <c r="I67" s="101"/>
    </row>
    <row r="68" spans="1:9" ht="13.2">
      <c r="A68" s="144"/>
      <c r="I68" s="101"/>
    </row>
    <row r="69" spans="1:9" ht="13.2">
      <c r="A69" s="144"/>
      <c r="I69" s="101"/>
    </row>
    <row r="70" spans="1:9" ht="13.2">
      <c r="A70" s="144"/>
      <c r="I70" s="101"/>
    </row>
    <row r="71" spans="1:9" ht="13.2">
      <c r="A71" s="144"/>
      <c r="I71" s="101"/>
    </row>
    <row r="72" spans="1:9" ht="13.2">
      <c r="A72" s="144"/>
      <c r="I72" s="101"/>
    </row>
    <row r="73" spans="1:9" ht="13.2">
      <c r="A73" s="144"/>
      <c r="I73" s="101"/>
    </row>
    <row r="74" spans="1:9" ht="13.2">
      <c r="I74" s="101"/>
    </row>
    <row r="75" spans="1:9" ht="13.2">
      <c r="I75" s="101"/>
    </row>
    <row r="76" spans="1:9" ht="13.2">
      <c r="G76" s="121"/>
      <c r="I76" s="101"/>
    </row>
    <row r="77" spans="1:9" ht="13.2">
      <c r="G77" s="121"/>
      <c r="I77" s="101"/>
    </row>
    <row r="78" spans="1:9" ht="13.2">
      <c r="G78" s="121"/>
      <c r="I78" s="101"/>
    </row>
    <row r="79" spans="1:9" ht="13.2">
      <c r="G79" s="121"/>
      <c r="I79" s="101"/>
    </row>
    <row r="80" spans="1:9" ht="13.2">
      <c r="G80" s="121"/>
      <c r="I80" s="101"/>
    </row>
    <row r="81" spans="7:9" ht="13.2">
      <c r="G81" s="121"/>
      <c r="I81" s="101"/>
    </row>
    <row r="82" spans="7:9" ht="13.2">
      <c r="G82" s="121"/>
      <c r="I82" s="101"/>
    </row>
    <row r="83" spans="7:9" ht="13.2">
      <c r="G83" s="121"/>
      <c r="I83" s="101"/>
    </row>
    <row r="84" spans="7:9" ht="13.2">
      <c r="G84" s="121"/>
      <c r="I84" s="101"/>
    </row>
    <row r="85" spans="7:9" ht="13.2">
      <c r="G85" s="121"/>
      <c r="I85" s="101"/>
    </row>
    <row r="86" spans="7:9" ht="13.2">
      <c r="G86" s="121"/>
      <c r="I86" s="101"/>
    </row>
    <row r="87" spans="7:9" ht="13.2">
      <c r="G87" s="121"/>
      <c r="I87" s="101"/>
    </row>
    <row r="88" spans="7:9" ht="13.2">
      <c r="G88" s="121"/>
      <c r="I88" s="101"/>
    </row>
    <row r="89" spans="7:9" ht="13.2">
      <c r="G89" s="121"/>
      <c r="I89" s="101"/>
    </row>
    <row r="90" spans="7:9" ht="13.2">
      <c r="G90" s="121"/>
      <c r="I90" s="101"/>
    </row>
    <row r="91" spans="7:9" ht="13.2">
      <c r="G91" s="121"/>
      <c r="I91" s="101"/>
    </row>
    <row r="92" spans="7:9" ht="13.2">
      <c r="G92" s="121"/>
      <c r="I92" s="101"/>
    </row>
    <row r="93" spans="7:9" ht="13.2">
      <c r="G93" s="121"/>
      <c r="I93" s="101"/>
    </row>
    <row r="94" spans="7:9" ht="13.2">
      <c r="G94" s="121"/>
      <c r="I94" s="101"/>
    </row>
    <row r="95" spans="7:9" ht="13.2">
      <c r="G95" s="121"/>
      <c r="I95" s="101"/>
    </row>
    <row r="96" spans="7:9" ht="13.2">
      <c r="G96" s="121"/>
      <c r="I96" s="101"/>
    </row>
    <row r="97" spans="7:9" ht="13.2">
      <c r="G97" s="121"/>
      <c r="I97" s="101"/>
    </row>
    <row r="98" spans="7:9" ht="13.2">
      <c r="G98" s="121"/>
      <c r="I98" s="101"/>
    </row>
    <row r="99" spans="7:9" ht="13.2">
      <c r="G99" s="121"/>
      <c r="I99" s="101"/>
    </row>
    <row r="100" spans="7:9" ht="13.2">
      <c r="G100" s="121"/>
      <c r="I100" s="101"/>
    </row>
    <row r="101" spans="7:9" ht="13.2">
      <c r="G101" s="121"/>
      <c r="I101" s="101"/>
    </row>
    <row r="102" spans="7:9" ht="13.2">
      <c r="G102" s="121"/>
      <c r="I102" s="101"/>
    </row>
    <row r="103" spans="7:9" ht="13.2">
      <c r="G103" s="121"/>
      <c r="I103" s="101"/>
    </row>
    <row r="104" spans="7:9" ht="13.2">
      <c r="G104" s="121"/>
      <c r="I104" s="101"/>
    </row>
    <row r="105" spans="7:9" ht="13.2">
      <c r="G105" s="121"/>
      <c r="I105" s="101"/>
    </row>
    <row r="106" spans="7:9" ht="13.2">
      <c r="G106" s="121"/>
      <c r="I106" s="101"/>
    </row>
    <row r="107" spans="7:9" ht="13.2">
      <c r="G107" s="121"/>
      <c r="I107" s="101"/>
    </row>
    <row r="108" spans="7:9" ht="13.2">
      <c r="G108" s="121"/>
      <c r="I108" s="101"/>
    </row>
    <row r="109" spans="7:9" ht="13.2">
      <c r="G109" s="121"/>
      <c r="I109" s="101"/>
    </row>
    <row r="110" spans="7:9" ht="13.2">
      <c r="G110" s="121"/>
      <c r="I110" s="101"/>
    </row>
    <row r="111" spans="7:9" ht="13.2">
      <c r="G111" s="121"/>
      <c r="I111" s="101"/>
    </row>
    <row r="112" spans="7:9" ht="13.2">
      <c r="G112" s="121"/>
      <c r="I112" s="101"/>
    </row>
    <row r="113" spans="7:9" ht="13.2">
      <c r="G113" s="121"/>
      <c r="I113" s="101"/>
    </row>
    <row r="114" spans="7:9" ht="13.2">
      <c r="G114" s="121"/>
      <c r="I114" s="101"/>
    </row>
    <row r="115" spans="7:9" ht="13.2">
      <c r="G115" s="121"/>
      <c r="I115" s="101"/>
    </row>
    <row r="116" spans="7:9" ht="13.2">
      <c r="G116" s="121"/>
      <c r="I116" s="101"/>
    </row>
    <row r="117" spans="7:9" ht="13.2">
      <c r="G117" s="121"/>
      <c r="I117" s="101"/>
    </row>
    <row r="118" spans="7:9" ht="13.2">
      <c r="G118" s="121"/>
      <c r="I118" s="101"/>
    </row>
    <row r="119" spans="7:9" ht="13.2">
      <c r="G119" s="121"/>
      <c r="I119" s="101"/>
    </row>
    <row r="120" spans="7:9" ht="13.2">
      <c r="G120" s="121"/>
      <c r="I120" s="101"/>
    </row>
    <row r="121" spans="7:9" ht="13.2">
      <c r="G121" s="121"/>
      <c r="I121" s="101"/>
    </row>
    <row r="122" spans="7:9" ht="13.2">
      <c r="G122" s="121"/>
      <c r="I122" s="101"/>
    </row>
    <row r="123" spans="7:9" ht="13.2">
      <c r="G123" s="121"/>
      <c r="I123" s="101"/>
    </row>
    <row r="124" spans="7:9" ht="13.2">
      <c r="G124" s="121"/>
      <c r="I124" s="101"/>
    </row>
    <row r="125" spans="7:9" ht="13.2">
      <c r="G125" s="121"/>
      <c r="I125" s="101"/>
    </row>
    <row r="126" spans="7:9" ht="13.2">
      <c r="G126" s="121"/>
      <c r="I126" s="101"/>
    </row>
    <row r="127" spans="7:9" ht="13.2">
      <c r="G127" s="121"/>
      <c r="I127" s="101"/>
    </row>
    <row r="128" spans="7:9" ht="13.2">
      <c r="G128" s="121"/>
      <c r="I128" s="101"/>
    </row>
    <row r="129" spans="7:9" ht="13.2">
      <c r="G129" s="121"/>
      <c r="I129" s="101"/>
    </row>
    <row r="130" spans="7:9" ht="13.2">
      <c r="G130" s="121"/>
      <c r="I130" s="101"/>
    </row>
    <row r="131" spans="7:9" ht="13.2">
      <c r="G131" s="121"/>
      <c r="I131" s="101"/>
    </row>
    <row r="132" spans="7:9" ht="13.2">
      <c r="G132" s="121"/>
      <c r="I132" s="101"/>
    </row>
    <row r="133" spans="7:9" ht="13.2">
      <c r="G133" s="121"/>
      <c r="I133" s="101"/>
    </row>
    <row r="134" spans="7:9" ht="13.2">
      <c r="G134" s="121"/>
      <c r="I134" s="101"/>
    </row>
    <row r="135" spans="7:9" ht="13.2">
      <c r="G135" s="121"/>
      <c r="I135" s="101"/>
    </row>
    <row r="136" spans="7:9" ht="13.2">
      <c r="G136" s="121"/>
      <c r="I136" s="101"/>
    </row>
    <row r="137" spans="7:9" ht="13.2">
      <c r="G137" s="121"/>
      <c r="I137" s="101"/>
    </row>
    <row r="138" spans="7:9" ht="13.2">
      <c r="G138" s="121"/>
      <c r="I138" s="101"/>
    </row>
    <row r="139" spans="7:9" ht="13.2">
      <c r="G139" s="121"/>
      <c r="I139" s="101"/>
    </row>
    <row r="140" spans="7:9" ht="13.2">
      <c r="G140" s="121"/>
      <c r="I140" s="101"/>
    </row>
    <row r="141" spans="7:9" ht="13.2">
      <c r="G141" s="121"/>
      <c r="I141" s="101"/>
    </row>
    <row r="142" spans="7:9" ht="13.2">
      <c r="G142" s="121"/>
      <c r="I142" s="101"/>
    </row>
    <row r="143" spans="7:9" ht="13.2">
      <c r="G143" s="121"/>
      <c r="I143" s="101"/>
    </row>
    <row r="144" spans="7:9" ht="13.2">
      <c r="G144" s="121"/>
      <c r="I144" s="101"/>
    </row>
    <row r="145" spans="7:9" ht="13.2">
      <c r="G145" s="121"/>
      <c r="I145" s="101"/>
    </row>
    <row r="146" spans="7:9" ht="13.2">
      <c r="G146" s="121"/>
      <c r="I146" s="101"/>
    </row>
    <row r="147" spans="7:9" ht="13.2">
      <c r="G147" s="121"/>
      <c r="I147" s="101"/>
    </row>
    <row r="148" spans="7:9" ht="13.2">
      <c r="G148" s="121"/>
      <c r="I148" s="101"/>
    </row>
    <row r="149" spans="7:9" ht="13.2">
      <c r="G149" s="121"/>
      <c r="I149" s="101"/>
    </row>
    <row r="150" spans="7:9" ht="13.2">
      <c r="G150" s="121"/>
      <c r="I150" s="101"/>
    </row>
    <row r="151" spans="7:9" ht="13.2">
      <c r="G151" s="121"/>
      <c r="I151" s="101"/>
    </row>
    <row r="152" spans="7:9" ht="13.2">
      <c r="G152" s="121"/>
      <c r="I152" s="101"/>
    </row>
    <row r="153" spans="7:9" ht="13.2">
      <c r="G153" s="121"/>
      <c r="I153" s="101"/>
    </row>
    <row r="154" spans="7:9" ht="13.2">
      <c r="G154" s="121"/>
      <c r="I154" s="101"/>
    </row>
    <row r="155" spans="7:9" ht="13.2">
      <c r="G155" s="121"/>
      <c r="I155" s="101"/>
    </row>
    <row r="156" spans="7:9" ht="13.2">
      <c r="G156" s="121"/>
      <c r="I156" s="101"/>
    </row>
    <row r="157" spans="7:9" ht="13.2">
      <c r="G157" s="121"/>
      <c r="I157" s="101"/>
    </row>
    <row r="158" spans="7:9" ht="13.2">
      <c r="G158" s="121"/>
      <c r="I158" s="101"/>
    </row>
    <row r="159" spans="7:9" ht="13.2">
      <c r="G159" s="121"/>
      <c r="I159" s="101"/>
    </row>
    <row r="160" spans="7:9" ht="13.2">
      <c r="G160" s="121"/>
      <c r="I160" s="101"/>
    </row>
    <row r="161" spans="7:9" ht="13.2">
      <c r="G161" s="121"/>
      <c r="I161" s="101"/>
    </row>
    <row r="162" spans="7:9" ht="13.2">
      <c r="G162" s="121"/>
      <c r="I162" s="101"/>
    </row>
    <row r="163" spans="7:9" ht="13.2">
      <c r="G163" s="121"/>
      <c r="I163" s="101"/>
    </row>
    <row r="164" spans="7:9" ht="13.2">
      <c r="G164" s="121"/>
      <c r="I164" s="101"/>
    </row>
    <row r="165" spans="7:9" ht="13.2">
      <c r="G165" s="121"/>
      <c r="I165" s="101"/>
    </row>
    <row r="166" spans="7:9" ht="13.2">
      <c r="G166" s="121"/>
      <c r="I166" s="101"/>
    </row>
    <row r="167" spans="7:9" ht="13.2">
      <c r="G167" s="121"/>
      <c r="I167" s="101"/>
    </row>
    <row r="168" spans="7:9" ht="13.2">
      <c r="G168" s="121"/>
      <c r="I168" s="101"/>
    </row>
    <row r="169" spans="7:9" ht="13.2">
      <c r="G169" s="121"/>
      <c r="I169" s="101"/>
    </row>
    <row r="170" spans="7:9" ht="13.2">
      <c r="G170" s="121"/>
      <c r="I170" s="101"/>
    </row>
    <row r="171" spans="7:9" ht="13.2">
      <c r="G171" s="121"/>
      <c r="I171" s="101"/>
    </row>
    <row r="172" spans="7:9" ht="13.2">
      <c r="G172" s="121"/>
      <c r="I172" s="101"/>
    </row>
    <row r="173" spans="7:9" ht="13.2">
      <c r="G173" s="121"/>
      <c r="I173" s="101"/>
    </row>
    <row r="174" spans="7:9" ht="13.2">
      <c r="G174" s="121"/>
      <c r="I174" s="101"/>
    </row>
    <row r="175" spans="7:9" ht="13.2">
      <c r="G175" s="121"/>
      <c r="I175" s="101"/>
    </row>
    <row r="176" spans="7:9" ht="13.2">
      <c r="G176" s="121"/>
      <c r="I176" s="101"/>
    </row>
    <row r="177" spans="7:9" ht="13.2">
      <c r="G177" s="121"/>
      <c r="I177" s="101"/>
    </row>
    <row r="178" spans="7:9" ht="13.2">
      <c r="G178" s="121"/>
      <c r="I178" s="101"/>
    </row>
    <row r="179" spans="7:9" ht="13.2">
      <c r="G179" s="121"/>
      <c r="I179" s="101"/>
    </row>
    <row r="180" spans="7:9" ht="13.2">
      <c r="G180" s="121"/>
      <c r="I180" s="101"/>
    </row>
    <row r="181" spans="7:9" ht="13.2">
      <c r="G181" s="121"/>
      <c r="I181" s="101"/>
    </row>
    <row r="182" spans="7:9" ht="13.2">
      <c r="G182" s="121"/>
      <c r="I182" s="101"/>
    </row>
    <row r="183" spans="7:9" ht="13.2">
      <c r="G183" s="121"/>
      <c r="I183" s="101"/>
    </row>
    <row r="184" spans="7:9" ht="13.2">
      <c r="G184" s="121"/>
      <c r="I184" s="101"/>
    </row>
    <row r="185" spans="7:9" ht="13.2">
      <c r="G185" s="121"/>
      <c r="I185" s="101"/>
    </row>
    <row r="186" spans="7:9" ht="13.2">
      <c r="G186" s="121"/>
      <c r="I186" s="101"/>
    </row>
    <row r="187" spans="7:9" ht="13.2">
      <c r="G187" s="121"/>
      <c r="I187" s="101"/>
    </row>
    <row r="188" spans="7:9" ht="13.2">
      <c r="G188" s="121"/>
      <c r="I188" s="101"/>
    </row>
    <row r="189" spans="7:9" ht="13.2">
      <c r="G189" s="121"/>
      <c r="I189" s="101"/>
    </row>
    <row r="190" spans="7:9" ht="13.2">
      <c r="G190" s="121"/>
      <c r="I190" s="101"/>
    </row>
    <row r="191" spans="7:9" ht="13.2">
      <c r="G191" s="121"/>
      <c r="I191" s="101"/>
    </row>
    <row r="192" spans="7:9" ht="13.2">
      <c r="G192" s="121"/>
      <c r="I192" s="101"/>
    </row>
    <row r="193" spans="7:9" ht="13.2">
      <c r="G193" s="121"/>
      <c r="I193" s="101"/>
    </row>
    <row r="194" spans="7:9" ht="13.2">
      <c r="G194" s="121"/>
      <c r="I194" s="101"/>
    </row>
    <row r="195" spans="7:9" ht="13.2">
      <c r="G195" s="121"/>
      <c r="I195" s="101"/>
    </row>
    <row r="196" spans="7:9" ht="13.2">
      <c r="G196" s="121"/>
      <c r="I196" s="101"/>
    </row>
    <row r="197" spans="7:9" ht="13.2">
      <c r="G197" s="121"/>
      <c r="I197" s="101"/>
    </row>
    <row r="198" spans="7:9" ht="13.2">
      <c r="G198" s="121"/>
      <c r="I198" s="101"/>
    </row>
    <row r="199" spans="7:9" ht="13.2">
      <c r="G199" s="121"/>
      <c r="I199" s="101"/>
    </row>
    <row r="200" spans="7:9" ht="13.2">
      <c r="G200" s="121"/>
      <c r="I200" s="101"/>
    </row>
    <row r="201" spans="7:9" ht="13.2">
      <c r="G201" s="121"/>
      <c r="I201" s="101"/>
    </row>
    <row r="202" spans="7:9" ht="13.2">
      <c r="G202" s="121"/>
      <c r="I202" s="101"/>
    </row>
    <row r="203" spans="7:9" ht="13.2">
      <c r="G203" s="121"/>
      <c r="I203" s="101"/>
    </row>
    <row r="204" spans="7:9" ht="13.2">
      <c r="G204" s="121"/>
      <c r="I204" s="101"/>
    </row>
    <row r="205" spans="7:9" ht="13.2">
      <c r="G205" s="121"/>
      <c r="I205" s="101"/>
    </row>
    <row r="206" spans="7:9" ht="13.2">
      <c r="G206" s="121"/>
      <c r="I206" s="101"/>
    </row>
    <row r="207" spans="7:9" ht="13.2">
      <c r="G207" s="121"/>
      <c r="I207" s="101"/>
    </row>
    <row r="208" spans="7:9" ht="13.2">
      <c r="G208" s="121"/>
      <c r="I208" s="101"/>
    </row>
    <row r="209" spans="7:9" ht="13.2">
      <c r="G209" s="121"/>
      <c r="I209" s="101"/>
    </row>
    <row r="210" spans="7:9" ht="13.2">
      <c r="G210" s="121"/>
      <c r="I210" s="101"/>
    </row>
    <row r="211" spans="7:9" ht="13.2">
      <c r="G211" s="121"/>
      <c r="I211" s="101"/>
    </row>
    <row r="212" spans="7:9" ht="13.2">
      <c r="G212" s="121"/>
      <c r="I212" s="101"/>
    </row>
    <row r="213" spans="7:9" ht="13.2">
      <c r="G213" s="121"/>
      <c r="I213" s="101"/>
    </row>
    <row r="214" spans="7:9" ht="13.2">
      <c r="G214" s="121"/>
      <c r="I214" s="101"/>
    </row>
    <row r="215" spans="7:9" ht="13.2">
      <c r="G215" s="121"/>
      <c r="I215" s="101"/>
    </row>
    <row r="216" spans="7:9" ht="13.2">
      <c r="G216" s="121"/>
      <c r="I216" s="101"/>
    </row>
    <row r="217" spans="7:9" ht="13.2">
      <c r="G217" s="121"/>
      <c r="I217" s="101"/>
    </row>
    <row r="218" spans="7:9" ht="13.2">
      <c r="G218" s="121"/>
      <c r="I218" s="101"/>
    </row>
    <row r="219" spans="7:9" ht="13.2">
      <c r="G219" s="121"/>
      <c r="I219" s="101"/>
    </row>
    <row r="220" spans="7:9" ht="13.2">
      <c r="G220" s="121"/>
      <c r="I220" s="101"/>
    </row>
    <row r="221" spans="7:9" ht="13.2">
      <c r="G221" s="121"/>
      <c r="I221" s="101"/>
    </row>
    <row r="222" spans="7:9" ht="13.2">
      <c r="G222" s="121"/>
      <c r="I222" s="101"/>
    </row>
    <row r="223" spans="7:9" ht="13.2">
      <c r="G223" s="121"/>
      <c r="I223" s="101"/>
    </row>
    <row r="224" spans="7:9" ht="13.2">
      <c r="G224" s="121"/>
      <c r="I224" s="101"/>
    </row>
    <row r="225" spans="7:9" ht="13.2">
      <c r="G225" s="121"/>
      <c r="I225" s="101"/>
    </row>
    <row r="226" spans="7:9" ht="13.2">
      <c r="G226" s="121"/>
      <c r="I226" s="101"/>
    </row>
    <row r="227" spans="7:9" ht="13.2">
      <c r="G227" s="121"/>
      <c r="I227" s="101"/>
    </row>
    <row r="228" spans="7:9" ht="13.2">
      <c r="G228" s="121"/>
      <c r="I228" s="101"/>
    </row>
    <row r="229" spans="7:9" ht="13.2">
      <c r="G229" s="121"/>
      <c r="I229" s="101"/>
    </row>
    <row r="230" spans="7:9" ht="13.2">
      <c r="G230" s="121"/>
      <c r="I230" s="101"/>
    </row>
    <row r="231" spans="7:9" ht="13.2">
      <c r="G231" s="121"/>
      <c r="I231" s="101"/>
    </row>
    <row r="232" spans="7:9" ht="13.2">
      <c r="G232" s="121"/>
      <c r="I232" s="101"/>
    </row>
    <row r="233" spans="7:9" ht="13.2">
      <c r="G233" s="121"/>
      <c r="I233" s="101"/>
    </row>
    <row r="234" spans="7:9" ht="13.2">
      <c r="G234" s="121"/>
      <c r="I234" s="101"/>
    </row>
    <row r="235" spans="7:9" ht="13.2">
      <c r="G235" s="121"/>
      <c r="I235" s="101"/>
    </row>
    <row r="236" spans="7:9" ht="13.2">
      <c r="G236" s="121"/>
      <c r="I236" s="101"/>
    </row>
    <row r="237" spans="7:9" ht="13.2">
      <c r="G237" s="121"/>
      <c r="I237" s="101"/>
    </row>
    <row r="238" spans="7:9" ht="13.2">
      <c r="G238" s="121"/>
      <c r="I238" s="101"/>
    </row>
    <row r="239" spans="7:9" ht="13.2">
      <c r="G239" s="121"/>
      <c r="I239" s="101"/>
    </row>
    <row r="240" spans="7:9" ht="13.2">
      <c r="G240" s="121"/>
      <c r="I240" s="101"/>
    </row>
    <row r="241" spans="7:9" ht="13.2">
      <c r="G241" s="121"/>
      <c r="I241" s="101"/>
    </row>
    <row r="242" spans="7:9" ht="13.2">
      <c r="G242" s="121"/>
      <c r="I242" s="101"/>
    </row>
    <row r="243" spans="7:9" ht="13.2">
      <c r="G243" s="121"/>
      <c r="I243" s="101"/>
    </row>
    <row r="244" spans="7:9" ht="13.2">
      <c r="G244" s="121"/>
      <c r="I244" s="101"/>
    </row>
    <row r="245" spans="7:9" ht="13.2">
      <c r="G245" s="121"/>
      <c r="I245" s="101"/>
    </row>
    <row r="246" spans="7:9" ht="13.2">
      <c r="G246" s="121"/>
      <c r="I246" s="101"/>
    </row>
    <row r="247" spans="7:9" ht="13.2">
      <c r="G247" s="121"/>
      <c r="I247" s="101"/>
    </row>
    <row r="248" spans="7:9" ht="13.2">
      <c r="G248" s="121"/>
      <c r="I248" s="101"/>
    </row>
    <row r="249" spans="7:9" ht="13.2">
      <c r="G249" s="121"/>
      <c r="I249" s="101"/>
    </row>
    <row r="250" spans="7:9" ht="13.2">
      <c r="G250" s="121"/>
      <c r="I250" s="101"/>
    </row>
    <row r="251" spans="7:9" ht="13.2">
      <c r="G251" s="121"/>
      <c r="I251" s="101"/>
    </row>
    <row r="252" spans="7:9" ht="13.2">
      <c r="G252" s="121"/>
      <c r="I252" s="101"/>
    </row>
    <row r="253" spans="7:9" ht="13.2">
      <c r="G253" s="121"/>
      <c r="I253" s="101"/>
    </row>
    <row r="254" spans="7:9" ht="13.2">
      <c r="G254" s="121"/>
      <c r="I254" s="101"/>
    </row>
    <row r="255" spans="7:9" ht="13.2">
      <c r="G255" s="121"/>
      <c r="I255" s="101"/>
    </row>
    <row r="256" spans="7:9" ht="13.2">
      <c r="G256" s="121"/>
      <c r="I256" s="101"/>
    </row>
    <row r="257" spans="7:9" ht="13.2">
      <c r="G257" s="121"/>
      <c r="I257" s="101"/>
    </row>
    <row r="258" spans="7:9" ht="13.2">
      <c r="G258" s="121"/>
      <c r="I258" s="101"/>
    </row>
    <row r="259" spans="7:9" ht="13.2">
      <c r="G259" s="121"/>
      <c r="I259" s="101"/>
    </row>
    <row r="260" spans="7:9" ht="13.2">
      <c r="G260" s="121"/>
      <c r="I260" s="101"/>
    </row>
    <row r="261" spans="7:9" ht="13.2">
      <c r="G261" s="121"/>
      <c r="I261" s="101"/>
    </row>
    <row r="262" spans="7:9" ht="13.2">
      <c r="G262" s="121"/>
      <c r="I262" s="101"/>
    </row>
    <row r="263" spans="7:9" ht="13.2">
      <c r="G263" s="121"/>
      <c r="I263" s="101"/>
    </row>
    <row r="264" spans="7:9" ht="13.2">
      <c r="G264" s="121"/>
      <c r="I264" s="101"/>
    </row>
    <row r="265" spans="7:9" ht="13.2">
      <c r="G265" s="121"/>
      <c r="I265" s="101"/>
    </row>
    <row r="266" spans="7:9" ht="13.2">
      <c r="G266" s="121"/>
      <c r="I266" s="101"/>
    </row>
    <row r="267" spans="7:9" ht="13.2">
      <c r="G267" s="121"/>
      <c r="I267" s="101"/>
    </row>
    <row r="268" spans="7:9" ht="13.2">
      <c r="G268" s="121"/>
      <c r="I268" s="101"/>
    </row>
    <row r="269" spans="7:9" ht="13.2">
      <c r="G269" s="121"/>
      <c r="I269" s="101"/>
    </row>
    <row r="270" spans="7:9" ht="13.2">
      <c r="G270" s="121"/>
      <c r="I270" s="101"/>
    </row>
    <row r="271" spans="7:9" ht="13.2">
      <c r="G271" s="121"/>
      <c r="I271" s="101"/>
    </row>
    <row r="272" spans="7:9" ht="13.2">
      <c r="G272" s="121"/>
      <c r="I272" s="101"/>
    </row>
    <row r="273" spans="7:9" ht="13.2">
      <c r="G273" s="121"/>
      <c r="I273" s="101"/>
    </row>
    <row r="274" spans="7:9" ht="13.2">
      <c r="G274" s="121"/>
      <c r="I274" s="101"/>
    </row>
    <row r="275" spans="7:9" ht="13.2">
      <c r="G275" s="121"/>
      <c r="I275" s="101"/>
    </row>
    <row r="276" spans="7:9" ht="13.2">
      <c r="G276" s="121"/>
      <c r="I276" s="101"/>
    </row>
    <row r="277" spans="7:9" ht="13.2">
      <c r="G277" s="121"/>
      <c r="I277" s="101"/>
    </row>
    <row r="278" spans="7:9" ht="13.2">
      <c r="G278" s="121"/>
      <c r="I278" s="101"/>
    </row>
    <row r="279" spans="7:9" ht="13.2">
      <c r="G279" s="121"/>
      <c r="I279" s="101"/>
    </row>
    <row r="280" spans="7:9" ht="13.2">
      <c r="G280" s="121"/>
      <c r="I280" s="101"/>
    </row>
    <row r="281" spans="7:9" ht="13.2">
      <c r="G281" s="121"/>
      <c r="I281" s="101"/>
    </row>
    <row r="282" spans="7:9" ht="13.2">
      <c r="G282" s="121"/>
      <c r="I282" s="101"/>
    </row>
    <row r="283" spans="7:9" ht="13.2">
      <c r="G283" s="121"/>
      <c r="I283" s="101"/>
    </row>
    <row r="284" spans="7:9" ht="13.2">
      <c r="G284" s="121"/>
      <c r="I284" s="101"/>
    </row>
    <row r="285" spans="7:9" ht="13.2">
      <c r="G285" s="121"/>
      <c r="I285" s="101"/>
    </row>
    <row r="286" spans="7:9" ht="13.2">
      <c r="G286" s="121"/>
      <c r="I286" s="101"/>
    </row>
    <row r="287" spans="7:9" ht="13.2">
      <c r="G287" s="121"/>
      <c r="I287" s="101"/>
    </row>
    <row r="288" spans="7:9" ht="13.2">
      <c r="G288" s="121"/>
      <c r="I288" s="101"/>
    </row>
    <row r="289" spans="7:9" ht="13.2">
      <c r="G289" s="121"/>
      <c r="I289" s="101"/>
    </row>
    <row r="290" spans="7:9" ht="13.2">
      <c r="G290" s="121"/>
      <c r="I290" s="101"/>
    </row>
    <row r="291" spans="7:9" ht="13.2">
      <c r="G291" s="121"/>
      <c r="I291" s="101"/>
    </row>
    <row r="292" spans="7:9" ht="13.2">
      <c r="G292" s="121"/>
      <c r="I292" s="101"/>
    </row>
    <row r="293" spans="7:9" ht="13.2">
      <c r="G293" s="121"/>
      <c r="I293" s="101"/>
    </row>
    <row r="294" spans="7:9" ht="13.2">
      <c r="G294" s="121"/>
      <c r="I294" s="101"/>
    </row>
    <row r="295" spans="7:9" ht="13.2">
      <c r="G295" s="121"/>
      <c r="I295" s="101"/>
    </row>
    <row r="296" spans="7:9" ht="13.2">
      <c r="G296" s="121"/>
      <c r="I296" s="101"/>
    </row>
    <row r="297" spans="7:9" ht="13.2">
      <c r="G297" s="121"/>
      <c r="I297" s="101"/>
    </row>
    <row r="298" spans="7:9" ht="13.2">
      <c r="G298" s="121"/>
      <c r="I298" s="101"/>
    </row>
    <row r="299" spans="7:9" ht="13.2">
      <c r="G299" s="121"/>
      <c r="I299" s="101"/>
    </row>
    <row r="300" spans="7:9" ht="13.2">
      <c r="G300" s="121"/>
      <c r="I300" s="101"/>
    </row>
    <row r="301" spans="7:9" ht="13.2">
      <c r="G301" s="121"/>
      <c r="I301" s="101"/>
    </row>
    <row r="302" spans="7:9" ht="13.2">
      <c r="G302" s="121"/>
      <c r="I302" s="101"/>
    </row>
    <row r="303" spans="7:9" ht="13.2">
      <c r="G303" s="121"/>
      <c r="I303" s="101"/>
    </row>
    <row r="304" spans="7:9" ht="13.2">
      <c r="G304" s="121"/>
      <c r="I304" s="101"/>
    </row>
    <row r="305" spans="7:9" ht="13.2">
      <c r="G305" s="121"/>
      <c r="I305" s="101"/>
    </row>
    <row r="306" spans="7:9" ht="13.2">
      <c r="G306" s="121"/>
      <c r="I306" s="101"/>
    </row>
    <row r="307" spans="7:9" ht="13.2">
      <c r="G307" s="121"/>
      <c r="I307" s="101"/>
    </row>
    <row r="308" spans="7:9" ht="13.2">
      <c r="G308" s="121"/>
      <c r="I308" s="101"/>
    </row>
    <row r="309" spans="7:9" ht="13.2">
      <c r="G309" s="121"/>
      <c r="I309" s="101"/>
    </row>
    <row r="310" spans="7:9" ht="13.2">
      <c r="G310" s="121"/>
      <c r="I310" s="101"/>
    </row>
    <row r="311" spans="7:9" ht="13.2">
      <c r="G311" s="121"/>
      <c r="I311" s="101"/>
    </row>
    <row r="312" spans="7:9" ht="13.2">
      <c r="G312" s="121"/>
      <c r="I312" s="101"/>
    </row>
    <row r="313" spans="7:9" ht="13.2">
      <c r="G313" s="121"/>
      <c r="I313" s="101"/>
    </row>
    <row r="314" spans="7:9" ht="13.2">
      <c r="G314" s="121"/>
      <c r="I314" s="101"/>
    </row>
    <row r="315" spans="7:9" ht="13.2">
      <c r="G315" s="121"/>
      <c r="I315" s="101"/>
    </row>
    <row r="316" spans="7:9" ht="13.2">
      <c r="G316" s="121"/>
      <c r="I316" s="101"/>
    </row>
    <row r="317" spans="7:9" ht="13.2">
      <c r="G317" s="121"/>
      <c r="I317" s="101"/>
    </row>
    <row r="318" spans="7:9" ht="13.2">
      <c r="G318" s="121"/>
      <c r="I318" s="101"/>
    </row>
    <row r="319" spans="7:9" ht="13.2">
      <c r="G319" s="121"/>
      <c r="I319" s="101"/>
    </row>
    <row r="320" spans="7:9" ht="13.2">
      <c r="G320" s="121"/>
      <c r="I320" s="101"/>
    </row>
    <row r="321" spans="7:9" ht="13.2">
      <c r="G321" s="121"/>
      <c r="I321" s="101"/>
    </row>
    <row r="322" spans="7:9" ht="13.2">
      <c r="G322" s="121"/>
      <c r="I322" s="101"/>
    </row>
    <row r="323" spans="7:9" ht="13.2">
      <c r="G323" s="121"/>
      <c r="I323" s="101"/>
    </row>
    <row r="324" spans="7:9" ht="13.2">
      <c r="G324" s="121"/>
      <c r="I324" s="101"/>
    </row>
    <row r="325" spans="7:9" ht="13.2">
      <c r="G325" s="121"/>
      <c r="I325" s="101"/>
    </row>
    <row r="326" spans="7:9" ht="13.2">
      <c r="G326" s="121"/>
      <c r="I326" s="101"/>
    </row>
    <row r="327" spans="7:9" ht="13.2">
      <c r="G327" s="121"/>
      <c r="I327" s="101"/>
    </row>
    <row r="328" spans="7:9" ht="13.2">
      <c r="G328" s="121"/>
      <c r="I328" s="101"/>
    </row>
    <row r="329" spans="7:9" ht="13.2">
      <c r="G329" s="121"/>
      <c r="I329" s="101"/>
    </row>
    <row r="330" spans="7:9" ht="13.2">
      <c r="G330" s="121"/>
      <c r="I330" s="101"/>
    </row>
    <row r="331" spans="7:9" ht="13.2">
      <c r="G331" s="121"/>
      <c r="I331" s="101"/>
    </row>
    <row r="332" spans="7:9" ht="13.2">
      <c r="G332" s="121"/>
      <c r="I332" s="101"/>
    </row>
    <row r="333" spans="7:9" ht="13.2">
      <c r="G333" s="121"/>
      <c r="I333" s="101"/>
    </row>
    <row r="334" spans="7:9" ht="13.2">
      <c r="G334" s="121"/>
      <c r="I334" s="101"/>
    </row>
    <row r="335" spans="7:9" ht="13.2">
      <c r="G335" s="121"/>
      <c r="I335" s="101"/>
    </row>
    <row r="336" spans="7:9" ht="13.2">
      <c r="G336" s="121"/>
      <c r="I336" s="101"/>
    </row>
    <row r="337" spans="7:9" ht="13.2">
      <c r="G337" s="121"/>
      <c r="I337" s="101"/>
    </row>
    <row r="338" spans="7:9" ht="13.2">
      <c r="G338" s="121"/>
      <c r="I338" s="101"/>
    </row>
    <row r="339" spans="7:9" ht="13.2">
      <c r="G339" s="121"/>
      <c r="I339" s="101"/>
    </row>
    <row r="340" spans="7:9" ht="13.2">
      <c r="G340" s="121"/>
      <c r="I340" s="101"/>
    </row>
    <row r="341" spans="7:9" ht="13.2">
      <c r="G341" s="121"/>
      <c r="I341" s="101"/>
    </row>
    <row r="342" spans="7:9" ht="13.2">
      <c r="G342" s="121"/>
      <c r="I342" s="101"/>
    </row>
    <row r="343" spans="7:9" ht="13.2">
      <c r="G343" s="121"/>
      <c r="I343" s="101"/>
    </row>
    <row r="344" spans="7:9" ht="13.2">
      <c r="G344" s="121"/>
      <c r="I344" s="101"/>
    </row>
    <row r="345" spans="7:9" ht="13.2">
      <c r="G345" s="121"/>
      <c r="I345" s="101"/>
    </row>
    <row r="346" spans="7:9" ht="13.2">
      <c r="G346" s="121"/>
      <c r="I346" s="101"/>
    </row>
    <row r="347" spans="7:9" ht="13.2">
      <c r="G347" s="121"/>
      <c r="I347" s="101"/>
    </row>
    <row r="348" spans="7:9" ht="13.2">
      <c r="G348" s="121"/>
      <c r="I348" s="101"/>
    </row>
    <row r="349" spans="7:9" ht="13.2">
      <c r="G349" s="121"/>
      <c r="I349" s="101"/>
    </row>
    <row r="350" spans="7:9" ht="13.2">
      <c r="G350" s="121"/>
      <c r="I350" s="101"/>
    </row>
    <row r="351" spans="7:9" ht="13.2">
      <c r="G351" s="121"/>
      <c r="I351" s="101"/>
    </row>
    <row r="352" spans="7:9" ht="13.2">
      <c r="G352" s="121"/>
      <c r="I352" s="101"/>
    </row>
    <row r="353" spans="7:9" ht="13.2">
      <c r="G353" s="121"/>
      <c r="I353" s="101"/>
    </row>
    <row r="354" spans="7:9" ht="13.2">
      <c r="G354" s="121"/>
      <c r="I354" s="101"/>
    </row>
    <row r="355" spans="7:9" ht="13.2">
      <c r="G355" s="121"/>
      <c r="I355" s="101"/>
    </row>
    <row r="356" spans="7:9" ht="13.2">
      <c r="G356" s="121"/>
      <c r="I356" s="101"/>
    </row>
    <row r="357" spans="7:9" ht="13.2">
      <c r="G357" s="121"/>
      <c r="I357" s="101"/>
    </row>
    <row r="358" spans="7:9" ht="13.2">
      <c r="G358" s="121"/>
      <c r="I358" s="101"/>
    </row>
    <row r="359" spans="7:9" ht="13.2">
      <c r="G359" s="121"/>
      <c r="I359" s="101"/>
    </row>
    <row r="360" spans="7:9" ht="13.2">
      <c r="G360" s="121"/>
      <c r="I360" s="101"/>
    </row>
    <row r="361" spans="7:9" ht="13.2">
      <c r="G361" s="121"/>
      <c r="I361" s="101"/>
    </row>
    <row r="362" spans="7:9" ht="13.2">
      <c r="G362" s="121"/>
      <c r="I362" s="101"/>
    </row>
    <row r="363" spans="7:9" ht="13.2">
      <c r="G363" s="121"/>
      <c r="I363" s="101"/>
    </row>
    <row r="364" spans="7:9" ht="13.2">
      <c r="G364" s="121"/>
      <c r="I364" s="101"/>
    </row>
    <row r="365" spans="7:9" ht="13.2">
      <c r="G365" s="121"/>
      <c r="I365" s="101"/>
    </row>
    <row r="366" spans="7:9" ht="13.2">
      <c r="G366" s="121"/>
      <c r="I366" s="101"/>
    </row>
    <row r="367" spans="7:9" ht="13.2">
      <c r="G367" s="121"/>
      <c r="I367" s="101"/>
    </row>
    <row r="368" spans="7:9" ht="13.2">
      <c r="G368" s="121"/>
      <c r="I368" s="101"/>
    </row>
    <row r="369" spans="7:9" ht="13.2">
      <c r="G369" s="121"/>
      <c r="I369" s="101"/>
    </row>
    <row r="370" spans="7:9" ht="13.2">
      <c r="G370" s="121"/>
      <c r="I370" s="101"/>
    </row>
    <row r="371" spans="7:9" ht="13.2">
      <c r="G371" s="121"/>
      <c r="I371" s="101"/>
    </row>
    <row r="372" spans="7:9" ht="13.2">
      <c r="G372" s="121"/>
      <c r="I372" s="101"/>
    </row>
    <row r="373" spans="7:9" ht="13.2">
      <c r="G373" s="121"/>
      <c r="I373" s="101"/>
    </row>
    <row r="374" spans="7:9" ht="13.2">
      <c r="G374" s="121"/>
      <c r="I374" s="101"/>
    </row>
    <row r="375" spans="7:9" ht="13.2">
      <c r="G375" s="121"/>
      <c r="I375" s="101"/>
    </row>
    <row r="376" spans="7:9" ht="13.2">
      <c r="G376" s="121"/>
      <c r="I376" s="101"/>
    </row>
    <row r="377" spans="7:9" ht="13.2">
      <c r="G377" s="121"/>
      <c r="I377" s="101"/>
    </row>
    <row r="378" spans="7:9" ht="13.2">
      <c r="G378" s="121"/>
      <c r="I378" s="101"/>
    </row>
    <row r="379" spans="7:9" ht="13.2">
      <c r="G379" s="121"/>
      <c r="I379" s="101"/>
    </row>
    <row r="380" spans="7:9" ht="13.2">
      <c r="G380" s="121"/>
      <c r="I380" s="101"/>
    </row>
    <row r="381" spans="7:9" ht="13.2">
      <c r="G381" s="121"/>
      <c r="I381" s="101"/>
    </row>
    <row r="382" spans="7:9" ht="13.2">
      <c r="G382" s="121"/>
      <c r="I382" s="101"/>
    </row>
    <row r="383" spans="7:9" ht="13.2">
      <c r="G383" s="121"/>
      <c r="I383" s="101"/>
    </row>
    <row r="384" spans="7:9" ht="13.2">
      <c r="G384" s="121"/>
      <c r="I384" s="101"/>
    </row>
    <row r="385" spans="7:9" ht="13.2">
      <c r="G385" s="121"/>
      <c r="I385" s="101"/>
    </row>
    <row r="386" spans="7:9" ht="13.2">
      <c r="G386" s="121"/>
      <c r="I386" s="101"/>
    </row>
    <row r="387" spans="7:9" ht="13.2">
      <c r="G387" s="121"/>
      <c r="I387" s="101"/>
    </row>
    <row r="388" spans="7:9" ht="13.2">
      <c r="G388" s="121"/>
      <c r="I388" s="101"/>
    </row>
    <row r="389" spans="7:9" ht="13.2">
      <c r="G389" s="121"/>
      <c r="I389" s="101"/>
    </row>
    <row r="390" spans="7:9" ht="13.2">
      <c r="G390" s="121"/>
      <c r="I390" s="101"/>
    </row>
    <row r="391" spans="7:9" ht="13.2">
      <c r="G391" s="121"/>
      <c r="I391" s="101"/>
    </row>
    <row r="392" spans="7:9" ht="13.2">
      <c r="G392" s="121"/>
      <c r="I392" s="101"/>
    </row>
    <row r="393" spans="7:9" ht="13.2">
      <c r="G393" s="121"/>
      <c r="I393" s="101"/>
    </row>
    <row r="394" spans="7:9" ht="13.2">
      <c r="G394" s="121"/>
      <c r="I394" s="101"/>
    </row>
    <row r="395" spans="7:9" ht="13.2">
      <c r="G395" s="121"/>
      <c r="I395" s="101"/>
    </row>
    <row r="396" spans="7:9" ht="13.2">
      <c r="G396" s="121"/>
      <c r="I396" s="101"/>
    </row>
    <row r="397" spans="7:9" ht="13.2">
      <c r="G397" s="121"/>
      <c r="I397" s="101"/>
    </row>
    <row r="398" spans="7:9" ht="13.2">
      <c r="G398" s="121"/>
      <c r="I398" s="101"/>
    </row>
    <row r="399" spans="7:9" ht="13.2">
      <c r="G399" s="121"/>
      <c r="I399" s="101"/>
    </row>
    <row r="400" spans="7:9" ht="13.2">
      <c r="G400" s="121"/>
      <c r="I400" s="101"/>
    </row>
    <row r="401" spans="7:9" ht="13.2">
      <c r="G401" s="121"/>
      <c r="I401" s="101"/>
    </row>
    <row r="402" spans="7:9" ht="13.2">
      <c r="G402" s="121"/>
      <c r="I402" s="101"/>
    </row>
    <row r="403" spans="7:9" ht="13.2">
      <c r="G403" s="121"/>
      <c r="I403" s="101"/>
    </row>
    <row r="404" spans="7:9" ht="13.2">
      <c r="G404" s="121"/>
      <c r="I404" s="101"/>
    </row>
    <row r="405" spans="7:9" ht="13.2">
      <c r="G405" s="121"/>
      <c r="I405" s="101"/>
    </row>
    <row r="406" spans="7:9" ht="13.2">
      <c r="G406" s="121"/>
      <c r="I406" s="101"/>
    </row>
    <row r="407" spans="7:9" ht="13.2">
      <c r="G407" s="121"/>
      <c r="I407" s="101"/>
    </row>
    <row r="408" spans="7:9" ht="13.2">
      <c r="G408" s="121"/>
      <c r="I408" s="101"/>
    </row>
    <row r="409" spans="7:9" ht="13.2">
      <c r="G409" s="121"/>
      <c r="I409" s="101"/>
    </row>
    <row r="410" spans="7:9" ht="13.2">
      <c r="G410" s="121"/>
      <c r="I410" s="101"/>
    </row>
    <row r="411" spans="7:9" ht="13.2">
      <c r="G411" s="121"/>
      <c r="I411" s="101"/>
    </row>
    <row r="412" spans="7:9" ht="13.2">
      <c r="G412" s="121"/>
      <c r="I412" s="101"/>
    </row>
    <row r="413" spans="7:9" ht="13.2">
      <c r="G413" s="121"/>
      <c r="I413" s="101"/>
    </row>
    <row r="414" spans="7:9" ht="13.2">
      <c r="G414" s="121"/>
      <c r="I414" s="101"/>
    </row>
    <row r="415" spans="7:9" ht="13.2">
      <c r="G415" s="121"/>
      <c r="I415" s="101"/>
    </row>
    <row r="416" spans="7:9" ht="13.2">
      <c r="G416" s="121"/>
      <c r="I416" s="101"/>
    </row>
    <row r="417" spans="7:9" ht="13.2">
      <c r="G417" s="121"/>
      <c r="I417" s="101"/>
    </row>
    <row r="418" spans="7:9" ht="13.2">
      <c r="G418" s="121"/>
      <c r="I418" s="101"/>
    </row>
    <row r="419" spans="7:9" ht="13.2">
      <c r="G419" s="121"/>
      <c r="I419" s="101"/>
    </row>
    <row r="420" spans="7:9" ht="13.2">
      <c r="G420" s="121"/>
      <c r="I420" s="101"/>
    </row>
    <row r="421" spans="7:9" ht="13.2">
      <c r="G421" s="121"/>
      <c r="I421" s="101"/>
    </row>
    <row r="422" spans="7:9" ht="13.2">
      <c r="G422" s="121"/>
      <c r="I422" s="101"/>
    </row>
    <row r="423" spans="7:9" ht="13.2">
      <c r="G423" s="121"/>
      <c r="I423" s="101"/>
    </row>
    <row r="424" spans="7:9" ht="13.2">
      <c r="G424" s="121"/>
      <c r="I424" s="101"/>
    </row>
    <row r="425" spans="7:9" ht="13.2">
      <c r="G425" s="121"/>
      <c r="I425" s="101"/>
    </row>
    <row r="426" spans="7:9" ht="13.2">
      <c r="G426" s="121"/>
      <c r="I426" s="101"/>
    </row>
    <row r="427" spans="7:9" ht="13.2">
      <c r="G427" s="121"/>
      <c r="I427" s="101"/>
    </row>
    <row r="428" spans="7:9" ht="13.2">
      <c r="G428" s="121"/>
      <c r="I428" s="101"/>
    </row>
    <row r="429" spans="7:9" ht="13.2">
      <c r="G429" s="121"/>
      <c r="I429" s="101"/>
    </row>
    <row r="430" spans="7:9" ht="13.2">
      <c r="G430" s="121"/>
      <c r="I430" s="101"/>
    </row>
    <row r="431" spans="7:9" ht="13.2">
      <c r="G431" s="121"/>
      <c r="I431" s="101"/>
    </row>
    <row r="432" spans="7:9" ht="13.2">
      <c r="G432" s="121"/>
      <c r="I432" s="101"/>
    </row>
    <row r="433" spans="7:9" ht="13.2">
      <c r="G433" s="121"/>
      <c r="I433" s="101"/>
    </row>
    <row r="434" spans="7:9" ht="13.2">
      <c r="G434" s="121"/>
      <c r="I434" s="101"/>
    </row>
    <row r="435" spans="7:9" ht="13.2">
      <c r="G435" s="121"/>
      <c r="I435" s="101"/>
    </row>
    <row r="436" spans="7:9" ht="13.2">
      <c r="G436" s="121"/>
      <c r="I436" s="101"/>
    </row>
    <row r="437" spans="7:9" ht="13.2">
      <c r="G437" s="121"/>
      <c r="I437" s="101"/>
    </row>
    <row r="438" spans="7:9" ht="13.2">
      <c r="G438" s="121"/>
      <c r="I438" s="101"/>
    </row>
    <row r="439" spans="7:9" ht="13.2">
      <c r="G439" s="121"/>
      <c r="I439" s="101"/>
    </row>
    <row r="440" spans="7:9" ht="13.2">
      <c r="G440" s="121"/>
      <c r="I440" s="101"/>
    </row>
    <row r="441" spans="7:9" ht="13.2">
      <c r="G441" s="121"/>
      <c r="I441" s="101"/>
    </row>
    <row r="442" spans="7:9" ht="13.2">
      <c r="G442" s="121"/>
      <c r="I442" s="101"/>
    </row>
    <row r="443" spans="7:9" ht="13.2">
      <c r="G443" s="121"/>
      <c r="I443" s="101"/>
    </row>
    <row r="444" spans="7:9" ht="13.2">
      <c r="G444" s="121"/>
      <c r="I444" s="101"/>
    </row>
    <row r="445" spans="7:9" ht="13.2">
      <c r="G445" s="121"/>
      <c r="I445" s="101"/>
    </row>
    <row r="446" spans="7:9" ht="13.2">
      <c r="G446" s="121"/>
      <c r="I446" s="101"/>
    </row>
    <row r="447" spans="7:9" ht="13.2">
      <c r="G447" s="121"/>
      <c r="I447" s="101"/>
    </row>
    <row r="448" spans="7:9" ht="13.2">
      <c r="G448" s="121"/>
      <c r="I448" s="101"/>
    </row>
    <row r="449" spans="7:9" ht="13.2">
      <c r="G449" s="121"/>
      <c r="I449" s="101"/>
    </row>
    <row r="450" spans="7:9" ht="13.2">
      <c r="G450" s="121"/>
      <c r="I450" s="101"/>
    </row>
    <row r="451" spans="7:9" ht="13.2">
      <c r="G451" s="121"/>
      <c r="I451" s="101"/>
    </row>
    <row r="452" spans="7:9" ht="13.2">
      <c r="G452" s="121"/>
      <c r="I452" s="101"/>
    </row>
    <row r="453" spans="7:9" ht="13.2">
      <c r="G453" s="121"/>
      <c r="I453" s="101"/>
    </row>
    <row r="454" spans="7:9" ht="13.2">
      <c r="G454" s="121"/>
      <c r="I454" s="101"/>
    </row>
    <row r="455" spans="7:9" ht="13.2">
      <c r="G455" s="121"/>
      <c r="I455" s="101"/>
    </row>
    <row r="456" spans="7:9" ht="13.2">
      <c r="G456" s="121"/>
      <c r="I456" s="101"/>
    </row>
    <row r="457" spans="7:9" ht="13.2">
      <c r="G457" s="121"/>
      <c r="I457" s="101"/>
    </row>
    <row r="458" spans="7:9" ht="13.2">
      <c r="G458" s="121"/>
      <c r="I458" s="101"/>
    </row>
    <row r="459" spans="7:9" ht="13.2">
      <c r="G459" s="121"/>
      <c r="I459" s="101"/>
    </row>
    <row r="460" spans="7:9" ht="13.2">
      <c r="G460" s="121"/>
      <c r="I460" s="101"/>
    </row>
    <row r="461" spans="7:9" ht="13.2">
      <c r="G461" s="121"/>
      <c r="I461" s="101"/>
    </row>
    <row r="462" spans="7:9" ht="13.2">
      <c r="G462" s="121"/>
      <c r="I462" s="101"/>
    </row>
    <row r="463" spans="7:9" ht="13.2">
      <c r="G463" s="121"/>
      <c r="I463" s="101"/>
    </row>
    <row r="464" spans="7:9" ht="13.2">
      <c r="G464" s="121"/>
      <c r="I464" s="101"/>
    </row>
    <row r="465" spans="7:9" ht="13.2">
      <c r="G465" s="121"/>
      <c r="I465" s="101"/>
    </row>
    <row r="466" spans="7:9" ht="13.2">
      <c r="G466" s="121"/>
      <c r="I466" s="101"/>
    </row>
    <row r="467" spans="7:9" ht="13.2">
      <c r="G467" s="121"/>
      <c r="I467" s="101"/>
    </row>
    <row r="468" spans="7:9" ht="13.2">
      <c r="G468" s="121"/>
      <c r="I468" s="101"/>
    </row>
    <row r="469" spans="7:9" ht="13.2">
      <c r="G469" s="121"/>
      <c r="I469" s="101"/>
    </row>
    <row r="470" spans="7:9" ht="13.2">
      <c r="G470" s="121"/>
      <c r="I470" s="101"/>
    </row>
    <row r="471" spans="7:9" ht="13.2">
      <c r="G471" s="121"/>
      <c r="I471" s="101"/>
    </row>
    <row r="472" spans="7:9" ht="13.2">
      <c r="G472" s="121"/>
      <c r="I472" s="101"/>
    </row>
    <row r="473" spans="7:9" ht="13.2">
      <c r="G473" s="121"/>
      <c r="I473" s="101"/>
    </row>
    <row r="474" spans="7:9" ht="13.2">
      <c r="G474" s="121"/>
      <c r="I474" s="101"/>
    </row>
    <row r="475" spans="7:9" ht="13.2">
      <c r="G475" s="121"/>
      <c r="I475" s="101"/>
    </row>
    <row r="476" spans="7:9" ht="13.2">
      <c r="G476" s="121"/>
      <c r="I476" s="101"/>
    </row>
    <row r="477" spans="7:9" ht="13.2">
      <c r="G477" s="121"/>
      <c r="I477" s="101"/>
    </row>
    <row r="478" spans="7:9" ht="13.2">
      <c r="G478" s="121"/>
      <c r="I478" s="101"/>
    </row>
    <row r="479" spans="7:9" ht="13.2">
      <c r="G479" s="121"/>
      <c r="I479" s="101"/>
    </row>
    <row r="480" spans="7:9" ht="13.2">
      <c r="G480" s="121"/>
      <c r="I480" s="101"/>
    </row>
    <row r="481" spans="7:9" ht="13.2">
      <c r="G481" s="121"/>
      <c r="I481" s="101"/>
    </row>
    <row r="482" spans="7:9" ht="13.2">
      <c r="G482" s="121"/>
      <c r="I482" s="101"/>
    </row>
    <row r="483" spans="7:9" ht="13.2">
      <c r="G483" s="121"/>
      <c r="I483" s="101"/>
    </row>
    <row r="484" spans="7:9" ht="13.2">
      <c r="G484" s="121"/>
      <c r="I484" s="101"/>
    </row>
    <row r="485" spans="7:9" ht="13.2">
      <c r="G485" s="121"/>
      <c r="I485" s="101"/>
    </row>
    <row r="486" spans="7:9" ht="13.2">
      <c r="G486" s="121"/>
      <c r="I486" s="101"/>
    </row>
    <row r="487" spans="7:9" ht="13.2">
      <c r="G487" s="121"/>
      <c r="I487" s="101"/>
    </row>
    <row r="488" spans="7:9" ht="13.2">
      <c r="G488" s="121"/>
      <c r="I488" s="101"/>
    </row>
    <row r="489" spans="7:9" ht="13.2">
      <c r="G489" s="121"/>
      <c r="I489" s="101"/>
    </row>
    <row r="490" spans="7:9" ht="13.2">
      <c r="G490" s="121"/>
      <c r="I490" s="101"/>
    </row>
    <row r="491" spans="7:9" ht="13.2">
      <c r="G491" s="121"/>
      <c r="I491" s="101"/>
    </row>
    <row r="492" spans="7:9" ht="13.2">
      <c r="G492" s="121"/>
      <c r="I492" s="101"/>
    </row>
    <row r="493" spans="7:9" ht="13.2">
      <c r="G493" s="121"/>
      <c r="I493" s="101"/>
    </row>
    <row r="494" spans="7:9" ht="13.2">
      <c r="G494" s="121"/>
      <c r="I494" s="101"/>
    </row>
    <row r="495" spans="7:9" ht="13.2">
      <c r="G495" s="121"/>
      <c r="I495" s="101"/>
    </row>
    <row r="496" spans="7:9" ht="13.2">
      <c r="G496" s="121"/>
      <c r="I496" s="101"/>
    </row>
    <row r="497" spans="7:9" ht="13.2">
      <c r="G497" s="121"/>
      <c r="I497" s="101"/>
    </row>
    <row r="498" spans="7:9" ht="13.2">
      <c r="G498" s="121"/>
      <c r="I498" s="101"/>
    </row>
    <row r="499" spans="7:9" ht="13.2">
      <c r="G499" s="121"/>
      <c r="I499" s="101"/>
    </row>
    <row r="500" spans="7:9" ht="13.2">
      <c r="G500" s="121"/>
      <c r="I500" s="101"/>
    </row>
    <row r="501" spans="7:9" ht="13.2">
      <c r="G501" s="121"/>
      <c r="I501" s="101"/>
    </row>
    <row r="502" spans="7:9" ht="13.2">
      <c r="G502" s="121"/>
      <c r="I502" s="101"/>
    </row>
    <row r="503" spans="7:9" ht="13.2">
      <c r="G503" s="121"/>
      <c r="I503" s="101"/>
    </row>
    <row r="504" spans="7:9" ht="13.2">
      <c r="G504" s="121"/>
      <c r="I504" s="101"/>
    </row>
    <row r="505" spans="7:9" ht="13.2">
      <c r="G505" s="121"/>
      <c r="I505" s="101"/>
    </row>
    <row r="506" spans="7:9" ht="13.2">
      <c r="G506" s="121"/>
      <c r="I506" s="101"/>
    </row>
    <row r="507" spans="7:9" ht="13.2">
      <c r="G507" s="121"/>
      <c r="I507" s="101"/>
    </row>
    <row r="508" spans="7:9" ht="13.2">
      <c r="G508" s="121"/>
      <c r="I508" s="101"/>
    </row>
    <row r="509" spans="7:9" ht="13.2">
      <c r="G509" s="121"/>
      <c r="I509" s="101"/>
    </row>
    <row r="510" spans="7:9" ht="13.2">
      <c r="G510" s="121"/>
      <c r="I510" s="101"/>
    </row>
    <row r="511" spans="7:9" ht="13.2">
      <c r="G511" s="121"/>
      <c r="I511" s="101"/>
    </row>
    <row r="512" spans="7:9" ht="13.2">
      <c r="G512" s="121"/>
      <c r="I512" s="101"/>
    </row>
    <row r="513" spans="7:9" ht="13.2">
      <c r="G513" s="121"/>
      <c r="I513" s="101"/>
    </row>
    <row r="514" spans="7:9" ht="13.2">
      <c r="G514" s="121"/>
      <c r="I514" s="101"/>
    </row>
    <row r="515" spans="7:9" ht="13.2">
      <c r="G515" s="121"/>
      <c r="I515" s="101"/>
    </row>
    <row r="516" spans="7:9" ht="13.2">
      <c r="G516" s="121"/>
      <c r="I516" s="101"/>
    </row>
    <row r="517" spans="7:9" ht="13.2">
      <c r="G517" s="121"/>
      <c r="I517" s="101"/>
    </row>
    <row r="518" spans="7:9" ht="13.2">
      <c r="G518" s="121"/>
      <c r="I518" s="101"/>
    </row>
    <row r="519" spans="7:9" ht="13.2">
      <c r="G519" s="121"/>
      <c r="I519" s="101"/>
    </row>
    <row r="520" spans="7:9" ht="13.2">
      <c r="G520" s="121"/>
      <c r="I520" s="101"/>
    </row>
    <row r="521" spans="7:9" ht="13.2">
      <c r="G521" s="121"/>
      <c r="I521" s="101"/>
    </row>
    <row r="522" spans="7:9" ht="13.2">
      <c r="G522" s="121"/>
      <c r="I522" s="101"/>
    </row>
    <row r="523" spans="7:9" ht="13.2">
      <c r="G523" s="121"/>
      <c r="I523" s="101"/>
    </row>
    <row r="524" spans="7:9" ht="13.2">
      <c r="G524" s="121"/>
      <c r="I524" s="101"/>
    </row>
    <row r="525" spans="7:9" ht="13.2">
      <c r="G525" s="121"/>
      <c r="I525" s="101"/>
    </row>
    <row r="526" spans="7:9" ht="13.2">
      <c r="G526" s="121"/>
      <c r="I526" s="101"/>
    </row>
    <row r="527" spans="7:9" ht="13.2">
      <c r="G527" s="121"/>
      <c r="I527" s="101"/>
    </row>
    <row r="528" spans="7:9" ht="13.2">
      <c r="G528" s="121"/>
      <c r="I528" s="101"/>
    </row>
    <row r="529" spans="7:9" ht="13.2">
      <c r="G529" s="121"/>
      <c r="I529" s="101"/>
    </row>
    <row r="530" spans="7:9" ht="13.2">
      <c r="G530" s="121"/>
      <c r="I530" s="101"/>
    </row>
    <row r="531" spans="7:9" ht="13.2">
      <c r="G531" s="121"/>
      <c r="I531" s="101"/>
    </row>
    <row r="532" spans="7:9" ht="13.2">
      <c r="G532" s="121"/>
      <c r="I532" s="101"/>
    </row>
    <row r="533" spans="7:9" ht="13.2">
      <c r="G533" s="121"/>
      <c r="I533" s="101"/>
    </row>
    <row r="534" spans="7:9" ht="13.2">
      <c r="G534" s="121"/>
      <c r="I534" s="101"/>
    </row>
    <row r="535" spans="7:9" ht="13.2">
      <c r="G535" s="121"/>
      <c r="I535" s="101"/>
    </row>
    <row r="536" spans="7:9" ht="13.2">
      <c r="G536" s="121"/>
      <c r="I536" s="101"/>
    </row>
    <row r="537" spans="7:9" ht="13.2">
      <c r="G537" s="121"/>
      <c r="I537" s="101"/>
    </row>
    <row r="538" spans="7:9" ht="13.2">
      <c r="G538" s="121"/>
      <c r="I538" s="101"/>
    </row>
    <row r="539" spans="7:9" ht="13.2">
      <c r="G539" s="121"/>
      <c r="I539" s="101"/>
    </row>
    <row r="540" spans="7:9" ht="13.2">
      <c r="G540" s="121"/>
      <c r="I540" s="101"/>
    </row>
    <row r="541" spans="7:9" ht="13.2">
      <c r="G541" s="121"/>
      <c r="I541" s="101"/>
    </row>
    <row r="542" spans="7:9" ht="13.2">
      <c r="G542" s="121"/>
      <c r="I542" s="101"/>
    </row>
    <row r="543" spans="7:9" ht="13.2">
      <c r="G543" s="121"/>
      <c r="I543" s="101"/>
    </row>
    <row r="544" spans="7:9" ht="13.2">
      <c r="G544" s="121"/>
      <c r="I544" s="101"/>
    </row>
    <row r="545" spans="7:9" ht="13.2">
      <c r="G545" s="121"/>
      <c r="I545" s="101"/>
    </row>
    <row r="546" spans="7:9" ht="13.2">
      <c r="G546" s="121"/>
      <c r="I546" s="101"/>
    </row>
    <row r="547" spans="7:9" ht="13.2">
      <c r="G547" s="121"/>
      <c r="I547" s="101"/>
    </row>
    <row r="548" spans="7:9" ht="13.2">
      <c r="G548" s="121"/>
      <c r="I548" s="101"/>
    </row>
    <row r="549" spans="7:9" ht="13.2">
      <c r="G549" s="121"/>
      <c r="I549" s="101"/>
    </row>
    <row r="550" spans="7:9" ht="13.2">
      <c r="G550" s="121"/>
      <c r="I550" s="101"/>
    </row>
    <row r="551" spans="7:9" ht="13.2">
      <c r="G551" s="121"/>
      <c r="I551" s="101"/>
    </row>
    <row r="552" spans="7:9" ht="13.2">
      <c r="G552" s="121"/>
      <c r="I552" s="101"/>
    </row>
    <row r="553" spans="7:9" ht="13.2">
      <c r="G553" s="121"/>
      <c r="I553" s="101"/>
    </row>
    <row r="554" spans="7:9" ht="13.2">
      <c r="G554" s="121"/>
      <c r="I554" s="101"/>
    </row>
    <row r="555" spans="7:9" ht="13.2">
      <c r="G555" s="121"/>
      <c r="I555" s="101"/>
    </row>
    <row r="556" spans="7:9" ht="13.2">
      <c r="G556" s="121"/>
      <c r="I556" s="101"/>
    </row>
    <row r="557" spans="7:9" ht="13.2">
      <c r="G557" s="121"/>
      <c r="I557" s="101"/>
    </row>
    <row r="558" spans="7:9" ht="13.2">
      <c r="G558" s="121"/>
      <c r="I558" s="101"/>
    </row>
    <row r="559" spans="7:9" ht="13.2">
      <c r="G559" s="121"/>
      <c r="I559" s="101"/>
    </row>
    <row r="560" spans="7:9" ht="13.2">
      <c r="G560" s="121"/>
      <c r="I560" s="101"/>
    </row>
    <row r="561" spans="7:9" ht="13.2">
      <c r="G561" s="121"/>
      <c r="I561" s="101"/>
    </row>
    <row r="562" spans="7:9" ht="13.2">
      <c r="G562" s="121"/>
      <c r="I562" s="101"/>
    </row>
    <row r="563" spans="7:9" ht="13.2">
      <c r="G563" s="121"/>
      <c r="I563" s="101"/>
    </row>
    <row r="564" spans="7:9" ht="13.2">
      <c r="G564" s="121"/>
      <c r="I564" s="101"/>
    </row>
    <row r="565" spans="7:9" ht="13.2">
      <c r="G565" s="121"/>
      <c r="I565" s="101"/>
    </row>
    <row r="566" spans="7:9" ht="13.2">
      <c r="G566" s="121"/>
      <c r="I566" s="101"/>
    </row>
    <row r="567" spans="7:9" ht="13.2">
      <c r="G567" s="121"/>
      <c r="I567" s="101"/>
    </row>
    <row r="568" spans="7:9" ht="13.2">
      <c r="G568" s="121"/>
      <c r="I568" s="101"/>
    </row>
    <row r="569" spans="7:9" ht="13.2">
      <c r="G569" s="121"/>
      <c r="I569" s="101"/>
    </row>
    <row r="570" spans="7:9" ht="13.2">
      <c r="G570" s="121"/>
      <c r="I570" s="101"/>
    </row>
    <row r="571" spans="7:9" ht="13.2">
      <c r="G571" s="121"/>
      <c r="I571" s="101"/>
    </row>
    <row r="572" spans="7:9" ht="13.2">
      <c r="G572" s="121"/>
      <c r="I572" s="101"/>
    </row>
    <row r="573" spans="7:9" ht="13.2">
      <c r="G573" s="121"/>
      <c r="I573" s="101"/>
    </row>
    <row r="574" spans="7:9" ht="13.2">
      <c r="G574" s="121"/>
      <c r="I574" s="101"/>
    </row>
    <row r="575" spans="7:9" ht="13.2">
      <c r="G575" s="121"/>
      <c r="I575" s="101"/>
    </row>
    <row r="576" spans="7:9" ht="13.2">
      <c r="G576" s="121"/>
      <c r="I576" s="101"/>
    </row>
    <row r="577" spans="7:9" ht="13.2">
      <c r="G577" s="121"/>
      <c r="I577" s="101"/>
    </row>
    <row r="578" spans="7:9" ht="13.2">
      <c r="G578" s="121"/>
      <c r="I578" s="101"/>
    </row>
    <row r="579" spans="7:9" ht="13.2">
      <c r="G579" s="121"/>
      <c r="I579" s="101"/>
    </row>
    <row r="580" spans="7:9" ht="13.2">
      <c r="G580" s="121"/>
      <c r="I580" s="101"/>
    </row>
    <row r="581" spans="7:9" ht="13.2">
      <c r="G581" s="121"/>
      <c r="I581" s="101"/>
    </row>
    <row r="582" spans="7:9" ht="13.2">
      <c r="G582" s="121"/>
      <c r="I582" s="101"/>
    </row>
    <row r="583" spans="7:9" ht="13.2">
      <c r="G583" s="121"/>
      <c r="I583" s="101"/>
    </row>
    <row r="584" spans="7:9" ht="13.2">
      <c r="G584" s="121"/>
      <c r="I584" s="101"/>
    </row>
    <row r="585" spans="7:9" ht="13.2">
      <c r="G585" s="121"/>
      <c r="I585" s="101"/>
    </row>
    <row r="586" spans="7:9" ht="13.2">
      <c r="G586" s="121"/>
      <c r="I586" s="101"/>
    </row>
    <row r="587" spans="7:9" ht="13.2">
      <c r="G587" s="121"/>
      <c r="I587" s="101"/>
    </row>
    <row r="588" spans="7:9" ht="13.2">
      <c r="G588" s="121"/>
      <c r="I588" s="101"/>
    </row>
    <row r="589" spans="7:9" ht="13.2">
      <c r="G589" s="121"/>
      <c r="I589" s="101"/>
    </row>
    <row r="590" spans="7:9" ht="13.2">
      <c r="G590" s="121"/>
      <c r="I590" s="101"/>
    </row>
    <row r="591" spans="7:9" ht="13.2">
      <c r="G591" s="121"/>
      <c r="I591" s="101"/>
    </row>
    <row r="592" spans="7:9" ht="13.2">
      <c r="G592" s="121"/>
      <c r="I592" s="101"/>
    </row>
    <row r="593" spans="7:9" ht="13.2">
      <c r="G593" s="121"/>
      <c r="I593" s="101"/>
    </row>
    <row r="594" spans="7:9" ht="13.2">
      <c r="G594" s="121"/>
      <c r="I594" s="101"/>
    </row>
    <row r="595" spans="7:9" ht="13.2">
      <c r="G595" s="121"/>
      <c r="I595" s="101"/>
    </row>
    <row r="596" spans="7:9" ht="13.2">
      <c r="G596" s="121"/>
      <c r="I596" s="101"/>
    </row>
    <row r="597" spans="7:9" ht="13.2">
      <c r="G597" s="121"/>
      <c r="I597" s="101"/>
    </row>
    <row r="598" spans="7:9" ht="13.2">
      <c r="G598" s="121"/>
      <c r="I598" s="101"/>
    </row>
    <row r="599" spans="7:9" ht="13.2">
      <c r="G599" s="121"/>
      <c r="I599" s="101"/>
    </row>
    <row r="600" spans="7:9" ht="13.2">
      <c r="G600" s="121"/>
      <c r="I600" s="101"/>
    </row>
    <row r="601" spans="7:9" ht="13.2">
      <c r="G601" s="121"/>
      <c r="I601" s="101"/>
    </row>
    <row r="602" spans="7:9" ht="13.2">
      <c r="G602" s="121"/>
      <c r="I602" s="101"/>
    </row>
    <row r="603" spans="7:9" ht="13.2">
      <c r="G603" s="121"/>
      <c r="I603" s="101"/>
    </row>
    <row r="604" spans="7:9" ht="13.2">
      <c r="G604" s="121"/>
      <c r="I604" s="101"/>
    </row>
    <row r="605" spans="7:9" ht="13.2">
      <c r="G605" s="121"/>
      <c r="I605" s="101"/>
    </row>
    <row r="606" spans="7:9" ht="13.2">
      <c r="G606" s="121"/>
      <c r="I606" s="101"/>
    </row>
    <row r="607" spans="7:9" ht="13.2">
      <c r="G607" s="121"/>
      <c r="I607" s="101"/>
    </row>
    <row r="608" spans="7:9" ht="13.2">
      <c r="G608" s="121"/>
      <c r="I608" s="101"/>
    </row>
    <row r="609" spans="7:9" ht="13.2">
      <c r="G609" s="121"/>
      <c r="I609" s="101"/>
    </row>
    <row r="610" spans="7:9" ht="13.2">
      <c r="G610" s="121"/>
      <c r="I610" s="101"/>
    </row>
    <row r="611" spans="7:9" ht="13.2">
      <c r="G611" s="121"/>
      <c r="I611" s="101"/>
    </row>
    <row r="612" spans="7:9" ht="13.2">
      <c r="G612" s="121"/>
      <c r="I612" s="101"/>
    </row>
    <row r="613" spans="7:9" ht="13.2">
      <c r="G613" s="121"/>
      <c r="I613" s="101"/>
    </row>
    <row r="614" spans="7:9" ht="13.2">
      <c r="G614" s="121"/>
      <c r="I614" s="101"/>
    </row>
    <row r="615" spans="7:9" ht="13.2">
      <c r="G615" s="121"/>
      <c r="I615" s="101"/>
    </row>
    <row r="616" spans="7:9" ht="13.2">
      <c r="G616" s="121"/>
      <c r="I616" s="101"/>
    </row>
    <row r="617" spans="7:9" ht="13.2">
      <c r="G617" s="121"/>
      <c r="I617" s="101"/>
    </row>
    <row r="618" spans="7:9" ht="13.2">
      <c r="G618" s="121"/>
      <c r="I618" s="101"/>
    </row>
    <row r="619" spans="7:9" ht="13.2">
      <c r="G619" s="121"/>
      <c r="I619" s="101"/>
    </row>
    <row r="620" spans="7:9" ht="13.2">
      <c r="G620" s="121"/>
      <c r="I620" s="101"/>
    </row>
    <row r="621" spans="7:9" ht="13.2">
      <c r="G621" s="121"/>
      <c r="I621" s="101"/>
    </row>
    <row r="622" spans="7:9" ht="13.2">
      <c r="G622" s="121"/>
      <c r="I622" s="101"/>
    </row>
    <row r="623" spans="7:9" ht="13.2">
      <c r="G623" s="121"/>
      <c r="I623" s="101"/>
    </row>
    <row r="624" spans="7:9" ht="13.2">
      <c r="G624" s="121"/>
      <c r="I624" s="101"/>
    </row>
    <row r="625" spans="7:9" ht="13.2">
      <c r="G625" s="121"/>
      <c r="I625" s="101"/>
    </row>
    <row r="626" spans="7:9" ht="13.2">
      <c r="G626" s="121"/>
      <c r="I626" s="101"/>
    </row>
    <row r="627" spans="7:9" ht="13.2">
      <c r="G627" s="121"/>
      <c r="I627" s="101"/>
    </row>
    <row r="628" spans="7:9" ht="13.2">
      <c r="G628" s="121"/>
      <c r="I628" s="101"/>
    </row>
    <row r="629" spans="7:9" ht="13.2">
      <c r="G629" s="121"/>
      <c r="I629" s="101"/>
    </row>
    <row r="630" spans="7:9" ht="13.2">
      <c r="G630" s="121"/>
      <c r="I630" s="101"/>
    </row>
    <row r="631" spans="7:9" ht="13.2">
      <c r="G631" s="121"/>
      <c r="I631" s="101"/>
    </row>
    <row r="632" spans="7:9" ht="13.2">
      <c r="G632" s="121"/>
      <c r="I632" s="101"/>
    </row>
    <row r="633" spans="7:9" ht="13.2">
      <c r="G633" s="121"/>
      <c r="I633" s="101"/>
    </row>
    <row r="634" spans="7:9" ht="13.2">
      <c r="G634" s="121"/>
      <c r="I634" s="101"/>
    </row>
    <row r="635" spans="7:9" ht="13.2">
      <c r="G635" s="121"/>
      <c r="I635" s="101"/>
    </row>
    <row r="636" spans="7:9" ht="13.2">
      <c r="G636" s="121"/>
      <c r="I636" s="101"/>
    </row>
    <row r="637" spans="7:9" ht="13.2">
      <c r="G637" s="121"/>
      <c r="I637" s="101"/>
    </row>
    <row r="638" spans="7:9" ht="13.2">
      <c r="G638" s="121"/>
      <c r="I638" s="101"/>
    </row>
    <row r="639" spans="7:9" ht="13.2">
      <c r="G639" s="121"/>
      <c r="I639" s="101"/>
    </row>
    <row r="640" spans="7:9" ht="13.2">
      <c r="G640" s="121"/>
      <c r="I640" s="101"/>
    </row>
    <row r="641" spans="7:9" ht="13.2">
      <c r="G641" s="121"/>
      <c r="I641" s="101"/>
    </row>
    <row r="642" spans="7:9" ht="13.2">
      <c r="G642" s="121"/>
      <c r="I642" s="101"/>
    </row>
    <row r="643" spans="7:9" ht="13.2">
      <c r="G643" s="121"/>
      <c r="I643" s="101"/>
    </row>
    <row r="644" spans="7:9" ht="13.2">
      <c r="G644" s="121"/>
      <c r="I644" s="101"/>
    </row>
    <row r="645" spans="7:9" ht="13.2">
      <c r="G645" s="121"/>
      <c r="I645" s="101"/>
    </row>
    <row r="646" spans="7:9" ht="13.2">
      <c r="G646" s="121"/>
      <c r="I646" s="101"/>
    </row>
    <row r="647" spans="7:9" ht="13.2">
      <c r="G647" s="121"/>
      <c r="I647" s="101"/>
    </row>
    <row r="648" spans="7:9" ht="13.2">
      <c r="G648" s="121"/>
      <c r="I648" s="101"/>
    </row>
    <row r="649" spans="7:9" ht="13.2">
      <c r="G649" s="121"/>
      <c r="I649" s="101"/>
    </row>
    <row r="650" spans="7:9" ht="13.2">
      <c r="G650" s="121"/>
      <c r="I650" s="101"/>
    </row>
    <row r="651" spans="7:9" ht="13.2">
      <c r="G651" s="121"/>
      <c r="I651" s="101"/>
    </row>
    <row r="652" spans="7:9" ht="13.2">
      <c r="G652" s="121"/>
      <c r="I652" s="101"/>
    </row>
    <row r="653" spans="7:9" ht="13.2">
      <c r="G653" s="121"/>
      <c r="I653" s="101"/>
    </row>
    <row r="654" spans="7:9" ht="13.2">
      <c r="G654" s="121"/>
      <c r="I654" s="101"/>
    </row>
    <row r="655" spans="7:9" ht="13.2">
      <c r="G655" s="121"/>
      <c r="I655" s="101"/>
    </row>
    <row r="656" spans="7:9" ht="13.2">
      <c r="G656" s="121"/>
      <c r="I656" s="101"/>
    </row>
    <row r="657" spans="7:9" ht="13.2">
      <c r="G657" s="121"/>
      <c r="I657" s="101"/>
    </row>
    <row r="658" spans="7:9" ht="13.2">
      <c r="G658" s="121"/>
      <c r="I658" s="101"/>
    </row>
    <row r="659" spans="7:9" ht="13.2">
      <c r="G659" s="121"/>
      <c r="I659" s="101"/>
    </row>
    <row r="660" spans="7:9" ht="13.2">
      <c r="G660" s="121"/>
      <c r="I660" s="101"/>
    </row>
    <row r="661" spans="7:9" ht="13.2">
      <c r="G661" s="121"/>
      <c r="I661" s="101"/>
    </row>
    <row r="662" spans="7:9" ht="13.2">
      <c r="G662" s="121"/>
      <c r="I662" s="101"/>
    </row>
    <row r="663" spans="7:9" ht="13.2">
      <c r="G663" s="121"/>
      <c r="I663" s="101"/>
    </row>
    <row r="664" spans="7:9" ht="13.2">
      <c r="G664" s="121"/>
      <c r="I664" s="101"/>
    </row>
    <row r="665" spans="7:9" ht="13.2">
      <c r="G665" s="121"/>
      <c r="I665" s="101"/>
    </row>
    <row r="666" spans="7:9" ht="13.2">
      <c r="G666" s="121"/>
      <c r="I666" s="101"/>
    </row>
    <row r="667" spans="7:9" ht="13.2">
      <c r="G667" s="121"/>
      <c r="I667" s="101"/>
    </row>
    <row r="668" spans="7:9" ht="13.2">
      <c r="G668" s="121"/>
      <c r="I668" s="101"/>
    </row>
    <row r="669" spans="7:9" ht="13.2">
      <c r="G669" s="121"/>
      <c r="I669" s="101"/>
    </row>
    <row r="670" spans="7:9" ht="13.2">
      <c r="G670" s="121"/>
      <c r="I670" s="101"/>
    </row>
    <row r="671" spans="7:9" ht="13.2">
      <c r="G671" s="121"/>
      <c r="I671" s="101"/>
    </row>
    <row r="672" spans="7:9" ht="13.2">
      <c r="G672" s="121"/>
      <c r="I672" s="101"/>
    </row>
    <row r="673" spans="7:9" ht="13.2">
      <c r="G673" s="121"/>
      <c r="I673" s="101"/>
    </row>
    <row r="674" spans="7:9" ht="13.2">
      <c r="G674" s="121"/>
      <c r="I674" s="101"/>
    </row>
    <row r="675" spans="7:9" ht="13.2">
      <c r="G675" s="121"/>
      <c r="I675" s="101"/>
    </row>
    <row r="676" spans="7:9" ht="13.2">
      <c r="G676" s="121"/>
      <c r="I676" s="101"/>
    </row>
    <row r="677" spans="7:9" ht="13.2">
      <c r="G677" s="121"/>
      <c r="I677" s="101"/>
    </row>
    <row r="678" spans="7:9" ht="13.2">
      <c r="G678" s="121"/>
      <c r="I678" s="101"/>
    </row>
    <row r="679" spans="7:9" ht="13.2">
      <c r="G679" s="121"/>
      <c r="I679" s="101"/>
    </row>
    <row r="680" spans="7:9" ht="13.2">
      <c r="G680" s="121"/>
      <c r="I680" s="101"/>
    </row>
    <row r="681" spans="7:9" ht="13.2">
      <c r="G681" s="121"/>
      <c r="I681" s="101"/>
    </row>
    <row r="682" spans="7:9" ht="13.2">
      <c r="G682" s="121"/>
      <c r="I682" s="101"/>
    </row>
    <row r="683" spans="7:9" ht="13.2">
      <c r="G683" s="121"/>
      <c r="I683" s="101"/>
    </row>
    <row r="684" spans="7:9" ht="13.2">
      <c r="G684" s="121"/>
      <c r="I684" s="101"/>
    </row>
    <row r="685" spans="7:9" ht="13.2">
      <c r="G685" s="121"/>
      <c r="I685" s="101"/>
    </row>
    <row r="686" spans="7:9" ht="13.2">
      <c r="G686" s="121"/>
      <c r="I686" s="101"/>
    </row>
    <row r="687" spans="7:9" ht="13.2">
      <c r="G687" s="121"/>
      <c r="I687" s="101"/>
    </row>
    <row r="688" spans="7:9" ht="13.2">
      <c r="G688" s="121"/>
      <c r="I688" s="101"/>
    </row>
    <row r="689" spans="7:9" ht="13.2">
      <c r="G689" s="121"/>
      <c r="I689" s="101"/>
    </row>
    <row r="690" spans="7:9" ht="13.2">
      <c r="G690" s="121"/>
      <c r="I690" s="101"/>
    </row>
    <row r="691" spans="7:9" ht="13.2">
      <c r="G691" s="121"/>
      <c r="I691" s="101"/>
    </row>
    <row r="692" spans="7:9" ht="13.2">
      <c r="G692" s="121"/>
      <c r="I692" s="101"/>
    </row>
    <row r="693" spans="7:9" ht="13.2">
      <c r="G693" s="121"/>
      <c r="I693" s="101"/>
    </row>
    <row r="694" spans="7:9" ht="13.2">
      <c r="G694" s="121"/>
      <c r="I694" s="101"/>
    </row>
    <row r="695" spans="7:9" ht="13.2">
      <c r="G695" s="121"/>
      <c r="I695" s="101"/>
    </row>
    <row r="696" spans="7:9" ht="13.2">
      <c r="G696" s="121"/>
      <c r="I696" s="101"/>
    </row>
    <row r="697" spans="7:9" ht="13.2">
      <c r="G697" s="121"/>
      <c r="I697" s="101"/>
    </row>
    <row r="698" spans="7:9" ht="13.2">
      <c r="G698" s="121"/>
      <c r="I698" s="101"/>
    </row>
    <row r="699" spans="7:9" ht="13.2">
      <c r="G699" s="121"/>
      <c r="I699" s="101"/>
    </row>
    <row r="700" spans="7:9" ht="13.2">
      <c r="G700" s="121"/>
      <c r="I700" s="101"/>
    </row>
    <row r="701" spans="7:9" ht="13.2">
      <c r="G701" s="121"/>
      <c r="I701" s="101"/>
    </row>
    <row r="702" spans="7:9" ht="13.2">
      <c r="G702" s="121"/>
      <c r="I702" s="101"/>
    </row>
    <row r="703" spans="7:9" ht="13.2">
      <c r="G703" s="121"/>
      <c r="I703" s="101"/>
    </row>
    <row r="704" spans="7:9" ht="13.2">
      <c r="G704" s="121"/>
      <c r="I704" s="101"/>
    </row>
    <row r="705" spans="7:9" ht="13.2">
      <c r="G705" s="121"/>
      <c r="I705" s="101"/>
    </row>
    <row r="706" spans="7:9" ht="13.2">
      <c r="G706" s="121"/>
      <c r="I706" s="101"/>
    </row>
    <row r="707" spans="7:9" ht="13.2">
      <c r="G707" s="121"/>
      <c r="I707" s="101"/>
    </row>
    <row r="708" spans="7:9" ht="13.2">
      <c r="G708" s="121"/>
      <c r="I708" s="101"/>
    </row>
    <row r="709" spans="7:9" ht="13.2">
      <c r="G709" s="121"/>
      <c r="I709" s="101"/>
    </row>
    <row r="710" spans="7:9" ht="13.2">
      <c r="G710" s="121"/>
      <c r="I710" s="101"/>
    </row>
    <row r="711" spans="7:9" ht="13.2">
      <c r="G711" s="121"/>
      <c r="I711" s="101"/>
    </row>
    <row r="712" spans="7:9" ht="13.2">
      <c r="G712" s="121"/>
      <c r="I712" s="101"/>
    </row>
    <row r="713" spans="7:9" ht="13.2">
      <c r="G713" s="121"/>
      <c r="I713" s="101"/>
    </row>
    <row r="714" spans="7:9" ht="13.2">
      <c r="G714" s="121"/>
      <c r="I714" s="101"/>
    </row>
    <row r="715" spans="7:9" ht="13.2">
      <c r="G715" s="121"/>
      <c r="I715" s="101"/>
    </row>
    <row r="716" spans="7:9" ht="13.2">
      <c r="G716" s="121"/>
      <c r="I716" s="101"/>
    </row>
    <row r="717" spans="7:9" ht="13.2">
      <c r="G717" s="121"/>
      <c r="I717" s="101"/>
    </row>
    <row r="718" spans="7:9" ht="13.2">
      <c r="G718" s="121"/>
      <c r="I718" s="101"/>
    </row>
    <row r="719" spans="7:9" ht="13.2">
      <c r="G719" s="121"/>
      <c r="I719" s="101"/>
    </row>
    <row r="720" spans="7:9" ht="13.2">
      <c r="G720" s="121"/>
      <c r="I720" s="101"/>
    </row>
    <row r="721" spans="7:9" ht="13.2">
      <c r="G721" s="121"/>
      <c r="I721" s="101"/>
    </row>
    <row r="722" spans="7:9" ht="13.2">
      <c r="G722" s="121"/>
      <c r="I722" s="101"/>
    </row>
    <row r="723" spans="7:9" ht="13.2">
      <c r="G723" s="121"/>
      <c r="I723" s="101"/>
    </row>
    <row r="724" spans="7:9" ht="13.2">
      <c r="G724" s="121"/>
      <c r="I724" s="101"/>
    </row>
    <row r="725" spans="7:9" ht="13.2">
      <c r="G725" s="121"/>
      <c r="I725" s="101"/>
    </row>
    <row r="726" spans="7:9" ht="13.2">
      <c r="G726" s="121"/>
      <c r="I726" s="101"/>
    </row>
    <row r="727" spans="7:9" ht="13.2">
      <c r="G727" s="121"/>
      <c r="I727" s="101"/>
    </row>
    <row r="728" spans="7:9" ht="13.2">
      <c r="G728" s="121"/>
      <c r="I728" s="101"/>
    </row>
    <row r="729" spans="7:9" ht="13.2">
      <c r="G729" s="121"/>
      <c r="I729" s="101"/>
    </row>
    <row r="730" spans="7:9" ht="13.2">
      <c r="G730" s="121"/>
      <c r="I730" s="101"/>
    </row>
    <row r="731" spans="7:9" ht="13.2">
      <c r="G731" s="121"/>
      <c r="I731" s="101"/>
    </row>
    <row r="732" spans="7:9" ht="13.2">
      <c r="G732" s="121"/>
      <c r="I732" s="101"/>
    </row>
    <row r="733" spans="7:9" ht="13.2">
      <c r="G733" s="121"/>
      <c r="I733" s="101"/>
    </row>
    <row r="734" spans="7:9" ht="13.2">
      <c r="G734" s="121"/>
      <c r="I734" s="101"/>
    </row>
    <row r="735" spans="7:9" ht="13.2">
      <c r="G735" s="121"/>
      <c r="I735" s="101"/>
    </row>
    <row r="736" spans="7:9" ht="13.2">
      <c r="G736" s="121"/>
      <c r="I736" s="101"/>
    </row>
    <row r="737" spans="7:9" ht="13.2">
      <c r="G737" s="121"/>
      <c r="I737" s="101"/>
    </row>
    <row r="738" spans="7:9" ht="13.2">
      <c r="G738" s="121"/>
      <c r="I738" s="101"/>
    </row>
    <row r="739" spans="7:9" ht="13.2">
      <c r="G739" s="121"/>
      <c r="I739" s="101"/>
    </row>
    <row r="740" spans="7:9" ht="13.2">
      <c r="G740" s="121"/>
      <c r="I740" s="101"/>
    </row>
    <row r="741" spans="7:9" ht="13.2">
      <c r="G741" s="121"/>
      <c r="I741" s="101"/>
    </row>
    <row r="742" spans="7:9" ht="13.2">
      <c r="G742" s="121"/>
      <c r="I742" s="101"/>
    </row>
    <row r="743" spans="7:9" ht="13.2">
      <c r="G743" s="121"/>
      <c r="I743" s="101"/>
    </row>
    <row r="744" spans="7:9" ht="13.2">
      <c r="G744" s="121"/>
      <c r="I744" s="101"/>
    </row>
    <row r="745" spans="7:9" ht="13.2">
      <c r="G745" s="121"/>
      <c r="I745" s="101"/>
    </row>
    <row r="746" spans="7:9" ht="13.2">
      <c r="G746" s="121"/>
      <c r="I746" s="101"/>
    </row>
    <row r="747" spans="7:9" ht="13.2">
      <c r="G747" s="121"/>
      <c r="I747" s="101"/>
    </row>
    <row r="748" spans="7:9" ht="13.2">
      <c r="G748" s="121"/>
      <c r="I748" s="101"/>
    </row>
    <row r="749" spans="7:9" ht="13.2">
      <c r="G749" s="121"/>
      <c r="I749" s="101"/>
    </row>
    <row r="750" spans="7:9" ht="13.2">
      <c r="G750" s="121"/>
      <c r="I750" s="101"/>
    </row>
    <row r="751" spans="7:9" ht="13.2">
      <c r="G751" s="121"/>
      <c r="I751" s="101"/>
    </row>
    <row r="752" spans="7:9" ht="13.2">
      <c r="G752" s="121"/>
      <c r="I752" s="101"/>
    </row>
    <row r="753" spans="7:9" ht="13.2">
      <c r="G753" s="121"/>
      <c r="I753" s="101"/>
    </row>
    <row r="754" spans="7:9" ht="13.2">
      <c r="G754" s="121"/>
      <c r="I754" s="101"/>
    </row>
    <row r="755" spans="7:9" ht="13.2">
      <c r="G755" s="121"/>
      <c r="I755" s="101"/>
    </row>
    <row r="756" spans="7:9" ht="13.2">
      <c r="G756" s="121"/>
      <c r="I756" s="101"/>
    </row>
    <row r="757" spans="7:9" ht="13.2">
      <c r="G757" s="121"/>
      <c r="I757" s="101"/>
    </row>
    <row r="758" spans="7:9" ht="13.2">
      <c r="G758" s="121"/>
      <c r="I758" s="101"/>
    </row>
    <row r="759" spans="7:9" ht="13.2">
      <c r="G759" s="121"/>
      <c r="I759" s="101"/>
    </row>
    <row r="760" spans="7:9" ht="13.2">
      <c r="G760" s="121"/>
      <c r="I760" s="101"/>
    </row>
    <row r="761" spans="7:9" ht="13.2">
      <c r="G761" s="121"/>
      <c r="I761" s="101"/>
    </row>
    <row r="762" spans="7:9" ht="13.2">
      <c r="G762" s="121"/>
      <c r="I762" s="101"/>
    </row>
    <row r="763" spans="7:9" ht="13.2">
      <c r="G763" s="121"/>
      <c r="I763" s="101"/>
    </row>
    <row r="764" spans="7:9" ht="13.2">
      <c r="G764" s="121"/>
      <c r="I764" s="101"/>
    </row>
    <row r="765" spans="7:9" ht="13.2">
      <c r="G765" s="121"/>
      <c r="I765" s="101"/>
    </row>
    <row r="766" spans="7:9" ht="13.2">
      <c r="G766" s="121"/>
      <c r="I766" s="101"/>
    </row>
    <row r="767" spans="7:9" ht="13.2">
      <c r="G767" s="121"/>
      <c r="I767" s="101"/>
    </row>
    <row r="768" spans="7:9" ht="13.2">
      <c r="G768" s="121"/>
      <c r="I768" s="101"/>
    </row>
    <row r="769" spans="7:9" ht="13.2">
      <c r="G769" s="121"/>
      <c r="I769" s="101"/>
    </row>
    <row r="770" spans="7:9" ht="13.2">
      <c r="G770" s="121"/>
      <c r="I770" s="101"/>
    </row>
    <row r="771" spans="7:9" ht="13.2">
      <c r="G771" s="121"/>
      <c r="I771" s="101"/>
    </row>
    <row r="772" spans="7:9" ht="13.2">
      <c r="G772" s="121"/>
      <c r="I772" s="101"/>
    </row>
    <row r="773" spans="7:9" ht="13.2">
      <c r="G773" s="121"/>
      <c r="I773" s="101"/>
    </row>
    <row r="774" spans="7:9" ht="13.2">
      <c r="G774" s="121"/>
      <c r="I774" s="101"/>
    </row>
    <row r="775" spans="7:9" ht="13.2">
      <c r="G775" s="121"/>
      <c r="I775" s="101"/>
    </row>
    <row r="776" spans="7:9" ht="13.2">
      <c r="G776" s="121"/>
      <c r="I776" s="101"/>
    </row>
    <row r="777" spans="7:9" ht="13.2">
      <c r="G777" s="121"/>
      <c r="I777" s="101"/>
    </row>
    <row r="778" spans="7:9" ht="13.2">
      <c r="G778" s="121"/>
      <c r="I778" s="101"/>
    </row>
    <row r="779" spans="7:9" ht="13.2">
      <c r="G779" s="121"/>
      <c r="I779" s="101"/>
    </row>
    <row r="780" spans="7:9" ht="13.2">
      <c r="G780" s="121"/>
      <c r="I780" s="101"/>
    </row>
    <row r="781" spans="7:9" ht="13.2">
      <c r="G781" s="121"/>
      <c r="I781" s="101"/>
    </row>
    <row r="782" spans="7:9" ht="13.2">
      <c r="G782" s="121"/>
      <c r="I782" s="101"/>
    </row>
    <row r="783" spans="7:9" ht="13.2">
      <c r="G783" s="121"/>
      <c r="I783" s="101"/>
    </row>
    <row r="784" spans="7:9" ht="13.2">
      <c r="G784" s="121"/>
      <c r="I784" s="101"/>
    </row>
    <row r="785" spans="7:9" ht="13.2">
      <c r="G785" s="121"/>
      <c r="I785" s="101"/>
    </row>
    <row r="786" spans="7:9" ht="13.2">
      <c r="G786" s="121"/>
      <c r="I786" s="101"/>
    </row>
    <row r="787" spans="7:9" ht="13.2">
      <c r="G787" s="121"/>
      <c r="I787" s="101"/>
    </row>
    <row r="788" spans="7:9" ht="13.2">
      <c r="G788" s="121"/>
      <c r="I788" s="101"/>
    </row>
    <row r="789" spans="7:9" ht="13.2">
      <c r="G789" s="121"/>
      <c r="I789" s="101"/>
    </row>
    <row r="790" spans="7:9" ht="13.2">
      <c r="G790" s="121"/>
      <c r="I790" s="101"/>
    </row>
    <row r="791" spans="7:9" ht="13.2">
      <c r="G791" s="121"/>
      <c r="I791" s="101"/>
    </row>
    <row r="792" spans="7:9" ht="13.2">
      <c r="G792" s="121"/>
      <c r="I792" s="101"/>
    </row>
    <row r="793" spans="7:9" ht="13.2">
      <c r="G793" s="121"/>
      <c r="I793" s="101"/>
    </row>
    <row r="794" spans="7:9" ht="13.2">
      <c r="G794" s="121"/>
      <c r="I794" s="101"/>
    </row>
    <row r="795" spans="7:9" ht="13.2">
      <c r="G795" s="121"/>
      <c r="I795" s="101"/>
    </row>
    <row r="796" spans="7:9" ht="13.2">
      <c r="G796" s="121"/>
      <c r="I796" s="101"/>
    </row>
    <row r="797" spans="7:9" ht="13.2">
      <c r="G797" s="121"/>
      <c r="I797" s="101"/>
    </row>
    <row r="798" spans="7:9" ht="13.2">
      <c r="G798" s="121"/>
      <c r="I798" s="101"/>
    </row>
    <row r="799" spans="7:9" ht="13.2">
      <c r="G799" s="121"/>
      <c r="I799" s="101"/>
    </row>
    <row r="800" spans="7:9" ht="13.2">
      <c r="G800" s="121"/>
      <c r="I800" s="101"/>
    </row>
    <row r="801" spans="7:9" ht="13.2">
      <c r="G801" s="121"/>
      <c r="I801" s="101"/>
    </row>
    <row r="802" spans="7:9" ht="13.2">
      <c r="G802" s="121"/>
      <c r="I802" s="101"/>
    </row>
    <row r="803" spans="7:9" ht="13.2">
      <c r="G803" s="121"/>
      <c r="I803" s="101"/>
    </row>
    <row r="804" spans="7:9" ht="13.2">
      <c r="G804" s="121"/>
      <c r="I804" s="101"/>
    </row>
    <row r="805" spans="7:9" ht="13.2">
      <c r="G805" s="121"/>
      <c r="I805" s="101"/>
    </row>
    <row r="806" spans="7:9" ht="13.2">
      <c r="G806" s="121"/>
      <c r="I806" s="101"/>
    </row>
    <row r="807" spans="7:9" ht="13.2">
      <c r="G807" s="121"/>
      <c r="I807" s="101"/>
    </row>
    <row r="808" spans="7:9" ht="13.2">
      <c r="G808" s="121"/>
      <c r="I808" s="101"/>
    </row>
    <row r="809" spans="7:9" ht="13.2">
      <c r="G809" s="121"/>
      <c r="I809" s="101"/>
    </row>
    <row r="810" spans="7:9" ht="13.2">
      <c r="G810" s="121"/>
      <c r="I810" s="101"/>
    </row>
    <row r="811" spans="7:9" ht="13.2">
      <c r="G811" s="121"/>
      <c r="I811" s="101"/>
    </row>
    <row r="812" spans="7:9" ht="13.2">
      <c r="G812" s="121"/>
      <c r="I812" s="101"/>
    </row>
    <row r="813" spans="7:9" ht="13.2">
      <c r="G813" s="121"/>
      <c r="I813" s="101"/>
    </row>
    <row r="814" spans="7:9" ht="13.2">
      <c r="G814" s="121"/>
      <c r="I814" s="101"/>
    </row>
    <row r="815" spans="7:9" ht="13.2">
      <c r="G815" s="121"/>
      <c r="I815" s="101"/>
    </row>
    <row r="816" spans="7:9" ht="13.2">
      <c r="G816" s="121"/>
      <c r="I816" s="101"/>
    </row>
    <row r="817" spans="7:9" ht="13.2">
      <c r="G817" s="121"/>
      <c r="I817" s="101"/>
    </row>
    <row r="818" spans="7:9" ht="13.2">
      <c r="G818" s="121"/>
      <c r="I818" s="101"/>
    </row>
    <row r="819" spans="7:9" ht="13.2">
      <c r="G819" s="121"/>
      <c r="I819" s="101"/>
    </row>
    <row r="820" spans="7:9" ht="13.2">
      <c r="G820" s="121"/>
      <c r="I820" s="101"/>
    </row>
    <row r="821" spans="7:9" ht="13.2">
      <c r="G821" s="121"/>
      <c r="I821" s="101"/>
    </row>
    <row r="822" spans="7:9" ht="13.2">
      <c r="G822" s="121"/>
      <c r="I822" s="101"/>
    </row>
    <row r="823" spans="7:9" ht="13.2">
      <c r="G823" s="121"/>
      <c r="I823" s="101"/>
    </row>
    <row r="824" spans="7:9" ht="13.2">
      <c r="G824" s="121"/>
      <c r="I824" s="101"/>
    </row>
    <row r="825" spans="7:9" ht="13.2">
      <c r="G825" s="121"/>
      <c r="I825" s="101"/>
    </row>
    <row r="826" spans="7:9" ht="13.2">
      <c r="G826" s="121"/>
      <c r="I826" s="101"/>
    </row>
    <row r="827" spans="7:9" ht="13.2">
      <c r="G827" s="121"/>
      <c r="I827" s="101"/>
    </row>
    <row r="828" spans="7:9" ht="13.2">
      <c r="G828" s="121"/>
      <c r="I828" s="101"/>
    </row>
    <row r="829" spans="7:9" ht="13.2">
      <c r="G829" s="121"/>
      <c r="I829" s="101"/>
    </row>
    <row r="830" spans="7:9" ht="13.2">
      <c r="G830" s="121"/>
      <c r="I830" s="101"/>
    </row>
    <row r="831" spans="7:9" ht="13.2">
      <c r="G831" s="121"/>
      <c r="I831" s="101"/>
    </row>
    <row r="832" spans="7:9" ht="13.2">
      <c r="G832" s="121"/>
      <c r="I832" s="101"/>
    </row>
    <row r="833" spans="7:9" ht="13.2">
      <c r="G833" s="121"/>
      <c r="I833" s="101"/>
    </row>
    <row r="834" spans="7:9" ht="13.2">
      <c r="G834" s="121"/>
      <c r="I834" s="101"/>
    </row>
    <row r="835" spans="7:9" ht="13.2">
      <c r="G835" s="121"/>
      <c r="I835" s="101"/>
    </row>
    <row r="836" spans="7:9" ht="13.2">
      <c r="G836" s="121"/>
      <c r="I836" s="101"/>
    </row>
    <row r="837" spans="7:9" ht="13.2">
      <c r="G837" s="121"/>
      <c r="I837" s="101"/>
    </row>
    <row r="838" spans="7:9" ht="13.2">
      <c r="G838" s="121"/>
      <c r="I838" s="101"/>
    </row>
    <row r="839" spans="7:9" ht="13.2">
      <c r="G839" s="121"/>
      <c r="I839" s="101"/>
    </row>
    <row r="840" spans="7:9" ht="13.2">
      <c r="G840" s="121"/>
      <c r="I840" s="101"/>
    </row>
    <row r="841" spans="7:9" ht="13.2">
      <c r="G841" s="121"/>
      <c r="I841" s="101"/>
    </row>
    <row r="842" spans="7:9" ht="13.2">
      <c r="G842" s="121"/>
      <c r="I842" s="101"/>
    </row>
    <row r="843" spans="7:9" ht="13.2">
      <c r="G843" s="121"/>
      <c r="I843" s="101"/>
    </row>
    <row r="844" spans="7:9" ht="13.2">
      <c r="G844" s="121"/>
      <c r="I844" s="101"/>
    </row>
    <row r="845" spans="7:9" ht="13.2">
      <c r="G845" s="121"/>
      <c r="I845" s="101"/>
    </row>
    <row r="846" spans="7:9" ht="13.2">
      <c r="G846" s="121"/>
      <c r="I846" s="101"/>
    </row>
    <row r="847" spans="7:9" ht="13.2">
      <c r="G847" s="121"/>
      <c r="I847" s="101"/>
    </row>
    <row r="848" spans="7:9" ht="13.2">
      <c r="G848" s="121"/>
      <c r="I848" s="101"/>
    </row>
    <row r="849" spans="7:9" ht="13.2">
      <c r="G849" s="121"/>
      <c r="I849" s="101"/>
    </row>
    <row r="850" spans="7:9" ht="13.2">
      <c r="G850" s="121"/>
      <c r="I850" s="101"/>
    </row>
    <row r="851" spans="7:9" ht="13.2">
      <c r="G851" s="121"/>
      <c r="I851" s="101"/>
    </row>
    <row r="852" spans="7:9" ht="13.2">
      <c r="G852" s="121"/>
      <c r="I852" s="101"/>
    </row>
    <row r="853" spans="7:9" ht="13.2">
      <c r="G853" s="121"/>
      <c r="I853" s="101"/>
    </row>
    <row r="854" spans="7:9" ht="13.2">
      <c r="G854" s="121"/>
      <c r="I854" s="101"/>
    </row>
    <row r="855" spans="7:9" ht="13.2">
      <c r="G855" s="121"/>
      <c r="I855" s="101"/>
    </row>
    <row r="856" spans="7:9" ht="13.2">
      <c r="G856" s="121"/>
      <c r="I856" s="101"/>
    </row>
    <row r="857" spans="7:9" ht="13.2">
      <c r="G857" s="121"/>
      <c r="I857" s="101"/>
    </row>
    <row r="858" spans="7:9" ht="13.2">
      <c r="G858" s="121"/>
      <c r="I858" s="101"/>
    </row>
    <row r="859" spans="7:9" ht="13.2">
      <c r="G859" s="121"/>
      <c r="I859" s="101"/>
    </row>
    <row r="860" spans="7:9" ht="13.2">
      <c r="G860" s="121"/>
      <c r="I860" s="101"/>
    </row>
    <row r="861" spans="7:9" ht="13.2">
      <c r="G861" s="121"/>
      <c r="I861" s="101"/>
    </row>
    <row r="862" spans="7:9" ht="13.2">
      <c r="G862" s="121"/>
      <c r="I862" s="101"/>
    </row>
    <row r="863" spans="7:9" ht="13.2">
      <c r="G863" s="121"/>
      <c r="I863" s="101"/>
    </row>
    <row r="864" spans="7:9" ht="13.2">
      <c r="G864" s="121"/>
      <c r="I864" s="101"/>
    </row>
    <row r="865" spans="7:9" ht="13.2">
      <c r="G865" s="121"/>
      <c r="I865" s="101"/>
    </row>
    <row r="866" spans="7:9" ht="13.2">
      <c r="G866" s="121"/>
      <c r="I866" s="101"/>
    </row>
    <row r="867" spans="7:9" ht="13.2">
      <c r="G867" s="121"/>
      <c r="I867" s="101"/>
    </row>
    <row r="868" spans="7:9" ht="13.2">
      <c r="G868" s="121"/>
      <c r="I868" s="101"/>
    </row>
    <row r="869" spans="7:9" ht="13.2">
      <c r="G869" s="121"/>
      <c r="I869" s="101"/>
    </row>
    <row r="870" spans="7:9" ht="13.2">
      <c r="G870" s="121"/>
      <c r="I870" s="101"/>
    </row>
    <row r="871" spans="7:9" ht="13.2">
      <c r="G871" s="121"/>
      <c r="I871" s="101"/>
    </row>
    <row r="872" spans="7:9" ht="13.2">
      <c r="G872" s="121"/>
      <c r="I872" s="101"/>
    </row>
    <row r="873" spans="7:9" ht="13.2">
      <c r="G873" s="121"/>
      <c r="I873" s="101"/>
    </row>
    <row r="874" spans="7:9" ht="13.2">
      <c r="G874" s="121"/>
      <c r="I874" s="101"/>
    </row>
    <row r="875" spans="7:9" ht="13.2">
      <c r="G875" s="121"/>
      <c r="I875" s="101"/>
    </row>
    <row r="876" spans="7:9" ht="13.2">
      <c r="G876" s="121"/>
      <c r="I876" s="101"/>
    </row>
    <row r="877" spans="7:9" ht="13.2">
      <c r="G877" s="121"/>
      <c r="I877" s="101"/>
    </row>
    <row r="878" spans="7:9" ht="13.2">
      <c r="G878" s="121"/>
      <c r="I878" s="101"/>
    </row>
    <row r="879" spans="7:9" ht="13.2">
      <c r="G879" s="121"/>
      <c r="I879" s="101"/>
    </row>
    <row r="880" spans="7:9" ht="13.2">
      <c r="G880" s="121"/>
      <c r="I880" s="101"/>
    </row>
    <row r="881" spans="7:9" ht="13.2">
      <c r="G881" s="121"/>
      <c r="I881" s="101"/>
    </row>
    <row r="882" spans="7:9" ht="13.2">
      <c r="G882" s="121"/>
      <c r="I882" s="101"/>
    </row>
    <row r="883" spans="7:9" ht="13.2">
      <c r="G883" s="121"/>
      <c r="I883" s="101"/>
    </row>
    <row r="884" spans="7:9" ht="13.2">
      <c r="G884" s="121"/>
      <c r="I884" s="101"/>
    </row>
    <row r="885" spans="7:9" ht="13.2">
      <c r="G885" s="121"/>
      <c r="I885" s="101"/>
    </row>
    <row r="886" spans="7:9" ht="13.2">
      <c r="G886" s="121"/>
      <c r="I886" s="101"/>
    </row>
    <row r="887" spans="7:9" ht="13.2">
      <c r="G887" s="121"/>
      <c r="I887" s="101"/>
    </row>
    <row r="888" spans="7:9" ht="13.2">
      <c r="G888" s="121"/>
      <c r="I888" s="101"/>
    </row>
    <row r="889" spans="7:9" ht="13.2">
      <c r="G889" s="121"/>
      <c r="I889" s="101"/>
    </row>
    <row r="890" spans="7:9" ht="13.2">
      <c r="G890" s="121"/>
      <c r="I890" s="101"/>
    </row>
    <row r="891" spans="7:9" ht="13.2">
      <c r="G891" s="121"/>
      <c r="I891" s="101"/>
    </row>
    <row r="892" spans="7:9" ht="13.2">
      <c r="G892" s="121"/>
      <c r="I892" s="101"/>
    </row>
    <row r="893" spans="7:9" ht="13.2">
      <c r="G893" s="121"/>
      <c r="I893" s="101"/>
    </row>
    <row r="894" spans="7:9" ht="13.2">
      <c r="G894" s="121"/>
      <c r="I894" s="101"/>
    </row>
    <row r="895" spans="7:9" ht="13.2">
      <c r="G895" s="121"/>
      <c r="I895" s="101"/>
    </row>
    <row r="896" spans="7:9" ht="13.2">
      <c r="G896" s="121"/>
      <c r="I896" s="101"/>
    </row>
    <row r="897" spans="7:9" ht="13.2">
      <c r="G897" s="121"/>
      <c r="I897" s="101"/>
    </row>
    <row r="898" spans="7:9" ht="13.2">
      <c r="G898" s="121"/>
      <c r="I898" s="101"/>
    </row>
    <row r="899" spans="7:9" ht="13.2">
      <c r="G899" s="121"/>
      <c r="I899" s="101"/>
    </row>
    <row r="900" spans="7:9" ht="13.2">
      <c r="G900" s="121"/>
      <c r="I900" s="101"/>
    </row>
    <row r="901" spans="7:9" ht="13.2">
      <c r="G901" s="121"/>
      <c r="I901" s="101"/>
    </row>
    <row r="902" spans="7:9" ht="13.2">
      <c r="G902" s="121"/>
      <c r="I902" s="101"/>
    </row>
    <row r="903" spans="7:9" ht="13.2">
      <c r="G903" s="121"/>
      <c r="I903" s="101"/>
    </row>
    <row r="904" spans="7:9" ht="13.2">
      <c r="G904" s="121"/>
      <c r="I904" s="101"/>
    </row>
    <row r="905" spans="7:9" ht="13.2">
      <c r="G905" s="121"/>
      <c r="I905" s="101"/>
    </row>
    <row r="906" spans="7:9" ht="13.2">
      <c r="G906" s="121"/>
      <c r="I906" s="101"/>
    </row>
    <row r="907" spans="7:9" ht="13.2">
      <c r="G907" s="121"/>
      <c r="I907" s="101"/>
    </row>
    <row r="908" spans="7:9" ht="13.2">
      <c r="G908" s="121"/>
      <c r="I908" s="101"/>
    </row>
    <row r="909" spans="7:9" ht="13.2">
      <c r="G909" s="121"/>
      <c r="I909" s="101"/>
    </row>
    <row r="910" spans="7:9" ht="13.2">
      <c r="G910" s="121"/>
      <c r="I910" s="101"/>
    </row>
    <row r="911" spans="7:9" ht="13.2">
      <c r="G911" s="121"/>
      <c r="I911" s="101"/>
    </row>
    <row r="912" spans="7:9" ht="13.2">
      <c r="G912" s="121"/>
      <c r="I912" s="101"/>
    </row>
    <row r="913" spans="7:9" ht="13.2">
      <c r="G913" s="121"/>
      <c r="I913" s="101"/>
    </row>
    <row r="914" spans="7:9" ht="13.2">
      <c r="G914" s="121"/>
      <c r="I914" s="101"/>
    </row>
    <row r="915" spans="7:9" ht="13.2">
      <c r="G915" s="121"/>
      <c r="I915" s="101"/>
    </row>
    <row r="916" spans="7:9" ht="13.2">
      <c r="G916" s="121"/>
      <c r="I916" s="101"/>
    </row>
    <row r="917" spans="7:9" ht="13.2">
      <c r="G917" s="121"/>
      <c r="I917" s="101"/>
    </row>
    <row r="918" spans="7:9" ht="13.2">
      <c r="G918" s="121"/>
      <c r="I918" s="101"/>
    </row>
    <row r="919" spans="7:9" ht="13.2">
      <c r="G919" s="121"/>
      <c r="I919" s="101"/>
    </row>
    <row r="920" spans="7:9" ht="13.2">
      <c r="G920" s="121"/>
      <c r="I920" s="101"/>
    </row>
    <row r="921" spans="7:9" ht="13.2">
      <c r="G921" s="121"/>
      <c r="I921" s="101"/>
    </row>
    <row r="922" spans="7:9" ht="13.2">
      <c r="G922" s="121"/>
      <c r="I922" s="101"/>
    </row>
    <row r="923" spans="7:9" ht="13.2">
      <c r="G923" s="121"/>
      <c r="I923" s="101"/>
    </row>
    <row r="924" spans="7:9" ht="13.2">
      <c r="G924" s="121"/>
      <c r="I924" s="101"/>
    </row>
    <row r="925" spans="7:9" ht="13.2">
      <c r="G925" s="121"/>
      <c r="I925" s="101"/>
    </row>
    <row r="926" spans="7:9" ht="13.2">
      <c r="G926" s="121"/>
      <c r="I926" s="101"/>
    </row>
    <row r="927" spans="7:9" ht="13.2">
      <c r="G927" s="121"/>
      <c r="I927" s="101"/>
    </row>
    <row r="928" spans="7:9" ht="13.2">
      <c r="G928" s="121"/>
      <c r="I928" s="101"/>
    </row>
    <row r="929" spans="7:9" ht="13.2">
      <c r="G929" s="121"/>
      <c r="I929" s="101"/>
    </row>
    <row r="930" spans="7:9" ht="13.2">
      <c r="G930" s="121"/>
      <c r="I930" s="101"/>
    </row>
    <row r="931" spans="7:9" ht="13.2">
      <c r="G931" s="121"/>
      <c r="I931" s="101"/>
    </row>
    <row r="932" spans="7:9" ht="13.2">
      <c r="G932" s="121"/>
      <c r="I932" s="101"/>
    </row>
    <row r="933" spans="7:9" ht="13.2">
      <c r="G933" s="121"/>
      <c r="I933" s="101"/>
    </row>
    <row r="934" spans="7:9" ht="13.2">
      <c r="G934" s="121"/>
      <c r="I934" s="101"/>
    </row>
    <row r="935" spans="7:9" ht="13.2">
      <c r="G935" s="121"/>
      <c r="I935" s="101"/>
    </row>
    <row r="936" spans="7:9" ht="13.2">
      <c r="G936" s="121"/>
      <c r="I936" s="101"/>
    </row>
    <row r="937" spans="7:9" ht="13.2">
      <c r="G937" s="121"/>
      <c r="I937" s="101"/>
    </row>
    <row r="938" spans="7:9" ht="13.2">
      <c r="G938" s="121"/>
      <c r="I938" s="101"/>
    </row>
    <row r="939" spans="7:9" ht="13.2">
      <c r="G939" s="121"/>
      <c r="I939" s="101"/>
    </row>
    <row r="940" spans="7:9" ht="13.2">
      <c r="G940" s="121"/>
      <c r="I940" s="101"/>
    </row>
    <row r="941" spans="7:9" ht="13.2">
      <c r="G941" s="121"/>
      <c r="I941" s="101"/>
    </row>
    <row r="942" spans="7:9" ht="13.2">
      <c r="G942" s="121"/>
      <c r="I942" s="101"/>
    </row>
    <row r="943" spans="7:9" ht="13.2">
      <c r="G943" s="121"/>
      <c r="I943" s="101"/>
    </row>
    <row r="944" spans="7:9" ht="13.2">
      <c r="G944" s="121"/>
      <c r="I944" s="101"/>
    </row>
    <row r="945" spans="7:9" ht="13.2">
      <c r="G945" s="121"/>
      <c r="I945" s="101"/>
    </row>
    <row r="946" spans="7:9" ht="13.2">
      <c r="G946" s="121"/>
      <c r="I946" s="101"/>
    </row>
    <row r="947" spans="7:9" ht="13.2">
      <c r="G947" s="121"/>
      <c r="I947" s="101"/>
    </row>
    <row r="948" spans="7:9" ht="13.2">
      <c r="G948" s="121"/>
      <c r="I948" s="101"/>
    </row>
    <row r="949" spans="7:9" ht="13.2">
      <c r="G949" s="121"/>
      <c r="I949" s="101"/>
    </row>
    <row r="950" spans="7:9" ht="13.2">
      <c r="G950" s="121"/>
      <c r="I950" s="101"/>
    </row>
    <row r="951" spans="7:9" ht="13.2">
      <c r="G951" s="121"/>
      <c r="I951" s="101"/>
    </row>
    <row r="952" spans="7:9" ht="13.2">
      <c r="G952" s="121"/>
      <c r="I952" s="101"/>
    </row>
    <row r="953" spans="7:9" ht="13.2">
      <c r="G953" s="121"/>
      <c r="I953" s="101"/>
    </row>
    <row r="954" spans="7:9" ht="13.2">
      <c r="G954" s="121"/>
      <c r="I954" s="101"/>
    </row>
    <row r="955" spans="7:9" ht="13.2">
      <c r="G955" s="121"/>
      <c r="I955" s="101"/>
    </row>
    <row r="956" spans="7:9" ht="13.2">
      <c r="G956" s="121"/>
      <c r="I956" s="101"/>
    </row>
    <row r="957" spans="7:9" ht="13.2">
      <c r="G957" s="121"/>
      <c r="I957" s="101"/>
    </row>
    <row r="958" spans="7:9" ht="13.2">
      <c r="G958" s="121"/>
      <c r="I958" s="101"/>
    </row>
    <row r="959" spans="7:9" ht="13.2">
      <c r="G959" s="121"/>
      <c r="I959" s="101"/>
    </row>
    <row r="960" spans="7:9" ht="13.2">
      <c r="G960" s="121"/>
      <c r="I960" s="101"/>
    </row>
    <row r="961" spans="7:9" ht="13.2">
      <c r="G961" s="121"/>
      <c r="I961" s="101"/>
    </row>
    <row r="962" spans="7:9" ht="13.2">
      <c r="G962" s="121"/>
      <c r="I962" s="101"/>
    </row>
    <row r="963" spans="7:9" ht="13.2">
      <c r="G963" s="121"/>
      <c r="I963" s="101"/>
    </row>
    <row r="964" spans="7:9" ht="13.2">
      <c r="G964" s="121"/>
      <c r="I964" s="101"/>
    </row>
    <row r="965" spans="7:9" ht="13.2">
      <c r="G965" s="121"/>
      <c r="I965" s="101"/>
    </row>
    <row r="966" spans="7:9" ht="13.2">
      <c r="G966" s="121"/>
      <c r="I966" s="101"/>
    </row>
    <row r="967" spans="7:9" ht="13.2">
      <c r="G967" s="121"/>
      <c r="I967" s="101"/>
    </row>
    <row r="968" spans="7:9" ht="13.2">
      <c r="G968" s="121"/>
      <c r="I968" s="101"/>
    </row>
    <row r="969" spans="7:9" ht="13.2">
      <c r="G969" s="121"/>
      <c r="I969" s="101"/>
    </row>
    <row r="970" spans="7:9" ht="13.2">
      <c r="G970" s="121"/>
      <c r="I970" s="101"/>
    </row>
    <row r="971" spans="7:9" ht="13.2">
      <c r="G971" s="121"/>
      <c r="I971" s="101"/>
    </row>
    <row r="972" spans="7:9" ht="13.2">
      <c r="G972" s="121"/>
      <c r="I972" s="101"/>
    </row>
    <row r="973" spans="7:9" ht="13.2">
      <c r="G973" s="121"/>
      <c r="I973" s="101"/>
    </row>
    <row r="974" spans="7:9" ht="13.2">
      <c r="G974" s="121"/>
      <c r="I974" s="101"/>
    </row>
    <row r="975" spans="7:9" ht="13.2">
      <c r="G975" s="121"/>
      <c r="I975" s="101"/>
    </row>
    <row r="976" spans="7:9" ht="13.2">
      <c r="G976" s="121"/>
      <c r="I976" s="101"/>
    </row>
    <row r="977" spans="7:9" ht="13.2">
      <c r="G977" s="121"/>
      <c r="I977" s="101"/>
    </row>
    <row r="978" spans="7:9" ht="13.2">
      <c r="G978" s="121"/>
      <c r="I978" s="101"/>
    </row>
    <row r="979" spans="7:9" ht="13.2">
      <c r="G979" s="121"/>
      <c r="I979" s="101"/>
    </row>
    <row r="980" spans="7:9" ht="13.2">
      <c r="G980" s="121"/>
      <c r="I980" s="101"/>
    </row>
    <row r="981" spans="7:9" ht="13.2">
      <c r="G981" s="121"/>
      <c r="I981" s="101"/>
    </row>
    <row r="982" spans="7:9" ht="13.2">
      <c r="G982" s="121"/>
      <c r="I982" s="101"/>
    </row>
    <row r="983" spans="7:9" ht="13.2">
      <c r="G983" s="121"/>
      <c r="I983" s="101"/>
    </row>
    <row r="984" spans="7:9" ht="13.2">
      <c r="G984" s="121"/>
      <c r="I984" s="101"/>
    </row>
    <row r="985" spans="7:9" ht="13.2">
      <c r="G985" s="121"/>
      <c r="I985" s="101"/>
    </row>
    <row r="986" spans="7:9" ht="13.2">
      <c r="G986" s="121"/>
      <c r="I986" s="101"/>
    </row>
    <row r="987" spans="7:9" ht="13.2">
      <c r="G987" s="121"/>
      <c r="I987" s="101"/>
    </row>
    <row r="988" spans="7:9" ht="13.2">
      <c r="G988" s="121"/>
      <c r="I988" s="101"/>
    </row>
    <row r="989" spans="7:9" ht="13.2">
      <c r="G989" s="121"/>
      <c r="I989" s="101"/>
    </row>
    <row r="990" spans="7:9" ht="13.2">
      <c r="G990" s="121"/>
      <c r="I990" s="101"/>
    </row>
    <row r="991" spans="7:9" ht="13.2">
      <c r="G991" s="121"/>
      <c r="I991" s="101"/>
    </row>
    <row r="992" spans="7:9" ht="13.2">
      <c r="G992" s="121"/>
      <c r="I992" s="101"/>
    </row>
    <row r="993" spans="7:9" ht="13.2">
      <c r="G993" s="121"/>
      <c r="I993" s="101"/>
    </row>
    <row r="994" spans="7:9" ht="13.2">
      <c r="G994" s="121"/>
      <c r="I994" s="101"/>
    </row>
    <row r="995" spans="7:9" ht="13.2">
      <c r="G995" s="121"/>
      <c r="I995" s="101"/>
    </row>
    <row r="996" spans="7:9" ht="13.2">
      <c r="G996" s="121"/>
      <c r="I996" s="101"/>
    </row>
    <row r="997" spans="7:9" ht="13.2">
      <c r="G997" s="121"/>
      <c r="I997" s="101"/>
    </row>
    <row r="998" spans="7:9" ht="13.2">
      <c r="G998" s="121"/>
      <c r="I998" s="101"/>
    </row>
    <row r="999" spans="7:9" ht="13.2">
      <c r="G999" s="121"/>
      <c r="I999" s="101"/>
    </row>
    <row r="1000" spans="7:9" ht="13.2">
      <c r="G1000" s="121"/>
      <c r="I1000" s="101"/>
    </row>
    <row r="1001" spans="7:9" ht="13.2">
      <c r="G1001" s="121"/>
      <c r="I1001" s="101"/>
    </row>
  </sheetData>
  <customSheetViews>
    <customSheetView guid="{B2CB816B-A3F7-4293-B70C-5211F62788CD}" filter="1" showAutoFilter="1">
      <pageMargins left="0.7" right="0.7" top="0.75" bottom="0.75" header="0.3" footer="0.3"/>
      <autoFilter ref="A1:M17"/>
    </customSheetView>
  </customSheetViews>
  <mergeCells count="1">
    <mergeCell ref="O3:R14"/>
  </mergeCells>
  <dataValidations count="1">
    <dataValidation type="custom" allowBlank="1" showDropDown="1" sqref="G2:G16 J2:J16 G22:G26 G51:G60">
      <formula1>AND(ISNUMBER(G2),(NOT(OR(NOT(ISERROR(DATEVALUE(G2))), AND(ISNUMBER(G2), LEFT(CELL("format", G2))="D")))))</formula1>
    </dataValidation>
  </dataValidations>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D85C6"/>
    <outlinePr summaryBelow="0" summaryRight="0"/>
  </sheetPr>
  <dimension ref="A1:AB50"/>
  <sheetViews>
    <sheetView workbookViewId="0"/>
  </sheetViews>
  <sheetFormatPr defaultColWidth="12.6640625" defaultRowHeight="15.75" customHeight="1"/>
  <cols>
    <col min="1" max="1" width="5.33203125" customWidth="1"/>
    <col min="2" max="2" width="39" customWidth="1"/>
    <col min="4" max="4" width="13.109375" customWidth="1"/>
    <col min="5" max="5" width="17.21875" customWidth="1"/>
    <col min="6" max="6" width="21.33203125" customWidth="1"/>
    <col min="7" max="7" width="22.109375" customWidth="1"/>
    <col min="9" max="9" width="15.44140625" customWidth="1"/>
    <col min="10" max="10" width="14.109375" customWidth="1"/>
    <col min="11" max="11" width="12.109375" customWidth="1"/>
    <col min="14" max="14" width="11.33203125" customWidth="1"/>
  </cols>
  <sheetData>
    <row r="1" spans="1:28" ht="22.5" customHeight="1">
      <c r="A1" s="145" t="s">
        <v>62</v>
      </c>
      <c r="B1" s="145" t="s">
        <v>63</v>
      </c>
      <c r="C1" s="145" t="s">
        <v>64</v>
      </c>
      <c r="D1" s="145" t="s">
        <v>34</v>
      </c>
      <c r="E1" s="145" t="s">
        <v>32</v>
      </c>
      <c r="F1" s="145" t="s">
        <v>65</v>
      </c>
      <c r="G1" s="145" t="s">
        <v>126</v>
      </c>
      <c r="H1" s="145" t="s">
        <v>67</v>
      </c>
      <c r="I1" s="145" t="s">
        <v>68</v>
      </c>
      <c r="J1" s="146" t="s">
        <v>69</v>
      </c>
      <c r="K1" s="146" t="s">
        <v>70</v>
      </c>
      <c r="L1" s="146" t="s">
        <v>71</v>
      </c>
      <c r="M1" s="146" t="s">
        <v>127</v>
      </c>
    </row>
    <row r="2" spans="1:28" ht="22.5" customHeight="1">
      <c r="A2" s="147">
        <v>2</v>
      </c>
      <c r="B2" s="148" t="s">
        <v>128</v>
      </c>
      <c r="C2" s="149" t="s">
        <v>87</v>
      </c>
      <c r="D2" s="148"/>
      <c r="E2" s="148"/>
      <c r="F2" s="148"/>
      <c r="G2" s="150">
        <v>3.25</v>
      </c>
      <c r="H2" s="151">
        <f>CSK!E10</f>
        <v>471</v>
      </c>
      <c r="I2" s="152" t="s">
        <v>106</v>
      </c>
      <c r="J2" s="153">
        <f t="shared" ref="J2:J16" si="0">G2*100</f>
        <v>325</v>
      </c>
      <c r="K2" s="153">
        <f t="shared" ref="K2:K16" si="1">H2-J2</f>
        <v>146</v>
      </c>
      <c r="L2" s="154">
        <f>Points!H5</f>
        <v>471</v>
      </c>
      <c r="M2" s="155">
        <f t="shared" ref="M2:M16" si="2">H2-L2</f>
        <v>0</v>
      </c>
    </row>
    <row r="3" spans="1:28" ht="22.5" customHeight="1">
      <c r="A3" s="147">
        <v>12</v>
      </c>
      <c r="B3" s="148" t="s">
        <v>129</v>
      </c>
      <c r="C3" s="156" t="s">
        <v>77</v>
      </c>
      <c r="D3" s="148"/>
      <c r="E3" s="157" t="s">
        <v>78</v>
      </c>
      <c r="F3" s="148"/>
      <c r="G3" s="150">
        <v>6</v>
      </c>
      <c r="H3" s="151">
        <f>CSK!E11</f>
        <v>770</v>
      </c>
      <c r="I3" s="152" t="s">
        <v>106</v>
      </c>
      <c r="J3" s="153">
        <f t="shared" si="0"/>
        <v>600</v>
      </c>
      <c r="K3" s="153">
        <f t="shared" si="1"/>
        <v>170</v>
      </c>
      <c r="L3" s="154">
        <f>Points!H6</f>
        <v>770</v>
      </c>
      <c r="M3" s="155">
        <f t="shared" si="2"/>
        <v>0</v>
      </c>
      <c r="P3" s="1051"/>
      <c r="Q3" s="1052"/>
      <c r="R3" s="1052"/>
      <c r="S3" s="1053"/>
    </row>
    <row r="4" spans="1:28" ht="22.5" customHeight="1">
      <c r="A4" s="147">
        <v>3</v>
      </c>
      <c r="B4" s="148" t="s">
        <v>130</v>
      </c>
      <c r="C4" s="156" t="s">
        <v>77</v>
      </c>
      <c r="D4" s="148"/>
      <c r="E4" s="148"/>
      <c r="F4" s="148"/>
      <c r="G4" s="150">
        <v>6.5</v>
      </c>
      <c r="H4" s="151">
        <f>GT!F9</f>
        <v>1089</v>
      </c>
      <c r="I4" s="158" t="s">
        <v>82</v>
      </c>
      <c r="J4" s="153">
        <f t="shared" si="0"/>
        <v>650</v>
      </c>
      <c r="K4" s="153">
        <f t="shared" si="1"/>
        <v>439</v>
      </c>
      <c r="L4" s="154">
        <f>Points!H7</f>
        <v>1089</v>
      </c>
      <c r="M4" s="155">
        <f t="shared" si="2"/>
        <v>0</v>
      </c>
      <c r="P4" s="1054"/>
      <c r="Q4" s="1015"/>
      <c r="R4" s="1015"/>
      <c r="S4" s="1055"/>
    </row>
    <row r="5" spans="1:28" ht="22.5" customHeight="1">
      <c r="A5" s="147">
        <v>4</v>
      </c>
      <c r="B5" s="148" t="s">
        <v>131</v>
      </c>
      <c r="C5" s="159" t="s">
        <v>74</v>
      </c>
      <c r="D5" s="148"/>
      <c r="E5" s="148"/>
      <c r="F5" s="157" t="s">
        <v>36</v>
      </c>
      <c r="G5" s="150">
        <v>0.3</v>
      </c>
      <c r="H5" s="151">
        <f>LSG!E11</f>
        <v>444</v>
      </c>
      <c r="I5" s="160" t="s">
        <v>88</v>
      </c>
      <c r="J5" s="153">
        <f t="shared" si="0"/>
        <v>30</v>
      </c>
      <c r="K5" s="153">
        <f t="shared" si="1"/>
        <v>414</v>
      </c>
      <c r="L5" s="154">
        <f>Points!H8</f>
        <v>444</v>
      </c>
      <c r="M5" s="155">
        <f t="shared" si="2"/>
        <v>0</v>
      </c>
      <c r="P5" s="1054"/>
      <c r="Q5" s="1015"/>
      <c r="R5" s="1015"/>
      <c r="S5" s="1055"/>
    </row>
    <row r="6" spans="1:28" ht="22.5" customHeight="1">
      <c r="A6" s="147">
        <v>5</v>
      </c>
      <c r="B6" s="148" t="s">
        <v>132</v>
      </c>
      <c r="C6" s="156" t="s">
        <v>77</v>
      </c>
      <c r="D6" s="148"/>
      <c r="E6" s="148"/>
      <c r="F6" s="148"/>
      <c r="G6" s="150">
        <v>5.5</v>
      </c>
      <c r="H6" s="151">
        <f>MI!E8</f>
        <v>629</v>
      </c>
      <c r="I6" s="161" t="s">
        <v>118</v>
      </c>
      <c r="J6" s="153">
        <f t="shared" si="0"/>
        <v>550</v>
      </c>
      <c r="K6" s="153">
        <f t="shared" si="1"/>
        <v>79</v>
      </c>
      <c r="L6" s="154">
        <f>Points!H9</f>
        <v>629</v>
      </c>
      <c r="M6" s="155">
        <f t="shared" si="2"/>
        <v>0</v>
      </c>
      <c r="P6" s="1054"/>
      <c r="Q6" s="1015"/>
      <c r="R6" s="1015"/>
      <c r="S6" s="1055"/>
    </row>
    <row r="7" spans="1:28" ht="22.5" customHeight="1">
      <c r="A7" s="147">
        <v>6</v>
      </c>
      <c r="B7" s="148" t="s">
        <v>133</v>
      </c>
      <c r="C7" s="156" t="s">
        <v>77</v>
      </c>
      <c r="D7" s="157" t="s">
        <v>78</v>
      </c>
      <c r="E7" s="148"/>
      <c r="F7" s="148"/>
      <c r="G7" s="150">
        <v>3</v>
      </c>
      <c r="H7" s="151">
        <f>MI!E9</f>
        <v>221</v>
      </c>
      <c r="I7" s="161" t="s">
        <v>118</v>
      </c>
      <c r="J7" s="153">
        <f t="shared" si="0"/>
        <v>300</v>
      </c>
      <c r="K7" s="153">
        <f t="shared" si="1"/>
        <v>-79</v>
      </c>
      <c r="L7" s="154">
        <f>Points!H10</f>
        <v>221</v>
      </c>
      <c r="M7" s="155">
        <f t="shared" si="2"/>
        <v>0</v>
      </c>
      <c r="P7" s="1054"/>
      <c r="Q7" s="1015"/>
      <c r="R7" s="1015"/>
      <c r="S7" s="1055"/>
    </row>
    <row r="8" spans="1:28" ht="22.5" customHeight="1">
      <c r="A8" s="147">
        <v>10</v>
      </c>
      <c r="B8" s="148" t="s">
        <v>134</v>
      </c>
      <c r="C8" s="159" t="s">
        <v>74</v>
      </c>
      <c r="D8" s="148"/>
      <c r="E8" s="148"/>
      <c r="F8" s="148"/>
      <c r="G8" s="150">
        <v>11</v>
      </c>
      <c r="H8" s="151">
        <f>MI!E10</f>
        <v>301</v>
      </c>
      <c r="I8" s="161" t="s">
        <v>118</v>
      </c>
      <c r="J8" s="153">
        <f t="shared" si="0"/>
        <v>1100</v>
      </c>
      <c r="K8" s="153">
        <f t="shared" si="1"/>
        <v>-799</v>
      </c>
      <c r="L8" s="154">
        <f>Points!H11</f>
        <v>301</v>
      </c>
      <c r="M8" s="155">
        <f t="shared" si="2"/>
        <v>0</v>
      </c>
      <c r="P8" s="1054"/>
      <c r="Q8" s="1015"/>
      <c r="R8" s="1015"/>
      <c r="S8" s="1055"/>
    </row>
    <row r="9" spans="1:28" ht="22.5" customHeight="1">
      <c r="A9" s="147">
        <v>1</v>
      </c>
      <c r="B9" s="148" t="s">
        <v>135</v>
      </c>
      <c r="C9" s="149" t="s">
        <v>87</v>
      </c>
      <c r="D9" s="148"/>
      <c r="E9" s="148"/>
      <c r="F9" s="157" t="s">
        <v>36</v>
      </c>
      <c r="G9" s="150">
        <v>0.3</v>
      </c>
      <c r="H9" s="151">
        <f>PBSK!E10</f>
        <v>98</v>
      </c>
      <c r="I9" s="162" t="s">
        <v>91</v>
      </c>
      <c r="J9" s="153">
        <f t="shared" si="0"/>
        <v>30</v>
      </c>
      <c r="K9" s="153">
        <f t="shared" si="1"/>
        <v>68</v>
      </c>
      <c r="L9" s="154">
        <f>Points!H12</f>
        <v>98</v>
      </c>
      <c r="M9" s="155">
        <f t="shared" si="2"/>
        <v>0</v>
      </c>
      <c r="P9" s="1054"/>
      <c r="Q9" s="1015"/>
      <c r="R9" s="1015"/>
      <c r="S9" s="1055"/>
    </row>
    <row r="10" spans="1:28" ht="22.5" customHeight="1">
      <c r="A10" s="147">
        <v>9</v>
      </c>
      <c r="B10" s="148" t="s">
        <v>136</v>
      </c>
      <c r="C10" s="159" t="s">
        <v>74</v>
      </c>
      <c r="D10" s="148"/>
      <c r="E10" s="148"/>
      <c r="F10" s="148"/>
      <c r="G10" s="150">
        <v>8.5</v>
      </c>
      <c r="H10" s="151">
        <f>PBSK!E11</f>
        <v>433</v>
      </c>
      <c r="I10" s="162" t="s">
        <v>91</v>
      </c>
      <c r="J10" s="153">
        <f t="shared" si="0"/>
        <v>850</v>
      </c>
      <c r="K10" s="153">
        <f t="shared" si="1"/>
        <v>-417</v>
      </c>
      <c r="L10" s="154">
        <f>Points!H13</f>
        <v>433</v>
      </c>
      <c r="M10" s="155">
        <f t="shared" si="2"/>
        <v>0</v>
      </c>
      <c r="P10" s="1054"/>
      <c r="Q10" s="1015"/>
      <c r="R10" s="1015"/>
      <c r="S10" s="1055"/>
      <c r="W10" s="163"/>
      <c r="X10" s="163"/>
      <c r="Y10" s="163"/>
      <c r="Z10" s="163"/>
      <c r="AA10" s="163"/>
      <c r="AB10" s="163"/>
    </row>
    <row r="11" spans="1:28" ht="22.5" customHeight="1">
      <c r="A11" s="147">
        <v>11</v>
      </c>
      <c r="B11" s="148" t="s">
        <v>137</v>
      </c>
      <c r="C11" s="149" t="s">
        <v>87</v>
      </c>
      <c r="D11" s="157" t="s">
        <v>78</v>
      </c>
      <c r="E11" s="148"/>
      <c r="F11" s="148"/>
      <c r="G11" s="150">
        <v>2.5</v>
      </c>
      <c r="H11" s="164">
        <f>RCB!E11</f>
        <v>399</v>
      </c>
      <c r="I11" s="165" t="s">
        <v>95</v>
      </c>
      <c r="J11" s="153">
        <f t="shared" si="0"/>
        <v>250</v>
      </c>
      <c r="K11" s="153">
        <f t="shared" si="1"/>
        <v>149</v>
      </c>
      <c r="L11" s="154">
        <f>Points!H14</f>
        <v>399</v>
      </c>
      <c r="M11" s="155">
        <f t="shared" si="2"/>
        <v>0</v>
      </c>
      <c r="P11" s="1054"/>
      <c r="Q11" s="1015"/>
      <c r="R11" s="1015"/>
      <c r="S11" s="1055"/>
      <c r="W11" s="163"/>
      <c r="X11" s="163"/>
      <c r="Y11" s="163"/>
      <c r="Z11" s="163"/>
      <c r="AA11" s="163"/>
      <c r="AB11" s="163"/>
    </row>
    <row r="12" spans="1:28" ht="22.5" customHeight="1">
      <c r="A12" s="147">
        <v>14</v>
      </c>
      <c r="B12" s="148" t="s">
        <v>138</v>
      </c>
      <c r="C12" s="149" t="s">
        <v>87</v>
      </c>
      <c r="D12" s="148"/>
      <c r="E12" s="148"/>
      <c r="F12" s="157" t="s">
        <v>36</v>
      </c>
      <c r="G12" s="150">
        <v>7.55</v>
      </c>
      <c r="H12" s="164">
        <f>RR!E9</f>
        <v>1211</v>
      </c>
      <c r="I12" s="166" t="s">
        <v>97</v>
      </c>
      <c r="J12" s="153">
        <f t="shared" si="0"/>
        <v>755</v>
      </c>
      <c r="K12" s="153">
        <f t="shared" si="1"/>
        <v>456</v>
      </c>
      <c r="L12" s="154">
        <f>Points!H15</f>
        <v>1211</v>
      </c>
      <c r="M12" s="155">
        <f t="shared" si="2"/>
        <v>0</v>
      </c>
      <c r="P12" s="1054"/>
      <c r="Q12" s="1015"/>
      <c r="R12" s="1015"/>
      <c r="S12" s="1055"/>
      <c r="W12" s="163"/>
      <c r="X12" s="163"/>
      <c r="Y12" s="163"/>
      <c r="Z12" s="163"/>
      <c r="AA12" s="163"/>
      <c r="AB12" s="163"/>
    </row>
    <row r="13" spans="1:28" ht="22.5" customHeight="1">
      <c r="A13" s="147">
        <v>8</v>
      </c>
      <c r="B13" s="148" t="s">
        <v>139</v>
      </c>
      <c r="C13" s="159" t="s">
        <v>74</v>
      </c>
      <c r="D13" s="148"/>
      <c r="E13" s="148"/>
      <c r="F13" s="148"/>
      <c r="G13" s="150">
        <v>6</v>
      </c>
      <c r="H13" s="164">
        <f>RR!E10</f>
        <v>401</v>
      </c>
      <c r="I13" s="166" t="s">
        <v>97</v>
      </c>
      <c r="J13" s="153">
        <f t="shared" si="0"/>
        <v>600</v>
      </c>
      <c r="K13" s="153">
        <f t="shared" si="1"/>
        <v>-199</v>
      </c>
      <c r="L13" s="154">
        <f>Points!H16</f>
        <v>401</v>
      </c>
      <c r="M13" s="155">
        <f t="shared" si="2"/>
        <v>0</v>
      </c>
      <c r="P13" s="1054"/>
      <c r="Q13" s="1015"/>
      <c r="R13" s="1015"/>
      <c r="S13" s="1055"/>
      <c r="W13" s="163"/>
      <c r="X13" s="163"/>
      <c r="Y13" s="163"/>
      <c r="Z13" s="163"/>
      <c r="AA13" s="163"/>
      <c r="AB13" s="163"/>
    </row>
    <row r="14" spans="1:28" ht="22.5" customHeight="1">
      <c r="A14" s="147">
        <v>15</v>
      </c>
      <c r="B14" s="148" t="s">
        <v>140</v>
      </c>
      <c r="C14" s="149" t="s">
        <v>87</v>
      </c>
      <c r="D14" s="148"/>
      <c r="E14" s="148"/>
      <c r="F14" s="148"/>
      <c r="G14" s="150">
        <v>12.5</v>
      </c>
      <c r="H14" s="164">
        <f>SRH!E6</f>
        <v>955</v>
      </c>
      <c r="I14" s="167" t="s">
        <v>122</v>
      </c>
      <c r="J14" s="153">
        <f t="shared" si="0"/>
        <v>1250</v>
      </c>
      <c r="K14" s="153">
        <f t="shared" si="1"/>
        <v>-295</v>
      </c>
      <c r="L14" s="154">
        <f>Points!H17</f>
        <v>955</v>
      </c>
      <c r="M14" s="155">
        <f t="shared" si="2"/>
        <v>0</v>
      </c>
      <c r="P14" s="1056"/>
      <c r="Q14" s="1057"/>
      <c r="R14" s="1057"/>
      <c r="S14" s="1058"/>
    </row>
    <row r="15" spans="1:28" ht="22.5" customHeight="1">
      <c r="A15" s="147">
        <v>13</v>
      </c>
      <c r="B15" s="148" t="s">
        <v>141</v>
      </c>
      <c r="C15" s="156" t="s">
        <v>77</v>
      </c>
      <c r="D15" s="148"/>
      <c r="E15" s="157" t="s">
        <v>78</v>
      </c>
      <c r="F15" s="148"/>
      <c r="G15" s="150">
        <v>10.5</v>
      </c>
      <c r="H15" s="164">
        <f>SRH!E7</f>
        <v>996</v>
      </c>
      <c r="I15" s="167" t="s">
        <v>122</v>
      </c>
      <c r="J15" s="153">
        <f t="shared" si="0"/>
        <v>1050</v>
      </c>
      <c r="K15" s="153">
        <f t="shared" si="1"/>
        <v>-54</v>
      </c>
      <c r="L15" s="154">
        <f>Points!H18</f>
        <v>996</v>
      </c>
      <c r="M15" s="155">
        <f t="shared" si="2"/>
        <v>0</v>
      </c>
      <c r="O15" s="163"/>
      <c r="P15" s="163"/>
      <c r="Q15" s="163"/>
      <c r="R15" s="163"/>
      <c r="S15" s="163"/>
      <c r="T15" s="163"/>
      <c r="U15" s="163"/>
      <c r="V15" s="163"/>
      <c r="W15" s="163"/>
      <c r="X15" s="163"/>
      <c r="Y15" s="163"/>
      <c r="Z15" s="163"/>
      <c r="AA15" s="163"/>
      <c r="AB15" s="163"/>
    </row>
    <row r="16" spans="1:28" ht="22.5" customHeight="1">
      <c r="A16" s="124">
        <v>3</v>
      </c>
      <c r="B16" s="148" t="s">
        <v>142</v>
      </c>
      <c r="C16" s="149" t="s">
        <v>87</v>
      </c>
      <c r="D16" s="157" t="s">
        <v>78</v>
      </c>
      <c r="E16" s="148"/>
      <c r="F16" s="148"/>
      <c r="G16" s="150">
        <v>6</v>
      </c>
      <c r="H16" s="164">
        <f>SRH!E8</f>
        <v>357</v>
      </c>
      <c r="I16" s="167" t="s">
        <v>122</v>
      </c>
      <c r="J16" s="153">
        <f t="shared" si="0"/>
        <v>600</v>
      </c>
      <c r="K16" s="92">
        <f t="shared" si="1"/>
        <v>-243</v>
      </c>
      <c r="L16" s="154">
        <f>Points!H19</f>
        <v>357</v>
      </c>
      <c r="M16" s="155">
        <f t="shared" si="2"/>
        <v>0</v>
      </c>
      <c r="O16" s="163"/>
      <c r="P16" s="163"/>
      <c r="Q16" s="163"/>
      <c r="R16" s="163"/>
      <c r="S16" s="163"/>
      <c r="T16" s="163"/>
      <c r="U16" s="163"/>
      <c r="V16" s="163"/>
      <c r="W16" s="163"/>
      <c r="X16" s="163"/>
      <c r="Y16" s="163"/>
      <c r="Z16" s="163"/>
      <c r="AA16" s="163"/>
      <c r="AB16" s="163"/>
    </row>
    <row r="17" spans="1:28" ht="22.5" customHeight="1">
      <c r="A17" s="168"/>
      <c r="B17" s="169"/>
      <c r="C17" s="169"/>
      <c r="D17" s="170"/>
      <c r="E17" s="170"/>
      <c r="F17" s="171"/>
      <c r="G17" s="172" t="s">
        <v>1</v>
      </c>
      <c r="H17" s="172">
        <f>SUM(LARGE(H2:H16, 1),LARGE(H2:H16,2),LARGE(H2:H16,3),LARGE(H2:H16,4),LARGE(H2:H16,5),LARGE(H2:H16, 6),LARGE(H2:H16,7),LARGE(H2:H16,8),LARGE(H2:H16,9),LARGE(H2:H16,10),LARGE(H2:H16,11),LARGE(H2:H16,12))</f>
        <v>8155</v>
      </c>
      <c r="I17" s="162"/>
      <c r="J17" s="162"/>
      <c r="K17" s="162"/>
      <c r="L17" s="169"/>
      <c r="M17" s="169"/>
      <c r="AB17" s="163"/>
    </row>
    <row r="18" spans="1:28" ht="16.8">
      <c r="B18" s="173"/>
      <c r="C18" s="173"/>
      <c r="D18" s="173"/>
      <c r="E18" s="173"/>
      <c r="F18" s="173"/>
      <c r="G18" s="174" t="s">
        <v>2</v>
      </c>
      <c r="H18" s="174">
        <f>SUM(Strikers[Points])</f>
        <v>8775</v>
      </c>
      <c r="I18" s="173"/>
    </row>
    <row r="19" spans="1:28" ht="13.2">
      <c r="F19" s="175"/>
      <c r="G19" s="175"/>
      <c r="H19" s="175"/>
    </row>
    <row r="20" spans="1:28" ht="22.8">
      <c r="B20" s="175"/>
      <c r="C20" s="175"/>
      <c r="D20" s="175"/>
      <c r="E20" s="175"/>
      <c r="F20" s="175"/>
      <c r="G20" s="174" t="s">
        <v>101</v>
      </c>
      <c r="H20" s="176">
        <f ca="1">IFERROR(__xludf.DUMMYFUNCTION("SUM(QUERY({H2:H16;H22:H100}, ""SELECT Col1 WHERE Col1 IS NOT NULL ORDER BY Col1 DESC LIMIT 12""))"),8402)</f>
        <v>8402</v>
      </c>
      <c r="I20" s="97" t="s">
        <v>102</v>
      </c>
      <c r="J20" s="177">
        <f ca="1">H20-Strikers[[#Totals],[Points]]</f>
        <v>247</v>
      </c>
      <c r="N20" s="122" t="s">
        <v>11</v>
      </c>
    </row>
    <row r="21" spans="1:28" ht="22.8">
      <c r="N21" s="122" t="s">
        <v>143</v>
      </c>
    </row>
    <row r="22" spans="1:28" ht="22.5" customHeight="1">
      <c r="A22" s="59" t="s">
        <v>62</v>
      </c>
      <c r="B22" s="59" t="s">
        <v>63</v>
      </c>
      <c r="C22" s="59" t="s">
        <v>64</v>
      </c>
      <c r="D22" s="59" t="s">
        <v>34</v>
      </c>
      <c r="E22" s="59" t="s">
        <v>32</v>
      </c>
      <c r="F22" s="59" t="s">
        <v>65</v>
      </c>
      <c r="G22" s="60" t="s">
        <v>66</v>
      </c>
      <c r="H22" s="59" t="s">
        <v>67</v>
      </c>
      <c r="I22" s="178" t="s">
        <v>68</v>
      </c>
      <c r="J22" s="62" t="s">
        <v>69</v>
      </c>
      <c r="K22" s="62" t="s">
        <v>70</v>
      </c>
      <c r="N22" s="122" t="s">
        <v>144</v>
      </c>
    </row>
    <row r="23" spans="1:28" ht="22.5" customHeight="1">
      <c r="A23" s="124">
        <v>1</v>
      </c>
      <c r="B23" s="148" t="s">
        <v>145</v>
      </c>
      <c r="C23" s="159" t="s">
        <v>74</v>
      </c>
      <c r="D23" s="148"/>
      <c r="E23" s="148"/>
      <c r="F23" s="157" t="s">
        <v>36</v>
      </c>
      <c r="G23" s="150">
        <v>0.3</v>
      </c>
      <c r="H23" s="148">
        <f>RCB!E14</f>
        <v>604</v>
      </c>
      <c r="I23" s="165" t="s">
        <v>95</v>
      </c>
      <c r="J23" s="70">
        <f t="shared" ref="J23:J24" si="3">G23*100</f>
        <v>30</v>
      </c>
      <c r="K23" s="92">
        <f t="shared" ref="K23:K25" si="4">H23-J23</f>
        <v>574</v>
      </c>
      <c r="N23" s="122" t="s">
        <v>146</v>
      </c>
    </row>
    <row r="24" spans="1:28" ht="22.5" customHeight="1">
      <c r="A24" s="124">
        <v>2</v>
      </c>
      <c r="B24" s="148" t="s">
        <v>147</v>
      </c>
      <c r="C24" s="159" t="s">
        <v>74</v>
      </c>
      <c r="D24" s="148"/>
      <c r="E24" s="148"/>
      <c r="F24" s="148" t="s">
        <v>148</v>
      </c>
      <c r="G24" s="150">
        <v>7</v>
      </c>
      <c r="H24" s="148">
        <f>KKR!E13</f>
        <v>8</v>
      </c>
      <c r="I24" s="179" t="s">
        <v>85</v>
      </c>
      <c r="J24" s="70">
        <f t="shared" si="3"/>
        <v>700</v>
      </c>
      <c r="K24" s="92">
        <f t="shared" si="4"/>
        <v>-692</v>
      </c>
      <c r="N24" s="122" t="s">
        <v>149</v>
      </c>
    </row>
    <row r="25" spans="1:28" ht="22.8">
      <c r="A25" s="180">
        <v>7</v>
      </c>
      <c r="B25" s="181" t="s">
        <v>150</v>
      </c>
      <c r="C25" s="182" t="s">
        <v>74</v>
      </c>
      <c r="D25" s="181"/>
      <c r="E25" s="181"/>
      <c r="F25" s="181"/>
      <c r="G25" s="183">
        <v>3</v>
      </c>
      <c r="H25" s="181">
        <f>CSK!E15</f>
        <v>0</v>
      </c>
      <c r="I25" s="184" t="s">
        <v>106</v>
      </c>
      <c r="J25" s="185">
        <v>450</v>
      </c>
      <c r="K25" s="186">
        <f t="shared" si="4"/>
        <v>-450</v>
      </c>
      <c r="N25" s="122" t="s">
        <v>151</v>
      </c>
      <c r="S25" s="163"/>
      <c r="T25" s="163"/>
      <c r="U25" s="163"/>
      <c r="V25" s="163"/>
      <c r="W25" s="163"/>
      <c r="X25" s="163"/>
      <c r="Y25" s="163"/>
      <c r="Z25" s="163"/>
      <c r="AA25" s="163"/>
      <c r="AB25" s="163"/>
    </row>
    <row r="26" spans="1:28" ht="22.8">
      <c r="B26" s="175"/>
      <c r="C26" s="175"/>
      <c r="D26" s="175"/>
      <c r="E26" s="175"/>
      <c r="F26" s="175"/>
      <c r="G26" s="175"/>
      <c r="H26" s="175"/>
      <c r="N26" s="123"/>
    </row>
    <row r="27" spans="1:28" ht="22.8">
      <c r="F27" s="175"/>
      <c r="G27" s="175"/>
      <c r="H27" s="175"/>
      <c r="N27" s="122" t="s">
        <v>152</v>
      </c>
    </row>
    <row r="28" spans="1:28" ht="13.2">
      <c r="B28" s="175"/>
      <c r="C28" s="175"/>
      <c r="D28" s="175"/>
      <c r="E28" s="175"/>
      <c r="F28" s="175"/>
      <c r="G28" s="175"/>
      <c r="H28" s="175"/>
    </row>
    <row r="29" spans="1:28" ht="13.2">
      <c r="B29" s="175"/>
      <c r="C29" s="175"/>
      <c r="D29" s="175"/>
      <c r="E29" s="175"/>
      <c r="F29" s="175"/>
      <c r="G29" s="175"/>
      <c r="H29" s="175"/>
    </row>
    <row r="30" spans="1:28" ht="13.2">
      <c r="B30" s="175"/>
      <c r="C30" s="175"/>
      <c r="D30" s="175"/>
      <c r="E30" s="175"/>
      <c r="F30" s="175"/>
      <c r="G30" s="175"/>
      <c r="H30" s="175"/>
    </row>
    <row r="31" spans="1:28" ht="13.2">
      <c r="B31" s="175"/>
      <c r="C31" s="175"/>
      <c r="D31" s="175"/>
      <c r="E31" s="175"/>
      <c r="F31" s="175"/>
      <c r="G31" s="175"/>
      <c r="H31" s="175"/>
    </row>
    <row r="32" spans="1:28" ht="13.2">
      <c r="B32" s="175"/>
      <c r="C32" s="175"/>
      <c r="D32" s="175"/>
      <c r="E32" s="175"/>
      <c r="F32" s="175"/>
      <c r="G32" s="175"/>
      <c r="H32" s="175"/>
    </row>
    <row r="33" spans="2:8" ht="13.2">
      <c r="B33" s="175"/>
      <c r="C33" s="175"/>
      <c r="D33" s="175"/>
      <c r="E33" s="175"/>
      <c r="F33" s="175"/>
      <c r="G33" s="175"/>
      <c r="H33" s="175"/>
    </row>
    <row r="34" spans="2:8" ht="13.2">
      <c r="B34" s="175"/>
      <c r="C34" s="175"/>
      <c r="D34" s="175"/>
      <c r="E34" s="175"/>
      <c r="F34" s="175"/>
      <c r="G34" s="175"/>
      <c r="H34" s="175"/>
    </row>
    <row r="36" spans="2:8" ht="13.2">
      <c r="B36" s="187"/>
      <c r="C36" s="187"/>
    </row>
    <row r="37" spans="2:8" ht="13.2">
      <c r="B37" s="188"/>
    </row>
    <row r="49" spans="1:11" ht="22.5" customHeight="1">
      <c r="A49" s="59" t="s">
        <v>62</v>
      </c>
      <c r="B49" s="59" t="s">
        <v>63</v>
      </c>
      <c r="C49" s="59" t="s">
        <v>64</v>
      </c>
      <c r="D49" s="59" t="s">
        <v>34</v>
      </c>
      <c r="E49" s="59" t="s">
        <v>32</v>
      </c>
      <c r="F49" s="59" t="s">
        <v>65</v>
      </c>
      <c r="G49" s="60" t="s">
        <v>66</v>
      </c>
      <c r="H49" s="59" t="s">
        <v>67</v>
      </c>
      <c r="I49" s="178" t="s">
        <v>68</v>
      </c>
      <c r="J49" s="62" t="s">
        <v>69</v>
      </c>
      <c r="K49" s="62" t="s">
        <v>70</v>
      </c>
    </row>
    <row r="50" spans="1:11" ht="22.5" customHeight="1">
      <c r="A50" s="124">
        <v>1</v>
      </c>
      <c r="B50" s="92" t="s">
        <v>153</v>
      </c>
      <c r="C50" s="149" t="s">
        <v>87</v>
      </c>
      <c r="D50" s="92"/>
      <c r="E50" s="92"/>
      <c r="F50" s="157" t="s">
        <v>36</v>
      </c>
      <c r="G50" s="189">
        <v>0.3</v>
      </c>
      <c r="H50" s="92">
        <f>Extra!E16</f>
        <v>0</v>
      </c>
      <c r="I50" s="166" t="s">
        <v>97</v>
      </c>
      <c r="J50" s="70">
        <f>G50*100</f>
        <v>30</v>
      </c>
      <c r="K50" s="92">
        <f>H50-J50</f>
        <v>-30</v>
      </c>
    </row>
  </sheetData>
  <customSheetViews>
    <customSheetView guid="{A10B6D03-49BC-4A63-8BE5-8D76540803EF}" filter="1" showAutoFilter="1">
      <pageMargins left="0.7" right="0.7" top="0.75" bottom="0.75" header="0.3" footer="0.3"/>
      <autoFilter ref="A1:M17"/>
    </customSheetView>
  </customSheetViews>
  <mergeCells count="1">
    <mergeCell ref="P3:S14"/>
  </mergeCells>
  <dataValidations count="1">
    <dataValidation type="custom" allowBlank="1" showDropDown="1" sqref="J2:J16 G23:G24 G50">
      <formula1>AND(ISNUMBER(G2),(NOT(OR(NOT(ISERROR(DATEVALUE(G2))), AND(ISNUMBER(G2), LEFT(CELL("format", G2))="D")))))</formula1>
    </dataValidation>
  </dataValidations>
  <pageMargins left="0.7" right="0.7" top="0.75" bottom="0.75" header="0.3" footer="0.3"/>
  <drawing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C232"/>
    <outlinePr summaryBelow="0" summaryRight="0"/>
  </sheetPr>
  <dimension ref="A1:S113"/>
  <sheetViews>
    <sheetView workbookViewId="0">
      <pane ySplit="1" topLeftCell="A2" activePane="bottomLeft" state="frozen"/>
      <selection pane="bottomLeft" activeCell="B3" sqref="B3"/>
    </sheetView>
  </sheetViews>
  <sheetFormatPr defaultColWidth="12.6640625" defaultRowHeight="15.75" customHeight="1"/>
  <cols>
    <col min="1" max="1" width="4.21875" customWidth="1"/>
    <col min="2" max="2" width="42.44140625" customWidth="1"/>
    <col min="4" max="4" width="13.109375" customWidth="1"/>
    <col min="5" max="5" width="21.21875" customWidth="1"/>
    <col min="6" max="6" width="21" customWidth="1"/>
    <col min="7" max="7" width="21.21875" customWidth="1"/>
    <col min="10" max="10" width="11.21875" customWidth="1"/>
    <col min="11" max="11" width="12.109375" customWidth="1"/>
    <col min="14" max="14" width="16.109375" customWidth="1"/>
    <col min="15" max="15" width="9.21875" customWidth="1"/>
    <col min="18" max="18" width="12.21875" customWidth="1"/>
  </cols>
  <sheetData>
    <row r="1" spans="1:19" ht="22.5" customHeight="1">
      <c r="A1" s="145" t="s">
        <v>62</v>
      </c>
      <c r="B1" s="145" t="s">
        <v>63</v>
      </c>
      <c r="C1" s="145" t="s">
        <v>64</v>
      </c>
      <c r="D1" s="145" t="s">
        <v>34</v>
      </c>
      <c r="E1" s="145" t="s">
        <v>32</v>
      </c>
      <c r="F1" s="145" t="s">
        <v>65</v>
      </c>
      <c r="G1" s="145" t="s">
        <v>126</v>
      </c>
      <c r="H1" s="145" t="s">
        <v>67</v>
      </c>
      <c r="I1" s="190" t="s">
        <v>68</v>
      </c>
      <c r="J1" s="191" t="s">
        <v>69</v>
      </c>
      <c r="K1" s="191" t="s">
        <v>70</v>
      </c>
      <c r="L1" s="191" t="s">
        <v>71</v>
      </c>
      <c r="M1" s="191" t="s">
        <v>72</v>
      </c>
    </row>
    <row r="2" spans="1:19" ht="22.5" customHeight="1">
      <c r="A2" s="192">
        <v>4</v>
      </c>
      <c r="B2" s="193" t="s">
        <v>154</v>
      </c>
      <c r="C2" s="194" t="s">
        <v>77</v>
      </c>
      <c r="D2" s="195" t="s">
        <v>34</v>
      </c>
      <c r="E2" s="193"/>
      <c r="F2" s="193" t="s">
        <v>148</v>
      </c>
      <c r="G2" s="67">
        <v>5.5</v>
      </c>
      <c r="H2" s="196">
        <f>CSK!E12</f>
        <v>357</v>
      </c>
      <c r="I2" s="197" t="s">
        <v>106</v>
      </c>
      <c r="J2" s="193">
        <f t="shared" ref="J2:J16" si="0">G2*100</f>
        <v>550</v>
      </c>
      <c r="K2" s="198">
        <f t="shared" ref="K2:K16" si="1">H2-J2</f>
        <v>-193</v>
      </c>
      <c r="L2" s="199">
        <f>Points!H61</f>
        <v>357</v>
      </c>
      <c r="M2" s="200">
        <f t="shared" ref="M2:M16" si="2">H2-L2</f>
        <v>0</v>
      </c>
    </row>
    <row r="3" spans="1:19" ht="22.5" customHeight="1">
      <c r="A3" s="192">
        <v>8</v>
      </c>
      <c r="B3" s="193" t="s">
        <v>155</v>
      </c>
      <c r="C3" s="201" t="s">
        <v>74</v>
      </c>
      <c r="D3" s="195" t="s">
        <v>34</v>
      </c>
      <c r="E3" s="193"/>
      <c r="F3" s="193" t="s">
        <v>148</v>
      </c>
      <c r="G3" s="67">
        <v>5</v>
      </c>
      <c r="H3" s="196">
        <f>CSK!E13</f>
        <v>520</v>
      </c>
      <c r="I3" s="202" t="s">
        <v>106</v>
      </c>
      <c r="J3" s="193">
        <f t="shared" si="0"/>
        <v>500</v>
      </c>
      <c r="K3" s="203">
        <f t="shared" si="1"/>
        <v>20</v>
      </c>
      <c r="L3" s="199">
        <f>Points!H62</f>
        <v>520</v>
      </c>
      <c r="M3" s="200">
        <f t="shared" si="2"/>
        <v>0</v>
      </c>
      <c r="O3" s="1059"/>
      <c r="P3" s="1060"/>
      <c r="Q3" s="1060"/>
      <c r="R3" s="1061"/>
    </row>
    <row r="4" spans="1:19" ht="22.5" customHeight="1">
      <c r="A4" s="192">
        <v>3</v>
      </c>
      <c r="B4" s="193" t="s">
        <v>156</v>
      </c>
      <c r="C4" s="204" t="s">
        <v>87</v>
      </c>
      <c r="D4" s="193"/>
      <c r="E4" s="193"/>
      <c r="F4" s="205" t="s">
        <v>36</v>
      </c>
      <c r="G4" s="67">
        <v>0.3</v>
      </c>
      <c r="H4" s="196">
        <f>DC!E11</f>
        <v>56</v>
      </c>
      <c r="I4" s="206" t="s">
        <v>79</v>
      </c>
      <c r="J4" s="193">
        <f t="shared" si="0"/>
        <v>30</v>
      </c>
      <c r="K4" s="207">
        <f t="shared" si="1"/>
        <v>26</v>
      </c>
      <c r="L4" s="199">
        <f>Points!H63</f>
        <v>56</v>
      </c>
      <c r="M4" s="200">
        <f t="shared" si="2"/>
        <v>0</v>
      </c>
      <c r="O4" s="1062"/>
      <c r="P4" s="1015"/>
      <c r="Q4" s="1015"/>
      <c r="R4" s="1063"/>
    </row>
    <row r="5" spans="1:19" ht="22.5" customHeight="1">
      <c r="A5" s="192">
        <v>6</v>
      </c>
      <c r="B5" s="193" t="s">
        <v>157</v>
      </c>
      <c r="C5" s="194" t="s">
        <v>77</v>
      </c>
      <c r="D5" s="195" t="s">
        <v>34</v>
      </c>
      <c r="E5" s="195" t="s">
        <v>32</v>
      </c>
      <c r="F5" s="193" t="s">
        <v>148</v>
      </c>
      <c r="G5" s="67">
        <v>11.5</v>
      </c>
      <c r="H5" s="196">
        <f>GT!F10</f>
        <v>1037</v>
      </c>
      <c r="I5" s="208" t="s">
        <v>82</v>
      </c>
      <c r="J5" s="193">
        <f t="shared" si="0"/>
        <v>1150</v>
      </c>
      <c r="K5" s="209">
        <f t="shared" si="1"/>
        <v>-113</v>
      </c>
      <c r="L5" s="199">
        <f>Points!H64</f>
        <v>1037</v>
      </c>
      <c r="M5" s="200">
        <f t="shared" si="2"/>
        <v>0</v>
      </c>
      <c r="O5" s="1062"/>
      <c r="P5" s="1015"/>
      <c r="Q5" s="1015"/>
      <c r="R5" s="1063"/>
      <c r="S5" s="210"/>
    </row>
    <row r="6" spans="1:19" ht="22.5" customHeight="1">
      <c r="A6" s="192">
        <v>10</v>
      </c>
      <c r="B6" s="193" t="s">
        <v>158</v>
      </c>
      <c r="C6" s="201" t="s">
        <v>74</v>
      </c>
      <c r="D6" s="193"/>
      <c r="E6" s="193"/>
      <c r="F6" s="193" t="s">
        <v>148</v>
      </c>
      <c r="G6" s="67">
        <v>4.75</v>
      </c>
      <c r="H6" s="196">
        <f>GT!F11</f>
        <v>572</v>
      </c>
      <c r="I6" s="208" t="s">
        <v>82</v>
      </c>
      <c r="J6" s="193">
        <f t="shared" si="0"/>
        <v>475</v>
      </c>
      <c r="K6" s="211">
        <f t="shared" si="1"/>
        <v>97</v>
      </c>
      <c r="L6" s="199">
        <f>Points!H65</f>
        <v>572</v>
      </c>
      <c r="M6" s="200">
        <f t="shared" si="2"/>
        <v>0</v>
      </c>
      <c r="O6" s="1062"/>
      <c r="P6" s="1015"/>
      <c r="Q6" s="1015"/>
      <c r="R6" s="1063"/>
    </row>
    <row r="7" spans="1:19" ht="22.5" customHeight="1">
      <c r="A7" s="192">
        <v>2</v>
      </c>
      <c r="B7" s="193" t="s">
        <v>159</v>
      </c>
      <c r="C7" s="201" t="s">
        <v>74</v>
      </c>
      <c r="D7" s="193"/>
      <c r="E7" s="193"/>
      <c r="F7" s="205" t="s">
        <v>36</v>
      </c>
      <c r="G7" s="67">
        <v>4.05</v>
      </c>
      <c r="H7" s="196">
        <f>KKR!E10</f>
        <v>405</v>
      </c>
      <c r="I7" s="212" t="s">
        <v>85</v>
      </c>
      <c r="J7" s="193">
        <f t="shared" si="0"/>
        <v>405</v>
      </c>
      <c r="K7" s="209">
        <f t="shared" si="1"/>
        <v>0</v>
      </c>
      <c r="L7" s="199">
        <f>Points!H66</f>
        <v>405</v>
      </c>
      <c r="M7" s="200">
        <f t="shared" si="2"/>
        <v>0</v>
      </c>
      <c r="O7" s="1062"/>
      <c r="P7" s="1015"/>
      <c r="Q7" s="1015"/>
      <c r="R7" s="1063"/>
    </row>
    <row r="8" spans="1:19" ht="22.5" customHeight="1">
      <c r="A8" s="192">
        <v>12</v>
      </c>
      <c r="B8" s="193" t="s">
        <v>160</v>
      </c>
      <c r="C8" s="204" t="s">
        <v>87</v>
      </c>
      <c r="D8" s="195" t="s">
        <v>34</v>
      </c>
      <c r="E8" s="193"/>
      <c r="F8" s="193" t="s">
        <v>148</v>
      </c>
      <c r="G8" s="67">
        <v>4.25</v>
      </c>
      <c r="H8" s="196">
        <f>LSG!E12</f>
        <v>431</v>
      </c>
      <c r="I8" s="213" t="s">
        <v>88</v>
      </c>
      <c r="J8" s="193">
        <f t="shared" si="0"/>
        <v>425</v>
      </c>
      <c r="K8" s="196">
        <f t="shared" si="1"/>
        <v>6</v>
      </c>
      <c r="L8" s="199">
        <f>Points!H67</f>
        <v>431</v>
      </c>
      <c r="M8" s="200">
        <f t="shared" si="2"/>
        <v>0</v>
      </c>
      <c r="O8" s="1062"/>
      <c r="P8" s="1015"/>
      <c r="Q8" s="1015"/>
      <c r="R8" s="1063"/>
    </row>
    <row r="9" spans="1:19" ht="22.5" customHeight="1">
      <c r="A9" s="192">
        <v>13</v>
      </c>
      <c r="B9" s="214" t="s">
        <v>161</v>
      </c>
      <c r="C9" s="204" t="s">
        <v>87</v>
      </c>
      <c r="D9" s="195" t="s">
        <v>34</v>
      </c>
      <c r="E9" s="193"/>
      <c r="F9" s="193" t="s">
        <v>148</v>
      </c>
      <c r="G9" s="67">
        <v>5.5</v>
      </c>
      <c r="H9" s="196">
        <f>MI!E11</f>
        <v>307</v>
      </c>
      <c r="I9" s="215" t="s">
        <v>118</v>
      </c>
      <c r="J9" s="193">
        <f t="shared" si="0"/>
        <v>550</v>
      </c>
      <c r="K9" s="216">
        <f t="shared" si="1"/>
        <v>-243</v>
      </c>
      <c r="L9" s="199">
        <f>Points!H68</f>
        <v>307</v>
      </c>
      <c r="M9" s="200">
        <f t="shared" si="2"/>
        <v>0</v>
      </c>
      <c r="O9" s="1062"/>
      <c r="P9" s="1015"/>
      <c r="Q9" s="1015"/>
      <c r="R9" s="1063"/>
    </row>
    <row r="10" spans="1:19" ht="22.5" customHeight="1">
      <c r="A10" s="192">
        <v>1</v>
      </c>
      <c r="B10" s="193" t="s">
        <v>162</v>
      </c>
      <c r="C10" s="194" t="s">
        <v>77</v>
      </c>
      <c r="D10" s="193"/>
      <c r="E10" s="193"/>
      <c r="F10" s="205" t="s">
        <v>36</v>
      </c>
      <c r="G10" s="67">
        <v>7.05</v>
      </c>
      <c r="H10" s="196">
        <f>PBSK!E12</f>
        <v>127</v>
      </c>
      <c r="I10" s="217" t="s">
        <v>91</v>
      </c>
      <c r="J10" s="193">
        <f t="shared" si="0"/>
        <v>705</v>
      </c>
      <c r="K10" s="196">
        <f t="shared" si="1"/>
        <v>-578</v>
      </c>
      <c r="L10" s="199">
        <f>Points!H69</f>
        <v>127</v>
      </c>
      <c r="M10" s="200">
        <f t="shared" si="2"/>
        <v>0</v>
      </c>
      <c r="O10" s="1062"/>
      <c r="P10" s="1015"/>
      <c r="Q10" s="1015"/>
      <c r="R10" s="1063"/>
    </row>
    <row r="11" spans="1:19" ht="22.5" customHeight="1">
      <c r="A11" s="192">
        <v>7</v>
      </c>
      <c r="B11" s="193" t="s">
        <v>163</v>
      </c>
      <c r="C11" s="194" t="s">
        <v>77</v>
      </c>
      <c r="D11" s="193"/>
      <c r="E11" s="193"/>
      <c r="F11" s="193" t="s">
        <v>148</v>
      </c>
      <c r="G11" s="67">
        <v>8.5</v>
      </c>
      <c r="H11" s="196">
        <f>PBSK!E13</f>
        <v>815</v>
      </c>
      <c r="I11" s="217" t="s">
        <v>91</v>
      </c>
      <c r="J11" s="193">
        <f t="shared" si="0"/>
        <v>850</v>
      </c>
      <c r="K11" s="198">
        <f t="shared" si="1"/>
        <v>-35</v>
      </c>
      <c r="L11" s="199">
        <f>Points!H70</f>
        <v>815</v>
      </c>
      <c r="M11" s="200">
        <f t="shared" si="2"/>
        <v>0</v>
      </c>
      <c r="O11" s="1062"/>
      <c r="P11" s="1015"/>
      <c r="Q11" s="1015"/>
      <c r="R11" s="1063"/>
    </row>
    <row r="12" spans="1:19" ht="22.5" customHeight="1">
      <c r="A12" s="192">
        <v>9</v>
      </c>
      <c r="B12" s="193" t="s">
        <v>164</v>
      </c>
      <c r="C12" s="194" t="s">
        <v>77</v>
      </c>
      <c r="D12" s="193"/>
      <c r="E12" s="193"/>
      <c r="F12" s="193" t="s">
        <v>148</v>
      </c>
      <c r="G12" s="67">
        <v>2</v>
      </c>
      <c r="H12" s="196">
        <f>RCB!E12</f>
        <v>835</v>
      </c>
      <c r="I12" s="218" t="s">
        <v>95</v>
      </c>
      <c r="J12" s="193">
        <f t="shared" si="0"/>
        <v>200</v>
      </c>
      <c r="K12" s="219">
        <f t="shared" si="1"/>
        <v>635</v>
      </c>
      <c r="L12" s="199">
        <f>Points!H71</f>
        <v>835</v>
      </c>
      <c r="M12" s="200">
        <f t="shared" si="2"/>
        <v>0</v>
      </c>
      <c r="O12" s="1062"/>
      <c r="P12" s="1015"/>
      <c r="Q12" s="1015"/>
      <c r="R12" s="1063"/>
    </row>
    <row r="13" spans="1:19" ht="22.5" customHeight="1">
      <c r="A13" s="192">
        <v>11</v>
      </c>
      <c r="B13" s="193" t="s">
        <v>165</v>
      </c>
      <c r="C13" s="194" t="s">
        <v>77</v>
      </c>
      <c r="D13" s="193"/>
      <c r="E13" s="193"/>
      <c r="F13" s="193" t="s">
        <v>148</v>
      </c>
      <c r="G13" s="67">
        <v>17</v>
      </c>
      <c r="H13" s="196">
        <f>RCB!E13</f>
        <v>1060</v>
      </c>
      <c r="I13" s="218" t="s">
        <v>95</v>
      </c>
      <c r="J13" s="193">
        <f t="shared" si="0"/>
        <v>1700</v>
      </c>
      <c r="K13" s="220">
        <f t="shared" si="1"/>
        <v>-640</v>
      </c>
      <c r="L13" s="199">
        <f>Points!H72</f>
        <v>1060</v>
      </c>
      <c r="M13" s="200">
        <f t="shared" si="2"/>
        <v>0</v>
      </c>
      <c r="O13" s="1064"/>
      <c r="P13" s="1065"/>
      <c r="Q13" s="1065"/>
      <c r="R13" s="1066"/>
    </row>
    <row r="14" spans="1:19" ht="22.5" customHeight="1">
      <c r="A14" s="192">
        <v>5</v>
      </c>
      <c r="B14" s="193" t="s">
        <v>166</v>
      </c>
      <c r="C14" s="204" t="s">
        <v>87</v>
      </c>
      <c r="D14" s="193"/>
      <c r="E14" s="193"/>
      <c r="F14" s="193" t="s">
        <v>148</v>
      </c>
      <c r="G14" s="67">
        <v>2.5</v>
      </c>
      <c r="H14" s="196">
        <f>RR!E11</f>
        <v>564</v>
      </c>
      <c r="I14" s="221" t="s">
        <v>97</v>
      </c>
      <c r="J14" s="193">
        <f t="shared" si="0"/>
        <v>250</v>
      </c>
      <c r="K14" s="198">
        <f t="shared" si="1"/>
        <v>314</v>
      </c>
      <c r="L14" s="199">
        <f>Points!H73</f>
        <v>564</v>
      </c>
      <c r="M14" s="200">
        <f t="shared" si="2"/>
        <v>0</v>
      </c>
    </row>
    <row r="15" spans="1:19" ht="22.5" customHeight="1">
      <c r="A15" s="192">
        <v>14</v>
      </c>
      <c r="B15" s="193" t="s">
        <v>167</v>
      </c>
      <c r="C15" s="204" t="s">
        <v>87</v>
      </c>
      <c r="D15" s="193"/>
      <c r="E15" s="193"/>
      <c r="F15" s="193" t="s">
        <v>148</v>
      </c>
      <c r="G15" s="67">
        <v>2</v>
      </c>
      <c r="H15" s="196">
        <f>SRH!E9</f>
        <v>40</v>
      </c>
      <c r="I15" s="222" t="s">
        <v>122</v>
      </c>
      <c r="J15" s="193">
        <f t="shared" si="0"/>
        <v>200</v>
      </c>
      <c r="K15" s="207">
        <f t="shared" si="1"/>
        <v>-160</v>
      </c>
      <c r="L15" s="199">
        <f>Points!H74</f>
        <v>40</v>
      </c>
      <c r="M15" s="200">
        <f t="shared" si="2"/>
        <v>0</v>
      </c>
    </row>
    <row r="16" spans="1:19" ht="22.5" customHeight="1">
      <c r="A16" s="192">
        <v>15</v>
      </c>
      <c r="B16" s="193" t="s">
        <v>168</v>
      </c>
      <c r="C16" s="194" t="s">
        <v>77</v>
      </c>
      <c r="D16" s="195" t="s">
        <v>34</v>
      </c>
      <c r="E16" s="195" t="s">
        <v>32</v>
      </c>
      <c r="F16" s="193" t="s">
        <v>148</v>
      </c>
      <c r="G16" s="67">
        <v>6.5</v>
      </c>
      <c r="H16" s="196">
        <f>SRH!E10</f>
        <v>1016</v>
      </c>
      <c r="I16" s="222" t="s">
        <v>122</v>
      </c>
      <c r="J16" s="193">
        <f t="shared" si="0"/>
        <v>650</v>
      </c>
      <c r="K16" s="223">
        <f t="shared" si="1"/>
        <v>366</v>
      </c>
      <c r="L16" s="199">
        <f>Points!H75</f>
        <v>1016</v>
      </c>
      <c r="M16" s="200">
        <f t="shared" si="2"/>
        <v>0</v>
      </c>
    </row>
    <row r="17" spans="1:13" ht="22.5" customHeight="1">
      <c r="A17" s="224"/>
      <c r="B17" s="225"/>
      <c r="C17" s="226"/>
      <c r="D17" s="226"/>
      <c r="E17" s="226"/>
      <c r="F17" s="226"/>
      <c r="G17" s="227" t="s">
        <v>1</v>
      </c>
      <c r="H17" s="228">
        <f>SUM(LARGE(H2:H16, 1),LARGE(H2:H16,2),LARGE(H2:H16,3),LARGE(H2:H16,4),LARGE(H2:H16,5),LARGE(H2:H16, 6),LARGE(H2:H16,7),LARGE(H2:H16,8),LARGE(H2:H16,9),LARGE(H2:H16,10),LARGE(H2:H16,11),LARGE(H2:H16,12))</f>
        <v>7919</v>
      </c>
      <c r="J17" s="229"/>
      <c r="K17" s="230"/>
      <c r="L17" s="229"/>
      <c r="M17" s="229"/>
    </row>
    <row r="18" spans="1:13" ht="22.5" customHeight="1">
      <c r="A18" s="224"/>
      <c r="B18" s="225"/>
      <c r="C18" s="226"/>
      <c r="D18" s="226"/>
      <c r="E18" s="226"/>
      <c r="F18" s="226"/>
      <c r="G18" s="227" t="s">
        <v>2</v>
      </c>
      <c r="H18" s="228">
        <f>SUM(H2:H16)</f>
        <v>8142</v>
      </c>
      <c r="J18" s="229"/>
      <c r="K18" s="230"/>
      <c r="L18" s="229"/>
      <c r="M18" s="229"/>
    </row>
    <row r="19" spans="1:13" ht="22.5" customHeight="1">
      <c r="A19" s="224"/>
      <c r="B19" s="225"/>
      <c r="C19" s="226"/>
      <c r="D19" s="226"/>
      <c r="E19" s="226"/>
      <c r="F19" s="226"/>
      <c r="G19" s="231" t="s">
        <v>101</v>
      </c>
      <c r="H19" s="232">
        <f ca="1">IFERROR(__xludf.DUMMYFUNCTION("SUM(QUERY({H1:H16;H21:H99}, ""SELECT Col1 WHERE Col1 IS NOT NULL ORDER BY Col1 DESC LIMIT 12""))"),8038)</f>
        <v>8038</v>
      </c>
      <c r="I19" s="233" t="s">
        <v>102</v>
      </c>
      <c r="J19" s="234">
        <f ca="1">H19-H17</f>
        <v>119</v>
      </c>
      <c r="K19" s="230"/>
      <c r="L19" s="229"/>
      <c r="M19" s="229"/>
    </row>
    <row r="20" spans="1:13" ht="13.2">
      <c r="B20" s="235"/>
      <c r="C20" s="235"/>
      <c r="D20" s="235"/>
      <c r="E20" s="235"/>
      <c r="F20" s="235"/>
      <c r="G20" s="235"/>
      <c r="H20" s="235"/>
      <c r="I20" s="235"/>
      <c r="J20" s="235"/>
    </row>
    <row r="22" spans="1:13" ht="22.8">
      <c r="M22" s="122" t="s">
        <v>13</v>
      </c>
    </row>
    <row r="23" spans="1:13" ht="22.5" customHeight="1">
      <c r="A23" s="59" t="s">
        <v>62</v>
      </c>
      <c r="B23" s="59" t="s">
        <v>63</v>
      </c>
      <c r="C23" s="59" t="s">
        <v>64</v>
      </c>
      <c r="D23" s="59" t="s">
        <v>34</v>
      </c>
      <c r="E23" s="59" t="s">
        <v>32</v>
      </c>
      <c r="F23" s="59" t="s">
        <v>65</v>
      </c>
      <c r="G23" s="60" t="s">
        <v>66</v>
      </c>
      <c r="H23" s="59" t="s">
        <v>67</v>
      </c>
      <c r="I23" s="178" t="s">
        <v>68</v>
      </c>
      <c r="J23" s="62" t="s">
        <v>69</v>
      </c>
      <c r="K23" s="62" t="s">
        <v>70</v>
      </c>
      <c r="M23" s="122" t="s">
        <v>169</v>
      </c>
    </row>
    <row r="24" spans="1:13" ht="22.5" customHeight="1">
      <c r="A24" s="124">
        <v>1</v>
      </c>
      <c r="B24" s="214" t="s">
        <v>170</v>
      </c>
      <c r="C24" s="204" t="s">
        <v>87</v>
      </c>
      <c r="D24" s="236"/>
      <c r="E24" s="236"/>
      <c r="F24" s="214" t="s">
        <v>148</v>
      </c>
      <c r="G24" s="237">
        <v>2</v>
      </c>
      <c r="H24" s="68">
        <f>DC!E12</f>
        <v>381</v>
      </c>
      <c r="I24" s="206" t="s">
        <v>79</v>
      </c>
      <c r="J24" s="70">
        <f t="shared" ref="J24:J26" si="3">G24*100</f>
        <v>200</v>
      </c>
      <c r="K24" s="92">
        <f t="shared" ref="K24:K26" si="4">H24-J24</f>
        <v>181</v>
      </c>
      <c r="M24" s="122" t="s">
        <v>171</v>
      </c>
    </row>
    <row r="25" spans="1:13" ht="22.5" customHeight="1">
      <c r="A25" s="124">
        <v>2</v>
      </c>
      <c r="B25" s="214" t="s">
        <v>172</v>
      </c>
      <c r="C25" s="201" t="s">
        <v>74</v>
      </c>
      <c r="D25" s="236"/>
      <c r="E25" s="238"/>
      <c r="F25" s="214" t="s">
        <v>148</v>
      </c>
      <c r="G25" s="237">
        <v>7</v>
      </c>
      <c r="H25" s="68">
        <f>MI!E13</f>
        <v>109</v>
      </c>
      <c r="I25" s="215" t="s">
        <v>118</v>
      </c>
      <c r="J25" s="239">
        <f t="shared" si="3"/>
        <v>700</v>
      </c>
      <c r="K25" s="92">
        <f t="shared" si="4"/>
        <v>-591</v>
      </c>
      <c r="M25" s="122" t="s">
        <v>173</v>
      </c>
    </row>
    <row r="26" spans="1:13" ht="22.5" customHeight="1">
      <c r="A26" s="124">
        <v>3</v>
      </c>
      <c r="B26" s="214" t="s">
        <v>174</v>
      </c>
      <c r="C26" s="204" t="s">
        <v>87</v>
      </c>
      <c r="D26" s="236"/>
      <c r="E26" s="238"/>
      <c r="F26" s="214" t="s">
        <v>175</v>
      </c>
      <c r="G26" s="237">
        <v>5.5</v>
      </c>
      <c r="H26" s="68">
        <f>RCB!E15</f>
        <v>332</v>
      </c>
      <c r="I26" s="218" t="s">
        <v>95</v>
      </c>
      <c r="J26" s="239">
        <f t="shared" si="3"/>
        <v>550</v>
      </c>
      <c r="K26" s="92">
        <f t="shared" si="4"/>
        <v>-218</v>
      </c>
      <c r="M26" s="122" t="s">
        <v>176</v>
      </c>
    </row>
    <row r="27" spans="1:13" ht="22.8">
      <c r="B27" s="235"/>
      <c r="C27" s="235"/>
      <c r="D27" s="235"/>
      <c r="E27" s="235"/>
      <c r="F27" s="235"/>
      <c r="G27" s="235"/>
      <c r="H27" s="235"/>
      <c r="I27" s="235"/>
      <c r="J27" s="235"/>
      <c r="M27" s="122" t="s">
        <v>177</v>
      </c>
    </row>
    <row r="28" spans="1:13" ht="22.8">
      <c r="B28" s="235"/>
      <c r="C28" s="235"/>
      <c r="D28" s="235"/>
      <c r="E28" s="235"/>
      <c r="F28" s="235"/>
      <c r="G28" s="235"/>
      <c r="H28" s="235"/>
      <c r="I28" s="235"/>
      <c r="J28" s="235"/>
      <c r="M28" s="123"/>
    </row>
    <row r="29" spans="1:13" ht="22.8">
      <c r="B29" s="235"/>
      <c r="C29" s="235"/>
      <c r="D29" s="235"/>
      <c r="E29" s="235"/>
      <c r="F29" s="235"/>
      <c r="G29" s="235"/>
      <c r="H29" s="235"/>
      <c r="I29" s="235"/>
      <c r="J29" s="235"/>
      <c r="M29" s="122" t="s">
        <v>178</v>
      </c>
    </row>
    <row r="30" spans="1:13" ht="13.2">
      <c r="B30" s="235"/>
      <c r="C30" s="235"/>
      <c r="D30" s="235"/>
      <c r="E30" s="235"/>
      <c r="F30" s="235"/>
      <c r="G30" s="235"/>
      <c r="H30" s="235"/>
      <c r="I30" s="235"/>
      <c r="J30" s="235"/>
    </row>
    <row r="31" spans="1:13" ht="13.2">
      <c r="B31" s="235"/>
      <c r="C31" s="235"/>
      <c r="D31" s="235"/>
      <c r="E31" s="235"/>
      <c r="F31" s="235"/>
      <c r="G31" s="235"/>
      <c r="H31" s="235"/>
      <c r="I31" s="235"/>
      <c r="J31" s="235"/>
    </row>
    <row r="32" spans="1:13" ht="13.2">
      <c r="B32" s="235"/>
      <c r="C32" s="235"/>
      <c r="D32" s="235"/>
      <c r="E32" s="235"/>
      <c r="F32" s="235"/>
      <c r="G32" s="235"/>
      <c r="H32" s="235"/>
      <c r="I32" s="235"/>
      <c r="J32" s="235"/>
    </row>
    <row r="33" spans="2:10" ht="13.2">
      <c r="B33" s="235"/>
      <c r="C33" s="235"/>
      <c r="D33" s="235"/>
      <c r="E33" s="235"/>
      <c r="F33" s="235"/>
      <c r="G33" s="235"/>
      <c r="H33" s="235"/>
      <c r="I33" s="235"/>
      <c r="J33" s="235"/>
    </row>
    <row r="34" spans="2:10" ht="13.2">
      <c r="B34" s="235"/>
      <c r="C34" s="235"/>
      <c r="D34" s="235"/>
      <c r="E34" s="235"/>
      <c r="F34" s="235"/>
      <c r="G34" s="235"/>
      <c r="H34" s="235"/>
      <c r="I34" s="235"/>
      <c r="J34" s="235"/>
    </row>
    <row r="50" spans="1:11" ht="22.5" customHeight="1">
      <c r="A50" s="59" t="s">
        <v>62</v>
      </c>
      <c r="B50" s="59" t="s">
        <v>63</v>
      </c>
      <c r="C50" s="59" t="s">
        <v>64</v>
      </c>
      <c r="D50" s="59" t="s">
        <v>34</v>
      </c>
      <c r="E50" s="59" t="s">
        <v>32</v>
      </c>
      <c r="F50" s="59" t="s">
        <v>65</v>
      </c>
      <c r="G50" s="60" t="s">
        <v>66</v>
      </c>
      <c r="H50" s="59" t="s">
        <v>67</v>
      </c>
      <c r="I50" s="178" t="s">
        <v>68</v>
      </c>
      <c r="J50" s="62" t="s">
        <v>69</v>
      </c>
      <c r="K50" s="62" t="s">
        <v>70</v>
      </c>
    </row>
    <row r="51" spans="1:11" ht="22.5" customHeight="1">
      <c r="A51" s="124">
        <v>1</v>
      </c>
      <c r="B51" s="214" t="s">
        <v>179</v>
      </c>
      <c r="C51" s="214" t="s">
        <v>74</v>
      </c>
      <c r="D51" s="238"/>
      <c r="E51" s="238"/>
      <c r="F51" s="214" t="s">
        <v>36</v>
      </c>
      <c r="G51" s="237">
        <v>5.5</v>
      </c>
      <c r="H51" s="68">
        <f>Extra!E17</f>
        <v>0</v>
      </c>
      <c r="I51" s="214" t="s">
        <v>95</v>
      </c>
      <c r="J51" s="70">
        <f t="shared" ref="J51:J53" si="5">G51*100</f>
        <v>550</v>
      </c>
      <c r="K51" s="92">
        <f t="shared" ref="K51:K53" si="6">H51-J51</f>
        <v>-550</v>
      </c>
    </row>
    <row r="52" spans="1:11" ht="22.5" customHeight="1">
      <c r="A52" s="124">
        <v>2</v>
      </c>
      <c r="B52" s="214" t="s">
        <v>180</v>
      </c>
      <c r="C52" s="214" t="s">
        <v>87</v>
      </c>
      <c r="D52" s="236"/>
      <c r="E52" s="238"/>
      <c r="F52" s="214" t="s">
        <v>148</v>
      </c>
      <c r="G52" s="237">
        <v>0.75</v>
      </c>
      <c r="H52" s="68">
        <f>Extra!E18</f>
        <v>402</v>
      </c>
      <c r="I52" s="214" t="s">
        <v>118</v>
      </c>
      <c r="J52" s="70">
        <f t="shared" si="5"/>
        <v>75</v>
      </c>
      <c r="K52" s="92">
        <f t="shared" si="6"/>
        <v>327</v>
      </c>
    </row>
    <row r="53" spans="1:11" ht="22.5" customHeight="1">
      <c r="A53" s="124">
        <v>3</v>
      </c>
      <c r="B53" s="214" t="s">
        <v>181</v>
      </c>
      <c r="C53" s="214" t="s">
        <v>74</v>
      </c>
      <c r="D53" s="236"/>
      <c r="E53" s="238"/>
      <c r="F53" s="214" t="s">
        <v>148</v>
      </c>
      <c r="G53" s="237">
        <v>1.75</v>
      </c>
      <c r="H53" s="68">
        <f>Extra!E19</f>
        <v>12</v>
      </c>
      <c r="I53" s="214" t="s">
        <v>106</v>
      </c>
      <c r="J53" s="239">
        <f t="shared" si="5"/>
        <v>175</v>
      </c>
      <c r="K53" s="92">
        <f t="shared" si="6"/>
        <v>-163</v>
      </c>
    </row>
    <row r="54" spans="1:11" ht="22.5" customHeight="1">
      <c r="A54" s="118"/>
      <c r="B54" s="214"/>
      <c r="C54" s="214"/>
      <c r="D54" s="240"/>
      <c r="E54" s="241"/>
      <c r="F54" s="214"/>
      <c r="G54" s="237"/>
      <c r="H54" s="68"/>
      <c r="I54" s="214"/>
      <c r="J54" s="242"/>
      <c r="K54" s="117"/>
    </row>
    <row r="113" spans="17:17" ht="13.2">
      <c r="Q113" s="243" t="s">
        <v>182</v>
      </c>
    </row>
  </sheetData>
  <mergeCells count="1">
    <mergeCell ref="O3:R13"/>
  </mergeCells>
  <dataValidations count="1">
    <dataValidation type="custom" allowBlank="1" showDropDown="1" sqref="A2:A19 H2:H19 K2:K19 G24:G26 G51:G54">
      <formula1>AND(ISNUMBER(A2),(NOT(OR(NOT(ISERROR(DATEVALUE(A2))), AND(ISNUMBER(A2), LEFT(CELL("format", A2))="D")))))</formula1>
    </dataValidation>
  </dataValidations>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9138"/>
    <outlinePr summaryBelow="0" summaryRight="0"/>
  </sheetPr>
  <dimension ref="A1:R49"/>
  <sheetViews>
    <sheetView workbookViewId="0">
      <pane ySplit="1" topLeftCell="A2" activePane="bottomLeft" state="frozen"/>
      <selection pane="bottomLeft" activeCell="B3" sqref="B3"/>
    </sheetView>
  </sheetViews>
  <sheetFormatPr defaultColWidth="12.6640625" defaultRowHeight="15.75" customHeight="1"/>
  <cols>
    <col min="1" max="1" width="5.109375" customWidth="1"/>
    <col min="2" max="2" width="37.77734375" customWidth="1"/>
    <col min="4" max="4" width="13.109375" customWidth="1"/>
    <col min="5" max="5" width="17.77734375" customWidth="1"/>
    <col min="6" max="6" width="21.33203125" customWidth="1"/>
    <col min="7" max="7" width="21.21875" customWidth="1"/>
    <col min="10" max="10" width="11.6640625" customWidth="1"/>
    <col min="11" max="11" width="11.21875" customWidth="1"/>
    <col min="14" max="14" width="11.109375" customWidth="1"/>
  </cols>
  <sheetData>
    <row r="1" spans="1:18" ht="22.5" customHeight="1">
      <c r="A1" s="145" t="s">
        <v>62</v>
      </c>
      <c r="B1" s="145" t="s">
        <v>63</v>
      </c>
      <c r="C1" s="145" t="s">
        <v>64</v>
      </c>
      <c r="D1" s="145" t="s">
        <v>34</v>
      </c>
      <c r="E1" s="145" t="s">
        <v>32</v>
      </c>
      <c r="F1" s="145" t="s">
        <v>65</v>
      </c>
      <c r="G1" s="145" t="s">
        <v>126</v>
      </c>
      <c r="H1" s="145" t="s">
        <v>67</v>
      </c>
      <c r="I1" s="146" t="s">
        <v>68</v>
      </c>
      <c r="J1" s="146" t="s">
        <v>69</v>
      </c>
      <c r="K1" s="146" t="s">
        <v>70</v>
      </c>
      <c r="L1" s="146" t="s">
        <v>71</v>
      </c>
      <c r="M1" s="146" t="s">
        <v>72</v>
      </c>
    </row>
    <row r="2" spans="1:18" ht="22.5" customHeight="1">
      <c r="A2" s="147">
        <v>1</v>
      </c>
      <c r="B2" s="214" t="s">
        <v>183</v>
      </c>
      <c r="C2" s="244" t="s">
        <v>77</v>
      </c>
      <c r="D2" s="214"/>
      <c r="E2" s="214"/>
      <c r="F2" s="245" t="s">
        <v>36</v>
      </c>
      <c r="G2" s="67">
        <v>6.55</v>
      </c>
      <c r="H2" s="79">
        <f>CSK!E6+RR!E12</f>
        <v>312</v>
      </c>
      <c r="I2" s="246" t="s">
        <v>184</v>
      </c>
      <c r="J2" s="247">
        <v>500</v>
      </c>
      <c r="K2" s="248">
        <f t="shared" ref="K2:K16" si="0">H2-J2</f>
        <v>-188</v>
      </c>
      <c r="L2" s="249">
        <f>Points!H24</f>
        <v>311</v>
      </c>
      <c r="M2" s="249">
        <f t="shared" ref="M2:M16" si="1">H2-L2</f>
        <v>1</v>
      </c>
    </row>
    <row r="3" spans="1:18" ht="22.5" customHeight="1">
      <c r="A3" s="147">
        <v>9</v>
      </c>
      <c r="B3" s="214" t="s">
        <v>185</v>
      </c>
      <c r="C3" s="244" t="s">
        <v>77</v>
      </c>
      <c r="D3" s="214"/>
      <c r="E3" s="245" t="s">
        <v>186</v>
      </c>
      <c r="F3" s="245" t="s">
        <v>36</v>
      </c>
      <c r="G3" s="67">
        <v>2</v>
      </c>
      <c r="H3" s="79">
        <f>CSK!E7</f>
        <v>0</v>
      </c>
      <c r="I3" s="250" t="s">
        <v>106</v>
      </c>
      <c r="J3" s="247">
        <v>1100</v>
      </c>
      <c r="K3" s="248">
        <f t="shared" si="0"/>
        <v>-1100</v>
      </c>
      <c r="L3" s="249">
        <f>Points!H25</f>
        <v>0</v>
      </c>
      <c r="M3" s="249">
        <f t="shared" si="1"/>
        <v>0</v>
      </c>
      <c r="O3" s="1067"/>
      <c r="P3" s="1068"/>
      <c r="Q3" s="1068"/>
      <c r="R3" s="1069"/>
    </row>
    <row r="4" spans="1:18" ht="22.5" customHeight="1">
      <c r="A4" s="147">
        <v>7</v>
      </c>
      <c r="B4" s="214" t="s">
        <v>187</v>
      </c>
      <c r="C4" s="251" t="s">
        <v>74</v>
      </c>
      <c r="D4" s="245" t="s">
        <v>186</v>
      </c>
      <c r="E4" s="214"/>
      <c r="F4" s="214"/>
      <c r="G4" s="67">
        <v>5.5</v>
      </c>
      <c r="H4" s="79">
        <f>DC!E7</f>
        <v>404</v>
      </c>
      <c r="I4" s="252" t="s">
        <v>79</v>
      </c>
      <c r="J4" s="247">
        <v>250</v>
      </c>
      <c r="K4" s="248">
        <f t="shared" si="0"/>
        <v>154</v>
      </c>
      <c r="L4" s="249">
        <f>Points!H26</f>
        <v>404</v>
      </c>
      <c r="M4" s="249">
        <f t="shared" si="1"/>
        <v>0</v>
      </c>
      <c r="O4" s="1070"/>
      <c r="P4" s="1015"/>
      <c r="Q4" s="1015"/>
      <c r="R4" s="1071"/>
    </row>
    <row r="5" spans="1:18" ht="22.5" customHeight="1">
      <c r="A5" s="147">
        <v>4</v>
      </c>
      <c r="B5" s="214" t="s">
        <v>188</v>
      </c>
      <c r="C5" s="244" t="s">
        <v>77</v>
      </c>
      <c r="D5" s="245" t="s">
        <v>186</v>
      </c>
      <c r="E5" s="214"/>
      <c r="F5" s="214"/>
      <c r="G5" s="67">
        <v>1.5</v>
      </c>
      <c r="H5" s="79">
        <f>GT!F7</f>
        <v>165</v>
      </c>
      <c r="I5" s="253" t="s">
        <v>82</v>
      </c>
      <c r="J5" s="247">
        <v>30</v>
      </c>
      <c r="K5" s="248">
        <f t="shared" si="0"/>
        <v>135</v>
      </c>
      <c r="L5" s="249">
        <f>Points!H27</f>
        <v>165</v>
      </c>
      <c r="M5" s="249">
        <f t="shared" si="1"/>
        <v>0</v>
      </c>
      <c r="O5" s="1070"/>
      <c r="P5" s="1015"/>
      <c r="Q5" s="1015"/>
      <c r="R5" s="1071"/>
    </row>
    <row r="6" spans="1:18" ht="22.5" customHeight="1">
      <c r="A6" s="147">
        <v>10</v>
      </c>
      <c r="B6" s="214" t="s">
        <v>189</v>
      </c>
      <c r="C6" s="254" t="s">
        <v>87</v>
      </c>
      <c r="D6" s="245" t="s">
        <v>186</v>
      </c>
      <c r="E6" s="214"/>
      <c r="F6" s="214"/>
      <c r="G6" s="67">
        <v>7.5</v>
      </c>
      <c r="H6" s="79">
        <f>KKR!E6</f>
        <v>688</v>
      </c>
      <c r="I6" s="255" t="s">
        <v>85</v>
      </c>
      <c r="J6" s="247">
        <v>600</v>
      </c>
      <c r="K6" s="248">
        <f t="shared" si="0"/>
        <v>88</v>
      </c>
      <c r="L6" s="249">
        <f>Points!H28</f>
        <v>688</v>
      </c>
      <c r="M6" s="249">
        <f t="shared" si="1"/>
        <v>0</v>
      </c>
      <c r="O6" s="1070"/>
      <c r="P6" s="1015"/>
      <c r="Q6" s="1015"/>
      <c r="R6" s="1071"/>
    </row>
    <row r="7" spans="1:18" ht="22.5" customHeight="1">
      <c r="A7" s="147">
        <v>12</v>
      </c>
      <c r="B7" s="214" t="s">
        <v>190</v>
      </c>
      <c r="C7" s="244" t="s">
        <v>77</v>
      </c>
      <c r="D7" s="214"/>
      <c r="E7" s="214"/>
      <c r="F7" s="214"/>
      <c r="G7" s="67">
        <v>4.75</v>
      </c>
      <c r="H7" s="79">
        <f>KKR!E7</f>
        <v>550</v>
      </c>
      <c r="I7" s="255" t="s">
        <v>85</v>
      </c>
      <c r="J7" s="247">
        <v>700</v>
      </c>
      <c r="K7" s="248">
        <f t="shared" si="0"/>
        <v>-150</v>
      </c>
      <c r="L7" s="249">
        <f>Points!H29</f>
        <v>550</v>
      </c>
      <c r="M7" s="249">
        <f t="shared" si="1"/>
        <v>0</v>
      </c>
      <c r="O7" s="1070"/>
      <c r="P7" s="1015"/>
      <c r="Q7" s="1015"/>
      <c r="R7" s="1071"/>
    </row>
    <row r="8" spans="1:18" ht="22.5" customHeight="1">
      <c r="A8" s="147">
        <v>3</v>
      </c>
      <c r="B8" s="214" t="s">
        <v>191</v>
      </c>
      <c r="C8" s="254" t="s">
        <v>87</v>
      </c>
      <c r="D8" s="214"/>
      <c r="E8" s="214"/>
      <c r="F8" s="245" t="s">
        <v>36</v>
      </c>
      <c r="G8" s="67">
        <v>3</v>
      </c>
      <c r="H8" s="79">
        <f>LSG!E8</f>
        <v>348</v>
      </c>
      <c r="I8" s="256" t="s">
        <v>88</v>
      </c>
      <c r="J8" s="247">
        <v>450</v>
      </c>
      <c r="K8" s="248">
        <f t="shared" si="0"/>
        <v>-102</v>
      </c>
      <c r="L8" s="249">
        <f>Points!H30</f>
        <v>348</v>
      </c>
      <c r="M8" s="249">
        <f t="shared" si="1"/>
        <v>0</v>
      </c>
      <c r="O8" s="1070"/>
      <c r="P8" s="1015"/>
      <c r="Q8" s="1015"/>
      <c r="R8" s="1071"/>
    </row>
    <row r="9" spans="1:18" ht="22.5" customHeight="1">
      <c r="A9" s="147">
        <v>6</v>
      </c>
      <c r="B9" s="214" t="s">
        <v>192</v>
      </c>
      <c r="C9" s="254" t="s">
        <v>87</v>
      </c>
      <c r="D9" s="214"/>
      <c r="E9" s="214"/>
      <c r="F9" s="214"/>
      <c r="G9" s="67">
        <v>15</v>
      </c>
      <c r="H9" s="68">
        <f>MI!E5</f>
        <v>462</v>
      </c>
      <c r="I9" s="257" t="s">
        <v>118</v>
      </c>
      <c r="J9" s="247">
        <v>800</v>
      </c>
      <c r="K9" s="248">
        <f t="shared" si="0"/>
        <v>-338</v>
      </c>
      <c r="L9" s="249">
        <f>Points!H31</f>
        <v>462</v>
      </c>
      <c r="M9" s="249">
        <f t="shared" si="1"/>
        <v>0</v>
      </c>
      <c r="O9" s="1070"/>
      <c r="P9" s="1015"/>
      <c r="Q9" s="1015"/>
      <c r="R9" s="1071"/>
    </row>
    <row r="10" spans="1:18" ht="22.5" customHeight="1">
      <c r="A10" s="147">
        <v>5</v>
      </c>
      <c r="B10" s="214" t="s">
        <v>193</v>
      </c>
      <c r="C10" s="244" t="s">
        <v>77</v>
      </c>
      <c r="D10" s="214"/>
      <c r="E10" s="214"/>
      <c r="F10" s="214"/>
      <c r="G10" s="67">
        <v>16.5</v>
      </c>
      <c r="H10" s="68">
        <f>MI!E6</f>
        <v>432</v>
      </c>
      <c r="I10" s="257" t="s">
        <v>118</v>
      </c>
      <c r="J10" s="247">
        <v>850</v>
      </c>
      <c r="K10" s="248">
        <f t="shared" si="0"/>
        <v>-418</v>
      </c>
      <c r="L10" s="249">
        <f>Points!H32</f>
        <v>432</v>
      </c>
      <c r="M10" s="249">
        <f t="shared" si="1"/>
        <v>0</v>
      </c>
      <c r="O10" s="1070"/>
      <c r="P10" s="1015"/>
      <c r="Q10" s="1015"/>
      <c r="R10" s="1071"/>
    </row>
    <row r="11" spans="1:18" ht="22.5" customHeight="1">
      <c r="A11" s="147">
        <v>8</v>
      </c>
      <c r="B11" s="214" t="s">
        <v>194</v>
      </c>
      <c r="C11" s="244" t="s">
        <v>77</v>
      </c>
      <c r="D11" s="214"/>
      <c r="E11" s="214"/>
      <c r="F11" s="214"/>
      <c r="G11" s="67">
        <v>5.5</v>
      </c>
      <c r="H11" s="68">
        <f>MI!E7</f>
        <v>422</v>
      </c>
      <c r="I11" s="257" t="s">
        <v>118</v>
      </c>
      <c r="J11" s="247">
        <v>1100</v>
      </c>
      <c r="K11" s="248">
        <f t="shared" si="0"/>
        <v>-678</v>
      </c>
      <c r="L11" s="249">
        <f>Points!H33</f>
        <v>422</v>
      </c>
      <c r="M11" s="249">
        <f t="shared" si="1"/>
        <v>0</v>
      </c>
      <c r="O11" s="1070"/>
      <c r="P11" s="1015"/>
      <c r="Q11" s="1015"/>
      <c r="R11" s="1071"/>
    </row>
    <row r="12" spans="1:18" ht="22.5" customHeight="1">
      <c r="A12" s="147">
        <v>2</v>
      </c>
      <c r="B12" s="214" t="s">
        <v>195</v>
      </c>
      <c r="C12" s="254" t="s">
        <v>87</v>
      </c>
      <c r="D12" s="214"/>
      <c r="E12" s="214"/>
      <c r="F12" s="245" t="s">
        <v>36</v>
      </c>
      <c r="G12" s="67">
        <v>7.05</v>
      </c>
      <c r="H12" s="79">
        <f>PBSK!E8</f>
        <v>585</v>
      </c>
      <c r="I12" s="247" t="s">
        <v>91</v>
      </c>
      <c r="J12" s="247">
        <v>300</v>
      </c>
      <c r="K12" s="248">
        <f t="shared" si="0"/>
        <v>285</v>
      </c>
      <c r="L12" s="249">
        <f>Points!H34</f>
        <v>585</v>
      </c>
      <c r="M12" s="249">
        <f t="shared" si="1"/>
        <v>0</v>
      </c>
      <c r="O12" s="1070"/>
      <c r="P12" s="1015"/>
      <c r="Q12" s="1015"/>
      <c r="R12" s="1071"/>
    </row>
    <row r="13" spans="1:18" ht="22.5" customHeight="1">
      <c r="A13" s="147">
        <v>13</v>
      </c>
      <c r="B13" s="214" t="s">
        <v>196</v>
      </c>
      <c r="C13" s="244" t="s">
        <v>77</v>
      </c>
      <c r="D13" s="245" t="s">
        <v>186</v>
      </c>
      <c r="E13" s="245" t="s">
        <v>186</v>
      </c>
      <c r="F13" s="214"/>
      <c r="G13" s="67">
        <v>6.5</v>
      </c>
      <c r="H13" s="79">
        <f>RCB!E6</f>
        <v>348</v>
      </c>
      <c r="I13" s="258" t="s">
        <v>95</v>
      </c>
      <c r="J13" s="247">
        <v>1000</v>
      </c>
      <c r="K13" s="248">
        <f t="shared" si="0"/>
        <v>-652</v>
      </c>
      <c r="L13" s="249">
        <f>Points!H35</f>
        <v>348</v>
      </c>
      <c r="M13" s="249">
        <f t="shared" si="1"/>
        <v>0</v>
      </c>
      <c r="O13" s="1070"/>
      <c r="P13" s="1015"/>
      <c r="Q13" s="1015"/>
      <c r="R13" s="1071"/>
    </row>
    <row r="14" spans="1:18" ht="22.5" customHeight="1">
      <c r="A14" s="147">
        <v>11</v>
      </c>
      <c r="B14" s="214" t="s">
        <v>197</v>
      </c>
      <c r="C14" s="251" t="s">
        <v>74</v>
      </c>
      <c r="D14" s="214"/>
      <c r="E14" s="214"/>
      <c r="F14" s="214"/>
      <c r="G14" s="67">
        <v>3</v>
      </c>
      <c r="H14" s="79">
        <f>RCB!E7</f>
        <v>1051</v>
      </c>
      <c r="I14" s="258" t="s">
        <v>95</v>
      </c>
      <c r="J14" s="247">
        <v>850</v>
      </c>
      <c r="K14" s="248">
        <f t="shared" si="0"/>
        <v>201</v>
      </c>
      <c r="L14" s="249">
        <f>Points!H36</f>
        <v>1051</v>
      </c>
      <c r="M14" s="249">
        <f t="shared" si="1"/>
        <v>0</v>
      </c>
      <c r="O14" s="1072"/>
      <c r="P14" s="1073"/>
      <c r="Q14" s="1073"/>
      <c r="R14" s="1074"/>
    </row>
    <row r="15" spans="1:18" ht="22.5" customHeight="1">
      <c r="A15" s="147">
        <v>14</v>
      </c>
      <c r="B15" s="214" t="s">
        <v>198</v>
      </c>
      <c r="C15" s="251" t="s">
        <v>74</v>
      </c>
      <c r="D15" s="245" t="s">
        <v>186</v>
      </c>
      <c r="E15" s="214"/>
      <c r="F15" s="214"/>
      <c r="G15" s="67">
        <v>4</v>
      </c>
      <c r="H15" s="79">
        <f>RCB!E8</f>
        <v>643</v>
      </c>
      <c r="I15" s="258" t="s">
        <v>95</v>
      </c>
      <c r="J15" s="247">
        <v>750</v>
      </c>
      <c r="K15" s="248">
        <f t="shared" si="0"/>
        <v>-107</v>
      </c>
      <c r="L15" s="249">
        <f>Points!H37</f>
        <v>643</v>
      </c>
      <c r="M15" s="249">
        <f t="shared" si="1"/>
        <v>0</v>
      </c>
    </row>
    <row r="16" spans="1:18" ht="22.5" customHeight="1">
      <c r="A16" s="147">
        <v>15</v>
      </c>
      <c r="B16" s="214" t="s">
        <v>199</v>
      </c>
      <c r="C16" s="244" t="s">
        <v>77</v>
      </c>
      <c r="D16" s="245" t="s">
        <v>186</v>
      </c>
      <c r="E16" s="214"/>
      <c r="F16" s="214"/>
      <c r="G16" s="67">
        <v>0.75</v>
      </c>
      <c r="H16" s="79">
        <f>RR!E7</f>
        <v>169</v>
      </c>
      <c r="I16" s="259" t="s">
        <v>97</v>
      </c>
      <c r="J16" s="247">
        <v>250</v>
      </c>
      <c r="K16" s="248">
        <f t="shared" si="0"/>
        <v>-81</v>
      </c>
      <c r="L16" s="249">
        <f>Points!H38</f>
        <v>169</v>
      </c>
      <c r="M16" s="249">
        <f t="shared" si="1"/>
        <v>0</v>
      </c>
    </row>
    <row r="17" spans="1:13" ht="22.5" customHeight="1">
      <c r="A17" s="168"/>
      <c r="B17" s="260"/>
      <c r="C17" s="261"/>
      <c r="D17" s="260"/>
      <c r="E17" s="260"/>
      <c r="F17" s="260"/>
      <c r="G17" s="262" t="s">
        <v>1</v>
      </c>
      <c r="H17" s="263">
        <f>SUM(LARGE(H2:H16, 1),LARGE(H2:H16,2),LARGE(H2:H16,3),LARGE(H2:H16,4),LARGE(H2:H16,5),LARGE(H2:H16, 6),LARGE(H2:H16,7),LARGE(H2:H16,8),LARGE(H2:H16,9),LARGE(H2:H16,10),LARGE(H2:H16,11),LARGE(H2:H16,12))</f>
        <v>6245</v>
      </c>
      <c r="I17" s="248"/>
      <c r="J17" s="248"/>
      <c r="K17" s="248"/>
      <c r="L17" s="249"/>
      <c r="M17" s="249"/>
    </row>
    <row r="18" spans="1:13" ht="16.8">
      <c r="G18" s="264" t="s">
        <v>2</v>
      </c>
      <c r="H18" s="265">
        <f>SUM(Challengers[Points])</f>
        <v>6579</v>
      </c>
      <c r="I18" s="266"/>
      <c r="J18" s="266"/>
    </row>
    <row r="19" spans="1:13" ht="22.8">
      <c r="G19" s="267" t="s">
        <v>101</v>
      </c>
      <c r="H19" s="268">
        <f ca="1">IFERROR(__xludf.DUMMYFUNCTION("SUM(QUERY({H1:H16;H21:H99}, ""SELECT Col1 WHERE Col1 IS NOT NULL ORDER BY Col1 DESC LIMIT 12""))"),6406)</f>
        <v>6406</v>
      </c>
      <c r="I19" s="97" t="s">
        <v>102</v>
      </c>
      <c r="J19" s="269">
        <f ca="1">H19-Challengers[[#Totals],[Points]]</f>
        <v>161</v>
      </c>
      <c r="M19" s="122" t="s">
        <v>15</v>
      </c>
    </row>
    <row r="20" spans="1:13" ht="22.8">
      <c r="M20" s="122" t="s">
        <v>200</v>
      </c>
    </row>
    <row r="21" spans="1:13" ht="22.8">
      <c r="M21" s="122" t="s">
        <v>201</v>
      </c>
    </row>
    <row r="22" spans="1:13" ht="22.5" customHeight="1">
      <c r="A22" s="59" t="s">
        <v>62</v>
      </c>
      <c r="B22" s="59" t="s">
        <v>63</v>
      </c>
      <c r="C22" s="59" t="s">
        <v>64</v>
      </c>
      <c r="D22" s="59" t="s">
        <v>34</v>
      </c>
      <c r="E22" s="59" t="s">
        <v>32</v>
      </c>
      <c r="F22" s="59" t="s">
        <v>65</v>
      </c>
      <c r="G22" s="60" t="s">
        <v>66</v>
      </c>
      <c r="H22" s="59" t="s">
        <v>67</v>
      </c>
      <c r="I22" s="178" t="s">
        <v>68</v>
      </c>
      <c r="J22" s="62" t="s">
        <v>69</v>
      </c>
      <c r="K22" s="62" t="s">
        <v>70</v>
      </c>
      <c r="M22" s="122" t="s">
        <v>202</v>
      </c>
    </row>
    <row r="23" spans="1:13" ht="22.5" customHeight="1">
      <c r="A23" s="66">
        <v>1</v>
      </c>
      <c r="B23" s="66" t="s">
        <v>203</v>
      </c>
      <c r="C23" s="66" t="s">
        <v>74</v>
      </c>
      <c r="D23" s="66"/>
      <c r="E23" s="66"/>
      <c r="F23" s="66"/>
      <c r="G23" s="67">
        <v>2.5</v>
      </c>
      <c r="H23" s="66">
        <f>Points!H39</f>
        <v>193</v>
      </c>
      <c r="I23" s="270" t="s">
        <v>97</v>
      </c>
      <c r="J23" s="67">
        <f t="shared" ref="J23:J24" si="2">G23*100</f>
        <v>250</v>
      </c>
      <c r="K23" s="67">
        <f t="shared" ref="K23:K24" si="3">H23-J23</f>
        <v>-57</v>
      </c>
      <c r="M23" s="122" t="s">
        <v>204</v>
      </c>
    </row>
    <row r="24" spans="1:13" ht="22.5" customHeight="1">
      <c r="A24" s="66">
        <v>2</v>
      </c>
      <c r="B24" s="66" t="s">
        <v>205</v>
      </c>
      <c r="C24" s="66" t="s">
        <v>87</v>
      </c>
      <c r="D24" s="66"/>
      <c r="E24" s="66"/>
      <c r="F24" s="66"/>
      <c r="G24" s="67">
        <v>8</v>
      </c>
      <c r="H24" s="66">
        <f>PBSK!E14</f>
        <v>473</v>
      </c>
      <c r="I24" s="66" t="s">
        <v>91</v>
      </c>
      <c r="J24" s="67">
        <f t="shared" si="2"/>
        <v>800</v>
      </c>
      <c r="K24" s="67">
        <f t="shared" si="3"/>
        <v>-327</v>
      </c>
      <c r="M24" s="123"/>
    </row>
    <row r="25" spans="1:13" ht="22.8">
      <c r="M25" s="122" t="s">
        <v>206</v>
      </c>
    </row>
    <row r="49" spans="1:11" ht="22.5" hidden="1" customHeight="1">
      <c r="A49" s="59" t="s">
        <v>62</v>
      </c>
      <c r="B49" s="59" t="s">
        <v>63</v>
      </c>
      <c r="C49" s="59" t="s">
        <v>64</v>
      </c>
      <c r="D49" s="59" t="s">
        <v>34</v>
      </c>
      <c r="E49" s="59" t="s">
        <v>32</v>
      </c>
      <c r="F49" s="59" t="s">
        <v>65</v>
      </c>
      <c r="G49" s="60" t="s">
        <v>66</v>
      </c>
      <c r="H49" s="59" t="s">
        <v>67</v>
      </c>
      <c r="I49" s="178" t="s">
        <v>68</v>
      </c>
      <c r="J49" s="62" t="s">
        <v>69</v>
      </c>
      <c r="K49" s="62" t="s">
        <v>70</v>
      </c>
    </row>
  </sheetData>
  <customSheetViews>
    <customSheetView guid="{A10B6D03-49BC-4A63-8BE5-8D76540803EF}" filter="1" showAutoFilter="1">
      <pageMargins left="0.7" right="0.7" top="0.75" bottom="0.75" header="0.3" footer="0.3"/>
      <autoFilter ref="A1:M17"/>
    </customSheetView>
  </customSheetViews>
  <mergeCells count="1">
    <mergeCell ref="O3:R14"/>
  </mergeCells>
  <dataValidations count="1">
    <dataValidation type="custom" allowBlank="1" showDropDown="1" sqref="A2:A16 G23:G24">
      <formula1>AND(ISNUMBER(A2),(NOT(OR(NOT(ISERROR(DATEVALUE(A2))), AND(ISNUMBER(A2), LEFT(CELL("format", A2))="D")))))</formula1>
    </dataValidation>
  </dataValidations>
  <pageMargins left="0.7" right="0.7" top="0.75" bottom="0.75" header="0.3" footer="0.3"/>
  <drawing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06666"/>
    <outlinePr summaryBelow="0" summaryRight="0"/>
  </sheetPr>
  <dimension ref="A1:R1004"/>
  <sheetViews>
    <sheetView workbookViewId="0">
      <pane ySplit="1" topLeftCell="A2" activePane="bottomLeft" state="frozen"/>
      <selection pane="bottomLeft" activeCell="B3" sqref="B3"/>
    </sheetView>
  </sheetViews>
  <sheetFormatPr defaultColWidth="12.6640625" defaultRowHeight="15.75" customHeight="1"/>
  <cols>
    <col min="1" max="1" width="4.77734375" customWidth="1"/>
    <col min="2" max="2" width="27.88671875" customWidth="1"/>
    <col min="3" max="4" width="13.109375" customWidth="1"/>
    <col min="5" max="5" width="17.88671875" customWidth="1"/>
    <col min="6" max="6" width="21.33203125" customWidth="1"/>
    <col min="7" max="7" width="21.21875" customWidth="1"/>
    <col min="9" max="9" width="15.44140625" customWidth="1"/>
    <col min="11" max="11" width="10.88671875" customWidth="1"/>
    <col min="14" max="14" width="15" customWidth="1"/>
    <col min="15" max="15" width="10.33203125" customWidth="1"/>
    <col min="18" max="18" width="10.6640625" customWidth="1"/>
  </cols>
  <sheetData>
    <row r="1" spans="1:18" ht="22.5" customHeight="1">
      <c r="A1" s="145" t="s">
        <v>62</v>
      </c>
      <c r="B1" s="145" t="s">
        <v>63</v>
      </c>
      <c r="C1" s="145" t="s">
        <v>64</v>
      </c>
      <c r="D1" s="145" t="s">
        <v>34</v>
      </c>
      <c r="E1" s="145" t="s">
        <v>32</v>
      </c>
      <c r="F1" s="145" t="s">
        <v>65</v>
      </c>
      <c r="G1" s="145" t="s">
        <v>126</v>
      </c>
      <c r="H1" s="145" t="s">
        <v>67</v>
      </c>
      <c r="I1" s="145" t="s">
        <v>68</v>
      </c>
      <c r="J1" s="146" t="s">
        <v>69</v>
      </c>
      <c r="K1" s="271" t="s">
        <v>70</v>
      </c>
      <c r="L1" s="271" t="s">
        <v>71</v>
      </c>
      <c r="M1" s="271" t="s">
        <v>72</v>
      </c>
    </row>
    <row r="2" spans="1:18" ht="22.5" customHeight="1">
      <c r="A2" s="147">
        <v>1</v>
      </c>
      <c r="B2" s="214" t="s">
        <v>207</v>
      </c>
      <c r="C2" s="272" t="s">
        <v>87</v>
      </c>
      <c r="D2" s="214"/>
      <c r="E2" s="214"/>
      <c r="F2" s="273" t="s">
        <v>36</v>
      </c>
      <c r="G2" s="67">
        <v>3.05</v>
      </c>
      <c r="H2" s="79">
        <f>CSK!E8</f>
        <v>139</v>
      </c>
      <c r="I2" s="274" t="s">
        <v>106</v>
      </c>
      <c r="J2" s="70">
        <f t="shared" ref="J2:J16" si="0">G2*100</f>
        <v>305</v>
      </c>
      <c r="K2" s="275">
        <f t="shared" ref="K2:K16" si="1">H2-J2</f>
        <v>-166</v>
      </c>
      <c r="L2" s="276">
        <f>Points!H41</f>
        <v>139</v>
      </c>
      <c r="M2" s="276">
        <f t="shared" ref="M2:M16" si="2">H2-L2</f>
        <v>0</v>
      </c>
    </row>
    <row r="3" spans="1:18" ht="22.5" customHeight="1">
      <c r="A3" s="147">
        <v>4</v>
      </c>
      <c r="B3" s="214" t="s">
        <v>208</v>
      </c>
      <c r="C3" s="277" t="s">
        <v>77</v>
      </c>
      <c r="D3" s="214"/>
      <c r="E3" s="214"/>
      <c r="F3" s="79" t="s">
        <v>148</v>
      </c>
      <c r="G3" s="67">
        <v>12</v>
      </c>
      <c r="H3" s="79">
        <f>CSK!E9</f>
        <v>532</v>
      </c>
      <c r="I3" s="274" t="s">
        <v>106</v>
      </c>
      <c r="J3" s="70">
        <f t="shared" si="0"/>
        <v>1200</v>
      </c>
      <c r="K3" s="275">
        <f t="shared" si="1"/>
        <v>-668</v>
      </c>
      <c r="L3" s="276">
        <f>Points!H42</f>
        <v>532</v>
      </c>
      <c r="M3" s="276">
        <f t="shared" si="2"/>
        <v>0</v>
      </c>
      <c r="O3" s="1075"/>
      <c r="P3" s="1076"/>
      <c r="Q3" s="1076"/>
      <c r="R3" s="1077"/>
    </row>
    <row r="4" spans="1:18" ht="22.5" customHeight="1">
      <c r="A4" s="147">
        <v>6</v>
      </c>
      <c r="B4" s="214" t="s">
        <v>209</v>
      </c>
      <c r="C4" s="272" t="s">
        <v>87</v>
      </c>
      <c r="D4" s="214"/>
      <c r="E4" s="214"/>
      <c r="F4" s="79" t="s">
        <v>148</v>
      </c>
      <c r="G4" s="67">
        <v>8</v>
      </c>
      <c r="H4" s="79">
        <f>DC!E8</f>
        <v>724</v>
      </c>
      <c r="I4" s="278" t="s">
        <v>79</v>
      </c>
      <c r="J4" s="70">
        <f t="shared" si="0"/>
        <v>800</v>
      </c>
      <c r="K4" s="275">
        <f t="shared" si="1"/>
        <v>-76</v>
      </c>
      <c r="L4" s="276">
        <f>Points!H43</f>
        <v>724</v>
      </c>
      <c r="M4" s="276">
        <f t="shared" si="2"/>
        <v>0</v>
      </c>
      <c r="O4" s="1078"/>
      <c r="P4" s="1015"/>
      <c r="Q4" s="1015"/>
      <c r="R4" s="1079"/>
    </row>
    <row r="5" spans="1:18" ht="22.5" customHeight="1">
      <c r="A5" s="147">
        <v>3</v>
      </c>
      <c r="B5" s="214" t="s">
        <v>210</v>
      </c>
      <c r="C5" s="277" t="s">
        <v>77</v>
      </c>
      <c r="D5" s="279"/>
      <c r="E5" s="280" t="s">
        <v>211</v>
      </c>
      <c r="F5" s="273" t="s">
        <v>36</v>
      </c>
      <c r="G5" s="67">
        <v>0.8</v>
      </c>
      <c r="H5" s="79">
        <f>DC!E9</f>
        <v>157</v>
      </c>
      <c r="I5" s="278" t="s">
        <v>79</v>
      </c>
      <c r="J5" s="70">
        <f t="shared" si="0"/>
        <v>80</v>
      </c>
      <c r="K5" s="275">
        <f t="shared" si="1"/>
        <v>77</v>
      </c>
      <c r="L5" s="276">
        <f>Points!H44</f>
        <v>157</v>
      </c>
      <c r="M5" s="276">
        <f t="shared" si="2"/>
        <v>0</v>
      </c>
      <c r="O5" s="1078"/>
      <c r="P5" s="1015"/>
      <c r="Q5" s="1015"/>
      <c r="R5" s="1079"/>
    </row>
    <row r="6" spans="1:18" ht="22.5" customHeight="1">
      <c r="A6" s="147">
        <v>13</v>
      </c>
      <c r="B6" s="214" t="s">
        <v>212</v>
      </c>
      <c r="C6" s="277" t="s">
        <v>77</v>
      </c>
      <c r="D6" s="214"/>
      <c r="E6" s="281" t="s">
        <v>211</v>
      </c>
      <c r="F6" s="79" t="s">
        <v>148</v>
      </c>
      <c r="G6" s="67">
        <v>9.5</v>
      </c>
      <c r="H6" s="79">
        <f>DC!E10</f>
        <v>903</v>
      </c>
      <c r="I6" s="278" t="s">
        <v>79</v>
      </c>
      <c r="J6" s="70">
        <f t="shared" si="0"/>
        <v>950</v>
      </c>
      <c r="K6" s="275">
        <f t="shared" si="1"/>
        <v>-47</v>
      </c>
      <c r="L6" s="276">
        <f>Points!H45</f>
        <v>903</v>
      </c>
      <c r="M6" s="276">
        <f t="shared" si="2"/>
        <v>0</v>
      </c>
      <c r="O6" s="1078"/>
      <c r="P6" s="1015"/>
      <c r="Q6" s="1015"/>
      <c r="R6" s="1079"/>
    </row>
    <row r="7" spans="1:18" ht="22.5" customHeight="1">
      <c r="A7" s="147">
        <v>5</v>
      </c>
      <c r="B7" s="214" t="s">
        <v>213</v>
      </c>
      <c r="C7" s="282" t="s">
        <v>74</v>
      </c>
      <c r="D7" s="281" t="s">
        <v>211</v>
      </c>
      <c r="E7" s="214"/>
      <c r="F7" s="79" t="s">
        <v>148</v>
      </c>
      <c r="G7" s="67">
        <v>5.5</v>
      </c>
      <c r="H7" s="79">
        <f>GT!F8</f>
        <v>874</v>
      </c>
      <c r="I7" s="283" t="s">
        <v>82</v>
      </c>
      <c r="J7" s="70">
        <f t="shared" si="0"/>
        <v>550</v>
      </c>
      <c r="K7" s="275">
        <f t="shared" si="1"/>
        <v>324</v>
      </c>
      <c r="L7" s="276">
        <f>Points!H46</f>
        <v>874</v>
      </c>
      <c r="M7" s="276">
        <f t="shared" si="2"/>
        <v>0</v>
      </c>
      <c r="O7" s="1078"/>
      <c r="P7" s="1015"/>
      <c r="Q7" s="1015"/>
      <c r="R7" s="1079"/>
    </row>
    <row r="8" spans="1:18" ht="22.5" customHeight="1">
      <c r="A8" s="147">
        <v>11</v>
      </c>
      <c r="B8" s="214" t="s">
        <v>214</v>
      </c>
      <c r="C8" s="277" t="s">
        <v>77</v>
      </c>
      <c r="D8" s="281" t="s">
        <v>211</v>
      </c>
      <c r="E8" s="214"/>
      <c r="F8" s="79" t="s">
        <v>148</v>
      </c>
      <c r="G8" s="67">
        <v>7</v>
      </c>
      <c r="H8" s="79">
        <f>KKR!E8</f>
        <v>752</v>
      </c>
      <c r="I8" s="284" t="s">
        <v>85</v>
      </c>
      <c r="J8" s="70">
        <f t="shared" si="0"/>
        <v>700</v>
      </c>
      <c r="K8" s="275">
        <f t="shared" si="1"/>
        <v>52</v>
      </c>
      <c r="L8" s="276">
        <f>Points!H47</f>
        <v>752</v>
      </c>
      <c r="M8" s="276">
        <f t="shared" si="2"/>
        <v>0</v>
      </c>
      <c r="O8" s="1078"/>
      <c r="P8" s="1015"/>
      <c r="Q8" s="1015"/>
      <c r="R8" s="1079"/>
    </row>
    <row r="9" spans="1:18" ht="22.5" customHeight="1">
      <c r="A9" s="147">
        <v>7</v>
      </c>
      <c r="B9" s="214" t="s">
        <v>215</v>
      </c>
      <c r="C9" s="282" t="s">
        <v>74</v>
      </c>
      <c r="D9" s="214"/>
      <c r="E9" s="214"/>
      <c r="F9" s="79" t="s">
        <v>148</v>
      </c>
      <c r="G9" s="67">
        <v>4.75</v>
      </c>
      <c r="H9" s="79">
        <f>KKR!E9</f>
        <v>433</v>
      </c>
      <c r="I9" s="284" t="s">
        <v>85</v>
      </c>
      <c r="J9" s="70">
        <f t="shared" si="0"/>
        <v>475</v>
      </c>
      <c r="K9" s="275">
        <f t="shared" si="1"/>
        <v>-42</v>
      </c>
      <c r="L9" s="276">
        <f>Points!H48</f>
        <v>433</v>
      </c>
      <c r="M9" s="276">
        <f t="shared" si="2"/>
        <v>0</v>
      </c>
      <c r="O9" s="1078"/>
      <c r="P9" s="1015"/>
      <c r="Q9" s="1015"/>
      <c r="R9" s="1079"/>
    </row>
    <row r="10" spans="1:18" ht="22.5" customHeight="1">
      <c r="A10" s="124">
        <v>2</v>
      </c>
      <c r="B10" s="214" t="s">
        <v>216</v>
      </c>
      <c r="C10" s="282" t="s">
        <v>74</v>
      </c>
      <c r="D10" s="135"/>
      <c r="E10" s="135"/>
      <c r="F10" s="273" t="s">
        <v>36</v>
      </c>
      <c r="G10" s="285">
        <v>0.3</v>
      </c>
      <c r="H10" s="68">
        <f>LSG!E9</f>
        <v>245</v>
      </c>
      <c r="I10" s="251" t="s">
        <v>88</v>
      </c>
      <c r="J10" s="70">
        <f t="shared" si="0"/>
        <v>30</v>
      </c>
      <c r="K10" s="275">
        <f t="shared" si="1"/>
        <v>215</v>
      </c>
      <c r="L10" s="276">
        <f>Points!H49</f>
        <v>245</v>
      </c>
      <c r="M10" s="276">
        <f t="shared" si="2"/>
        <v>0</v>
      </c>
      <c r="O10" s="1078"/>
      <c r="P10" s="1015"/>
      <c r="Q10" s="1015"/>
      <c r="R10" s="1079"/>
    </row>
    <row r="11" spans="1:18" ht="22.5" customHeight="1">
      <c r="A11" s="147">
        <v>9</v>
      </c>
      <c r="B11" s="214" t="s">
        <v>217</v>
      </c>
      <c r="C11" s="277" t="s">
        <v>77</v>
      </c>
      <c r="D11" s="214"/>
      <c r="E11" s="281" t="s">
        <v>211</v>
      </c>
      <c r="F11" s="79" t="s">
        <v>148</v>
      </c>
      <c r="G11" s="67">
        <v>8.5</v>
      </c>
      <c r="H11" s="68">
        <f>LSG!E10</f>
        <v>560</v>
      </c>
      <c r="I11" s="251" t="s">
        <v>88</v>
      </c>
      <c r="J11" s="70">
        <f t="shared" si="0"/>
        <v>850</v>
      </c>
      <c r="K11" s="275">
        <f t="shared" si="1"/>
        <v>-290</v>
      </c>
      <c r="L11" s="276">
        <f>Points!H50</f>
        <v>560</v>
      </c>
      <c r="M11" s="276">
        <f t="shared" si="2"/>
        <v>0</v>
      </c>
      <c r="O11" s="1078"/>
      <c r="P11" s="1015"/>
      <c r="Q11" s="1015"/>
      <c r="R11" s="1079"/>
    </row>
    <row r="12" spans="1:18" ht="22.5" customHeight="1">
      <c r="A12" s="147">
        <v>12</v>
      </c>
      <c r="B12" s="214" t="s">
        <v>218</v>
      </c>
      <c r="C12" s="282" t="s">
        <v>74</v>
      </c>
      <c r="D12" s="214"/>
      <c r="E12" s="214"/>
      <c r="F12" s="79" t="s">
        <v>148</v>
      </c>
      <c r="G12" s="67">
        <v>5</v>
      </c>
      <c r="H12" s="79">
        <f>PBSK!E9</f>
        <v>536</v>
      </c>
      <c r="I12" s="79" t="s">
        <v>91</v>
      </c>
      <c r="J12" s="70">
        <f t="shared" si="0"/>
        <v>500</v>
      </c>
      <c r="K12" s="275">
        <f t="shared" si="1"/>
        <v>36</v>
      </c>
      <c r="L12" s="276">
        <f>Points!H51</f>
        <v>536</v>
      </c>
      <c r="M12" s="276">
        <f t="shared" si="2"/>
        <v>0</v>
      </c>
      <c r="O12" s="1078"/>
      <c r="P12" s="1015"/>
      <c r="Q12" s="1015"/>
      <c r="R12" s="1079"/>
    </row>
    <row r="13" spans="1:18" ht="22.5" customHeight="1">
      <c r="A13" s="147">
        <v>15</v>
      </c>
      <c r="B13" s="214" t="s">
        <v>219</v>
      </c>
      <c r="C13" s="272" t="s">
        <v>87</v>
      </c>
      <c r="D13" s="214"/>
      <c r="E13" s="214"/>
      <c r="F13" s="79" t="s">
        <v>148</v>
      </c>
      <c r="G13" s="67">
        <v>2.5</v>
      </c>
      <c r="H13" s="79">
        <f>RCB!E9</f>
        <v>836</v>
      </c>
      <c r="I13" s="286" t="s">
        <v>95</v>
      </c>
      <c r="J13" s="70">
        <f t="shared" si="0"/>
        <v>250</v>
      </c>
      <c r="K13" s="275">
        <f t="shared" si="1"/>
        <v>586</v>
      </c>
      <c r="L13" s="276">
        <f>Points!H52</f>
        <v>836</v>
      </c>
      <c r="M13" s="276">
        <f t="shared" si="2"/>
        <v>0</v>
      </c>
      <c r="O13" s="1078"/>
      <c r="P13" s="1015"/>
      <c r="Q13" s="1015"/>
      <c r="R13" s="1079"/>
    </row>
    <row r="14" spans="1:18" ht="22.5" customHeight="1">
      <c r="A14" s="147">
        <v>8</v>
      </c>
      <c r="B14" s="214" t="s">
        <v>220</v>
      </c>
      <c r="C14" s="277" t="s">
        <v>77</v>
      </c>
      <c r="D14" s="214"/>
      <c r="E14" s="214"/>
      <c r="F14" s="79" t="s">
        <v>148</v>
      </c>
      <c r="G14" s="67">
        <v>3.75</v>
      </c>
      <c r="H14" s="79">
        <f>RCB!E10</f>
        <v>845</v>
      </c>
      <c r="I14" s="286" t="s">
        <v>95</v>
      </c>
      <c r="J14" s="70">
        <f t="shared" si="0"/>
        <v>375</v>
      </c>
      <c r="K14" s="275">
        <f t="shared" si="1"/>
        <v>470</v>
      </c>
      <c r="L14" s="276">
        <f>Points!H53</f>
        <v>845</v>
      </c>
      <c r="M14" s="276">
        <f t="shared" si="2"/>
        <v>0</v>
      </c>
      <c r="O14" s="1078"/>
      <c r="P14" s="1015"/>
      <c r="Q14" s="1015"/>
      <c r="R14" s="1079"/>
    </row>
    <row r="15" spans="1:18" ht="22.5" customHeight="1">
      <c r="A15" s="147">
        <v>10</v>
      </c>
      <c r="B15" s="214" t="s">
        <v>221</v>
      </c>
      <c r="C15" s="277" t="s">
        <v>77</v>
      </c>
      <c r="D15" s="214"/>
      <c r="E15" s="214"/>
      <c r="F15" s="79" t="s">
        <v>148</v>
      </c>
      <c r="G15" s="67">
        <v>11.5</v>
      </c>
      <c r="H15" s="79">
        <f>RR!E8</f>
        <v>693</v>
      </c>
      <c r="I15" s="287" t="s">
        <v>97</v>
      </c>
      <c r="J15" s="70">
        <f t="shared" si="0"/>
        <v>1150</v>
      </c>
      <c r="K15" s="275">
        <f t="shared" si="1"/>
        <v>-457</v>
      </c>
      <c r="L15" s="276">
        <f>Points!H54</f>
        <v>693</v>
      </c>
      <c r="M15" s="276">
        <f t="shared" si="2"/>
        <v>0</v>
      </c>
      <c r="O15" s="1080"/>
      <c r="P15" s="1081"/>
      <c r="Q15" s="1081"/>
      <c r="R15" s="1082"/>
    </row>
    <row r="16" spans="1:18" ht="22.5" customHeight="1">
      <c r="A16" s="147">
        <v>14</v>
      </c>
      <c r="B16" s="214" t="s">
        <v>222</v>
      </c>
      <c r="C16" s="277" t="s">
        <v>77</v>
      </c>
      <c r="D16" s="281" t="s">
        <v>211</v>
      </c>
      <c r="E16" s="214"/>
      <c r="F16" s="79" t="s">
        <v>148</v>
      </c>
      <c r="G16" s="67">
        <v>8</v>
      </c>
      <c r="H16" s="79">
        <f>SRH!E5</f>
        <v>653</v>
      </c>
      <c r="I16" s="288" t="s">
        <v>122</v>
      </c>
      <c r="J16" s="70">
        <f t="shared" si="0"/>
        <v>800</v>
      </c>
      <c r="K16" s="275">
        <f t="shared" si="1"/>
        <v>-147</v>
      </c>
      <c r="L16" s="276">
        <f>Points!H55</f>
        <v>653</v>
      </c>
      <c r="M16" s="276">
        <f t="shared" si="2"/>
        <v>0</v>
      </c>
    </row>
    <row r="17" spans="1:13" ht="22.5" customHeight="1">
      <c r="A17" s="168"/>
      <c r="B17" s="260"/>
      <c r="C17" s="260"/>
      <c r="D17" s="260"/>
      <c r="E17" s="260"/>
      <c r="F17" s="289"/>
      <c r="G17" s="262" t="s">
        <v>1</v>
      </c>
      <c r="H17" s="248">
        <f>SUM(LARGE(H2:H16, 1),LARGE(H2:H16,2),LARGE(H2:H16,3),LARGE(H2:H16,4),LARGE(H2:H16,5),LARGE(H2:H16, 6),LARGE(H2:H16,7),LARGE(H2:H16,8),LARGE(H2:H16,9),LARGE(H2:H16,10),LARGE(H2:H16,11),LARGE(H2:H16,12))</f>
        <v>8341</v>
      </c>
      <c r="J17" s="119"/>
      <c r="K17" s="155"/>
      <c r="L17" s="155"/>
      <c r="M17" s="155"/>
    </row>
    <row r="18" spans="1:13" ht="15.6">
      <c r="G18" s="264" t="s">
        <v>2</v>
      </c>
      <c r="H18" s="290">
        <f>SUM(Legends[Points])</f>
        <v>8882</v>
      </c>
      <c r="I18" s="291"/>
      <c r="J18" s="291"/>
      <c r="K18" s="99"/>
    </row>
    <row r="19" spans="1:13" ht="22.8">
      <c r="G19" s="292" t="s">
        <v>101</v>
      </c>
      <c r="H19" s="293">
        <f ca="1">IFERROR(__xludf.DUMMYFUNCTION("SUM(QUERY({H1:H16;H21:H99}, ""SELECT Col1 WHERE Col1 IS NOT NULL ORDER BY Col1 DESC LIMIT 12""))"),8960)</f>
        <v>8960</v>
      </c>
      <c r="I19" s="97" t="s">
        <v>102</v>
      </c>
      <c r="J19" s="269">
        <f ca="1">H19-Legends[[#Totals],[Points]]</f>
        <v>619</v>
      </c>
      <c r="K19" s="99"/>
      <c r="M19" s="122" t="s">
        <v>9</v>
      </c>
    </row>
    <row r="20" spans="1:13" ht="22.8">
      <c r="G20" s="99"/>
      <c r="K20" s="99"/>
      <c r="M20" s="122" t="s">
        <v>223</v>
      </c>
    </row>
    <row r="21" spans="1:13" ht="22.5" customHeight="1">
      <c r="A21" s="59" t="s">
        <v>62</v>
      </c>
      <c r="B21" s="59" t="s">
        <v>63</v>
      </c>
      <c r="C21" s="59" t="s">
        <v>64</v>
      </c>
      <c r="D21" s="59" t="s">
        <v>34</v>
      </c>
      <c r="E21" s="59" t="s">
        <v>32</v>
      </c>
      <c r="F21" s="59" t="s">
        <v>65</v>
      </c>
      <c r="G21" s="60" t="s">
        <v>66</v>
      </c>
      <c r="H21" s="59" t="s">
        <v>67</v>
      </c>
      <c r="I21" s="178" t="s">
        <v>68</v>
      </c>
      <c r="J21" s="62" t="s">
        <v>69</v>
      </c>
      <c r="K21" s="294" t="s">
        <v>70</v>
      </c>
      <c r="M21" s="122" t="s">
        <v>224</v>
      </c>
    </row>
    <row r="22" spans="1:13" ht="22.5" customHeight="1">
      <c r="A22" s="124">
        <v>1</v>
      </c>
      <c r="B22" s="214" t="s">
        <v>225</v>
      </c>
      <c r="C22" s="214" t="s">
        <v>77</v>
      </c>
      <c r="D22" s="295"/>
      <c r="E22" s="295"/>
      <c r="F22" s="214" t="s">
        <v>148</v>
      </c>
      <c r="G22" s="285">
        <v>1.25</v>
      </c>
      <c r="H22" s="68">
        <f>SRH!E11</f>
        <v>798</v>
      </c>
      <c r="I22" s="288" t="s">
        <v>122</v>
      </c>
      <c r="J22" s="70">
        <f t="shared" ref="J22:J24" si="3">G22*100</f>
        <v>125</v>
      </c>
      <c r="K22" s="275">
        <f t="shared" ref="K22:K24" si="4">H22-J22</f>
        <v>673</v>
      </c>
      <c r="M22" s="122" t="s">
        <v>226</v>
      </c>
    </row>
    <row r="23" spans="1:13" ht="22.5" customHeight="1">
      <c r="A23" s="147">
        <v>2</v>
      </c>
      <c r="B23" s="214" t="s">
        <v>227</v>
      </c>
      <c r="C23" s="214" t="s">
        <v>77</v>
      </c>
      <c r="D23" s="214"/>
      <c r="E23" s="214"/>
      <c r="F23" s="273" t="s">
        <v>36</v>
      </c>
      <c r="G23" s="67">
        <v>2.8</v>
      </c>
      <c r="H23" s="79">
        <f>MI!E12</f>
        <v>553</v>
      </c>
      <c r="I23" s="296" t="s">
        <v>118</v>
      </c>
      <c r="J23" s="70">
        <f t="shared" si="3"/>
        <v>280</v>
      </c>
      <c r="K23" s="275">
        <f t="shared" si="4"/>
        <v>273</v>
      </c>
      <c r="M23" s="122" t="s">
        <v>228</v>
      </c>
    </row>
    <row r="24" spans="1:13" ht="22.5" customHeight="1">
      <c r="A24" s="124">
        <v>3</v>
      </c>
      <c r="B24" s="214" t="s">
        <v>229</v>
      </c>
      <c r="C24" s="214" t="s">
        <v>77</v>
      </c>
      <c r="D24" s="297"/>
      <c r="E24" s="298" t="s">
        <v>211</v>
      </c>
      <c r="F24" s="214" t="s">
        <v>148</v>
      </c>
      <c r="G24" s="285">
        <v>2</v>
      </c>
      <c r="H24" s="68">
        <f>KKR!E12</f>
        <v>552</v>
      </c>
      <c r="I24" s="284" t="s">
        <v>85</v>
      </c>
      <c r="J24" s="70">
        <f t="shared" si="3"/>
        <v>200</v>
      </c>
      <c r="K24" s="275">
        <f t="shared" si="4"/>
        <v>352</v>
      </c>
      <c r="M24" s="123"/>
    </row>
    <row r="25" spans="1:13" ht="22.8">
      <c r="G25" s="99"/>
      <c r="K25" s="99"/>
      <c r="M25" s="122" t="s">
        <v>230</v>
      </c>
    </row>
    <row r="26" spans="1:13" ht="13.2">
      <c r="G26" s="99"/>
      <c r="K26" s="99"/>
    </row>
    <row r="27" spans="1:13" ht="13.2">
      <c r="G27" s="99"/>
      <c r="K27" s="99"/>
    </row>
    <row r="28" spans="1:13" ht="13.2">
      <c r="G28" s="99"/>
      <c r="K28" s="99"/>
    </row>
    <row r="29" spans="1:13" ht="13.2">
      <c r="G29" s="99"/>
      <c r="K29" s="99"/>
    </row>
    <row r="30" spans="1:13" ht="13.2">
      <c r="G30" s="99"/>
      <c r="K30" s="99"/>
    </row>
    <row r="31" spans="1:13" ht="13.2">
      <c r="G31" s="99"/>
      <c r="K31" s="99"/>
    </row>
    <row r="32" spans="1:13" ht="13.2">
      <c r="G32" s="99"/>
      <c r="K32" s="99"/>
    </row>
    <row r="33" spans="7:11" ht="13.2">
      <c r="G33" s="99"/>
      <c r="K33" s="99"/>
    </row>
    <row r="34" spans="7:11" ht="13.2">
      <c r="G34" s="99"/>
      <c r="K34" s="99"/>
    </row>
    <row r="35" spans="7:11" ht="13.2">
      <c r="G35" s="99"/>
      <c r="K35" s="99"/>
    </row>
    <row r="36" spans="7:11" ht="13.2">
      <c r="G36" s="99"/>
      <c r="K36" s="99"/>
    </row>
    <row r="37" spans="7:11" ht="13.2">
      <c r="G37" s="99"/>
      <c r="K37" s="99"/>
    </row>
    <row r="38" spans="7:11" ht="13.2">
      <c r="G38" s="99"/>
      <c r="K38" s="99"/>
    </row>
    <row r="39" spans="7:11" ht="13.2">
      <c r="G39" s="99"/>
      <c r="K39" s="99"/>
    </row>
    <row r="40" spans="7:11" ht="13.2">
      <c r="G40" s="99"/>
      <c r="K40" s="99"/>
    </row>
    <row r="41" spans="7:11" ht="13.2">
      <c r="G41" s="99"/>
      <c r="K41" s="99"/>
    </row>
    <row r="42" spans="7:11" ht="13.2">
      <c r="G42" s="99"/>
      <c r="K42" s="99"/>
    </row>
    <row r="43" spans="7:11" ht="13.2">
      <c r="G43" s="99"/>
      <c r="K43" s="99"/>
    </row>
    <row r="44" spans="7:11" ht="13.2">
      <c r="G44" s="99"/>
      <c r="K44" s="99"/>
    </row>
    <row r="45" spans="7:11" ht="13.2">
      <c r="G45" s="99"/>
      <c r="K45" s="99"/>
    </row>
    <row r="46" spans="7:11" ht="13.2">
      <c r="G46" s="99"/>
      <c r="K46" s="99"/>
    </row>
    <row r="47" spans="7:11" ht="13.2">
      <c r="G47" s="99"/>
      <c r="K47" s="99"/>
    </row>
    <row r="48" spans="7:11" ht="13.2">
      <c r="G48" s="299"/>
      <c r="K48" s="99"/>
    </row>
    <row r="49" spans="1:11" ht="22.5" customHeight="1">
      <c r="A49" s="59" t="s">
        <v>62</v>
      </c>
      <c r="B49" s="59" t="s">
        <v>63</v>
      </c>
      <c r="C49" s="59" t="s">
        <v>64</v>
      </c>
      <c r="D49" s="59" t="s">
        <v>34</v>
      </c>
      <c r="E49" s="59" t="s">
        <v>32</v>
      </c>
      <c r="F49" s="59" t="s">
        <v>65</v>
      </c>
      <c r="G49" s="60" t="s">
        <v>66</v>
      </c>
      <c r="H49" s="59" t="s">
        <v>67</v>
      </c>
      <c r="I49" s="178" t="s">
        <v>68</v>
      </c>
      <c r="J49" s="62" t="s">
        <v>69</v>
      </c>
      <c r="K49" s="294" t="s">
        <v>70</v>
      </c>
    </row>
    <row r="50" spans="1:11" ht="22.5" customHeight="1">
      <c r="A50" s="124">
        <v>1</v>
      </c>
      <c r="B50" s="214" t="s">
        <v>231</v>
      </c>
      <c r="C50" s="214" t="s">
        <v>87</v>
      </c>
      <c r="D50" s="295"/>
      <c r="E50" s="135"/>
      <c r="F50" s="214" t="s">
        <v>36</v>
      </c>
      <c r="G50" s="285">
        <v>0.75</v>
      </c>
      <c r="H50" s="68">
        <f>Extra!E14</f>
        <v>320</v>
      </c>
      <c r="I50" s="283" t="s">
        <v>82</v>
      </c>
      <c r="J50" s="70">
        <f t="shared" ref="J50:J52" si="5">G50*100</f>
        <v>75</v>
      </c>
      <c r="K50" s="275">
        <f t="shared" ref="K50:K52" si="6">H50-J50</f>
        <v>245</v>
      </c>
    </row>
    <row r="51" spans="1:11" ht="22.5" customHeight="1">
      <c r="A51" s="124">
        <v>2</v>
      </c>
      <c r="B51" s="214" t="s">
        <v>232</v>
      </c>
      <c r="C51" s="214" t="s">
        <v>87</v>
      </c>
      <c r="D51" s="300"/>
      <c r="E51" s="86"/>
      <c r="F51" s="214" t="s">
        <v>148</v>
      </c>
      <c r="G51" s="285">
        <v>2.25</v>
      </c>
      <c r="H51" s="68">
        <f>Extra!E15</f>
        <v>769</v>
      </c>
      <c r="I51" s="283" t="s">
        <v>82</v>
      </c>
      <c r="J51" s="70">
        <f t="shared" si="5"/>
        <v>225</v>
      </c>
      <c r="K51" s="275">
        <f t="shared" si="6"/>
        <v>544</v>
      </c>
    </row>
    <row r="52" spans="1:11" ht="22.5" customHeight="1">
      <c r="A52" s="118"/>
      <c r="B52" s="301"/>
      <c r="C52" s="301"/>
      <c r="D52" s="302"/>
      <c r="E52" s="303"/>
      <c r="F52" s="301"/>
      <c r="G52" s="304"/>
      <c r="H52" s="305"/>
      <c r="I52" s="301"/>
      <c r="J52" s="242">
        <f t="shared" si="5"/>
        <v>0</v>
      </c>
      <c r="K52" s="306">
        <f t="shared" si="6"/>
        <v>0</v>
      </c>
    </row>
    <row r="53" spans="1:11" ht="13.2">
      <c r="G53" s="99"/>
      <c r="K53" s="99"/>
    </row>
    <row r="54" spans="1:11" ht="13.2">
      <c r="G54" s="99"/>
      <c r="K54" s="99"/>
    </row>
    <row r="55" spans="1:11" ht="13.2">
      <c r="G55" s="99"/>
      <c r="K55" s="99"/>
    </row>
    <row r="56" spans="1:11" ht="13.2">
      <c r="G56" s="99"/>
      <c r="K56" s="99"/>
    </row>
    <row r="57" spans="1:11" ht="13.2">
      <c r="G57" s="99"/>
      <c r="K57" s="99"/>
    </row>
    <row r="58" spans="1:11" ht="13.2">
      <c r="G58" s="99"/>
      <c r="K58" s="99"/>
    </row>
    <row r="59" spans="1:11" ht="13.2">
      <c r="G59" s="99"/>
      <c r="K59" s="99"/>
    </row>
    <row r="60" spans="1:11" ht="13.2">
      <c r="G60" s="99"/>
      <c r="K60" s="99"/>
    </row>
    <row r="61" spans="1:11" ht="13.2">
      <c r="G61" s="99"/>
      <c r="K61" s="99"/>
    </row>
    <row r="62" spans="1:11" ht="13.2">
      <c r="G62" s="99"/>
      <c r="K62" s="99"/>
    </row>
    <row r="63" spans="1:11" ht="13.2">
      <c r="G63" s="99"/>
      <c r="K63" s="99"/>
    </row>
    <row r="64" spans="1:11" ht="13.2">
      <c r="G64" s="99"/>
      <c r="K64" s="99"/>
    </row>
    <row r="65" spans="7:11" ht="13.2">
      <c r="G65" s="99"/>
      <c r="K65" s="99"/>
    </row>
    <row r="66" spans="7:11" ht="13.2">
      <c r="G66" s="99"/>
      <c r="K66" s="99"/>
    </row>
    <row r="67" spans="7:11" ht="13.2">
      <c r="G67" s="99"/>
      <c r="K67" s="99"/>
    </row>
    <row r="68" spans="7:11" ht="13.2">
      <c r="G68" s="99"/>
      <c r="K68" s="99"/>
    </row>
    <row r="69" spans="7:11" ht="13.2">
      <c r="G69" s="99"/>
      <c r="K69" s="99"/>
    </row>
    <row r="70" spans="7:11" ht="13.2">
      <c r="G70" s="99"/>
      <c r="K70" s="99"/>
    </row>
    <row r="71" spans="7:11" ht="13.2">
      <c r="G71" s="99"/>
      <c r="K71" s="99"/>
    </row>
    <row r="72" spans="7:11" ht="13.2">
      <c r="G72" s="99"/>
      <c r="K72" s="99"/>
    </row>
    <row r="73" spans="7:11" ht="13.2">
      <c r="G73" s="99"/>
      <c r="K73" s="99"/>
    </row>
    <row r="74" spans="7:11" ht="13.2">
      <c r="G74" s="99"/>
      <c r="K74" s="99"/>
    </row>
    <row r="75" spans="7:11" ht="13.2">
      <c r="G75" s="99"/>
      <c r="K75" s="99"/>
    </row>
    <row r="76" spans="7:11" ht="13.2">
      <c r="G76" s="99"/>
      <c r="K76" s="99"/>
    </row>
    <row r="77" spans="7:11" ht="13.2">
      <c r="G77" s="99"/>
      <c r="K77" s="99"/>
    </row>
    <row r="78" spans="7:11" ht="13.2">
      <c r="G78" s="99"/>
      <c r="K78" s="99"/>
    </row>
    <row r="79" spans="7:11" ht="13.2">
      <c r="G79" s="99"/>
      <c r="K79" s="99"/>
    </row>
    <row r="80" spans="7:11" ht="13.2">
      <c r="G80" s="99"/>
      <c r="K80" s="99"/>
    </row>
    <row r="81" spans="7:11" ht="13.2">
      <c r="G81" s="99"/>
      <c r="K81" s="99"/>
    </row>
    <row r="82" spans="7:11" ht="13.2">
      <c r="G82" s="99"/>
      <c r="K82" s="99"/>
    </row>
    <row r="83" spans="7:11" ht="13.2">
      <c r="G83" s="99"/>
      <c r="K83" s="99"/>
    </row>
    <row r="84" spans="7:11" ht="13.2">
      <c r="G84" s="99"/>
      <c r="K84" s="99"/>
    </row>
    <row r="85" spans="7:11" ht="13.2">
      <c r="G85" s="99"/>
      <c r="K85" s="99"/>
    </row>
    <row r="86" spans="7:11" ht="13.2">
      <c r="G86" s="99"/>
      <c r="K86" s="99"/>
    </row>
    <row r="87" spans="7:11" ht="13.2">
      <c r="G87" s="99"/>
      <c r="K87" s="99"/>
    </row>
    <row r="88" spans="7:11" ht="13.2">
      <c r="G88" s="99"/>
      <c r="K88" s="99"/>
    </row>
    <row r="89" spans="7:11" ht="13.2">
      <c r="G89" s="99"/>
      <c r="K89" s="99"/>
    </row>
    <row r="90" spans="7:11" ht="13.2">
      <c r="G90" s="99"/>
      <c r="K90" s="99"/>
    </row>
    <row r="91" spans="7:11" ht="13.2">
      <c r="G91" s="99"/>
      <c r="K91" s="99"/>
    </row>
    <row r="92" spans="7:11" ht="13.2">
      <c r="G92" s="99"/>
      <c r="K92" s="99"/>
    </row>
    <row r="93" spans="7:11" ht="13.2">
      <c r="G93" s="99"/>
      <c r="K93" s="99"/>
    </row>
    <row r="94" spans="7:11" ht="13.2">
      <c r="G94" s="99"/>
      <c r="K94" s="99"/>
    </row>
    <row r="95" spans="7:11" ht="13.2">
      <c r="G95" s="99"/>
      <c r="K95" s="99"/>
    </row>
    <row r="96" spans="7:11" ht="13.2">
      <c r="G96" s="99"/>
      <c r="K96" s="99"/>
    </row>
    <row r="97" spans="7:11" ht="13.2">
      <c r="G97" s="99"/>
      <c r="K97" s="99"/>
    </row>
    <row r="98" spans="7:11" ht="13.2">
      <c r="G98" s="99"/>
      <c r="K98" s="99"/>
    </row>
    <row r="99" spans="7:11" ht="13.2">
      <c r="G99" s="99"/>
      <c r="K99" s="99"/>
    </row>
    <row r="100" spans="7:11" ht="13.2">
      <c r="G100" s="99"/>
      <c r="K100" s="99"/>
    </row>
    <row r="101" spans="7:11" ht="13.2">
      <c r="G101" s="99"/>
      <c r="K101" s="99"/>
    </row>
    <row r="102" spans="7:11" ht="13.2">
      <c r="G102" s="99"/>
      <c r="K102" s="99"/>
    </row>
    <row r="103" spans="7:11" ht="13.2">
      <c r="G103" s="99"/>
      <c r="K103" s="99"/>
    </row>
    <row r="104" spans="7:11" ht="13.2">
      <c r="G104" s="99"/>
      <c r="K104" s="99"/>
    </row>
    <row r="105" spans="7:11" ht="13.2">
      <c r="G105" s="99"/>
      <c r="K105" s="99"/>
    </row>
    <row r="106" spans="7:11" ht="13.2">
      <c r="G106" s="99"/>
      <c r="K106" s="99"/>
    </row>
    <row r="107" spans="7:11" ht="13.2">
      <c r="G107" s="99"/>
      <c r="K107" s="99"/>
    </row>
    <row r="108" spans="7:11" ht="13.2">
      <c r="G108" s="99"/>
      <c r="K108" s="99"/>
    </row>
    <row r="109" spans="7:11" ht="13.2">
      <c r="G109" s="99"/>
      <c r="K109" s="99"/>
    </row>
    <row r="110" spans="7:11" ht="13.2">
      <c r="G110" s="99"/>
      <c r="K110" s="99"/>
    </row>
    <row r="111" spans="7:11" ht="13.2">
      <c r="G111" s="99"/>
      <c r="K111" s="99"/>
    </row>
    <row r="112" spans="7:11" ht="13.2">
      <c r="G112" s="99"/>
      <c r="K112" s="99"/>
    </row>
    <row r="113" spans="7:11" ht="13.2">
      <c r="G113" s="99"/>
      <c r="K113" s="99"/>
    </row>
    <row r="114" spans="7:11" ht="13.2">
      <c r="G114" s="99"/>
      <c r="K114" s="99"/>
    </row>
    <row r="115" spans="7:11" ht="13.2">
      <c r="G115" s="99"/>
      <c r="K115" s="99"/>
    </row>
    <row r="116" spans="7:11" ht="13.2">
      <c r="G116" s="99"/>
      <c r="K116" s="99"/>
    </row>
    <row r="117" spans="7:11" ht="13.2">
      <c r="G117" s="99"/>
      <c r="K117" s="99"/>
    </row>
    <row r="118" spans="7:11" ht="13.2">
      <c r="G118" s="99"/>
      <c r="K118" s="99"/>
    </row>
    <row r="119" spans="7:11" ht="13.2">
      <c r="G119" s="99"/>
      <c r="K119" s="99"/>
    </row>
    <row r="120" spans="7:11" ht="13.2">
      <c r="G120" s="99"/>
      <c r="K120" s="99"/>
    </row>
    <row r="121" spans="7:11" ht="13.2">
      <c r="G121" s="99"/>
      <c r="K121" s="99"/>
    </row>
    <row r="122" spans="7:11" ht="13.2">
      <c r="G122" s="99"/>
      <c r="K122" s="99"/>
    </row>
    <row r="123" spans="7:11" ht="13.2">
      <c r="G123" s="99"/>
      <c r="K123" s="99"/>
    </row>
    <row r="124" spans="7:11" ht="13.2">
      <c r="G124" s="99"/>
      <c r="K124" s="99"/>
    </row>
    <row r="125" spans="7:11" ht="13.2">
      <c r="G125" s="99"/>
      <c r="K125" s="99"/>
    </row>
    <row r="126" spans="7:11" ht="13.2">
      <c r="G126" s="99"/>
      <c r="K126" s="99"/>
    </row>
    <row r="127" spans="7:11" ht="13.2">
      <c r="G127" s="99"/>
      <c r="K127" s="99"/>
    </row>
    <row r="128" spans="7:11" ht="13.2">
      <c r="G128" s="99"/>
      <c r="K128" s="99"/>
    </row>
    <row r="129" spans="7:11" ht="13.2">
      <c r="G129" s="99"/>
      <c r="K129" s="99"/>
    </row>
    <row r="130" spans="7:11" ht="13.2">
      <c r="G130" s="99"/>
      <c r="K130" s="99"/>
    </row>
    <row r="131" spans="7:11" ht="13.2">
      <c r="G131" s="99"/>
      <c r="K131" s="99"/>
    </row>
    <row r="132" spans="7:11" ht="13.2">
      <c r="G132" s="99"/>
      <c r="K132" s="99"/>
    </row>
    <row r="133" spans="7:11" ht="13.2">
      <c r="G133" s="99"/>
      <c r="K133" s="99"/>
    </row>
    <row r="134" spans="7:11" ht="13.2">
      <c r="G134" s="99"/>
      <c r="K134" s="99"/>
    </row>
    <row r="135" spans="7:11" ht="13.2">
      <c r="G135" s="99"/>
      <c r="K135" s="99"/>
    </row>
    <row r="136" spans="7:11" ht="13.2">
      <c r="G136" s="99"/>
      <c r="K136" s="99"/>
    </row>
    <row r="137" spans="7:11" ht="13.2">
      <c r="G137" s="99"/>
      <c r="K137" s="99"/>
    </row>
    <row r="138" spans="7:11" ht="13.2">
      <c r="G138" s="99"/>
      <c r="K138" s="99"/>
    </row>
    <row r="139" spans="7:11" ht="13.2">
      <c r="G139" s="99"/>
      <c r="K139" s="99"/>
    </row>
    <row r="140" spans="7:11" ht="13.2">
      <c r="G140" s="99"/>
      <c r="K140" s="99"/>
    </row>
    <row r="141" spans="7:11" ht="13.2">
      <c r="G141" s="99"/>
      <c r="K141" s="99"/>
    </row>
    <row r="142" spans="7:11" ht="13.2">
      <c r="G142" s="99"/>
      <c r="K142" s="99"/>
    </row>
    <row r="143" spans="7:11" ht="13.2">
      <c r="G143" s="99"/>
      <c r="K143" s="99"/>
    </row>
    <row r="144" spans="7:11" ht="13.2">
      <c r="G144" s="99"/>
      <c r="K144" s="99"/>
    </row>
    <row r="145" spans="7:11" ht="13.2">
      <c r="G145" s="99"/>
      <c r="K145" s="99"/>
    </row>
    <row r="146" spans="7:11" ht="13.2">
      <c r="G146" s="99"/>
      <c r="K146" s="99"/>
    </row>
    <row r="147" spans="7:11" ht="13.2">
      <c r="G147" s="99"/>
      <c r="K147" s="99"/>
    </row>
    <row r="148" spans="7:11" ht="13.2">
      <c r="G148" s="99"/>
      <c r="K148" s="99"/>
    </row>
    <row r="149" spans="7:11" ht="13.2">
      <c r="G149" s="99"/>
      <c r="K149" s="99"/>
    </row>
    <row r="150" spans="7:11" ht="13.2">
      <c r="G150" s="99"/>
      <c r="K150" s="99"/>
    </row>
    <row r="151" spans="7:11" ht="13.2">
      <c r="G151" s="99"/>
      <c r="K151" s="99"/>
    </row>
    <row r="152" spans="7:11" ht="13.2">
      <c r="G152" s="99"/>
      <c r="K152" s="99"/>
    </row>
    <row r="153" spans="7:11" ht="13.2">
      <c r="G153" s="99"/>
      <c r="K153" s="99"/>
    </row>
    <row r="154" spans="7:11" ht="13.2">
      <c r="G154" s="99"/>
      <c r="K154" s="99"/>
    </row>
    <row r="155" spans="7:11" ht="13.2">
      <c r="G155" s="99"/>
      <c r="K155" s="99"/>
    </row>
    <row r="156" spans="7:11" ht="13.2">
      <c r="G156" s="99"/>
      <c r="K156" s="99"/>
    </row>
    <row r="157" spans="7:11" ht="13.2">
      <c r="G157" s="99"/>
      <c r="K157" s="99"/>
    </row>
    <row r="158" spans="7:11" ht="13.2">
      <c r="G158" s="99"/>
      <c r="K158" s="99"/>
    </row>
    <row r="159" spans="7:11" ht="13.2">
      <c r="G159" s="99"/>
      <c r="K159" s="99"/>
    </row>
    <row r="160" spans="7:11" ht="13.2">
      <c r="G160" s="99"/>
      <c r="K160" s="99"/>
    </row>
    <row r="161" spans="7:11" ht="13.2">
      <c r="G161" s="99"/>
      <c r="K161" s="99"/>
    </row>
    <row r="162" spans="7:11" ht="13.2">
      <c r="G162" s="99"/>
      <c r="K162" s="99"/>
    </row>
    <row r="163" spans="7:11" ht="13.2">
      <c r="G163" s="99"/>
      <c r="K163" s="99"/>
    </row>
    <row r="164" spans="7:11" ht="13.2">
      <c r="G164" s="99"/>
      <c r="K164" s="99"/>
    </row>
    <row r="165" spans="7:11" ht="13.2">
      <c r="G165" s="99"/>
      <c r="K165" s="99"/>
    </row>
    <row r="166" spans="7:11" ht="13.2">
      <c r="G166" s="99"/>
      <c r="K166" s="99"/>
    </row>
    <row r="167" spans="7:11" ht="13.2">
      <c r="G167" s="99"/>
      <c r="K167" s="99"/>
    </row>
    <row r="168" spans="7:11" ht="13.2">
      <c r="G168" s="99"/>
      <c r="K168" s="99"/>
    </row>
    <row r="169" spans="7:11" ht="13.2">
      <c r="G169" s="99"/>
      <c r="K169" s="99"/>
    </row>
    <row r="170" spans="7:11" ht="13.2">
      <c r="G170" s="99"/>
      <c r="K170" s="99"/>
    </row>
    <row r="171" spans="7:11" ht="13.2">
      <c r="G171" s="99"/>
      <c r="K171" s="99"/>
    </row>
    <row r="172" spans="7:11" ht="13.2">
      <c r="G172" s="99"/>
      <c r="K172" s="99"/>
    </row>
    <row r="173" spans="7:11" ht="13.2">
      <c r="G173" s="99"/>
      <c r="K173" s="99"/>
    </row>
    <row r="174" spans="7:11" ht="13.2">
      <c r="G174" s="99"/>
      <c r="K174" s="99"/>
    </row>
    <row r="175" spans="7:11" ht="13.2">
      <c r="G175" s="99"/>
      <c r="K175" s="99"/>
    </row>
    <row r="176" spans="7:11" ht="13.2">
      <c r="G176" s="99"/>
      <c r="K176" s="99"/>
    </row>
    <row r="177" spans="7:11" ht="13.2">
      <c r="G177" s="99"/>
      <c r="K177" s="99"/>
    </row>
    <row r="178" spans="7:11" ht="13.2">
      <c r="G178" s="99"/>
      <c r="K178" s="99"/>
    </row>
    <row r="179" spans="7:11" ht="13.2">
      <c r="G179" s="99"/>
      <c r="K179" s="99"/>
    </row>
    <row r="180" spans="7:11" ht="13.2">
      <c r="G180" s="99"/>
      <c r="K180" s="99"/>
    </row>
    <row r="181" spans="7:11" ht="13.2">
      <c r="G181" s="99"/>
      <c r="K181" s="99"/>
    </row>
    <row r="182" spans="7:11" ht="13.2">
      <c r="G182" s="99"/>
      <c r="K182" s="99"/>
    </row>
    <row r="183" spans="7:11" ht="13.2">
      <c r="G183" s="99"/>
      <c r="K183" s="99"/>
    </row>
    <row r="184" spans="7:11" ht="13.2">
      <c r="G184" s="99"/>
      <c r="K184" s="99"/>
    </row>
    <row r="185" spans="7:11" ht="13.2">
      <c r="G185" s="99"/>
      <c r="K185" s="99"/>
    </row>
    <row r="186" spans="7:11" ht="13.2">
      <c r="G186" s="99"/>
      <c r="K186" s="99"/>
    </row>
    <row r="187" spans="7:11" ht="13.2">
      <c r="G187" s="99"/>
      <c r="K187" s="99"/>
    </row>
    <row r="188" spans="7:11" ht="13.2">
      <c r="G188" s="99"/>
      <c r="K188" s="99"/>
    </row>
    <row r="189" spans="7:11" ht="13.2">
      <c r="G189" s="99"/>
      <c r="K189" s="99"/>
    </row>
    <row r="190" spans="7:11" ht="13.2">
      <c r="G190" s="99"/>
      <c r="K190" s="99"/>
    </row>
    <row r="191" spans="7:11" ht="13.2">
      <c r="G191" s="99"/>
      <c r="K191" s="99"/>
    </row>
    <row r="192" spans="7:11" ht="13.2">
      <c r="G192" s="99"/>
      <c r="K192" s="99"/>
    </row>
    <row r="193" spans="7:11" ht="13.2">
      <c r="G193" s="99"/>
      <c r="K193" s="99"/>
    </row>
    <row r="194" spans="7:11" ht="13.2">
      <c r="G194" s="99"/>
      <c r="K194" s="99"/>
    </row>
    <row r="195" spans="7:11" ht="13.2">
      <c r="G195" s="99"/>
      <c r="K195" s="99"/>
    </row>
    <row r="196" spans="7:11" ht="13.2">
      <c r="G196" s="99"/>
      <c r="K196" s="99"/>
    </row>
    <row r="197" spans="7:11" ht="13.2">
      <c r="G197" s="99"/>
      <c r="K197" s="99"/>
    </row>
    <row r="198" spans="7:11" ht="13.2">
      <c r="G198" s="99"/>
      <c r="K198" s="99"/>
    </row>
    <row r="199" spans="7:11" ht="13.2">
      <c r="G199" s="99"/>
      <c r="K199" s="99"/>
    </row>
    <row r="200" spans="7:11" ht="13.2">
      <c r="G200" s="99"/>
      <c r="K200" s="99"/>
    </row>
    <row r="201" spans="7:11" ht="13.2">
      <c r="G201" s="99"/>
      <c r="K201" s="99"/>
    </row>
    <row r="202" spans="7:11" ht="13.2">
      <c r="G202" s="99"/>
      <c r="K202" s="99"/>
    </row>
    <row r="203" spans="7:11" ht="13.2">
      <c r="G203" s="99"/>
      <c r="K203" s="99"/>
    </row>
    <row r="204" spans="7:11" ht="13.2">
      <c r="G204" s="99"/>
      <c r="K204" s="99"/>
    </row>
    <row r="205" spans="7:11" ht="13.2">
      <c r="G205" s="99"/>
      <c r="K205" s="99"/>
    </row>
    <row r="206" spans="7:11" ht="13.2">
      <c r="G206" s="99"/>
      <c r="K206" s="99"/>
    </row>
    <row r="207" spans="7:11" ht="13.2">
      <c r="G207" s="99"/>
      <c r="K207" s="99"/>
    </row>
    <row r="208" spans="7:11" ht="13.2">
      <c r="G208" s="99"/>
      <c r="K208" s="99"/>
    </row>
    <row r="209" spans="7:11" ht="13.2">
      <c r="G209" s="99"/>
      <c r="K209" s="99"/>
    </row>
    <row r="210" spans="7:11" ht="13.2">
      <c r="G210" s="99"/>
      <c r="K210" s="99"/>
    </row>
    <row r="211" spans="7:11" ht="13.2">
      <c r="G211" s="99"/>
      <c r="K211" s="99"/>
    </row>
    <row r="212" spans="7:11" ht="13.2">
      <c r="G212" s="99"/>
      <c r="K212" s="99"/>
    </row>
    <row r="213" spans="7:11" ht="13.2">
      <c r="G213" s="99"/>
      <c r="K213" s="99"/>
    </row>
    <row r="214" spans="7:11" ht="13.2">
      <c r="G214" s="99"/>
      <c r="K214" s="99"/>
    </row>
    <row r="215" spans="7:11" ht="13.2">
      <c r="G215" s="99"/>
      <c r="K215" s="99"/>
    </row>
    <row r="216" spans="7:11" ht="13.2">
      <c r="G216" s="99"/>
      <c r="K216" s="99"/>
    </row>
    <row r="217" spans="7:11" ht="13.2">
      <c r="G217" s="99"/>
      <c r="K217" s="99"/>
    </row>
    <row r="218" spans="7:11" ht="13.2">
      <c r="G218" s="99"/>
      <c r="K218" s="99"/>
    </row>
    <row r="219" spans="7:11" ht="13.2">
      <c r="G219" s="99"/>
      <c r="K219" s="99"/>
    </row>
    <row r="220" spans="7:11" ht="13.2">
      <c r="G220" s="99"/>
      <c r="K220" s="99"/>
    </row>
    <row r="221" spans="7:11" ht="13.2">
      <c r="G221" s="99"/>
      <c r="K221" s="99"/>
    </row>
    <row r="222" spans="7:11" ht="13.2">
      <c r="G222" s="99"/>
      <c r="K222" s="99"/>
    </row>
    <row r="223" spans="7:11" ht="13.2">
      <c r="G223" s="99"/>
      <c r="K223" s="99"/>
    </row>
    <row r="224" spans="7:11" ht="13.2">
      <c r="G224" s="99"/>
      <c r="K224" s="99"/>
    </row>
    <row r="225" spans="7:11" ht="13.2">
      <c r="G225" s="99"/>
      <c r="K225" s="99"/>
    </row>
    <row r="226" spans="7:11" ht="13.2">
      <c r="G226" s="99"/>
      <c r="K226" s="99"/>
    </row>
    <row r="227" spans="7:11" ht="13.2">
      <c r="G227" s="99"/>
      <c r="K227" s="99"/>
    </row>
    <row r="228" spans="7:11" ht="13.2">
      <c r="G228" s="99"/>
      <c r="K228" s="99"/>
    </row>
    <row r="229" spans="7:11" ht="13.2">
      <c r="G229" s="99"/>
      <c r="K229" s="99"/>
    </row>
    <row r="230" spans="7:11" ht="13.2">
      <c r="G230" s="99"/>
      <c r="K230" s="99"/>
    </row>
    <row r="231" spans="7:11" ht="13.2">
      <c r="G231" s="99"/>
      <c r="K231" s="99"/>
    </row>
    <row r="232" spans="7:11" ht="13.2">
      <c r="G232" s="99"/>
      <c r="K232" s="99"/>
    </row>
    <row r="233" spans="7:11" ht="13.2">
      <c r="G233" s="99"/>
      <c r="K233" s="99"/>
    </row>
    <row r="234" spans="7:11" ht="13.2">
      <c r="G234" s="99"/>
      <c r="K234" s="99"/>
    </row>
    <row r="235" spans="7:11" ht="13.2">
      <c r="G235" s="99"/>
      <c r="K235" s="99"/>
    </row>
    <row r="236" spans="7:11" ht="13.2">
      <c r="G236" s="99"/>
      <c r="K236" s="99"/>
    </row>
    <row r="237" spans="7:11" ht="13.2">
      <c r="G237" s="99"/>
      <c r="K237" s="99"/>
    </row>
    <row r="238" spans="7:11" ht="13.2">
      <c r="G238" s="99"/>
      <c r="K238" s="99"/>
    </row>
    <row r="239" spans="7:11" ht="13.2">
      <c r="G239" s="99"/>
      <c r="K239" s="99"/>
    </row>
    <row r="240" spans="7:11" ht="13.2">
      <c r="G240" s="99"/>
      <c r="K240" s="99"/>
    </row>
    <row r="241" spans="7:11" ht="13.2">
      <c r="G241" s="99"/>
      <c r="K241" s="99"/>
    </row>
    <row r="242" spans="7:11" ht="13.2">
      <c r="G242" s="99"/>
      <c r="K242" s="99"/>
    </row>
    <row r="243" spans="7:11" ht="13.2">
      <c r="G243" s="99"/>
      <c r="K243" s="99"/>
    </row>
    <row r="244" spans="7:11" ht="13.2">
      <c r="G244" s="99"/>
      <c r="K244" s="99"/>
    </row>
    <row r="245" spans="7:11" ht="13.2">
      <c r="G245" s="99"/>
      <c r="K245" s="99"/>
    </row>
    <row r="246" spans="7:11" ht="13.2">
      <c r="G246" s="99"/>
      <c r="K246" s="99"/>
    </row>
    <row r="247" spans="7:11" ht="13.2">
      <c r="G247" s="99"/>
      <c r="K247" s="99"/>
    </row>
    <row r="248" spans="7:11" ht="13.2">
      <c r="G248" s="99"/>
      <c r="K248" s="99"/>
    </row>
    <row r="249" spans="7:11" ht="13.2">
      <c r="G249" s="99"/>
      <c r="K249" s="99"/>
    </row>
    <row r="250" spans="7:11" ht="13.2">
      <c r="G250" s="99"/>
      <c r="K250" s="99"/>
    </row>
    <row r="251" spans="7:11" ht="13.2">
      <c r="G251" s="99"/>
      <c r="K251" s="99"/>
    </row>
    <row r="252" spans="7:11" ht="13.2">
      <c r="G252" s="99"/>
      <c r="K252" s="99"/>
    </row>
    <row r="253" spans="7:11" ht="13.2">
      <c r="G253" s="99"/>
      <c r="K253" s="99"/>
    </row>
    <row r="254" spans="7:11" ht="13.2">
      <c r="G254" s="99"/>
      <c r="K254" s="99"/>
    </row>
    <row r="255" spans="7:11" ht="13.2">
      <c r="G255" s="99"/>
      <c r="K255" s="99"/>
    </row>
    <row r="256" spans="7:11" ht="13.2">
      <c r="G256" s="99"/>
      <c r="K256" s="99"/>
    </row>
    <row r="257" spans="7:11" ht="13.2">
      <c r="G257" s="99"/>
      <c r="K257" s="99"/>
    </row>
    <row r="258" spans="7:11" ht="13.2">
      <c r="G258" s="99"/>
      <c r="K258" s="99"/>
    </row>
    <row r="259" spans="7:11" ht="13.2">
      <c r="G259" s="99"/>
      <c r="K259" s="99"/>
    </row>
    <row r="260" spans="7:11" ht="13.2">
      <c r="G260" s="99"/>
      <c r="K260" s="99"/>
    </row>
    <row r="261" spans="7:11" ht="13.2">
      <c r="G261" s="99"/>
      <c r="K261" s="99"/>
    </row>
    <row r="262" spans="7:11" ht="13.2">
      <c r="G262" s="99"/>
      <c r="K262" s="99"/>
    </row>
    <row r="263" spans="7:11" ht="13.2">
      <c r="G263" s="99"/>
      <c r="K263" s="99"/>
    </row>
    <row r="264" spans="7:11" ht="13.2">
      <c r="G264" s="99"/>
      <c r="K264" s="99"/>
    </row>
    <row r="265" spans="7:11" ht="13.2">
      <c r="G265" s="99"/>
      <c r="K265" s="99"/>
    </row>
    <row r="266" spans="7:11" ht="13.2">
      <c r="G266" s="99"/>
      <c r="K266" s="99"/>
    </row>
    <row r="267" spans="7:11" ht="13.2">
      <c r="G267" s="99"/>
      <c r="K267" s="99"/>
    </row>
    <row r="268" spans="7:11" ht="13.2">
      <c r="G268" s="99"/>
      <c r="K268" s="99"/>
    </row>
    <row r="269" spans="7:11" ht="13.2">
      <c r="G269" s="99"/>
      <c r="K269" s="99"/>
    </row>
    <row r="270" spans="7:11" ht="13.2">
      <c r="G270" s="99"/>
      <c r="K270" s="99"/>
    </row>
    <row r="271" spans="7:11" ht="13.2">
      <c r="G271" s="99"/>
      <c r="K271" s="99"/>
    </row>
    <row r="272" spans="7:11" ht="13.2">
      <c r="G272" s="99"/>
      <c r="K272" s="99"/>
    </row>
    <row r="273" spans="7:11" ht="13.2">
      <c r="G273" s="99"/>
      <c r="K273" s="99"/>
    </row>
    <row r="274" spans="7:11" ht="13.2">
      <c r="G274" s="99"/>
      <c r="K274" s="99"/>
    </row>
    <row r="275" spans="7:11" ht="13.2">
      <c r="G275" s="99"/>
      <c r="K275" s="99"/>
    </row>
    <row r="276" spans="7:11" ht="13.2">
      <c r="G276" s="99"/>
      <c r="K276" s="99"/>
    </row>
    <row r="277" spans="7:11" ht="13.2">
      <c r="G277" s="99"/>
      <c r="K277" s="99"/>
    </row>
    <row r="278" spans="7:11" ht="13.2">
      <c r="G278" s="99"/>
      <c r="K278" s="99"/>
    </row>
    <row r="279" spans="7:11" ht="13.2">
      <c r="G279" s="99"/>
      <c r="K279" s="99"/>
    </row>
    <row r="280" spans="7:11" ht="13.2">
      <c r="G280" s="99"/>
      <c r="K280" s="99"/>
    </row>
    <row r="281" spans="7:11" ht="13.2">
      <c r="G281" s="99"/>
      <c r="K281" s="99"/>
    </row>
    <row r="282" spans="7:11" ht="13.2">
      <c r="G282" s="99"/>
      <c r="K282" s="99"/>
    </row>
    <row r="283" spans="7:11" ht="13.2">
      <c r="G283" s="99"/>
      <c r="K283" s="99"/>
    </row>
    <row r="284" spans="7:11" ht="13.2">
      <c r="G284" s="99"/>
      <c r="K284" s="99"/>
    </row>
    <row r="285" spans="7:11" ht="13.2">
      <c r="G285" s="99"/>
      <c r="K285" s="99"/>
    </row>
    <row r="286" spans="7:11" ht="13.2">
      <c r="G286" s="99"/>
      <c r="K286" s="99"/>
    </row>
    <row r="287" spans="7:11" ht="13.2">
      <c r="G287" s="99"/>
      <c r="K287" s="99"/>
    </row>
    <row r="288" spans="7:11" ht="13.2">
      <c r="G288" s="99"/>
      <c r="K288" s="99"/>
    </row>
    <row r="289" spans="7:11" ht="13.2">
      <c r="G289" s="99"/>
      <c r="K289" s="99"/>
    </row>
    <row r="290" spans="7:11" ht="13.2">
      <c r="G290" s="99"/>
      <c r="K290" s="99"/>
    </row>
    <row r="291" spans="7:11" ht="13.2">
      <c r="G291" s="99"/>
      <c r="K291" s="99"/>
    </row>
    <row r="292" spans="7:11" ht="13.2">
      <c r="G292" s="99"/>
      <c r="K292" s="99"/>
    </row>
    <row r="293" spans="7:11" ht="13.2">
      <c r="G293" s="99"/>
      <c r="K293" s="99"/>
    </row>
    <row r="294" spans="7:11" ht="13.2">
      <c r="G294" s="99"/>
      <c r="K294" s="99"/>
    </row>
    <row r="295" spans="7:11" ht="13.2">
      <c r="G295" s="99"/>
      <c r="K295" s="99"/>
    </row>
    <row r="296" spans="7:11" ht="13.2">
      <c r="G296" s="99"/>
      <c r="K296" s="99"/>
    </row>
    <row r="297" spans="7:11" ht="13.2">
      <c r="G297" s="99"/>
      <c r="K297" s="99"/>
    </row>
    <row r="298" spans="7:11" ht="13.2">
      <c r="G298" s="99"/>
      <c r="K298" s="99"/>
    </row>
    <row r="299" spans="7:11" ht="13.2">
      <c r="G299" s="99"/>
      <c r="K299" s="99"/>
    </row>
    <row r="300" spans="7:11" ht="13.2">
      <c r="G300" s="99"/>
      <c r="K300" s="99"/>
    </row>
    <row r="301" spans="7:11" ht="13.2">
      <c r="G301" s="99"/>
      <c r="K301" s="99"/>
    </row>
    <row r="302" spans="7:11" ht="13.2">
      <c r="G302" s="99"/>
      <c r="K302" s="99"/>
    </row>
    <row r="303" spans="7:11" ht="13.2">
      <c r="G303" s="99"/>
      <c r="K303" s="99"/>
    </row>
    <row r="304" spans="7:11" ht="13.2">
      <c r="G304" s="99"/>
      <c r="K304" s="99"/>
    </row>
    <row r="305" spans="7:11" ht="13.2">
      <c r="G305" s="99"/>
      <c r="K305" s="99"/>
    </row>
    <row r="306" spans="7:11" ht="13.2">
      <c r="G306" s="99"/>
      <c r="K306" s="99"/>
    </row>
    <row r="307" spans="7:11" ht="13.2">
      <c r="G307" s="99"/>
      <c r="K307" s="99"/>
    </row>
    <row r="308" spans="7:11" ht="13.2">
      <c r="G308" s="99"/>
      <c r="K308" s="99"/>
    </row>
    <row r="309" spans="7:11" ht="13.2">
      <c r="G309" s="99"/>
      <c r="K309" s="99"/>
    </row>
    <row r="310" spans="7:11" ht="13.2">
      <c r="G310" s="99"/>
      <c r="K310" s="99"/>
    </row>
    <row r="311" spans="7:11" ht="13.2">
      <c r="G311" s="99"/>
      <c r="K311" s="99"/>
    </row>
    <row r="312" spans="7:11" ht="13.2">
      <c r="G312" s="99"/>
      <c r="K312" s="99"/>
    </row>
    <row r="313" spans="7:11" ht="13.2">
      <c r="G313" s="99"/>
      <c r="K313" s="99"/>
    </row>
    <row r="314" spans="7:11" ht="13.2">
      <c r="G314" s="99"/>
      <c r="K314" s="99"/>
    </row>
    <row r="315" spans="7:11" ht="13.2">
      <c r="G315" s="99"/>
      <c r="K315" s="99"/>
    </row>
    <row r="316" spans="7:11" ht="13.2">
      <c r="G316" s="99"/>
      <c r="K316" s="99"/>
    </row>
    <row r="317" spans="7:11" ht="13.2">
      <c r="G317" s="99"/>
      <c r="K317" s="99"/>
    </row>
    <row r="318" spans="7:11" ht="13.2">
      <c r="G318" s="99"/>
      <c r="K318" s="99"/>
    </row>
    <row r="319" spans="7:11" ht="13.2">
      <c r="G319" s="99"/>
      <c r="K319" s="99"/>
    </row>
    <row r="320" spans="7:11" ht="13.2">
      <c r="G320" s="99"/>
      <c r="K320" s="99"/>
    </row>
    <row r="321" spans="7:11" ht="13.2">
      <c r="G321" s="99"/>
      <c r="K321" s="99"/>
    </row>
    <row r="322" spans="7:11" ht="13.2">
      <c r="G322" s="99"/>
      <c r="K322" s="99"/>
    </row>
    <row r="323" spans="7:11" ht="13.2">
      <c r="G323" s="99"/>
      <c r="K323" s="99"/>
    </row>
    <row r="324" spans="7:11" ht="13.2">
      <c r="G324" s="99"/>
      <c r="K324" s="99"/>
    </row>
    <row r="325" spans="7:11" ht="13.2">
      <c r="G325" s="99"/>
      <c r="K325" s="99"/>
    </row>
    <row r="326" spans="7:11" ht="13.2">
      <c r="G326" s="99"/>
      <c r="K326" s="99"/>
    </row>
    <row r="327" spans="7:11" ht="13.2">
      <c r="G327" s="99"/>
      <c r="K327" s="99"/>
    </row>
    <row r="328" spans="7:11" ht="13.2">
      <c r="G328" s="99"/>
      <c r="K328" s="99"/>
    </row>
    <row r="329" spans="7:11" ht="13.2">
      <c r="G329" s="99"/>
      <c r="K329" s="99"/>
    </row>
    <row r="330" spans="7:11" ht="13.2">
      <c r="G330" s="99"/>
      <c r="K330" s="99"/>
    </row>
    <row r="331" spans="7:11" ht="13.2">
      <c r="G331" s="99"/>
      <c r="K331" s="99"/>
    </row>
    <row r="332" spans="7:11" ht="13.2">
      <c r="G332" s="99"/>
      <c r="K332" s="99"/>
    </row>
    <row r="333" spans="7:11" ht="13.2">
      <c r="G333" s="99"/>
      <c r="K333" s="99"/>
    </row>
    <row r="334" spans="7:11" ht="13.2">
      <c r="G334" s="99"/>
      <c r="K334" s="99"/>
    </row>
    <row r="335" spans="7:11" ht="13.2">
      <c r="G335" s="99"/>
      <c r="K335" s="99"/>
    </row>
    <row r="336" spans="7:11" ht="13.2">
      <c r="G336" s="99"/>
      <c r="K336" s="99"/>
    </row>
    <row r="337" spans="7:11" ht="13.2">
      <c r="G337" s="99"/>
      <c r="K337" s="99"/>
    </row>
    <row r="338" spans="7:11" ht="13.2">
      <c r="G338" s="99"/>
      <c r="K338" s="99"/>
    </row>
    <row r="339" spans="7:11" ht="13.2">
      <c r="G339" s="99"/>
      <c r="K339" s="99"/>
    </row>
    <row r="340" spans="7:11" ht="13.2">
      <c r="G340" s="99"/>
      <c r="K340" s="99"/>
    </row>
    <row r="341" spans="7:11" ht="13.2">
      <c r="G341" s="99"/>
      <c r="K341" s="99"/>
    </row>
    <row r="342" spans="7:11" ht="13.2">
      <c r="G342" s="99"/>
      <c r="K342" s="99"/>
    </row>
    <row r="343" spans="7:11" ht="13.2">
      <c r="G343" s="99"/>
      <c r="K343" s="99"/>
    </row>
    <row r="344" spans="7:11" ht="13.2">
      <c r="G344" s="99"/>
      <c r="K344" s="99"/>
    </row>
    <row r="345" spans="7:11" ht="13.2">
      <c r="G345" s="99"/>
      <c r="K345" s="99"/>
    </row>
    <row r="346" spans="7:11" ht="13.2">
      <c r="G346" s="99"/>
      <c r="K346" s="99"/>
    </row>
    <row r="347" spans="7:11" ht="13.2">
      <c r="G347" s="99"/>
      <c r="K347" s="99"/>
    </row>
    <row r="348" spans="7:11" ht="13.2">
      <c r="G348" s="99"/>
      <c r="K348" s="99"/>
    </row>
    <row r="349" spans="7:11" ht="13.2">
      <c r="G349" s="99"/>
      <c r="K349" s="99"/>
    </row>
    <row r="350" spans="7:11" ht="13.2">
      <c r="G350" s="99"/>
      <c r="K350" s="99"/>
    </row>
    <row r="351" spans="7:11" ht="13.2">
      <c r="G351" s="99"/>
      <c r="K351" s="99"/>
    </row>
    <row r="352" spans="7:11" ht="13.2">
      <c r="G352" s="99"/>
      <c r="K352" s="99"/>
    </row>
    <row r="353" spans="7:11" ht="13.2">
      <c r="G353" s="99"/>
      <c r="K353" s="99"/>
    </row>
    <row r="354" spans="7:11" ht="13.2">
      <c r="G354" s="99"/>
      <c r="K354" s="99"/>
    </row>
    <row r="355" spans="7:11" ht="13.2">
      <c r="G355" s="99"/>
      <c r="K355" s="99"/>
    </row>
    <row r="356" spans="7:11" ht="13.2">
      <c r="G356" s="99"/>
      <c r="K356" s="99"/>
    </row>
    <row r="357" spans="7:11" ht="13.2">
      <c r="G357" s="99"/>
      <c r="K357" s="99"/>
    </row>
    <row r="358" spans="7:11" ht="13.2">
      <c r="G358" s="99"/>
      <c r="K358" s="99"/>
    </row>
    <row r="359" spans="7:11" ht="13.2">
      <c r="G359" s="99"/>
      <c r="K359" s="99"/>
    </row>
    <row r="360" spans="7:11" ht="13.2">
      <c r="G360" s="99"/>
      <c r="K360" s="99"/>
    </row>
    <row r="361" spans="7:11" ht="13.2">
      <c r="G361" s="99"/>
      <c r="K361" s="99"/>
    </row>
    <row r="362" spans="7:11" ht="13.2">
      <c r="G362" s="99"/>
      <c r="K362" s="99"/>
    </row>
    <row r="363" spans="7:11" ht="13.2">
      <c r="G363" s="99"/>
      <c r="K363" s="99"/>
    </row>
    <row r="364" spans="7:11" ht="13.2">
      <c r="G364" s="99"/>
      <c r="K364" s="99"/>
    </row>
    <row r="365" spans="7:11" ht="13.2">
      <c r="G365" s="99"/>
      <c r="K365" s="99"/>
    </row>
    <row r="366" spans="7:11" ht="13.2">
      <c r="G366" s="99"/>
      <c r="K366" s="99"/>
    </row>
    <row r="367" spans="7:11" ht="13.2">
      <c r="G367" s="99"/>
      <c r="K367" s="99"/>
    </row>
    <row r="368" spans="7:11" ht="13.2">
      <c r="G368" s="99"/>
      <c r="K368" s="99"/>
    </row>
    <row r="369" spans="7:11" ht="13.2">
      <c r="G369" s="99"/>
      <c r="K369" s="99"/>
    </row>
    <row r="370" spans="7:11" ht="13.2">
      <c r="G370" s="99"/>
      <c r="K370" s="99"/>
    </row>
    <row r="371" spans="7:11" ht="13.2">
      <c r="G371" s="99"/>
      <c r="K371" s="99"/>
    </row>
    <row r="372" spans="7:11" ht="13.2">
      <c r="G372" s="99"/>
      <c r="K372" s="99"/>
    </row>
    <row r="373" spans="7:11" ht="13.2">
      <c r="G373" s="99"/>
      <c r="K373" s="99"/>
    </row>
    <row r="374" spans="7:11" ht="13.2">
      <c r="G374" s="99"/>
      <c r="K374" s="99"/>
    </row>
    <row r="375" spans="7:11" ht="13.2">
      <c r="G375" s="99"/>
      <c r="K375" s="99"/>
    </row>
    <row r="376" spans="7:11" ht="13.2">
      <c r="G376" s="99"/>
      <c r="K376" s="99"/>
    </row>
    <row r="377" spans="7:11" ht="13.2">
      <c r="G377" s="99"/>
      <c r="K377" s="99"/>
    </row>
    <row r="378" spans="7:11" ht="13.2">
      <c r="G378" s="99"/>
      <c r="K378" s="99"/>
    </row>
    <row r="379" spans="7:11" ht="13.2">
      <c r="G379" s="99"/>
      <c r="K379" s="99"/>
    </row>
    <row r="380" spans="7:11" ht="13.2">
      <c r="G380" s="99"/>
      <c r="K380" s="99"/>
    </row>
    <row r="381" spans="7:11" ht="13.2">
      <c r="G381" s="99"/>
      <c r="K381" s="99"/>
    </row>
    <row r="382" spans="7:11" ht="13.2">
      <c r="G382" s="99"/>
      <c r="K382" s="99"/>
    </row>
    <row r="383" spans="7:11" ht="13.2">
      <c r="G383" s="99"/>
      <c r="K383" s="99"/>
    </row>
    <row r="384" spans="7:11" ht="13.2">
      <c r="G384" s="99"/>
      <c r="K384" s="99"/>
    </row>
    <row r="385" spans="7:11" ht="13.2">
      <c r="G385" s="99"/>
      <c r="K385" s="99"/>
    </row>
    <row r="386" spans="7:11" ht="13.2">
      <c r="G386" s="99"/>
      <c r="K386" s="99"/>
    </row>
    <row r="387" spans="7:11" ht="13.2">
      <c r="G387" s="99"/>
      <c r="K387" s="99"/>
    </row>
    <row r="388" spans="7:11" ht="13.2">
      <c r="G388" s="99"/>
      <c r="K388" s="99"/>
    </row>
    <row r="389" spans="7:11" ht="13.2">
      <c r="G389" s="99"/>
      <c r="K389" s="99"/>
    </row>
    <row r="390" spans="7:11" ht="13.2">
      <c r="G390" s="99"/>
      <c r="K390" s="99"/>
    </row>
    <row r="391" spans="7:11" ht="13.2">
      <c r="G391" s="99"/>
      <c r="K391" s="99"/>
    </row>
    <row r="392" spans="7:11" ht="13.2">
      <c r="G392" s="99"/>
      <c r="K392" s="99"/>
    </row>
    <row r="393" spans="7:11" ht="13.2">
      <c r="G393" s="99"/>
      <c r="K393" s="99"/>
    </row>
    <row r="394" spans="7:11" ht="13.2">
      <c r="G394" s="99"/>
      <c r="K394" s="99"/>
    </row>
    <row r="395" spans="7:11" ht="13.2">
      <c r="G395" s="99"/>
      <c r="K395" s="99"/>
    </row>
    <row r="396" spans="7:11" ht="13.2">
      <c r="G396" s="99"/>
      <c r="K396" s="99"/>
    </row>
    <row r="397" spans="7:11" ht="13.2">
      <c r="G397" s="99"/>
      <c r="K397" s="99"/>
    </row>
    <row r="398" spans="7:11" ht="13.2">
      <c r="G398" s="99"/>
      <c r="K398" s="99"/>
    </row>
    <row r="399" spans="7:11" ht="13.2">
      <c r="G399" s="99"/>
      <c r="K399" s="99"/>
    </row>
    <row r="400" spans="7:11" ht="13.2">
      <c r="G400" s="99"/>
      <c r="K400" s="99"/>
    </row>
    <row r="401" spans="7:11" ht="13.2">
      <c r="G401" s="99"/>
      <c r="K401" s="99"/>
    </row>
    <row r="402" spans="7:11" ht="13.2">
      <c r="G402" s="99"/>
      <c r="K402" s="99"/>
    </row>
    <row r="403" spans="7:11" ht="13.2">
      <c r="G403" s="99"/>
      <c r="K403" s="99"/>
    </row>
    <row r="404" spans="7:11" ht="13.2">
      <c r="G404" s="99"/>
      <c r="K404" s="99"/>
    </row>
    <row r="405" spans="7:11" ht="13.2">
      <c r="G405" s="99"/>
      <c r="K405" s="99"/>
    </row>
    <row r="406" spans="7:11" ht="13.2">
      <c r="G406" s="99"/>
      <c r="K406" s="99"/>
    </row>
    <row r="407" spans="7:11" ht="13.2">
      <c r="G407" s="99"/>
      <c r="K407" s="99"/>
    </row>
    <row r="408" spans="7:11" ht="13.2">
      <c r="G408" s="99"/>
      <c r="K408" s="99"/>
    </row>
    <row r="409" spans="7:11" ht="13.2">
      <c r="G409" s="99"/>
      <c r="K409" s="99"/>
    </row>
    <row r="410" spans="7:11" ht="13.2">
      <c r="G410" s="99"/>
      <c r="K410" s="99"/>
    </row>
    <row r="411" spans="7:11" ht="13.2">
      <c r="G411" s="99"/>
      <c r="K411" s="99"/>
    </row>
    <row r="412" spans="7:11" ht="13.2">
      <c r="G412" s="99"/>
      <c r="K412" s="99"/>
    </row>
    <row r="413" spans="7:11" ht="13.2">
      <c r="G413" s="99"/>
      <c r="K413" s="99"/>
    </row>
    <row r="414" spans="7:11" ht="13.2">
      <c r="G414" s="99"/>
      <c r="K414" s="99"/>
    </row>
    <row r="415" spans="7:11" ht="13.2">
      <c r="G415" s="99"/>
      <c r="K415" s="99"/>
    </row>
    <row r="416" spans="7:11" ht="13.2">
      <c r="G416" s="99"/>
      <c r="K416" s="99"/>
    </row>
    <row r="417" spans="7:11" ht="13.2">
      <c r="G417" s="99"/>
      <c r="K417" s="99"/>
    </row>
    <row r="418" spans="7:11" ht="13.2">
      <c r="G418" s="99"/>
      <c r="K418" s="99"/>
    </row>
    <row r="419" spans="7:11" ht="13.2">
      <c r="G419" s="99"/>
      <c r="K419" s="99"/>
    </row>
    <row r="420" spans="7:11" ht="13.2">
      <c r="G420" s="99"/>
      <c r="K420" s="99"/>
    </row>
    <row r="421" spans="7:11" ht="13.2">
      <c r="G421" s="99"/>
      <c r="K421" s="99"/>
    </row>
    <row r="422" spans="7:11" ht="13.2">
      <c r="G422" s="99"/>
      <c r="K422" s="99"/>
    </row>
    <row r="423" spans="7:11" ht="13.2">
      <c r="G423" s="99"/>
      <c r="K423" s="99"/>
    </row>
    <row r="424" spans="7:11" ht="13.2">
      <c r="G424" s="99"/>
      <c r="K424" s="99"/>
    </row>
    <row r="425" spans="7:11" ht="13.2">
      <c r="G425" s="99"/>
      <c r="K425" s="99"/>
    </row>
    <row r="426" spans="7:11" ht="13.2">
      <c r="G426" s="99"/>
      <c r="K426" s="99"/>
    </row>
    <row r="427" spans="7:11" ht="13.2">
      <c r="G427" s="99"/>
      <c r="K427" s="99"/>
    </row>
    <row r="428" spans="7:11" ht="13.2">
      <c r="G428" s="99"/>
      <c r="K428" s="99"/>
    </row>
    <row r="429" spans="7:11" ht="13.2">
      <c r="G429" s="99"/>
      <c r="K429" s="99"/>
    </row>
    <row r="430" spans="7:11" ht="13.2">
      <c r="G430" s="99"/>
      <c r="K430" s="99"/>
    </row>
    <row r="431" spans="7:11" ht="13.2">
      <c r="G431" s="99"/>
      <c r="K431" s="99"/>
    </row>
    <row r="432" spans="7:11" ht="13.2">
      <c r="G432" s="99"/>
      <c r="K432" s="99"/>
    </row>
    <row r="433" spans="7:11" ht="13.2">
      <c r="G433" s="99"/>
      <c r="K433" s="99"/>
    </row>
    <row r="434" spans="7:11" ht="13.2">
      <c r="G434" s="99"/>
      <c r="K434" s="99"/>
    </row>
    <row r="435" spans="7:11" ht="13.2">
      <c r="G435" s="99"/>
      <c r="K435" s="99"/>
    </row>
    <row r="436" spans="7:11" ht="13.2">
      <c r="G436" s="99"/>
      <c r="K436" s="99"/>
    </row>
    <row r="437" spans="7:11" ht="13.2">
      <c r="G437" s="99"/>
      <c r="K437" s="99"/>
    </row>
    <row r="438" spans="7:11" ht="13.2">
      <c r="G438" s="99"/>
      <c r="K438" s="99"/>
    </row>
    <row r="439" spans="7:11" ht="13.2">
      <c r="G439" s="99"/>
      <c r="K439" s="99"/>
    </row>
    <row r="440" spans="7:11" ht="13.2">
      <c r="G440" s="99"/>
      <c r="K440" s="99"/>
    </row>
    <row r="441" spans="7:11" ht="13.2">
      <c r="G441" s="99"/>
      <c r="K441" s="99"/>
    </row>
    <row r="442" spans="7:11" ht="13.2">
      <c r="G442" s="99"/>
      <c r="K442" s="99"/>
    </row>
    <row r="443" spans="7:11" ht="13.2">
      <c r="G443" s="99"/>
      <c r="K443" s="99"/>
    </row>
    <row r="444" spans="7:11" ht="13.2">
      <c r="G444" s="99"/>
      <c r="K444" s="99"/>
    </row>
    <row r="445" spans="7:11" ht="13.2">
      <c r="G445" s="99"/>
      <c r="K445" s="99"/>
    </row>
    <row r="446" spans="7:11" ht="13.2">
      <c r="G446" s="99"/>
      <c r="K446" s="99"/>
    </row>
    <row r="447" spans="7:11" ht="13.2">
      <c r="G447" s="99"/>
      <c r="K447" s="99"/>
    </row>
    <row r="448" spans="7:11" ht="13.2">
      <c r="G448" s="99"/>
      <c r="K448" s="99"/>
    </row>
    <row r="449" spans="7:11" ht="13.2">
      <c r="G449" s="99"/>
      <c r="K449" s="99"/>
    </row>
    <row r="450" spans="7:11" ht="13.2">
      <c r="G450" s="99"/>
      <c r="K450" s="99"/>
    </row>
    <row r="451" spans="7:11" ht="13.2">
      <c r="G451" s="99"/>
      <c r="K451" s="99"/>
    </row>
    <row r="452" spans="7:11" ht="13.2">
      <c r="G452" s="99"/>
      <c r="K452" s="99"/>
    </row>
    <row r="453" spans="7:11" ht="13.2">
      <c r="G453" s="99"/>
      <c r="K453" s="99"/>
    </row>
    <row r="454" spans="7:11" ht="13.2">
      <c r="G454" s="99"/>
      <c r="K454" s="99"/>
    </row>
    <row r="455" spans="7:11" ht="13.2">
      <c r="G455" s="99"/>
      <c r="K455" s="99"/>
    </row>
    <row r="456" spans="7:11" ht="13.2">
      <c r="G456" s="99"/>
      <c r="K456" s="99"/>
    </row>
    <row r="457" spans="7:11" ht="13.2">
      <c r="G457" s="99"/>
      <c r="K457" s="99"/>
    </row>
    <row r="458" spans="7:11" ht="13.2">
      <c r="G458" s="99"/>
      <c r="K458" s="99"/>
    </row>
    <row r="459" spans="7:11" ht="13.2">
      <c r="G459" s="99"/>
      <c r="K459" s="99"/>
    </row>
    <row r="460" spans="7:11" ht="13.2">
      <c r="G460" s="99"/>
      <c r="K460" s="99"/>
    </row>
    <row r="461" spans="7:11" ht="13.2">
      <c r="G461" s="99"/>
      <c r="K461" s="99"/>
    </row>
    <row r="462" spans="7:11" ht="13.2">
      <c r="G462" s="99"/>
      <c r="K462" s="99"/>
    </row>
    <row r="463" spans="7:11" ht="13.2">
      <c r="G463" s="99"/>
      <c r="K463" s="99"/>
    </row>
    <row r="464" spans="7:11" ht="13.2">
      <c r="G464" s="99"/>
      <c r="K464" s="99"/>
    </row>
    <row r="465" spans="7:11" ht="13.2">
      <c r="G465" s="99"/>
      <c r="K465" s="99"/>
    </row>
    <row r="466" spans="7:11" ht="13.2">
      <c r="G466" s="99"/>
      <c r="K466" s="99"/>
    </row>
    <row r="467" spans="7:11" ht="13.2">
      <c r="G467" s="99"/>
      <c r="K467" s="99"/>
    </row>
    <row r="468" spans="7:11" ht="13.2">
      <c r="G468" s="99"/>
      <c r="K468" s="99"/>
    </row>
    <row r="469" spans="7:11" ht="13.2">
      <c r="G469" s="99"/>
      <c r="K469" s="99"/>
    </row>
    <row r="470" spans="7:11" ht="13.2">
      <c r="G470" s="99"/>
      <c r="K470" s="99"/>
    </row>
    <row r="471" spans="7:11" ht="13.2">
      <c r="G471" s="99"/>
      <c r="K471" s="99"/>
    </row>
    <row r="472" spans="7:11" ht="13.2">
      <c r="G472" s="99"/>
      <c r="K472" s="99"/>
    </row>
    <row r="473" spans="7:11" ht="13.2">
      <c r="G473" s="99"/>
      <c r="K473" s="99"/>
    </row>
    <row r="474" spans="7:11" ht="13.2">
      <c r="G474" s="99"/>
      <c r="K474" s="99"/>
    </row>
    <row r="475" spans="7:11" ht="13.2">
      <c r="G475" s="99"/>
      <c r="K475" s="99"/>
    </row>
    <row r="476" spans="7:11" ht="13.2">
      <c r="G476" s="99"/>
      <c r="K476" s="99"/>
    </row>
    <row r="477" spans="7:11" ht="13.2">
      <c r="G477" s="99"/>
      <c r="K477" s="99"/>
    </row>
    <row r="478" spans="7:11" ht="13.2">
      <c r="G478" s="99"/>
      <c r="K478" s="99"/>
    </row>
    <row r="479" spans="7:11" ht="13.2">
      <c r="G479" s="99"/>
      <c r="K479" s="99"/>
    </row>
    <row r="480" spans="7:11" ht="13.2">
      <c r="G480" s="99"/>
      <c r="K480" s="99"/>
    </row>
    <row r="481" spans="7:11" ht="13.2">
      <c r="G481" s="99"/>
      <c r="K481" s="99"/>
    </row>
    <row r="482" spans="7:11" ht="13.2">
      <c r="G482" s="99"/>
      <c r="K482" s="99"/>
    </row>
    <row r="483" spans="7:11" ht="13.2">
      <c r="G483" s="99"/>
      <c r="K483" s="99"/>
    </row>
    <row r="484" spans="7:11" ht="13.2">
      <c r="G484" s="99"/>
      <c r="K484" s="99"/>
    </row>
    <row r="485" spans="7:11" ht="13.2">
      <c r="G485" s="99"/>
      <c r="K485" s="99"/>
    </row>
    <row r="486" spans="7:11" ht="13.2">
      <c r="G486" s="99"/>
      <c r="K486" s="99"/>
    </row>
    <row r="487" spans="7:11" ht="13.2">
      <c r="G487" s="99"/>
      <c r="K487" s="99"/>
    </row>
    <row r="488" spans="7:11" ht="13.2">
      <c r="G488" s="99"/>
      <c r="K488" s="99"/>
    </row>
    <row r="489" spans="7:11" ht="13.2">
      <c r="G489" s="99"/>
      <c r="K489" s="99"/>
    </row>
    <row r="490" spans="7:11" ht="13.2">
      <c r="G490" s="99"/>
      <c r="K490" s="99"/>
    </row>
    <row r="491" spans="7:11" ht="13.2">
      <c r="G491" s="99"/>
      <c r="K491" s="99"/>
    </row>
    <row r="492" spans="7:11" ht="13.2">
      <c r="G492" s="99"/>
      <c r="K492" s="99"/>
    </row>
    <row r="493" spans="7:11" ht="13.2">
      <c r="G493" s="99"/>
      <c r="K493" s="99"/>
    </row>
    <row r="494" spans="7:11" ht="13.2">
      <c r="G494" s="99"/>
      <c r="K494" s="99"/>
    </row>
    <row r="495" spans="7:11" ht="13.2">
      <c r="G495" s="99"/>
      <c r="K495" s="99"/>
    </row>
    <row r="496" spans="7:11" ht="13.2">
      <c r="G496" s="99"/>
      <c r="K496" s="99"/>
    </row>
    <row r="497" spans="7:11" ht="13.2">
      <c r="G497" s="99"/>
      <c r="K497" s="99"/>
    </row>
    <row r="498" spans="7:11" ht="13.2">
      <c r="G498" s="99"/>
      <c r="K498" s="99"/>
    </row>
    <row r="499" spans="7:11" ht="13.2">
      <c r="G499" s="99"/>
      <c r="K499" s="99"/>
    </row>
    <row r="500" spans="7:11" ht="13.2">
      <c r="G500" s="99"/>
      <c r="K500" s="99"/>
    </row>
    <row r="501" spans="7:11" ht="13.2">
      <c r="G501" s="99"/>
      <c r="K501" s="99"/>
    </row>
    <row r="502" spans="7:11" ht="13.2">
      <c r="G502" s="99"/>
      <c r="K502" s="99"/>
    </row>
    <row r="503" spans="7:11" ht="13.2">
      <c r="G503" s="99"/>
      <c r="K503" s="99"/>
    </row>
    <row r="504" spans="7:11" ht="13.2">
      <c r="G504" s="99"/>
      <c r="K504" s="99"/>
    </row>
    <row r="505" spans="7:11" ht="13.2">
      <c r="G505" s="99"/>
      <c r="K505" s="99"/>
    </row>
    <row r="506" spans="7:11" ht="13.2">
      <c r="G506" s="99"/>
      <c r="K506" s="99"/>
    </row>
    <row r="507" spans="7:11" ht="13.2">
      <c r="G507" s="99"/>
      <c r="K507" s="99"/>
    </row>
    <row r="508" spans="7:11" ht="13.2">
      <c r="G508" s="99"/>
      <c r="K508" s="99"/>
    </row>
    <row r="509" spans="7:11" ht="13.2">
      <c r="G509" s="99"/>
      <c r="K509" s="99"/>
    </row>
    <row r="510" spans="7:11" ht="13.2">
      <c r="G510" s="99"/>
      <c r="K510" s="99"/>
    </row>
    <row r="511" spans="7:11" ht="13.2">
      <c r="G511" s="99"/>
      <c r="K511" s="99"/>
    </row>
    <row r="512" spans="7:11" ht="13.2">
      <c r="G512" s="99"/>
      <c r="K512" s="99"/>
    </row>
    <row r="513" spans="7:11" ht="13.2">
      <c r="G513" s="99"/>
      <c r="K513" s="99"/>
    </row>
    <row r="514" spans="7:11" ht="13.2">
      <c r="G514" s="99"/>
      <c r="K514" s="99"/>
    </row>
    <row r="515" spans="7:11" ht="13.2">
      <c r="G515" s="99"/>
      <c r="K515" s="99"/>
    </row>
    <row r="516" spans="7:11" ht="13.2">
      <c r="G516" s="99"/>
      <c r="K516" s="99"/>
    </row>
    <row r="517" spans="7:11" ht="13.2">
      <c r="G517" s="99"/>
      <c r="K517" s="99"/>
    </row>
    <row r="518" spans="7:11" ht="13.2">
      <c r="G518" s="99"/>
      <c r="K518" s="99"/>
    </row>
    <row r="519" spans="7:11" ht="13.2">
      <c r="G519" s="99"/>
      <c r="K519" s="99"/>
    </row>
    <row r="520" spans="7:11" ht="13.2">
      <c r="G520" s="99"/>
      <c r="K520" s="99"/>
    </row>
    <row r="521" spans="7:11" ht="13.2">
      <c r="G521" s="99"/>
      <c r="K521" s="99"/>
    </row>
    <row r="522" spans="7:11" ht="13.2">
      <c r="G522" s="99"/>
      <c r="K522" s="99"/>
    </row>
    <row r="523" spans="7:11" ht="13.2">
      <c r="G523" s="99"/>
      <c r="K523" s="99"/>
    </row>
    <row r="524" spans="7:11" ht="13.2">
      <c r="G524" s="99"/>
      <c r="K524" s="99"/>
    </row>
    <row r="525" spans="7:11" ht="13.2">
      <c r="G525" s="99"/>
      <c r="K525" s="99"/>
    </row>
    <row r="526" spans="7:11" ht="13.2">
      <c r="G526" s="99"/>
      <c r="K526" s="99"/>
    </row>
    <row r="527" spans="7:11" ht="13.2">
      <c r="G527" s="99"/>
      <c r="K527" s="99"/>
    </row>
    <row r="528" spans="7:11" ht="13.2">
      <c r="G528" s="99"/>
      <c r="K528" s="99"/>
    </row>
    <row r="529" spans="7:11" ht="13.2">
      <c r="G529" s="99"/>
      <c r="K529" s="99"/>
    </row>
    <row r="530" spans="7:11" ht="13.2">
      <c r="G530" s="99"/>
      <c r="K530" s="99"/>
    </row>
    <row r="531" spans="7:11" ht="13.2">
      <c r="G531" s="99"/>
      <c r="K531" s="99"/>
    </row>
    <row r="532" spans="7:11" ht="13.2">
      <c r="G532" s="99"/>
      <c r="K532" s="99"/>
    </row>
    <row r="533" spans="7:11" ht="13.2">
      <c r="G533" s="99"/>
      <c r="K533" s="99"/>
    </row>
    <row r="534" spans="7:11" ht="13.2">
      <c r="G534" s="99"/>
      <c r="K534" s="99"/>
    </row>
    <row r="535" spans="7:11" ht="13.2">
      <c r="G535" s="99"/>
      <c r="K535" s="99"/>
    </row>
    <row r="536" spans="7:11" ht="13.2">
      <c r="G536" s="99"/>
      <c r="K536" s="99"/>
    </row>
    <row r="537" spans="7:11" ht="13.2">
      <c r="G537" s="99"/>
      <c r="K537" s="99"/>
    </row>
    <row r="538" spans="7:11" ht="13.2">
      <c r="G538" s="99"/>
      <c r="K538" s="99"/>
    </row>
    <row r="539" spans="7:11" ht="13.2">
      <c r="G539" s="99"/>
      <c r="K539" s="99"/>
    </row>
    <row r="540" spans="7:11" ht="13.2">
      <c r="G540" s="99"/>
      <c r="K540" s="99"/>
    </row>
    <row r="541" spans="7:11" ht="13.2">
      <c r="G541" s="99"/>
      <c r="K541" s="99"/>
    </row>
    <row r="542" spans="7:11" ht="13.2">
      <c r="G542" s="99"/>
      <c r="K542" s="99"/>
    </row>
    <row r="543" spans="7:11" ht="13.2">
      <c r="G543" s="99"/>
      <c r="K543" s="99"/>
    </row>
    <row r="544" spans="7:11" ht="13.2">
      <c r="G544" s="99"/>
      <c r="K544" s="99"/>
    </row>
    <row r="545" spans="7:11" ht="13.2">
      <c r="G545" s="99"/>
      <c r="K545" s="99"/>
    </row>
    <row r="546" spans="7:11" ht="13.2">
      <c r="G546" s="99"/>
      <c r="K546" s="99"/>
    </row>
    <row r="547" spans="7:11" ht="13.2">
      <c r="G547" s="99"/>
      <c r="K547" s="99"/>
    </row>
    <row r="548" spans="7:11" ht="13.2">
      <c r="G548" s="99"/>
      <c r="K548" s="99"/>
    </row>
    <row r="549" spans="7:11" ht="13.2">
      <c r="G549" s="99"/>
      <c r="K549" s="99"/>
    </row>
    <row r="550" spans="7:11" ht="13.2">
      <c r="G550" s="99"/>
      <c r="K550" s="99"/>
    </row>
    <row r="551" spans="7:11" ht="13.2">
      <c r="G551" s="99"/>
      <c r="K551" s="99"/>
    </row>
    <row r="552" spans="7:11" ht="13.2">
      <c r="G552" s="99"/>
      <c r="K552" s="99"/>
    </row>
    <row r="553" spans="7:11" ht="13.2">
      <c r="G553" s="99"/>
      <c r="K553" s="99"/>
    </row>
    <row r="554" spans="7:11" ht="13.2">
      <c r="G554" s="99"/>
      <c r="K554" s="99"/>
    </row>
    <row r="555" spans="7:11" ht="13.2">
      <c r="G555" s="99"/>
      <c r="K555" s="99"/>
    </row>
    <row r="556" spans="7:11" ht="13.2">
      <c r="G556" s="99"/>
      <c r="K556" s="99"/>
    </row>
    <row r="557" spans="7:11" ht="13.2">
      <c r="G557" s="99"/>
      <c r="K557" s="99"/>
    </row>
    <row r="558" spans="7:11" ht="13.2">
      <c r="G558" s="99"/>
      <c r="K558" s="99"/>
    </row>
    <row r="559" spans="7:11" ht="13.2">
      <c r="G559" s="99"/>
      <c r="K559" s="99"/>
    </row>
    <row r="560" spans="7:11" ht="13.2">
      <c r="G560" s="99"/>
      <c r="K560" s="99"/>
    </row>
    <row r="561" spans="7:11" ht="13.2">
      <c r="G561" s="99"/>
      <c r="K561" s="99"/>
    </row>
    <row r="562" spans="7:11" ht="13.2">
      <c r="G562" s="99"/>
      <c r="K562" s="99"/>
    </row>
    <row r="563" spans="7:11" ht="13.2">
      <c r="G563" s="99"/>
      <c r="K563" s="99"/>
    </row>
    <row r="564" spans="7:11" ht="13.2">
      <c r="G564" s="99"/>
      <c r="K564" s="99"/>
    </row>
    <row r="565" spans="7:11" ht="13.2">
      <c r="G565" s="99"/>
      <c r="K565" s="99"/>
    </row>
    <row r="566" spans="7:11" ht="13.2">
      <c r="G566" s="99"/>
      <c r="K566" s="99"/>
    </row>
    <row r="567" spans="7:11" ht="13.2">
      <c r="G567" s="99"/>
      <c r="K567" s="99"/>
    </row>
    <row r="568" spans="7:11" ht="13.2">
      <c r="G568" s="99"/>
      <c r="K568" s="99"/>
    </row>
    <row r="569" spans="7:11" ht="13.2">
      <c r="G569" s="99"/>
      <c r="K569" s="99"/>
    </row>
    <row r="570" spans="7:11" ht="13.2">
      <c r="G570" s="99"/>
      <c r="K570" s="99"/>
    </row>
    <row r="571" spans="7:11" ht="13.2">
      <c r="G571" s="99"/>
      <c r="K571" s="99"/>
    </row>
    <row r="572" spans="7:11" ht="13.2">
      <c r="G572" s="99"/>
      <c r="K572" s="99"/>
    </row>
    <row r="573" spans="7:11" ht="13.2">
      <c r="G573" s="99"/>
      <c r="K573" s="99"/>
    </row>
    <row r="574" spans="7:11" ht="13.2">
      <c r="G574" s="99"/>
      <c r="K574" s="99"/>
    </row>
    <row r="575" spans="7:11" ht="13.2">
      <c r="G575" s="99"/>
      <c r="K575" s="99"/>
    </row>
    <row r="576" spans="7:11" ht="13.2">
      <c r="G576" s="99"/>
      <c r="K576" s="99"/>
    </row>
    <row r="577" spans="7:11" ht="13.2">
      <c r="G577" s="99"/>
      <c r="K577" s="99"/>
    </row>
    <row r="578" spans="7:11" ht="13.2">
      <c r="G578" s="99"/>
      <c r="K578" s="99"/>
    </row>
    <row r="579" spans="7:11" ht="13.2">
      <c r="G579" s="99"/>
      <c r="K579" s="99"/>
    </row>
    <row r="580" spans="7:11" ht="13.2">
      <c r="G580" s="99"/>
      <c r="K580" s="99"/>
    </row>
    <row r="581" spans="7:11" ht="13.2">
      <c r="G581" s="99"/>
      <c r="K581" s="99"/>
    </row>
    <row r="582" spans="7:11" ht="13.2">
      <c r="G582" s="99"/>
      <c r="K582" s="99"/>
    </row>
    <row r="583" spans="7:11" ht="13.2">
      <c r="G583" s="99"/>
      <c r="K583" s="99"/>
    </row>
    <row r="584" spans="7:11" ht="13.2">
      <c r="G584" s="99"/>
      <c r="K584" s="99"/>
    </row>
    <row r="585" spans="7:11" ht="13.2">
      <c r="G585" s="99"/>
      <c r="K585" s="99"/>
    </row>
    <row r="586" spans="7:11" ht="13.2">
      <c r="G586" s="99"/>
      <c r="K586" s="99"/>
    </row>
    <row r="587" spans="7:11" ht="13.2">
      <c r="G587" s="99"/>
      <c r="K587" s="99"/>
    </row>
    <row r="588" spans="7:11" ht="13.2">
      <c r="G588" s="99"/>
      <c r="K588" s="99"/>
    </row>
    <row r="589" spans="7:11" ht="13.2">
      <c r="G589" s="99"/>
      <c r="K589" s="99"/>
    </row>
    <row r="590" spans="7:11" ht="13.2">
      <c r="G590" s="99"/>
      <c r="K590" s="99"/>
    </row>
    <row r="591" spans="7:11" ht="13.2">
      <c r="G591" s="99"/>
      <c r="K591" s="99"/>
    </row>
    <row r="592" spans="7:11" ht="13.2">
      <c r="G592" s="99"/>
      <c r="K592" s="99"/>
    </row>
    <row r="593" spans="7:11" ht="13.2">
      <c r="G593" s="99"/>
      <c r="K593" s="99"/>
    </row>
    <row r="594" spans="7:11" ht="13.2">
      <c r="G594" s="99"/>
      <c r="K594" s="99"/>
    </row>
    <row r="595" spans="7:11" ht="13.2">
      <c r="G595" s="99"/>
      <c r="K595" s="99"/>
    </row>
    <row r="596" spans="7:11" ht="13.2">
      <c r="G596" s="99"/>
      <c r="K596" s="99"/>
    </row>
    <row r="597" spans="7:11" ht="13.2">
      <c r="G597" s="99"/>
      <c r="K597" s="99"/>
    </row>
    <row r="598" spans="7:11" ht="13.2">
      <c r="G598" s="99"/>
      <c r="K598" s="99"/>
    </row>
    <row r="599" spans="7:11" ht="13.2">
      <c r="G599" s="99"/>
      <c r="K599" s="99"/>
    </row>
    <row r="600" spans="7:11" ht="13.2">
      <c r="G600" s="99"/>
      <c r="K600" s="99"/>
    </row>
    <row r="601" spans="7:11" ht="13.2">
      <c r="G601" s="99"/>
      <c r="K601" s="99"/>
    </row>
    <row r="602" spans="7:11" ht="13.2">
      <c r="G602" s="99"/>
      <c r="K602" s="99"/>
    </row>
    <row r="603" spans="7:11" ht="13.2">
      <c r="G603" s="99"/>
      <c r="K603" s="99"/>
    </row>
    <row r="604" spans="7:11" ht="13.2">
      <c r="G604" s="99"/>
      <c r="K604" s="99"/>
    </row>
    <row r="605" spans="7:11" ht="13.2">
      <c r="G605" s="99"/>
      <c r="K605" s="99"/>
    </row>
    <row r="606" spans="7:11" ht="13.2">
      <c r="G606" s="99"/>
      <c r="K606" s="99"/>
    </row>
    <row r="607" spans="7:11" ht="13.2">
      <c r="G607" s="99"/>
      <c r="K607" s="99"/>
    </row>
    <row r="608" spans="7:11" ht="13.2">
      <c r="G608" s="99"/>
      <c r="K608" s="99"/>
    </row>
    <row r="609" spans="7:11" ht="13.2">
      <c r="G609" s="99"/>
      <c r="K609" s="99"/>
    </row>
    <row r="610" spans="7:11" ht="13.2">
      <c r="G610" s="99"/>
      <c r="K610" s="99"/>
    </row>
    <row r="611" spans="7:11" ht="13.2">
      <c r="G611" s="99"/>
      <c r="K611" s="99"/>
    </row>
    <row r="612" spans="7:11" ht="13.2">
      <c r="G612" s="99"/>
      <c r="K612" s="99"/>
    </row>
    <row r="613" spans="7:11" ht="13.2">
      <c r="G613" s="99"/>
      <c r="K613" s="99"/>
    </row>
    <row r="614" spans="7:11" ht="13.2">
      <c r="G614" s="99"/>
      <c r="K614" s="99"/>
    </row>
    <row r="615" spans="7:11" ht="13.2">
      <c r="G615" s="99"/>
      <c r="K615" s="99"/>
    </row>
    <row r="616" spans="7:11" ht="13.2">
      <c r="G616" s="99"/>
      <c r="K616" s="99"/>
    </row>
    <row r="617" spans="7:11" ht="13.2">
      <c r="G617" s="99"/>
      <c r="K617" s="99"/>
    </row>
    <row r="618" spans="7:11" ht="13.2">
      <c r="G618" s="99"/>
      <c r="K618" s="99"/>
    </row>
    <row r="619" spans="7:11" ht="13.2">
      <c r="G619" s="99"/>
      <c r="K619" s="99"/>
    </row>
    <row r="620" spans="7:11" ht="13.2">
      <c r="G620" s="99"/>
      <c r="K620" s="99"/>
    </row>
    <row r="621" spans="7:11" ht="13.2">
      <c r="G621" s="99"/>
      <c r="K621" s="99"/>
    </row>
    <row r="622" spans="7:11" ht="13.2">
      <c r="G622" s="99"/>
      <c r="K622" s="99"/>
    </row>
    <row r="623" spans="7:11" ht="13.2">
      <c r="G623" s="99"/>
      <c r="K623" s="99"/>
    </row>
    <row r="624" spans="7:11" ht="13.2">
      <c r="G624" s="99"/>
      <c r="K624" s="99"/>
    </row>
    <row r="625" spans="7:11" ht="13.2">
      <c r="G625" s="99"/>
      <c r="K625" s="99"/>
    </row>
    <row r="626" spans="7:11" ht="13.2">
      <c r="G626" s="99"/>
      <c r="K626" s="99"/>
    </row>
    <row r="627" spans="7:11" ht="13.2">
      <c r="G627" s="99"/>
      <c r="K627" s="99"/>
    </row>
    <row r="628" spans="7:11" ht="13.2">
      <c r="G628" s="99"/>
      <c r="K628" s="99"/>
    </row>
    <row r="629" spans="7:11" ht="13.2">
      <c r="G629" s="99"/>
      <c r="K629" s="99"/>
    </row>
    <row r="630" spans="7:11" ht="13.2">
      <c r="G630" s="99"/>
      <c r="K630" s="99"/>
    </row>
    <row r="631" spans="7:11" ht="13.2">
      <c r="G631" s="99"/>
      <c r="K631" s="99"/>
    </row>
    <row r="632" spans="7:11" ht="13.2">
      <c r="G632" s="99"/>
      <c r="K632" s="99"/>
    </row>
    <row r="633" spans="7:11" ht="13.2">
      <c r="G633" s="99"/>
      <c r="K633" s="99"/>
    </row>
    <row r="634" spans="7:11" ht="13.2">
      <c r="G634" s="99"/>
      <c r="K634" s="99"/>
    </row>
    <row r="635" spans="7:11" ht="13.2">
      <c r="G635" s="99"/>
      <c r="K635" s="99"/>
    </row>
    <row r="636" spans="7:11" ht="13.2">
      <c r="G636" s="99"/>
      <c r="K636" s="99"/>
    </row>
    <row r="637" spans="7:11" ht="13.2">
      <c r="G637" s="99"/>
      <c r="K637" s="99"/>
    </row>
    <row r="638" spans="7:11" ht="13.2">
      <c r="G638" s="99"/>
      <c r="K638" s="99"/>
    </row>
    <row r="639" spans="7:11" ht="13.2">
      <c r="G639" s="99"/>
      <c r="K639" s="99"/>
    </row>
    <row r="640" spans="7:11" ht="13.2">
      <c r="G640" s="99"/>
      <c r="K640" s="99"/>
    </row>
    <row r="641" spans="7:11" ht="13.2">
      <c r="G641" s="99"/>
      <c r="K641" s="99"/>
    </row>
    <row r="642" spans="7:11" ht="13.2">
      <c r="G642" s="99"/>
      <c r="K642" s="99"/>
    </row>
    <row r="643" spans="7:11" ht="13.2">
      <c r="G643" s="99"/>
      <c r="K643" s="99"/>
    </row>
    <row r="644" spans="7:11" ht="13.2">
      <c r="G644" s="99"/>
      <c r="K644" s="99"/>
    </row>
    <row r="645" spans="7:11" ht="13.2">
      <c r="G645" s="99"/>
      <c r="K645" s="99"/>
    </row>
    <row r="646" spans="7:11" ht="13.2">
      <c r="G646" s="99"/>
      <c r="K646" s="99"/>
    </row>
    <row r="647" spans="7:11" ht="13.2">
      <c r="G647" s="99"/>
      <c r="K647" s="99"/>
    </row>
    <row r="648" spans="7:11" ht="13.2">
      <c r="G648" s="99"/>
      <c r="K648" s="99"/>
    </row>
    <row r="649" spans="7:11" ht="13.2">
      <c r="G649" s="99"/>
      <c r="K649" s="99"/>
    </row>
    <row r="650" spans="7:11" ht="13.2">
      <c r="G650" s="99"/>
      <c r="K650" s="99"/>
    </row>
    <row r="651" spans="7:11" ht="13.2">
      <c r="G651" s="99"/>
      <c r="K651" s="99"/>
    </row>
    <row r="652" spans="7:11" ht="13.2">
      <c r="G652" s="99"/>
      <c r="K652" s="99"/>
    </row>
    <row r="653" spans="7:11" ht="13.2">
      <c r="G653" s="99"/>
      <c r="K653" s="99"/>
    </row>
    <row r="654" spans="7:11" ht="13.2">
      <c r="G654" s="99"/>
      <c r="K654" s="99"/>
    </row>
    <row r="655" spans="7:11" ht="13.2">
      <c r="G655" s="99"/>
      <c r="K655" s="99"/>
    </row>
    <row r="656" spans="7:11" ht="13.2">
      <c r="G656" s="99"/>
      <c r="K656" s="99"/>
    </row>
    <row r="657" spans="7:11" ht="13.2">
      <c r="G657" s="99"/>
      <c r="K657" s="99"/>
    </row>
    <row r="658" spans="7:11" ht="13.2">
      <c r="G658" s="99"/>
      <c r="K658" s="99"/>
    </row>
    <row r="659" spans="7:11" ht="13.2">
      <c r="G659" s="99"/>
      <c r="K659" s="99"/>
    </row>
    <row r="660" spans="7:11" ht="13.2">
      <c r="G660" s="99"/>
      <c r="K660" s="99"/>
    </row>
    <row r="661" spans="7:11" ht="13.2">
      <c r="G661" s="99"/>
      <c r="K661" s="99"/>
    </row>
    <row r="662" spans="7:11" ht="13.2">
      <c r="G662" s="99"/>
      <c r="K662" s="99"/>
    </row>
    <row r="663" spans="7:11" ht="13.2">
      <c r="G663" s="99"/>
      <c r="K663" s="99"/>
    </row>
    <row r="664" spans="7:11" ht="13.2">
      <c r="G664" s="99"/>
      <c r="K664" s="99"/>
    </row>
    <row r="665" spans="7:11" ht="13.2">
      <c r="G665" s="99"/>
      <c r="K665" s="99"/>
    </row>
    <row r="666" spans="7:11" ht="13.2">
      <c r="G666" s="99"/>
      <c r="K666" s="99"/>
    </row>
    <row r="667" spans="7:11" ht="13.2">
      <c r="G667" s="99"/>
      <c r="K667" s="99"/>
    </row>
    <row r="668" spans="7:11" ht="13.2">
      <c r="G668" s="99"/>
      <c r="K668" s="99"/>
    </row>
    <row r="669" spans="7:11" ht="13.2">
      <c r="G669" s="99"/>
      <c r="K669" s="99"/>
    </row>
    <row r="670" spans="7:11" ht="13.2">
      <c r="G670" s="99"/>
      <c r="K670" s="99"/>
    </row>
    <row r="671" spans="7:11" ht="13.2">
      <c r="G671" s="99"/>
      <c r="K671" s="99"/>
    </row>
    <row r="672" spans="7:11" ht="13.2">
      <c r="G672" s="99"/>
      <c r="K672" s="99"/>
    </row>
    <row r="673" spans="7:11" ht="13.2">
      <c r="G673" s="99"/>
      <c r="K673" s="99"/>
    </row>
    <row r="674" spans="7:11" ht="13.2">
      <c r="G674" s="99"/>
      <c r="K674" s="99"/>
    </row>
    <row r="675" spans="7:11" ht="13.2">
      <c r="G675" s="99"/>
      <c r="K675" s="99"/>
    </row>
    <row r="676" spans="7:11" ht="13.2">
      <c r="G676" s="99"/>
      <c r="K676" s="99"/>
    </row>
    <row r="677" spans="7:11" ht="13.2">
      <c r="G677" s="99"/>
      <c r="K677" s="99"/>
    </row>
    <row r="678" spans="7:11" ht="13.2">
      <c r="G678" s="99"/>
      <c r="K678" s="99"/>
    </row>
    <row r="679" spans="7:11" ht="13.2">
      <c r="G679" s="99"/>
      <c r="K679" s="99"/>
    </row>
    <row r="680" spans="7:11" ht="13.2">
      <c r="G680" s="99"/>
      <c r="K680" s="99"/>
    </row>
    <row r="681" spans="7:11" ht="13.2">
      <c r="G681" s="99"/>
      <c r="K681" s="99"/>
    </row>
    <row r="682" spans="7:11" ht="13.2">
      <c r="G682" s="99"/>
      <c r="K682" s="99"/>
    </row>
    <row r="683" spans="7:11" ht="13.2">
      <c r="G683" s="99"/>
      <c r="K683" s="99"/>
    </row>
    <row r="684" spans="7:11" ht="13.2">
      <c r="G684" s="99"/>
      <c r="K684" s="99"/>
    </row>
    <row r="685" spans="7:11" ht="13.2">
      <c r="G685" s="99"/>
      <c r="K685" s="99"/>
    </row>
    <row r="686" spans="7:11" ht="13.2">
      <c r="G686" s="99"/>
      <c r="K686" s="99"/>
    </row>
    <row r="687" spans="7:11" ht="13.2">
      <c r="G687" s="99"/>
      <c r="K687" s="99"/>
    </row>
    <row r="688" spans="7:11" ht="13.2">
      <c r="G688" s="99"/>
      <c r="K688" s="99"/>
    </row>
    <row r="689" spans="7:11" ht="13.2">
      <c r="G689" s="99"/>
      <c r="K689" s="99"/>
    </row>
    <row r="690" spans="7:11" ht="13.2">
      <c r="G690" s="99"/>
      <c r="K690" s="99"/>
    </row>
    <row r="691" spans="7:11" ht="13.2">
      <c r="G691" s="99"/>
      <c r="K691" s="99"/>
    </row>
    <row r="692" spans="7:11" ht="13.2">
      <c r="G692" s="99"/>
      <c r="K692" s="99"/>
    </row>
    <row r="693" spans="7:11" ht="13.2">
      <c r="G693" s="99"/>
      <c r="K693" s="99"/>
    </row>
    <row r="694" spans="7:11" ht="13.2">
      <c r="G694" s="99"/>
      <c r="K694" s="99"/>
    </row>
    <row r="695" spans="7:11" ht="13.2">
      <c r="G695" s="99"/>
      <c r="K695" s="99"/>
    </row>
    <row r="696" spans="7:11" ht="13.2">
      <c r="G696" s="99"/>
      <c r="K696" s="99"/>
    </row>
    <row r="697" spans="7:11" ht="13.2">
      <c r="G697" s="99"/>
      <c r="K697" s="99"/>
    </row>
    <row r="698" spans="7:11" ht="13.2">
      <c r="G698" s="99"/>
      <c r="K698" s="99"/>
    </row>
    <row r="699" spans="7:11" ht="13.2">
      <c r="G699" s="99"/>
      <c r="K699" s="99"/>
    </row>
    <row r="700" spans="7:11" ht="13.2">
      <c r="G700" s="99"/>
      <c r="K700" s="99"/>
    </row>
    <row r="701" spans="7:11" ht="13.2">
      <c r="G701" s="99"/>
      <c r="K701" s="99"/>
    </row>
    <row r="702" spans="7:11" ht="13.2">
      <c r="G702" s="99"/>
      <c r="K702" s="99"/>
    </row>
    <row r="703" spans="7:11" ht="13.2">
      <c r="G703" s="99"/>
      <c r="K703" s="99"/>
    </row>
    <row r="704" spans="7:11" ht="13.2">
      <c r="G704" s="99"/>
      <c r="K704" s="99"/>
    </row>
    <row r="705" spans="7:11" ht="13.2">
      <c r="G705" s="99"/>
      <c r="K705" s="99"/>
    </row>
    <row r="706" spans="7:11" ht="13.2">
      <c r="G706" s="99"/>
      <c r="K706" s="99"/>
    </row>
    <row r="707" spans="7:11" ht="13.2">
      <c r="G707" s="99"/>
      <c r="K707" s="99"/>
    </row>
    <row r="708" spans="7:11" ht="13.2">
      <c r="G708" s="99"/>
      <c r="K708" s="99"/>
    </row>
    <row r="709" spans="7:11" ht="13.2">
      <c r="G709" s="99"/>
      <c r="K709" s="99"/>
    </row>
    <row r="710" spans="7:11" ht="13.2">
      <c r="G710" s="99"/>
      <c r="K710" s="99"/>
    </row>
    <row r="711" spans="7:11" ht="13.2">
      <c r="G711" s="99"/>
      <c r="K711" s="99"/>
    </row>
    <row r="712" spans="7:11" ht="13.2">
      <c r="G712" s="99"/>
      <c r="K712" s="99"/>
    </row>
    <row r="713" spans="7:11" ht="13.2">
      <c r="G713" s="99"/>
      <c r="K713" s="99"/>
    </row>
    <row r="714" spans="7:11" ht="13.2">
      <c r="G714" s="99"/>
      <c r="K714" s="99"/>
    </row>
    <row r="715" spans="7:11" ht="13.2">
      <c r="G715" s="99"/>
      <c r="K715" s="99"/>
    </row>
    <row r="716" spans="7:11" ht="13.2">
      <c r="G716" s="99"/>
      <c r="K716" s="99"/>
    </row>
    <row r="717" spans="7:11" ht="13.2">
      <c r="G717" s="99"/>
      <c r="K717" s="99"/>
    </row>
    <row r="718" spans="7:11" ht="13.2">
      <c r="G718" s="99"/>
      <c r="K718" s="99"/>
    </row>
    <row r="719" spans="7:11" ht="13.2">
      <c r="G719" s="99"/>
      <c r="K719" s="99"/>
    </row>
    <row r="720" spans="7:11" ht="13.2">
      <c r="G720" s="99"/>
      <c r="K720" s="99"/>
    </row>
    <row r="721" spans="7:11" ht="13.2">
      <c r="G721" s="99"/>
      <c r="K721" s="99"/>
    </row>
    <row r="722" spans="7:11" ht="13.2">
      <c r="G722" s="99"/>
      <c r="K722" s="99"/>
    </row>
    <row r="723" spans="7:11" ht="13.2">
      <c r="G723" s="99"/>
      <c r="K723" s="99"/>
    </row>
    <row r="724" spans="7:11" ht="13.2">
      <c r="G724" s="99"/>
      <c r="K724" s="99"/>
    </row>
    <row r="725" spans="7:11" ht="13.2">
      <c r="G725" s="99"/>
      <c r="K725" s="99"/>
    </row>
    <row r="726" spans="7:11" ht="13.2">
      <c r="G726" s="99"/>
      <c r="K726" s="99"/>
    </row>
    <row r="727" spans="7:11" ht="13.2">
      <c r="G727" s="99"/>
      <c r="K727" s="99"/>
    </row>
    <row r="728" spans="7:11" ht="13.2">
      <c r="G728" s="99"/>
      <c r="K728" s="99"/>
    </row>
    <row r="729" spans="7:11" ht="13.2">
      <c r="G729" s="99"/>
      <c r="K729" s="99"/>
    </row>
    <row r="730" spans="7:11" ht="13.2">
      <c r="G730" s="99"/>
      <c r="K730" s="99"/>
    </row>
    <row r="731" spans="7:11" ht="13.2">
      <c r="G731" s="99"/>
      <c r="K731" s="99"/>
    </row>
    <row r="732" spans="7:11" ht="13.2">
      <c r="G732" s="99"/>
      <c r="K732" s="99"/>
    </row>
    <row r="733" spans="7:11" ht="13.2">
      <c r="G733" s="99"/>
      <c r="K733" s="99"/>
    </row>
    <row r="734" spans="7:11" ht="13.2">
      <c r="G734" s="99"/>
      <c r="K734" s="99"/>
    </row>
    <row r="735" spans="7:11" ht="13.2">
      <c r="G735" s="99"/>
      <c r="K735" s="99"/>
    </row>
    <row r="736" spans="7:11" ht="13.2">
      <c r="G736" s="99"/>
      <c r="K736" s="99"/>
    </row>
    <row r="737" spans="7:11" ht="13.2">
      <c r="G737" s="99"/>
      <c r="K737" s="99"/>
    </row>
    <row r="738" spans="7:11" ht="13.2">
      <c r="G738" s="99"/>
      <c r="K738" s="99"/>
    </row>
    <row r="739" spans="7:11" ht="13.2">
      <c r="G739" s="99"/>
      <c r="K739" s="99"/>
    </row>
    <row r="740" spans="7:11" ht="13.2">
      <c r="G740" s="99"/>
      <c r="K740" s="99"/>
    </row>
    <row r="741" spans="7:11" ht="13.2">
      <c r="G741" s="99"/>
      <c r="K741" s="99"/>
    </row>
    <row r="742" spans="7:11" ht="13.2">
      <c r="G742" s="99"/>
      <c r="K742" s="99"/>
    </row>
    <row r="743" spans="7:11" ht="13.2">
      <c r="G743" s="99"/>
      <c r="K743" s="99"/>
    </row>
    <row r="744" spans="7:11" ht="13.2">
      <c r="G744" s="99"/>
      <c r="K744" s="99"/>
    </row>
    <row r="745" spans="7:11" ht="13.2">
      <c r="G745" s="99"/>
      <c r="K745" s="99"/>
    </row>
    <row r="746" spans="7:11" ht="13.2">
      <c r="G746" s="99"/>
      <c r="K746" s="99"/>
    </row>
    <row r="747" spans="7:11" ht="13.2">
      <c r="G747" s="99"/>
      <c r="K747" s="99"/>
    </row>
    <row r="748" spans="7:11" ht="13.2">
      <c r="G748" s="99"/>
      <c r="K748" s="99"/>
    </row>
    <row r="749" spans="7:11" ht="13.2">
      <c r="G749" s="99"/>
      <c r="K749" s="99"/>
    </row>
    <row r="750" spans="7:11" ht="13.2">
      <c r="G750" s="99"/>
      <c r="K750" s="99"/>
    </row>
    <row r="751" spans="7:11" ht="13.2">
      <c r="G751" s="99"/>
      <c r="K751" s="99"/>
    </row>
    <row r="752" spans="7:11" ht="13.2">
      <c r="G752" s="99"/>
      <c r="K752" s="99"/>
    </row>
    <row r="753" spans="7:11" ht="13.2">
      <c r="G753" s="99"/>
      <c r="K753" s="99"/>
    </row>
    <row r="754" spans="7:11" ht="13.2">
      <c r="G754" s="99"/>
      <c r="K754" s="99"/>
    </row>
    <row r="755" spans="7:11" ht="13.2">
      <c r="G755" s="99"/>
      <c r="K755" s="99"/>
    </row>
    <row r="756" spans="7:11" ht="13.2">
      <c r="G756" s="99"/>
      <c r="K756" s="99"/>
    </row>
    <row r="757" spans="7:11" ht="13.2">
      <c r="G757" s="99"/>
      <c r="K757" s="99"/>
    </row>
    <row r="758" spans="7:11" ht="13.2">
      <c r="G758" s="99"/>
      <c r="K758" s="99"/>
    </row>
    <row r="759" spans="7:11" ht="13.2">
      <c r="G759" s="99"/>
      <c r="K759" s="99"/>
    </row>
    <row r="760" spans="7:11" ht="13.2">
      <c r="G760" s="99"/>
      <c r="K760" s="99"/>
    </row>
    <row r="761" spans="7:11" ht="13.2">
      <c r="G761" s="99"/>
      <c r="K761" s="99"/>
    </row>
    <row r="762" spans="7:11" ht="13.2">
      <c r="G762" s="99"/>
      <c r="K762" s="99"/>
    </row>
    <row r="763" spans="7:11" ht="13.2">
      <c r="G763" s="99"/>
      <c r="K763" s="99"/>
    </row>
    <row r="764" spans="7:11" ht="13.2">
      <c r="G764" s="99"/>
      <c r="K764" s="99"/>
    </row>
    <row r="765" spans="7:11" ht="13.2">
      <c r="G765" s="99"/>
      <c r="K765" s="99"/>
    </row>
    <row r="766" spans="7:11" ht="13.2">
      <c r="G766" s="99"/>
      <c r="K766" s="99"/>
    </row>
    <row r="767" spans="7:11" ht="13.2">
      <c r="G767" s="99"/>
      <c r="K767" s="99"/>
    </row>
    <row r="768" spans="7:11" ht="13.2">
      <c r="G768" s="99"/>
      <c r="K768" s="99"/>
    </row>
    <row r="769" spans="7:11" ht="13.2">
      <c r="G769" s="99"/>
      <c r="K769" s="99"/>
    </row>
    <row r="770" spans="7:11" ht="13.2">
      <c r="G770" s="99"/>
      <c r="K770" s="99"/>
    </row>
    <row r="771" spans="7:11" ht="13.2">
      <c r="G771" s="99"/>
      <c r="K771" s="99"/>
    </row>
    <row r="772" spans="7:11" ht="13.2">
      <c r="G772" s="99"/>
      <c r="K772" s="99"/>
    </row>
    <row r="773" spans="7:11" ht="13.2">
      <c r="G773" s="99"/>
      <c r="K773" s="99"/>
    </row>
    <row r="774" spans="7:11" ht="13.2">
      <c r="G774" s="99"/>
      <c r="K774" s="99"/>
    </row>
    <row r="775" spans="7:11" ht="13.2">
      <c r="G775" s="99"/>
      <c r="K775" s="99"/>
    </row>
    <row r="776" spans="7:11" ht="13.2">
      <c r="G776" s="99"/>
      <c r="K776" s="99"/>
    </row>
    <row r="777" spans="7:11" ht="13.2">
      <c r="G777" s="99"/>
      <c r="K777" s="99"/>
    </row>
    <row r="778" spans="7:11" ht="13.2">
      <c r="G778" s="99"/>
      <c r="K778" s="99"/>
    </row>
    <row r="779" spans="7:11" ht="13.2">
      <c r="G779" s="99"/>
      <c r="K779" s="99"/>
    </row>
    <row r="780" spans="7:11" ht="13.2">
      <c r="G780" s="99"/>
      <c r="K780" s="99"/>
    </row>
    <row r="781" spans="7:11" ht="13.2">
      <c r="G781" s="99"/>
      <c r="K781" s="99"/>
    </row>
    <row r="782" spans="7:11" ht="13.2">
      <c r="G782" s="99"/>
      <c r="K782" s="99"/>
    </row>
    <row r="783" spans="7:11" ht="13.2">
      <c r="G783" s="99"/>
      <c r="K783" s="99"/>
    </row>
    <row r="784" spans="7:11" ht="13.2">
      <c r="G784" s="99"/>
      <c r="K784" s="99"/>
    </row>
    <row r="785" spans="7:11" ht="13.2">
      <c r="G785" s="99"/>
      <c r="K785" s="99"/>
    </row>
    <row r="786" spans="7:11" ht="13.2">
      <c r="G786" s="99"/>
      <c r="K786" s="99"/>
    </row>
    <row r="787" spans="7:11" ht="13.2">
      <c r="G787" s="99"/>
      <c r="K787" s="99"/>
    </row>
    <row r="788" spans="7:11" ht="13.2">
      <c r="G788" s="99"/>
      <c r="K788" s="99"/>
    </row>
    <row r="789" spans="7:11" ht="13.2">
      <c r="G789" s="99"/>
      <c r="K789" s="99"/>
    </row>
    <row r="790" spans="7:11" ht="13.2">
      <c r="G790" s="99"/>
      <c r="K790" s="99"/>
    </row>
    <row r="791" spans="7:11" ht="13.2">
      <c r="G791" s="99"/>
      <c r="K791" s="99"/>
    </row>
    <row r="792" spans="7:11" ht="13.2">
      <c r="G792" s="99"/>
      <c r="K792" s="99"/>
    </row>
    <row r="793" spans="7:11" ht="13.2">
      <c r="G793" s="99"/>
      <c r="K793" s="99"/>
    </row>
    <row r="794" spans="7:11" ht="13.2">
      <c r="G794" s="99"/>
      <c r="K794" s="99"/>
    </row>
    <row r="795" spans="7:11" ht="13.2">
      <c r="G795" s="99"/>
      <c r="K795" s="99"/>
    </row>
    <row r="796" spans="7:11" ht="13.2">
      <c r="G796" s="99"/>
      <c r="K796" s="99"/>
    </row>
    <row r="797" spans="7:11" ht="13.2">
      <c r="G797" s="99"/>
      <c r="K797" s="99"/>
    </row>
    <row r="798" spans="7:11" ht="13.2">
      <c r="G798" s="99"/>
      <c r="K798" s="99"/>
    </row>
    <row r="799" spans="7:11" ht="13.2">
      <c r="G799" s="99"/>
      <c r="K799" s="99"/>
    </row>
    <row r="800" spans="7:11" ht="13.2">
      <c r="G800" s="99"/>
      <c r="K800" s="99"/>
    </row>
    <row r="801" spans="7:11" ht="13.2">
      <c r="G801" s="99"/>
      <c r="K801" s="99"/>
    </row>
    <row r="802" spans="7:11" ht="13.2">
      <c r="G802" s="99"/>
      <c r="K802" s="99"/>
    </row>
    <row r="803" spans="7:11" ht="13.2">
      <c r="G803" s="99"/>
      <c r="K803" s="99"/>
    </row>
    <row r="804" spans="7:11" ht="13.2">
      <c r="G804" s="99"/>
      <c r="K804" s="99"/>
    </row>
    <row r="805" spans="7:11" ht="13.2">
      <c r="G805" s="99"/>
      <c r="K805" s="99"/>
    </row>
    <row r="806" spans="7:11" ht="13.2">
      <c r="G806" s="99"/>
      <c r="K806" s="99"/>
    </row>
    <row r="807" spans="7:11" ht="13.2">
      <c r="G807" s="99"/>
      <c r="K807" s="99"/>
    </row>
    <row r="808" spans="7:11" ht="13.2">
      <c r="G808" s="99"/>
      <c r="K808" s="99"/>
    </row>
    <row r="809" spans="7:11" ht="13.2">
      <c r="G809" s="99"/>
      <c r="K809" s="99"/>
    </row>
    <row r="810" spans="7:11" ht="13.2">
      <c r="G810" s="99"/>
      <c r="K810" s="99"/>
    </row>
    <row r="811" spans="7:11" ht="13.2">
      <c r="G811" s="99"/>
      <c r="K811" s="99"/>
    </row>
    <row r="812" spans="7:11" ht="13.2">
      <c r="G812" s="99"/>
      <c r="K812" s="99"/>
    </row>
    <row r="813" spans="7:11" ht="13.2">
      <c r="G813" s="99"/>
      <c r="K813" s="99"/>
    </row>
    <row r="814" spans="7:11" ht="13.2">
      <c r="G814" s="99"/>
      <c r="K814" s="99"/>
    </row>
    <row r="815" spans="7:11" ht="13.2">
      <c r="G815" s="99"/>
      <c r="K815" s="99"/>
    </row>
    <row r="816" spans="7:11" ht="13.2">
      <c r="G816" s="99"/>
      <c r="K816" s="99"/>
    </row>
    <row r="817" spans="7:11" ht="13.2">
      <c r="G817" s="99"/>
      <c r="K817" s="99"/>
    </row>
    <row r="818" spans="7:11" ht="13.2">
      <c r="G818" s="99"/>
      <c r="K818" s="99"/>
    </row>
    <row r="819" spans="7:11" ht="13.2">
      <c r="G819" s="99"/>
      <c r="K819" s="99"/>
    </row>
    <row r="820" spans="7:11" ht="13.2">
      <c r="G820" s="99"/>
      <c r="K820" s="99"/>
    </row>
    <row r="821" spans="7:11" ht="13.2">
      <c r="G821" s="99"/>
      <c r="K821" s="99"/>
    </row>
    <row r="822" spans="7:11" ht="13.2">
      <c r="G822" s="99"/>
      <c r="K822" s="99"/>
    </row>
    <row r="823" spans="7:11" ht="13.2">
      <c r="G823" s="99"/>
      <c r="K823" s="99"/>
    </row>
    <row r="824" spans="7:11" ht="13.2">
      <c r="G824" s="99"/>
      <c r="K824" s="99"/>
    </row>
    <row r="825" spans="7:11" ht="13.2">
      <c r="G825" s="99"/>
      <c r="K825" s="99"/>
    </row>
    <row r="826" spans="7:11" ht="13.2">
      <c r="G826" s="99"/>
      <c r="K826" s="99"/>
    </row>
    <row r="827" spans="7:11" ht="13.2">
      <c r="G827" s="99"/>
      <c r="K827" s="99"/>
    </row>
    <row r="828" spans="7:11" ht="13.2">
      <c r="G828" s="99"/>
      <c r="K828" s="99"/>
    </row>
    <row r="829" spans="7:11" ht="13.2">
      <c r="G829" s="99"/>
      <c r="K829" s="99"/>
    </row>
    <row r="830" spans="7:11" ht="13.2">
      <c r="G830" s="99"/>
      <c r="K830" s="99"/>
    </row>
    <row r="831" spans="7:11" ht="13.2">
      <c r="G831" s="99"/>
      <c r="K831" s="99"/>
    </row>
    <row r="832" spans="7:11" ht="13.2">
      <c r="G832" s="99"/>
      <c r="K832" s="99"/>
    </row>
    <row r="833" spans="7:11" ht="13.2">
      <c r="G833" s="99"/>
      <c r="K833" s="99"/>
    </row>
    <row r="834" spans="7:11" ht="13.2">
      <c r="G834" s="99"/>
      <c r="K834" s="99"/>
    </row>
    <row r="835" spans="7:11" ht="13.2">
      <c r="G835" s="99"/>
      <c r="K835" s="99"/>
    </row>
    <row r="836" spans="7:11" ht="13.2">
      <c r="G836" s="99"/>
      <c r="K836" s="99"/>
    </row>
    <row r="837" spans="7:11" ht="13.2">
      <c r="G837" s="99"/>
      <c r="K837" s="99"/>
    </row>
    <row r="838" spans="7:11" ht="13.2">
      <c r="G838" s="99"/>
      <c r="K838" s="99"/>
    </row>
    <row r="839" spans="7:11" ht="13.2">
      <c r="G839" s="99"/>
      <c r="K839" s="99"/>
    </row>
    <row r="840" spans="7:11" ht="13.2">
      <c r="G840" s="99"/>
      <c r="K840" s="99"/>
    </row>
    <row r="841" spans="7:11" ht="13.2">
      <c r="G841" s="99"/>
      <c r="K841" s="99"/>
    </row>
    <row r="842" spans="7:11" ht="13.2">
      <c r="G842" s="99"/>
      <c r="K842" s="99"/>
    </row>
    <row r="843" spans="7:11" ht="13.2">
      <c r="G843" s="99"/>
      <c r="K843" s="99"/>
    </row>
    <row r="844" spans="7:11" ht="13.2">
      <c r="G844" s="99"/>
      <c r="K844" s="99"/>
    </row>
    <row r="845" spans="7:11" ht="13.2">
      <c r="G845" s="99"/>
      <c r="K845" s="99"/>
    </row>
    <row r="846" spans="7:11" ht="13.2">
      <c r="G846" s="99"/>
      <c r="K846" s="99"/>
    </row>
    <row r="847" spans="7:11" ht="13.2">
      <c r="G847" s="99"/>
      <c r="K847" s="99"/>
    </row>
    <row r="848" spans="7:11" ht="13.2">
      <c r="G848" s="99"/>
      <c r="K848" s="99"/>
    </row>
    <row r="849" spans="7:11" ht="13.2">
      <c r="G849" s="99"/>
      <c r="K849" s="99"/>
    </row>
    <row r="850" spans="7:11" ht="13.2">
      <c r="G850" s="99"/>
      <c r="K850" s="99"/>
    </row>
    <row r="851" spans="7:11" ht="13.2">
      <c r="G851" s="99"/>
      <c r="K851" s="99"/>
    </row>
    <row r="852" spans="7:11" ht="13.2">
      <c r="G852" s="99"/>
      <c r="K852" s="99"/>
    </row>
    <row r="853" spans="7:11" ht="13.2">
      <c r="G853" s="99"/>
      <c r="K853" s="99"/>
    </row>
    <row r="854" spans="7:11" ht="13.2">
      <c r="G854" s="99"/>
      <c r="K854" s="99"/>
    </row>
    <row r="855" spans="7:11" ht="13.2">
      <c r="G855" s="99"/>
      <c r="K855" s="99"/>
    </row>
    <row r="856" spans="7:11" ht="13.2">
      <c r="G856" s="99"/>
      <c r="K856" s="99"/>
    </row>
    <row r="857" spans="7:11" ht="13.2">
      <c r="G857" s="99"/>
      <c r="K857" s="99"/>
    </row>
    <row r="858" spans="7:11" ht="13.2">
      <c r="G858" s="99"/>
      <c r="K858" s="99"/>
    </row>
    <row r="859" spans="7:11" ht="13.2">
      <c r="G859" s="99"/>
      <c r="K859" s="99"/>
    </row>
    <row r="860" spans="7:11" ht="13.2">
      <c r="G860" s="99"/>
      <c r="K860" s="99"/>
    </row>
    <row r="861" spans="7:11" ht="13.2">
      <c r="G861" s="99"/>
      <c r="K861" s="99"/>
    </row>
    <row r="862" spans="7:11" ht="13.2">
      <c r="G862" s="99"/>
      <c r="K862" s="99"/>
    </row>
    <row r="863" spans="7:11" ht="13.2">
      <c r="G863" s="99"/>
      <c r="K863" s="99"/>
    </row>
    <row r="864" spans="7:11" ht="13.2">
      <c r="G864" s="99"/>
      <c r="K864" s="99"/>
    </row>
    <row r="865" spans="7:11" ht="13.2">
      <c r="G865" s="99"/>
      <c r="K865" s="99"/>
    </row>
    <row r="866" spans="7:11" ht="13.2">
      <c r="G866" s="99"/>
      <c r="K866" s="99"/>
    </row>
    <row r="867" spans="7:11" ht="13.2">
      <c r="G867" s="99"/>
      <c r="K867" s="99"/>
    </row>
    <row r="868" spans="7:11" ht="13.2">
      <c r="G868" s="99"/>
      <c r="K868" s="99"/>
    </row>
    <row r="869" spans="7:11" ht="13.2">
      <c r="G869" s="99"/>
      <c r="K869" s="99"/>
    </row>
    <row r="870" spans="7:11" ht="13.2">
      <c r="G870" s="99"/>
      <c r="K870" s="99"/>
    </row>
    <row r="871" spans="7:11" ht="13.2">
      <c r="G871" s="99"/>
      <c r="K871" s="99"/>
    </row>
    <row r="872" spans="7:11" ht="13.2">
      <c r="G872" s="99"/>
      <c r="K872" s="99"/>
    </row>
    <row r="873" spans="7:11" ht="13.2">
      <c r="G873" s="99"/>
      <c r="K873" s="99"/>
    </row>
    <row r="874" spans="7:11" ht="13.2">
      <c r="G874" s="99"/>
      <c r="K874" s="99"/>
    </row>
    <row r="875" spans="7:11" ht="13.2">
      <c r="G875" s="99"/>
      <c r="K875" s="99"/>
    </row>
    <row r="876" spans="7:11" ht="13.2">
      <c r="G876" s="99"/>
      <c r="K876" s="99"/>
    </row>
    <row r="877" spans="7:11" ht="13.2">
      <c r="G877" s="99"/>
      <c r="K877" s="99"/>
    </row>
    <row r="878" spans="7:11" ht="13.2">
      <c r="G878" s="99"/>
      <c r="K878" s="99"/>
    </row>
    <row r="879" spans="7:11" ht="13.2">
      <c r="G879" s="99"/>
      <c r="K879" s="99"/>
    </row>
    <row r="880" spans="7:11" ht="13.2">
      <c r="G880" s="99"/>
      <c r="K880" s="99"/>
    </row>
    <row r="881" spans="7:11" ht="13.2">
      <c r="G881" s="99"/>
      <c r="K881" s="99"/>
    </row>
    <row r="882" spans="7:11" ht="13.2">
      <c r="G882" s="99"/>
      <c r="K882" s="99"/>
    </row>
    <row r="883" spans="7:11" ht="13.2">
      <c r="G883" s="99"/>
      <c r="K883" s="99"/>
    </row>
    <row r="884" spans="7:11" ht="13.2">
      <c r="G884" s="99"/>
      <c r="K884" s="99"/>
    </row>
    <row r="885" spans="7:11" ht="13.2">
      <c r="G885" s="99"/>
      <c r="K885" s="99"/>
    </row>
    <row r="886" spans="7:11" ht="13.2">
      <c r="G886" s="99"/>
      <c r="K886" s="99"/>
    </row>
    <row r="887" spans="7:11" ht="13.2">
      <c r="G887" s="99"/>
      <c r="K887" s="99"/>
    </row>
    <row r="888" spans="7:11" ht="13.2">
      <c r="G888" s="99"/>
      <c r="K888" s="99"/>
    </row>
    <row r="889" spans="7:11" ht="13.2">
      <c r="G889" s="99"/>
      <c r="K889" s="99"/>
    </row>
    <row r="890" spans="7:11" ht="13.2">
      <c r="G890" s="99"/>
      <c r="K890" s="99"/>
    </row>
    <row r="891" spans="7:11" ht="13.2">
      <c r="G891" s="99"/>
      <c r="K891" s="99"/>
    </row>
    <row r="892" spans="7:11" ht="13.2">
      <c r="G892" s="99"/>
      <c r="K892" s="99"/>
    </row>
    <row r="893" spans="7:11" ht="13.2">
      <c r="G893" s="99"/>
      <c r="K893" s="99"/>
    </row>
    <row r="894" spans="7:11" ht="13.2">
      <c r="G894" s="99"/>
      <c r="K894" s="99"/>
    </row>
    <row r="895" spans="7:11" ht="13.2">
      <c r="G895" s="99"/>
      <c r="K895" s="99"/>
    </row>
    <row r="896" spans="7:11" ht="13.2">
      <c r="G896" s="99"/>
      <c r="K896" s="99"/>
    </row>
    <row r="897" spans="7:11" ht="13.2">
      <c r="G897" s="99"/>
      <c r="K897" s="99"/>
    </row>
    <row r="898" spans="7:11" ht="13.2">
      <c r="G898" s="99"/>
      <c r="K898" s="99"/>
    </row>
    <row r="899" spans="7:11" ht="13.2">
      <c r="G899" s="99"/>
      <c r="K899" s="99"/>
    </row>
    <row r="900" spans="7:11" ht="13.2">
      <c r="G900" s="99"/>
      <c r="K900" s="99"/>
    </row>
    <row r="901" spans="7:11" ht="13.2">
      <c r="G901" s="99"/>
      <c r="K901" s="99"/>
    </row>
    <row r="902" spans="7:11" ht="13.2">
      <c r="G902" s="99"/>
      <c r="K902" s="99"/>
    </row>
    <row r="903" spans="7:11" ht="13.2">
      <c r="G903" s="99"/>
      <c r="K903" s="99"/>
    </row>
    <row r="904" spans="7:11" ht="13.2">
      <c r="G904" s="99"/>
      <c r="K904" s="99"/>
    </row>
    <row r="905" spans="7:11" ht="13.2">
      <c r="G905" s="99"/>
      <c r="K905" s="99"/>
    </row>
    <row r="906" spans="7:11" ht="13.2">
      <c r="G906" s="99"/>
      <c r="K906" s="99"/>
    </row>
    <row r="907" spans="7:11" ht="13.2">
      <c r="G907" s="99"/>
      <c r="K907" s="99"/>
    </row>
    <row r="908" spans="7:11" ht="13.2">
      <c r="G908" s="99"/>
      <c r="K908" s="99"/>
    </row>
    <row r="909" spans="7:11" ht="13.2">
      <c r="G909" s="99"/>
      <c r="K909" s="99"/>
    </row>
    <row r="910" spans="7:11" ht="13.2">
      <c r="G910" s="99"/>
      <c r="K910" s="99"/>
    </row>
    <row r="911" spans="7:11" ht="13.2">
      <c r="G911" s="99"/>
      <c r="K911" s="99"/>
    </row>
    <row r="912" spans="7:11" ht="13.2">
      <c r="G912" s="99"/>
      <c r="K912" s="99"/>
    </row>
    <row r="913" spans="7:11" ht="13.2">
      <c r="G913" s="99"/>
      <c r="K913" s="99"/>
    </row>
    <row r="914" spans="7:11" ht="13.2">
      <c r="G914" s="99"/>
      <c r="K914" s="99"/>
    </row>
    <row r="915" spans="7:11" ht="13.2">
      <c r="G915" s="99"/>
      <c r="K915" s="99"/>
    </row>
    <row r="916" spans="7:11" ht="13.2">
      <c r="G916" s="99"/>
      <c r="K916" s="99"/>
    </row>
    <row r="917" spans="7:11" ht="13.2">
      <c r="G917" s="99"/>
      <c r="K917" s="99"/>
    </row>
    <row r="918" spans="7:11" ht="13.2">
      <c r="G918" s="99"/>
      <c r="K918" s="99"/>
    </row>
    <row r="919" spans="7:11" ht="13.2">
      <c r="G919" s="99"/>
      <c r="K919" s="99"/>
    </row>
    <row r="920" spans="7:11" ht="13.2">
      <c r="G920" s="99"/>
      <c r="K920" s="99"/>
    </row>
    <row r="921" spans="7:11" ht="13.2">
      <c r="G921" s="99"/>
      <c r="K921" s="99"/>
    </row>
    <row r="922" spans="7:11" ht="13.2">
      <c r="G922" s="99"/>
      <c r="K922" s="99"/>
    </row>
    <row r="923" spans="7:11" ht="13.2">
      <c r="G923" s="99"/>
      <c r="K923" s="99"/>
    </row>
    <row r="924" spans="7:11" ht="13.2">
      <c r="G924" s="99"/>
      <c r="K924" s="99"/>
    </row>
    <row r="925" spans="7:11" ht="13.2">
      <c r="G925" s="99"/>
      <c r="K925" s="99"/>
    </row>
    <row r="926" spans="7:11" ht="13.2">
      <c r="G926" s="99"/>
      <c r="K926" s="99"/>
    </row>
    <row r="927" spans="7:11" ht="13.2">
      <c r="G927" s="99"/>
      <c r="K927" s="99"/>
    </row>
    <row r="928" spans="7:11" ht="13.2">
      <c r="G928" s="99"/>
      <c r="K928" s="99"/>
    </row>
    <row r="929" spans="7:11" ht="13.2">
      <c r="G929" s="99"/>
      <c r="K929" s="99"/>
    </row>
    <row r="930" spans="7:11" ht="13.2">
      <c r="G930" s="99"/>
      <c r="K930" s="99"/>
    </row>
    <row r="931" spans="7:11" ht="13.2">
      <c r="G931" s="99"/>
      <c r="K931" s="99"/>
    </row>
    <row r="932" spans="7:11" ht="13.2">
      <c r="G932" s="99"/>
      <c r="K932" s="99"/>
    </row>
    <row r="933" spans="7:11" ht="13.2">
      <c r="G933" s="99"/>
      <c r="K933" s="99"/>
    </row>
    <row r="934" spans="7:11" ht="13.2">
      <c r="G934" s="99"/>
      <c r="K934" s="99"/>
    </row>
    <row r="935" spans="7:11" ht="13.2">
      <c r="G935" s="99"/>
      <c r="K935" s="99"/>
    </row>
    <row r="936" spans="7:11" ht="13.2">
      <c r="G936" s="99"/>
      <c r="K936" s="99"/>
    </row>
    <row r="937" spans="7:11" ht="13.2">
      <c r="G937" s="99"/>
      <c r="K937" s="99"/>
    </row>
    <row r="938" spans="7:11" ht="13.2">
      <c r="G938" s="99"/>
      <c r="K938" s="99"/>
    </row>
    <row r="939" spans="7:11" ht="13.2">
      <c r="G939" s="99"/>
      <c r="K939" s="99"/>
    </row>
    <row r="940" spans="7:11" ht="13.2">
      <c r="G940" s="99"/>
      <c r="K940" s="99"/>
    </row>
    <row r="941" spans="7:11" ht="13.2">
      <c r="G941" s="99"/>
      <c r="K941" s="99"/>
    </row>
    <row r="942" spans="7:11" ht="13.2">
      <c r="G942" s="99"/>
      <c r="K942" s="99"/>
    </row>
    <row r="943" spans="7:11" ht="13.2">
      <c r="G943" s="99"/>
      <c r="K943" s="99"/>
    </row>
    <row r="944" spans="7:11" ht="13.2">
      <c r="G944" s="99"/>
      <c r="K944" s="99"/>
    </row>
    <row r="945" spans="7:11" ht="13.2">
      <c r="G945" s="99"/>
      <c r="K945" s="99"/>
    </row>
    <row r="946" spans="7:11" ht="13.2">
      <c r="G946" s="99"/>
      <c r="K946" s="99"/>
    </row>
    <row r="947" spans="7:11" ht="13.2">
      <c r="G947" s="99"/>
      <c r="K947" s="99"/>
    </row>
    <row r="948" spans="7:11" ht="13.2">
      <c r="G948" s="99"/>
      <c r="K948" s="99"/>
    </row>
    <row r="949" spans="7:11" ht="13.2">
      <c r="G949" s="99"/>
      <c r="K949" s="99"/>
    </row>
    <row r="950" spans="7:11" ht="13.2">
      <c r="G950" s="99"/>
      <c r="K950" s="99"/>
    </row>
    <row r="951" spans="7:11" ht="13.2">
      <c r="G951" s="99"/>
      <c r="K951" s="99"/>
    </row>
    <row r="952" spans="7:11" ht="13.2">
      <c r="G952" s="99"/>
      <c r="K952" s="99"/>
    </row>
    <row r="953" spans="7:11" ht="13.2">
      <c r="G953" s="99"/>
      <c r="K953" s="99"/>
    </row>
    <row r="954" spans="7:11" ht="13.2">
      <c r="G954" s="99"/>
      <c r="K954" s="99"/>
    </row>
    <row r="955" spans="7:11" ht="13.2">
      <c r="G955" s="99"/>
      <c r="K955" s="99"/>
    </row>
    <row r="956" spans="7:11" ht="13.2">
      <c r="G956" s="99"/>
      <c r="K956" s="99"/>
    </row>
    <row r="957" spans="7:11" ht="13.2">
      <c r="G957" s="99"/>
      <c r="K957" s="99"/>
    </row>
    <row r="958" spans="7:11" ht="13.2">
      <c r="G958" s="99"/>
      <c r="K958" s="99"/>
    </row>
    <row r="959" spans="7:11" ht="13.2">
      <c r="G959" s="99"/>
      <c r="K959" s="99"/>
    </row>
    <row r="960" spans="7:11" ht="13.2">
      <c r="G960" s="99"/>
      <c r="K960" s="99"/>
    </row>
    <row r="961" spans="7:11" ht="13.2">
      <c r="G961" s="99"/>
      <c r="K961" s="99"/>
    </row>
    <row r="962" spans="7:11" ht="13.2">
      <c r="G962" s="99"/>
      <c r="K962" s="99"/>
    </row>
    <row r="963" spans="7:11" ht="13.2">
      <c r="G963" s="99"/>
      <c r="K963" s="99"/>
    </row>
    <row r="964" spans="7:11" ht="13.2">
      <c r="G964" s="99"/>
      <c r="K964" s="99"/>
    </row>
    <row r="965" spans="7:11" ht="13.2">
      <c r="G965" s="99"/>
      <c r="K965" s="99"/>
    </row>
    <row r="966" spans="7:11" ht="13.2">
      <c r="G966" s="99"/>
      <c r="K966" s="99"/>
    </row>
    <row r="967" spans="7:11" ht="13.2">
      <c r="G967" s="99"/>
      <c r="K967" s="99"/>
    </row>
    <row r="968" spans="7:11" ht="13.2">
      <c r="G968" s="99"/>
      <c r="K968" s="99"/>
    </row>
    <row r="969" spans="7:11" ht="13.2">
      <c r="G969" s="99"/>
      <c r="K969" s="99"/>
    </row>
    <row r="970" spans="7:11" ht="13.2">
      <c r="G970" s="99"/>
      <c r="K970" s="99"/>
    </row>
    <row r="971" spans="7:11" ht="13.2">
      <c r="G971" s="99"/>
      <c r="K971" s="99"/>
    </row>
    <row r="972" spans="7:11" ht="13.2">
      <c r="G972" s="99"/>
      <c r="K972" s="99"/>
    </row>
    <row r="973" spans="7:11" ht="13.2">
      <c r="G973" s="99"/>
      <c r="K973" s="99"/>
    </row>
    <row r="974" spans="7:11" ht="13.2">
      <c r="G974" s="99"/>
      <c r="K974" s="99"/>
    </row>
    <row r="975" spans="7:11" ht="13.2">
      <c r="G975" s="99"/>
      <c r="K975" s="99"/>
    </row>
    <row r="976" spans="7:11" ht="13.2">
      <c r="G976" s="99"/>
      <c r="K976" s="99"/>
    </row>
    <row r="977" spans="7:11" ht="13.2">
      <c r="G977" s="99"/>
      <c r="K977" s="99"/>
    </row>
    <row r="978" spans="7:11" ht="13.2">
      <c r="G978" s="99"/>
      <c r="K978" s="99"/>
    </row>
    <row r="979" spans="7:11" ht="13.2">
      <c r="G979" s="99"/>
      <c r="K979" s="99"/>
    </row>
    <row r="980" spans="7:11" ht="13.2">
      <c r="G980" s="99"/>
      <c r="K980" s="99"/>
    </row>
    <row r="981" spans="7:11" ht="13.2">
      <c r="G981" s="99"/>
      <c r="K981" s="99"/>
    </row>
    <row r="982" spans="7:11" ht="13.2">
      <c r="G982" s="99"/>
      <c r="K982" s="99"/>
    </row>
    <row r="983" spans="7:11" ht="13.2">
      <c r="G983" s="99"/>
      <c r="K983" s="99"/>
    </row>
    <row r="984" spans="7:11" ht="13.2">
      <c r="G984" s="99"/>
      <c r="K984" s="99"/>
    </row>
    <row r="985" spans="7:11" ht="13.2">
      <c r="G985" s="99"/>
      <c r="K985" s="99"/>
    </row>
    <row r="986" spans="7:11" ht="13.2">
      <c r="G986" s="99"/>
      <c r="K986" s="99"/>
    </row>
    <row r="987" spans="7:11" ht="13.2">
      <c r="G987" s="99"/>
      <c r="K987" s="99"/>
    </row>
    <row r="988" spans="7:11" ht="13.2">
      <c r="G988" s="99"/>
      <c r="K988" s="99"/>
    </row>
    <row r="989" spans="7:11" ht="13.2">
      <c r="G989" s="99"/>
      <c r="K989" s="99"/>
    </row>
    <row r="990" spans="7:11" ht="13.2">
      <c r="G990" s="99"/>
      <c r="K990" s="99"/>
    </row>
    <row r="991" spans="7:11" ht="13.2">
      <c r="G991" s="99"/>
      <c r="K991" s="99"/>
    </row>
    <row r="992" spans="7:11" ht="13.2">
      <c r="G992" s="99"/>
      <c r="K992" s="99"/>
    </row>
    <row r="993" spans="7:11" ht="13.2">
      <c r="G993" s="99"/>
      <c r="K993" s="99"/>
    </row>
    <row r="994" spans="7:11" ht="13.2">
      <c r="G994" s="99"/>
      <c r="K994" s="99"/>
    </row>
    <row r="995" spans="7:11" ht="13.2">
      <c r="G995" s="99"/>
      <c r="K995" s="99"/>
    </row>
    <row r="996" spans="7:11" ht="13.2">
      <c r="G996" s="99"/>
      <c r="K996" s="99"/>
    </row>
    <row r="997" spans="7:11" ht="13.2">
      <c r="G997" s="99"/>
      <c r="K997" s="99"/>
    </row>
    <row r="998" spans="7:11" ht="13.2">
      <c r="G998" s="99"/>
      <c r="K998" s="99"/>
    </row>
    <row r="999" spans="7:11" ht="13.2">
      <c r="G999" s="99"/>
      <c r="K999" s="99"/>
    </row>
    <row r="1000" spans="7:11" ht="13.2">
      <c r="G1000" s="99"/>
      <c r="K1000" s="99"/>
    </row>
    <row r="1001" spans="7:11" ht="13.2">
      <c r="G1001" s="99"/>
      <c r="K1001" s="99"/>
    </row>
    <row r="1002" spans="7:11" ht="13.2">
      <c r="G1002" s="99"/>
      <c r="K1002" s="99"/>
    </row>
    <row r="1003" spans="7:11" ht="13.2">
      <c r="G1003" s="99"/>
      <c r="K1003" s="99"/>
    </row>
    <row r="1004" spans="7:11" ht="13.2">
      <c r="G1004" s="99"/>
      <c r="K1004" s="99"/>
    </row>
  </sheetData>
  <customSheetViews>
    <customSheetView guid="{A10B6D03-49BC-4A63-8BE5-8D76540803EF}" filter="1" showAutoFilter="1">
      <pageMargins left="0.7" right="0.7" top="0.75" bottom="0.75" header="0.3" footer="0.3"/>
      <autoFilter ref="A1:M17"/>
    </customSheetView>
  </customSheetViews>
  <mergeCells count="1">
    <mergeCell ref="O3:R15"/>
  </mergeCells>
  <dataValidations count="1">
    <dataValidation type="custom" allowBlank="1" showDropDown="1" sqref="G22:G24 G50:G52">
      <formula1>AND(ISNUMBER(G22),(NOT(OR(NOT(ISERROR(DATEVALUE(G22))), AND(ISNUMBER(G22), LEFT(CELL("format", G22))="D")))))</formula1>
    </dataValidation>
  </dataValidations>
  <pageMargins left="0.7" right="0.7" top="0.75" bottom="0.75" header="0.3" footer="0.3"/>
  <drawing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C6500"/>
    <outlinePr summaryBelow="0" summaryRight="0"/>
  </sheetPr>
  <dimension ref="A1:N1000"/>
  <sheetViews>
    <sheetView workbookViewId="0"/>
  </sheetViews>
  <sheetFormatPr defaultColWidth="12.6640625" defaultRowHeight="15.75" customHeight="1"/>
  <cols>
    <col min="1" max="1" width="23.44140625" customWidth="1"/>
    <col min="3" max="3" width="14.44140625" customWidth="1"/>
    <col min="5" max="11" width="12.6640625" hidden="1"/>
  </cols>
  <sheetData>
    <row r="1" spans="1:14" ht="22.5" customHeight="1">
      <c r="A1" s="307" t="s">
        <v>63</v>
      </c>
      <c r="B1" s="308" t="s">
        <v>4</v>
      </c>
      <c r="C1" s="309" t="s">
        <v>68</v>
      </c>
      <c r="D1" s="307" t="s">
        <v>67</v>
      </c>
      <c r="L1" s="307" t="s">
        <v>64</v>
      </c>
      <c r="M1" s="310" t="s">
        <v>70</v>
      </c>
      <c r="N1" s="310" t="s">
        <v>233</v>
      </c>
    </row>
    <row r="2" spans="1:14" ht="22.5" customHeight="1">
      <c r="A2" s="214" t="s">
        <v>207</v>
      </c>
      <c r="B2" s="311" t="s">
        <v>12</v>
      </c>
      <c r="C2" s="312" t="s">
        <v>106</v>
      </c>
      <c r="D2" s="109">
        <f>OL!H2</f>
        <v>139</v>
      </c>
      <c r="L2" s="272" t="s">
        <v>87</v>
      </c>
      <c r="M2" s="313">
        <f>OL!K2</f>
        <v>-166</v>
      </c>
      <c r="N2" s="314">
        <f>D2/OL!J2</f>
        <v>0.45573770491803278</v>
      </c>
    </row>
    <row r="3" spans="1:14" ht="22.5" customHeight="1">
      <c r="A3" s="214" t="s">
        <v>208</v>
      </c>
      <c r="B3" s="311" t="s">
        <v>12</v>
      </c>
      <c r="C3" s="312" t="s">
        <v>106</v>
      </c>
      <c r="D3" s="109">
        <f>OL!H3</f>
        <v>532</v>
      </c>
      <c r="L3" s="277" t="s">
        <v>77</v>
      </c>
      <c r="M3" s="313">
        <f>OL!K3</f>
        <v>-668</v>
      </c>
      <c r="N3" s="314">
        <f>D3/OL!J3</f>
        <v>0.44333333333333336</v>
      </c>
    </row>
    <row r="4" spans="1:14" ht="22.5" customHeight="1">
      <c r="A4" s="214" t="s">
        <v>209</v>
      </c>
      <c r="B4" s="311" t="s">
        <v>12</v>
      </c>
      <c r="C4" s="315" t="s">
        <v>79</v>
      </c>
      <c r="D4" s="109">
        <f>OL!H4</f>
        <v>724</v>
      </c>
      <c r="L4" s="272" t="s">
        <v>87</v>
      </c>
      <c r="M4" s="313">
        <f>OL!K4</f>
        <v>-76</v>
      </c>
      <c r="N4" s="314">
        <f>D4/OL!J4</f>
        <v>0.90500000000000003</v>
      </c>
    </row>
    <row r="5" spans="1:14" ht="22.5" customHeight="1">
      <c r="A5" s="214" t="s">
        <v>210</v>
      </c>
      <c r="B5" s="311" t="s">
        <v>12</v>
      </c>
      <c r="C5" s="315" t="s">
        <v>79</v>
      </c>
      <c r="D5" s="109">
        <f>OL!H5</f>
        <v>157</v>
      </c>
      <c r="L5" s="277" t="s">
        <v>77</v>
      </c>
      <c r="M5" s="313">
        <f>OL!K5</f>
        <v>77</v>
      </c>
      <c r="N5" s="314">
        <f>D5/OL!J5</f>
        <v>1.9624999999999999</v>
      </c>
    </row>
    <row r="6" spans="1:14" ht="22.5" customHeight="1">
      <c r="A6" s="214" t="s">
        <v>212</v>
      </c>
      <c r="B6" s="311" t="s">
        <v>12</v>
      </c>
      <c r="C6" s="315" t="s">
        <v>79</v>
      </c>
      <c r="D6" s="109">
        <f>OL!H6</f>
        <v>903</v>
      </c>
      <c r="L6" s="277" t="s">
        <v>77</v>
      </c>
      <c r="M6" s="313">
        <f>OL!K6</f>
        <v>-47</v>
      </c>
      <c r="N6" s="314">
        <f>D6/OL!J6</f>
        <v>0.95052631578947366</v>
      </c>
    </row>
    <row r="7" spans="1:14" ht="22.5" customHeight="1">
      <c r="A7" s="214" t="s">
        <v>213</v>
      </c>
      <c r="B7" s="311" t="s">
        <v>12</v>
      </c>
      <c r="C7" s="316" t="s">
        <v>82</v>
      </c>
      <c r="D7" s="109">
        <f>OL!H7</f>
        <v>874</v>
      </c>
      <c r="L7" s="282" t="s">
        <v>74</v>
      </c>
      <c r="M7" s="313">
        <f>OL!K7</f>
        <v>324</v>
      </c>
      <c r="N7" s="314">
        <f>D7/OL!J7</f>
        <v>1.5890909090909091</v>
      </c>
    </row>
    <row r="8" spans="1:14" ht="22.5" customHeight="1">
      <c r="A8" s="214" t="s">
        <v>214</v>
      </c>
      <c r="B8" s="311" t="s">
        <v>12</v>
      </c>
      <c r="C8" s="317" t="s">
        <v>85</v>
      </c>
      <c r="D8" s="109">
        <f>OL!H8</f>
        <v>752</v>
      </c>
      <c r="L8" s="277" t="s">
        <v>77</v>
      </c>
      <c r="M8" s="313">
        <f>OL!K8</f>
        <v>52</v>
      </c>
      <c r="N8" s="314">
        <f>D8/OL!J8</f>
        <v>1.0742857142857143</v>
      </c>
    </row>
    <row r="9" spans="1:14" ht="22.5" customHeight="1">
      <c r="A9" s="214" t="s">
        <v>215</v>
      </c>
      <c r="B9" s="311" t="s">
        <v>12</v>
      </c>
      <c r="C9" s="317" t="s">
        <v>85</v>
      </c>
      <c r="D9" s="109">
        <f>OL!H9</f>
        <v>433</v>
      </c>
      <c r="L9" s="282" t="s">
        <v>74</v>
      </c>
      <c r="M9" s="313">
        <f>OL!K9</f>
        <v>-42</v>
      </c>
      <c r="N9" s="314">
        <f>D9/OL!J9</f>
        <v>0.91157894736842104</v>
      </c>
    </row>
    <row r="10" spans="1:14" ht="22.5" customHeight="1">
      <c r="A10" s="214" t="s">
        <v>216</v>
      </c>
      <c r="B10" s="311" t="s">
        <v>12</v>
      </c>
      <c r="C10" s="318" t="s">
        <v>88</v>
      </c>
      <c r="D10" s="109">
        <f>OL!H10</f>
        <v>245</v>
      </c>
      <c r="L10" s="282" t="s">
        <v>74</v>
      </c>
      <c r="M10" s="313">
        <f>OL!K10</f>
        <v>215</v>
      </c>
      <c r="N10" s="314">
        <f>D10/OL!J10</f>
        <v>8.1666666666666661</v>
      </c>
    </row>
    <row r="11" spans="1:14" ht="22.5" customHeight="1">
      <c r="A11" s="214" t="s">
        <v>217</v>
      </c>
      <c r="B11" s="311" t="s">
        <v>12</v>
      </c>
      <c r="C11" s="318" t="s">
        <v>88</v>
      </c>
      <c r="D11" s="109">
        <f>OL!H11</f>
        <v>560</v>
      </c>
      <c r="L11" s="277" t="s">
        <v>77</v>
      </c>
      <c r="M11" s="313">
        <f>OL!K11</f>
        <v>-290</v>
      </c>
      <c r="N11" s="314">
        <f>D11/OL!J11</f>
        <v>0.6588235294117647</v>
      </c>
    </row>
    <row r="12" spans="1:14" ht="22.5" customHeight="1">
      <c r="A12" s="214" t="s">
        <v>218</v>
      </c>
      <c r="B12" s="311" t="s">
        <v>12</v>
      </c>
      <c r="C12" s="319" t="s">
        <v>91</v>
      </c>
      <c r="D12" s="109">
        <f>OL!H12</f>
        <v>536</v>
      </c>
      <c r="L12" s="282" t="s">
        <v>74</v>
      </c>
      <c r="M12" s="313">
        <f>OL!K12</f>
        <v>36</v>
      </c>
      <c r="N12" s="314">
        <f>D12/OL!J12</f>
        <v>1.0720000000000001</v>
      </c>
    </row>
    <row r="13" spans="1:14" ht="22.5" customHeight="1">
      <c r="A13" s="214" t="s">
        <v>219</v>
      </c>
      <c r="B13" s="311" t="s">
        <v>12</v>
      </c>
      <c r="C13" s="320" t="s">
        <v>95</v>
      </c>
      <c r="D13" s="109">
        <f>OL!H13</f>
        <v>836</v>
      </c>
      <c r="L13" s="272" t="s">
        <v>87</v>
      </c>
      <c r="M13" s="313">
        <f>OL!K13</f>
        <v>586</v>
      </c>
      <c r="N13" s="314">
        <f>D13/OL!J13</f>
        <v>3.3439999999999999</v>
      </c>
    </row>
    <row r="14" spans="1:14" ht="22.5" customHeight="1">
      <c r="A14" s="214" t="s">
        <v>220</v>
      </c>
      <c r="B14" s="311" t="s">
        <v>12</v>
      </c>
      <c r="C14" s="320" t="s">
        <v>95</v>
      </c>
      <c r="D14" s="109">
        <f>OL!H14</f>
        <v>845</v>
      </c>
      <c r="L14" s="277" t="s">
        <v>77</v>
      </c>
      <c r="M14" s="313">
        <f>OL!K14</f>
        <v>470</v>
      </c>
      <c r="N14" s="314">
        <f>D14/OL!J14</f>
        <v>2.2533333333333334</v>
      </c>
    </row>
    <row r="15" spans="1:14" ht="22.5" customHeight="1">
      <c r="A15" s="214" t="s">
        <v>221</v>
      </c>
      <c r="B15" s="311" t="s">
        <v>12</v>
      </c>
      <c r="C15" s="321" t="s">
        <v>97</v>
      </c>
      <c r="D15" s="109">
        <f>OL!H15</f>
        <v>693</v>
      </c>
      <c r="L15" s="277" t="s">
        <v>77</v>
      </c>
      <c r="M15" s="313">
        <f>OL!K15</f>
        <v>-457</v>
      </c>
      <c r="N15" s="314">
        <f>D15/OL!J15</f>
        <v>0.6026086956521739</v>
      </c>
    </row>
    <row r="16" spans="1:14" ht="22.5" customHeight="1">
      <c r="A16" s="214" t="s">
        <v>222</v>
      </c>
      <c r="B16" s="311" t="s">
        <v>12</v>
      </c>
      <c r="C16" s="322" t="s">
        <v>122</v>
      </c>
      <c r="D16" s="109">
        <f>OL!H16</f>
        <v>653</v>
      </c>
      <c r="L16" s="277" t="s">
        <v>77</v>
      </c>
      <c r="M16" s="313">
        <f>OL!K16</f>
        <v>-147</v>
      </c>
      <c r="N16" s="314">
        <f>D16/OL!J16</f>
        <v>0.81625000000000003</v>
      </c>
    </row>
    <row r="17" spans="1:14" ht="22.5" customHeight="1">
      <c r="A17" s="64" t="s">
        <v>234</v>
      </c>
      <c r="B17" s="323" t="s">
        <v>8</v>
      </c>
      <c r="C17" s="112" t="s">
        <v>235</v>
      </c>
      <c r="D17" s="109">
        <f>HW!H2</f>
        <v>1048</v>
      </c>
      <c r="L17" s="65" t="s">
        <v>74</v>
      </c>
      <c r="M17" s="313">
        <f>HW!K2</f>
        <v>873</v>
      </c>
      <c r="N17" s="314">
        <f>D17/HW!J2</f>
        <v>5.9885714285714284</v>
      </c>
    </row>
    <row r="18" spans="1:14" ht="22.5" customHeight="1">
      <c r="A18" s="64" t="s">
        <v>76</v>
      </c>
      <c r="B18" s="323" t="s">
        <v>8</v>
      </c>
      <c r="C18" s="76" t="s">
        <v>79</v>
      </c>
      <c r="D18" s="109">
        <f>HW!H3</f>
        <v>459</v>
      </c>
      <c r="L18" s="74" t="s">
        <v>77</v>
      </c>
      <c r="M18" s="313">
        <f>HW!K3</f>
        <v>134</v>
      </c>
      <c r="N18" s="314">
        <f>D18/HW!J3</f>
        <v>1.4123076923076923</v>
      </c>
    </row>
    <row r="19" spans="1:14" ht="22.5" customHeight="1">
      <c r="A19" s="64" t="s">
        <v>80</v>
      </c>
      <c r="B19" s="323" t="s">
        <v>8</v>
      </c>
      <c r="C19" s="77" t="s">
        <v>79</v>
      </c>
      <c r="D19" s="109">
        <f>HW!H4</f>
        <v>388</v>
      </c>
      <c r="L19" s="65" t="s">
        <v>74</v>
      </c>
      <c r="M19" s="313">
        <f>HW!K4</f>
        <v>13</v>
      </c>
      <c r="N19" s="314">
        <f>D19/HW!J4</f>
        <v>1.0346666666666666</v>
      </c>
    </row>
    <row r="20" spans="1:14" ht="22.5" customHeight="1">
      <c r="A20" s="64" t="s">
        <v>81</v>
      </c>
      <c r="B20" s="323" t="s">
        <v>8</v>
      </c>
      <c r="C20" s="80" t="s">
        <v>82</v>
      </c>
      <c r="D20" s="109">
        <f>HW!H5</f>
        <v>1178</v>
      </c>
      <c r="L20" s="78" t="s">
        <v>77</v>
      </c>
      <c r="M20" s="313">
        <f>HW!K5</f>
        <v>-372</v>
      </c>
      <c r="N20" s="314">
        <f>D20/HW!J5</f>
        <v>0.76</v>
      </c>
    </row>
    <row r="21" spans="1:14" ht="22.5" customHeight="1">
      <c r="A21" s="64" t="s">
        <v>83</v>
      </c>
      <c r="B21" s="323" t="s">
        <v>8</v>
      </c>
      <c r="C21" s="81" t="s">
        <v>82</v>
      </c>
      <c r="D21" s="109">
        <f>HW!H6</f>
        <v>775</v>
      </c>
      <c r="L21" s="65" t="s">
        <v>74</v>
      </c>
      <c r="M21" s="313">
        <f>HW!K6</f>
        <v>450</v>
      </c>
      <c r="N21" s="314">
        <f>D21/HW!J6</f>
        <v>2.3846153846153846</v>
      </c>
    </row>
    <row r="22" spans="1:14" ht="22.5" customHeight="1">
      <c r="A22" s="64" t="s">
        <v>84</v>
      </c>
      <c r="B22" s="323" t="s">
        <v>8</v>
      </c>
      <c r="C22" s="83" t="s">
        <v>85</v>
      </c>
      <c r="D22" s="109">
        <f>HW!H7</f>
        <v>676</v>
      </c>
      <c r="L22" s="82" t="s">
        <v>77</v>
      </c>
      <c r="M22" s="313">
        <f>HW!K7</f>
        <v>121</v>
      </c>
      <c r="N22" s="314">
        <f>D22/HW!J7</f>
        <v>1.218018018018018</v>
      </c>
    </row>
    <row r="23" spans="1:14" ht="22.5" customHeight="1">
      <c r="A23" s="64" t="s">
        <v>86</v>
      </c>
      <c r="B23" s="323" t="s">
        <v>8</v>
      </c>
      <c r="C23" s="85" t="s">
        <v>88</v>
      </c>
      <c r="D23" s="109">
        <f>HW!H8</f>
        <v>854</v>
      </c>
      <c r="L23" s="84" t="s">
        <v>87</v>
      </c>
      <c r="M23" s="313">
        <f>HW!K8</f>
        <v>154</v>
      </c>
      <c r="N23" s="314">
        <f>D23/HW!J8</f>
        <v>1.22</v>
      </c>
    </row>
    <row r="24" spans="1:14" ht="22.5" customHeight="1">
      <c r="A24" s="64" t="s">
        <v>89</v>
      </c>
      <c r="B24" s="323" t="s">
        <v>8</v>
      </c>
      <c r="C24" s="85" t="s">
        <v>88</v>
      </c>
      <c r="D24" s="109">
        <f>HW!H9</f>
        <v>425</v>
      </c>
      <c r="L24" s="78" t="s">
        <v>77</v>
      </c>
      <c r="M24" s="313">
        <f>HW!K9</f>
        <v>-575</v>
      </c>
      <c r="N24" s="314">
        <f>D24/HW!J9</f>
        <v>0.42499999999999999</v>
      </c>
    </row>
    <row r="25" spans="1:14" ht="22.5" customHeight="1">
      <c r="A25" s="109" t="s">
        <v>90</v>
      </c>
      <c r="B25" s="323" t="s">
        <v>8</v>
      </c>
      <c r="C25" s="88" t="s">
        <v>91</v>
      </c>
      <c r="D25" s="109">
        <f>HW!H10</f>
        <v>415</v>
      </c>
      <c r="L25" s="84" t="s">
        <v>87</v>
      </c>
      <c r="M25" s="313">
        <f>HW!K10</f>
        <v>215</v>
      </c>
      <c r="N25" s="314">
        <f>D25/HW!J10</f>
        <v>2.0750000000000002</v>
      </c>
    </row>
    <row r="26" spans="1:14" ht="22.5" customHeight="1">
      <c r="A26" s="64" t="s">
        <v>92</v>
      </c>
      <c r="B26" s="323" t="s">
        <v>8</v>
      </c>
      <c r="C26" s="88" t="s">
        <v>91</v>
      </c>
      <c r="D26" s="109">
        <f>HW!H11</f>
        <v>831</v>
      </c>
      <c r="L26" s="78" t="s">
        <v>77</v>
      </c>
      <c r="M26" s="313">
        <f>HW!K11</f>
        <v>281</v>
      </c>
      <c r="N26" s="314">
        <f>D26/HW!J11</f>
        <v>1.510909090909091</v>
      </c>
    </row>
    <row r="27" spans="1:14" ht="22.5" customHeight="1">
      <c r="A27" s="64" t="s">
        <v>93</v>
      </c>
      <c r="B27" s="323" t="s">
        <v>8</v>
      </c>
      <c r="C27" s="88" t="s">
        <v>91</v>
      </c>
      <c r="D27" s="109">
        <f>HW!H12</f>
        <v>350</v>
      </c>
      <c r="L27" s="78" t="s">
        <v>77</v>
      </c>
      <c r="M27" s="313">
        <f>HW!K12</f>
        <v>50</v>
      </c>
      <c r="N27" s="314">
        <f>D27/HW!J12</f>
        <v>1.1666666666666667</v>
      </c>
    </row>
    <row r="28" spans="1:14" ht="22.5" customHeight="1">
      <c r="A28" s="64" t="s">
        <v>94</v>
      </c>
      <c r="B28" s="323" t="s">
        <v>8</v>
      </c>
      <c r="C28" s="89" t="s">
        <v>95</v>
      </c>
      <c r="D28" s="109">
        <f>HW!H13</f>
        <v>357</v>
      </c>
      <c r="L28" s="78" t="s">
        <v>77</v>
      </c>
      <c r="M28" s="313">
        <f>HW!K13</f>
        <v>107</v>
      </c>
      <c r="N28" s="314">
        <f>D28/HW!J13</f>
        <v>1.4279999999999999</v>
      </c>
    </row>
    <row r="29" spans="1:14" ht="22.5" customHeight="1">
      <c r="A29" s="64" t="s">
        <v>96</v>
      </c>
      <c r="B29" s="323" t="s">
        <v>8</v>
      </c>
      <c r="C29" s="90" t="s">
        <v>97</v>
      </c>
      <c r="D29" s="109">
        <f>HW!H14</f>
        <v>1083</v>
      </c>
      <c r="L29" s="65" t="s">
        <v>74</v>
      </c>
      <c r="M29" s="313">
        <f>HW!K14</f>
        <v>483</v>
      </c>
      <c r="N29" s="314">
        <f>D29/HW!J14</f>
        <v>1.8049999999999999</v>
      </c>
    </row>
    <row r="30" spans="1:14" ht="22.5" customHeight="1">
      <c r="A30" s="64" t="s">
        <v>98</v>
      </c>
      <c r="B30" s="323" t="s">
        <v>8</v>
      </c>
      <c r="C30" s="90" t="s">
        <v>97</v>
      </c>
      <c r="D30" s="109">
        <f>HW!H15</f>
        <v>715</v>
      </c>
      <c r="L30" s="84" t="s">
        <v>87</v>
      </c>
      <c r="M30" s="313">
        <f>HW!K15</f>
        <v>-235</v>
      </c>
      <c r="N30" s="314">
        <f>D30/HW!J15</f>
        <v>0.75263157894736843</v>
      </c>
    </row>
    <row r="31" spans="1:14" ht="22.5" customHeight="1">
      <c r="A31" s="64" t="s">
        <v>99</v>
      </c>
      <c r="B31" s="323" t="s">
        <v>8</v>
      </c>
      <c r="C31" s="91" t="s">
        <v>88</v>
      </c>
      <c r="D31" s="109">
        <f>HW!H16</f>
        <v>543</v>
      </c>
      <c r="L31" s="65" t="s">
        <v>74</v>
      </c>
      <c r="M31" s="313">
        <f>HW!K16</f>
        <v>343</v>
      </c>
      <c r="N31" s="314">
        <f>D31/HW!J16</f>
        <v>2.7149999999999999</v>
      </c>
    </row>
    <row r="32" spans="1:14" ht="22.5" customHeight="1">
      <c r="A32" s="193" t="s">
        <v>154</v>
      </c>
      <c r="B32" s="324" t="s">
        <v>16</v>
      </c>
      <c r="C32" s="325" t="s">
        <v>106</v>
      </c>
      <c r="D32" s="326">
        <f>PA!H2</f>
        <v>357</v>
      </c>
      <c r="L32" s="194" t="s">
        <v>77</v>
      </c>
      <c r="M32" s="327">
        <f>PA!K2</f>
        <v>-193</v>
      </c>
      <c r="N32" s="314">
        <f>D32/PA!J2</f>
        <v>0.64909090909090905</v>
      </c>
    </row>
    <row r="33" spans="1:14" ht="22.5" customHeight="1">
      <c r="A33" s="193" t="s">
        <v>155</v>
      </c>
      <c r="B33" s="324" t="s">
        <v>16</v>
      </c>
      <c r="C33" s="328" t="s">
        <v>106</v>
      </c>
      <c r="D33" s="326">
        <f>PA!H3</f>
        <v>520</v>
      </c>
      <c r="L33" s="201" t="s">
        <v>74</v>
      </c>
      <c r="M33" s="327">
        <f>PA!K3</f>
        <v>20</v>
      </c>
      <c r="N33" s="314">
        <f>D33/PA!J3</f>
        <v>1.04</v>
      </c>
    </row>
    <row r="34" spans="1:14" ht="22.5" customHeight="1">
      <c r="A34" s="193" t="s">
        <v>156</v>
      </c>
      <c r="B34" s="324" t="s">
        <v>16</v>
      </c>
      <c r="C34" s="329" t="s">
        <v>79</v>
      </c>
      <c r="D34" s="326">
        <f>PA!H4</f>
        <v>56</v>
      </c>
      <c r="L34" s="204" t="s">
        <v>87</v>
      </c>
      <c r="M34" s="327">
        <f>PA!K4</f>
        <v>26</v>
      </c>
      <c r="N34" s="314">
        <f>D34/PA!J4</f>
        <v>1.8666666666666667</v>
      </c>
    </row>
    <row r="35" spans="1:14" ht="22.5" customHeight="1">
      <c r="A35" s="193" t="s">
        <v>157</v>
      </c>
      <c r="B35" s="324" t="s">
        <v>16</v>
      </c>
      <c r="C35" s="330" t="s">
        <v>82</v>
      </c>
      <c r="D35" s="326">
        <f>PA!H5</f>
        <v>1037</v>
      </c>
      <c r="L35" s="194" t="s">
        <v>77</v>
      </c>
      <c r="M35" s="327">
        <f>PA!K5</f>
        <v>-113</v>
      </c>
      <c r="N35" s="314">
        <f>D35/PA!J5</f>
        <v>0.9017391304347826</v>
      </c>
    </row>
    <row r="36" spans="1:14" ht="22.5" customHeight="1">
      <c r="A36" s="193" t="s">
        <v>158</v>
      </c>
      <c r="B36" s="324" t="s">
        <v>16</v>
      </c>
      <c r="C36" s="330" t="s">
        <v>82</v>
      </c>
      <c r="D36" s="326">
        <f>PA!H6</f>
        <v>572</v>
      </c>
      <c r="L36" s="201" t="s">
        <v>74</v>
      </c>
      <c r="M36" s="327">
        <f>PA!K6</f>
        <v>97</v>
      </c>
      <c r="N36" s="314">
        <f>D36/PA!J6</f>
        <v>1.2042105263157894</v>
      </c>
    </row>
    <row r="37" spans="1:14" ht="22.5" customHeight="1">
      <c r="A37" s="193" t="s">
        <v>159</v>
      </c>
      <c r="B37" s="324" t="s">
        <v>16</v>
      </c>
      <c r="C37" s="331" t="s">
        <v>85</v>
      </c>
      <c r="D37" s="326">
        <f>PA!H7</f>
        <v>405</v>
      </c>
      <c r="L37" s="201" t="s">
        <v>74</v>
      </c>
      <c r="M37" s="327">
        <f>PA!K7</f>
        <v>0</v>
      </c>
      <c r="N37" s="314">
        <f>D37/PA!J7</f>
        <v>1</v>
      </c>
    </row>
    <row r="38" spans="1:14" ht="22.5" customHeight="1">
      <c r="A38" s="193" t="s">
        <v>160</v>
      </c>
      <c r="B38" s="324" t="s">
        <v>16</v>
      </c>
      <c r="C38" s="332" t="s">
        <v>88</v>
      </c>
      <c r="D38" s="326">
        <f>PA!H8</f>
        <v>431</v>
      </c>
      <c r="L38" s="204" t="s">
        <v>87</v>
      </c>
      <c r="M38" s="327">
        <f>PA!K8</f>
        <v>6</v>
      </c>
      <c r="N38" s="314">
        <f>D38/PA!J8</f>
        <v>1.0141176470588236</v>
      </c>
    </row>
    <row r="39" spans="1:14" ht="22.5" customHeight="1">
      <c r="A39" s="214" t="s">
        <v>161</v>
      </c>
      <c r="B39" s="324" t="s">
        <v>16</v>
      </c>
      <c r="C39" s="333" t="s">
        <v>118</v>
      </c>
      <c r="D39" s="326">
        <f>PA!H9</f>
        <v>307</v>
      </c>
      <c r="L39" s="204" t="s">
        <v>87</v>
      </c>
      <c r="M39" s="327">
        <f>PA!K9</f>
        <v>-243</v>
      </c>
      <c r="N39" s="314">
        <f>D39/PA!J9</f>
        <v>0.55818181818181822</v>
      </c>
    </row>
    <row r="40" spans="1:14" ht="22.5" customHeight="1">
      <c r="A40" s="193" t="s">
        <v>162</v>
      </c>
      <c r="B40" s="324" t="s">
        <v>16</v>
      </c>
      <c r="C40" s="334" t="s">
        <v>91</v>
      </c>
      <c r="D40" s="326">
        <f>PA!H10</f>
        <v>127</v>
      </c>
      <c r="L40" s="194" t="s">
        <v>77</v>
      </c>
      <c r="M40" s="327">
        <f>PA!K10</f>
        <v>-578</v>
      </c>
      <c r="N40" s="314">
        <f>D40/PA!J10</f>
        <v>0.18014184397163122</v>
      </c>
    </row>
    <row r="41" spans="1:14" ht="22.5" customHeight="1">
      <c r="A41" s="193" t="s">
        <v>163</v>
      </c>
      <c r="B41" s="324" t="s">
        <v>16</v>
      </c>
      <c r="C41" s="334" t="s">
        <v>91</v>
      </c>
      <c r="D41" s="326">
        <f>PA!H11</f>
        <v>815</v>
      </c>
      <c r="L41" s="194" t="s">
        <v>77</v>
      </c>
      <c r="M41" s="327">
        <f>PA!K11</f>
        <v>-35</v>
      </c>
      <c r="N41" s="314">
        <f>D41/PA!J11</f>
        <v>0.95882352941176474</v>
      </c>
    </row>
    <row r="42" spans="1:14" ht="22.5" customHeight="1">
      <c r="A42" s="193" t="s">
        <v>164</v>
      </c>
      <c r="B42" s="324" t="s">
        <v>16</v>
      </c>
      <c r="C42" s="335" t="s">
        <v>95</v>
      </c>
      <c r="D42" s="326">
        <f>PA!H12</f>
        <v>835</v>
      </c>
      <c r="L42" s="194" t="s">
        <v>77</v>
      </c>
      <c r="M42" s="327">
        <f>PA!K12</f>
        <v>635</v>
      </c>
      <c r="N42" s="314">
        <f>D42/PA!J12</f>
        <v>4.1749999999999998</v>
      </c>
    </row>
    <row r="43" spans="1:14" ht="22.5" customHeight="1">
      <c r="A43" s="193" t="s">
        <v>165</v>
      </c>
      <c r="B43" s="324" t="s">
        <v>16</v>
      </c>
      <c r="C43" s="335" t="s">
        <v>95</v>
      </c>
      <c r="D43" s="326">
        <f>PA!H13</f>
        <v>1060</v>
      </c>
      <c r="L43" s="194" t="s">
        <v>77</v>
      </c>
      <c r="M43" s="327">
        <f>PA!K13</f>
        <v>-640</v>
      </c>
      <c r="N43" s="314">
        <f>D43/PA!J13</f>
        <v>0.62352941176470589</v>
      </c>
    </row>
    <row r="44" spans="1:14" ht="22.5" customHeight="1">
      <c r="A44" s="193" t="s">
        <v>166</v>
      </c>
      <c r="B44" s="324" t="s">
        <v>16</v>
      </c>
      <c r="C44" s="336" t="s">
        <v>97</v>
      </c>
      <c r="D44" s="326">
        <f>PA!H14</f>
        <v>564</v>
      </c>
      <c r="L44" s="204" t="s">
        <v>87</v>
      </c>
      <c r="M44" s="327">
        <f>PA!K14</f>
        <v>314</v>
      </c>
      <c r="N44" s="314">
        <f>D44/PA!J14</f>
        <v>2.2559999999999998</v>
      </c>
    </row>
    <row r="45" spans="1:14" ht="22.5" customHeight="1">
      <c r="A45" s="193" t="s">
        <v>167</v>
      </c>
      <c r="B45" s="324" t="s">
        <v>16</v>
      </c>
      <c r="C45" s="337" t="s">
        <v>122</v>
      </c>
      <c r="D45" s="326">
        <f>PA!H15</f>
        <v>40</v>
      </c>
      <c r="L45" s="204" t="s">
        <v>87</v>
      </c>
      <c r="M45" s="327">
        <f>PA!K15</f>
        <v>-160</v>
      </c>
      <c r="N45" s="314">
        <f>D45/PA!J15</f>
        <v>0.2</v>
      </c>
    </row>
    <row r="46" spans="1:14" ht="22.5" customHeight="1">
      <c r="A46" s="193" t="s">
        <v>168</v>
      </c>
      <c r="B46" s="324" t="s">
        <v>16</v>
      </c>
      <c r="C46" s="337" t="s">
        <v>122</v>
      </c>
      <c r="D46" s="326">
        <f>PA!H16</f>
        <v>1016</v>
      </c>
      <c r="L46" s="194" t="s">
        <v>77</v>
      </c>
      <c r="M46" s="327">
        <f>PA!K16</f>
        <v>366</v>
      </c>
      <c r="N46" s="314">
        <f>D46/PA!J16</f>
        <v>1.563076923076923</v>
      </c>
    </row>
    <row r="47" spans="1:14" ht="22.5" customHeight="1">
      <c r="A47" s="214" t="s">
        <v>236</v>
      </c>
      <c r="B47" s="338" t="s">
        <v>10</v>
      </c>
      <c r="C47" s="339" t="s">
        <v>106</v>
      </c>
      <c r="D47" s="109">
        <f>MC!H2</f>
        <v>312</v>
      </c>
      <c r="L47" s="244" t="s">
        <v>77</v>
      </c>
      <c r="M47" s="340">
        <f>MC!K2</f>
        <v>-188</v>
      </c>
      <c r="N47" s="314">
        <f>D47/MC!J2</f>
        <v>0.624</v>
      </c>
    </row>
    <row r="48" spans="1:14" ht="22.5" customHeight="1">
      <c r="A48" s="214" t="s">
        <v>185</v>
      </c>
      <c r="B48" s="338" t="s">
        <v>10</v>
      </c>
      <c r="C48" s="339" t="s">
        <v>106</v>
      </c>
      <c r="D48" s="109">
        <f>MC!H3</f>
        <v>0</v>
      </c>
      <c r="L48" s="244" t="s">
        <v>77</v>
      </c>
      <c r="M48" s="340">
        <f>MC!K3</f>
        <v>-1100</v>
      </c>
      <c r="N48" s="314">
        <f>D48/MC!J3</f>
        <v>0</v>
      </c>
    </row>
    <row r="49" spans="1:14" ht="22.5" customHeight="1">
      <c r="A49" s="214" t="s">
        <v>187</v>
      </c>
      <c r="B49" s="338" t="s">
        <v>10</v>
      </c>
      <c r="C49" s="341" t="s">
        <v>79</v>
      </c>
      <c r="D49" s="109">
        <f>MC!H4</f>
        <v>404</v>
      </c>
      <c r="L49" s="251" t="s">
        <v>74</v>
      </c>
      <c r="M49" s="340">
        <f>MC!K4</f>
        <v>154</v>
      </c>
      <c r="N49" s="314">
        <f>D49/MC!J4</f>
        <v>1.6160000000000001</v>
      </c>
    </row>
    <row r="50" spans="1:14" ht="22.5" customHeight="1">
      <c r="A50" s="214" t="s">
        <v>188</v>
      </c>
      <c r="B50" s="338" t="s">
        <v>10</v>
      </c>
      <c r="C50" s="342" t="s">
        <v>82</v>
      </c>
      <c r="D50" s="109">
        <f>MC!H5</f>
        <v>165</v>
      </c>
      <c r="L50" s="244" t="s">
        <v>77</v>
      </c>
      <c r="M50" s="340">
        <f>MC!K5</f>
        <v>135</v>
      </c>
      <c r="N50" s="314">
        <f>D50/MC!J5</f>
        <v>5.5</v>
      </c>
    </row>
    <row r="51" spans="1:14" ht="22.5" customHeight="1">
      <c r="A51" s="214" t="s">
        <v>189</v>
      </c>
      <c r="B51" s="338" t="s">
        <v>10</v>
      </c>
      <c r="C51" s="343" t="s">
        <v>85</v>
      </c>
      <c r="D51" s="109">
        <f>MC!H6</f>
        <v>688</v>
      </c>
      <c r="L51" s="254" t="s">
        <v>87</v>
      </c>
      <c r="M51" s="340">
        <f>MC!K6</f>
        <v>88</v>
      </c>
      <c r="N51" s="314">
        <f>D51/MC!J6</f>
        <v>1.1466666666666667</v>
      </c>
    </row>
    <row r="52" spans="1:14" ht="22.5" customHeight="1">
      <c r="A52" s="214" t="s">
        <v>190</v>
      </c>
      <c r="B52" s="338" t="s">
        <v>10</v>
      </c>
      <c r="C52" s="343" t="s">
        <v>85</v>
      </c>
      <c r="D52" s="109">
        <f>MC!H7</f>
        <v>550</v>
      </c>
      <c r="L52" s="244" t="s">
        <v>77</v>
      </c>
      <c r="M52" s="340">
        <f>MC!K7</f>
        <v>-150</v>
      </c>
      <c r="N52" s="314">
        <f>D52/MC!J7</f>
        <v>0.7857142857142857</v>
      </c>
    </row>
    <row r="53" spans="1:14" ht="22.5" customHeight="1">
      <c r="A53" s="214" t="s">
        <v>191</v>
      </c>
      <c r="B53" s="338" t="s">
        <v>10</v>
      </c>
      <c r="C53" s="344" t="s">
        <v>88</v>
      </c>
      <c r="D53" s="109">
        <f>MC!H8</f>
        <v>348</v>
      </c>
      <c r="L53" s="254" t="s">
        <v>87</v>
      </c>
      <c r="M53" s="340">
        <f>MC!K8</f>
        <v>-102</v>
      </c>
      <c r="N53" s="314">
        <f>D53/MC!J8</f>
        <v>0.77333333333333332</v>
      </c>
    </row>
    <row r="54" spans="1:14" ht="22.5" customHeight="1">
      <c r="A54" s="214" t="s">
        <v>192</v>
      </c>
      <c r="B54" s="338" t="s">
        <v>10</v>
      </c>
      <c r="C54" s="345" t="s">
        <v>118</v>
      </c>
      <c r="D54" s="109">
        <f>MC!H9</f>
        <v>462</v>
      </c>
      <c r="L54" s="254" t="s">
        <v>87</v>
      </c>
      <c r="M54" s="340">
        <f>MC!K9</f>
        <v>-338</v>
      </c>
      <c r="N54" s="314">
        <f>D54/MC!J9</f>
        <v>0.57750000000000001</v>
      </c>
    </row>
    <row r="55" spans="1:14" ht="22.5" customHeight="1">
      <c r="A55" s="214" t="s">
        <v>193</v>
      </c>
      <c r="B55" s="338" t="s">
        <v>10</v>
      </c>
      <c r="C55" s="345" t="s">
        <v>118</v>
      </c>
      <c r="D55" s="109">
        <f>MC!H10</f>
        <v>432</v>
      </c>
      <c r="L55" s="244" t="s">
        <v>77</v>
      </c>
      <c r="M55" s="340">
        <f>MC!K10</f>
        <v>-418</v>
      </c>
      <c r="N55" s="314">
        <f>D55/MC!J10</f>
        <v>0.50823529411764701</v>
      </c>
    </row>
    <row r="56" spans="1:14" ht="22.5" customHeight="1">
      <c r="A56" s="214" t="s">
        <v>194</v>
      </c>
      <c r="B56" s="338" t="s">
        <v>10</v>
      </c>
      <c r="C56" s="345" t="s">
        <v>118</v>
      </c>
      <c r="D56" s="109">
        <f>MC!H11</f>
        <v>422</v>
      </c>
      <c r="L56" s="244" t="s">
        <v>77</v>
      </c>
      <c r="M56" s="340">
        <f>MC!K11</f>
        <v>-678</v>
      </c>
      <c r="N56" s="314">
        <f>D56/MC!J11</f>
        <v>0.38363636363636361</v>
      </c>
    </row>
    <row r="57" spans="1:14" ht="22.5" customHeight="1">
      <c r="A57" s="214" t="s">
        <v>195</v>
      </c>
      <c r="B57" s="338" t="s">
        <v>10</v>
      </c>
      <c r="C57" s="346" t="s">
        <v>91</v>
      </c>
      <c r="D57" s="109">
        <f>MC!H12</f>
        <v>585</v>
      </c>
      <c r="L57" s="254" t="s">
        <v>87</v>
      </c>
      <c r="M57" s="340">
        <f>MC!K12</f>
        <v>285</v>
      </c>
      <c r="N57" s="314">
        <f>D57/MC!J12</f>
        <v>1.95</v>
      </c>
    </row>
    <row r="58" spans="1:14" ht="22.5" customHeight="1">
      <c r="A58" s="214" t="s">
        <v>196</v>
      </c>
      <c r="B58" s="338" t="s">
        <v>10</v>
      </c>
      <c r="C58" s="347" t="s">
        <v>95</v>
      </c>
      <c r="D58" s="109">
        <f>MC!H13</f>
        <v>348</v>
      </c>
      <c r="L58" s="244" t="s">
        <v>77</v>
      </c>
      <c r="M58" s="340">
        <f>MC!K13</f>
        <v>-652</v>
      </c>
      <c r="N58" s="314">
        <f>D58/MC!J13</f>
        <v>0.34799999999999998</v>
      </c>
    </row>
    <row r="59" spans="1:14" ht="22.5" customHeight="1">
      <c r="A59" s="214" t="s">
        <v>197</v>
      </c>
      <c r="B59" s="338" t="s">
        <v>10</v>
      </c>
      <c r="C59" s="347" t="s">
        <v>95</v>
      </c>
      <c r="D59" s="109">
        <f>MC!H14</f>
        <v>1051</v>
      </c>
      <c r="L59" s="251" t="s">
        <v>74</v>
      </c>
      <c r="M59" s="340">
        <f>MC!K14</f>
        <v>201</v>
      </c>
      <c r="N59" s="314">
        <f>D59/MC!J14</f>
        <v>1.2364705882352942</v>
      </c>
    </row>
    <row r="60" spans="1:14" ht="22.5" customHeight="1">
      <c r="A60" s="214" t="s">
        <v>198</v>
      </c>
      <c r="B60" s="338" t="s">
        <v>10</v>
      </c>
      <c r="C60" s="347" t="s">
        <v>95</v>
      </c>
      <c r="D60" s="109">
        <f>MC!H15</f>
        <v>643</v>
      </c>
      <c r="L60" s="251" t="s">
        <v>74</v>
      </c>
      <c r="M60" s="340">
        <f>MC!K15</f>
        <v>-107</v>
      </c>
      <c r="N60" s="314">
        <f>D60/MC!J15</f>
        <v>0.85733333333333328</v>
      </c>
    </row>
    <row r="61" spans="1:14" ht="22.5" customHeight="1">
      <c r="A61" s="214" t="s">
        <v>199</v>
      </c>
      <c r="B61" s="338" t="s">
        <v>10</v>
      </c>
      <c r="C61" s="348" t="s">
        <v>97</v>
      </c>
      <c r="D61" s="109">
        <f>MC!H16</f>
        <v>169</v>
      </c>
      <c r="L61" s="244" t="s">
        <v>77</v>
      </c>
      <c r="M61" s="340">
        <f>MC!K16</f>
        <v>-81</v>
      </c>
      <c r="N61" s="314">
        <f>D61/MC!J16</f>
        <v>0.67600000000000005</v>
      </c>
    </row>
    <row r="62" spans="1:14" ht="22.5" customHeight="1">
      <c r="A62" s="148" t="s">
        <v>128</v>
      </c>
      <c r="B62" s="349" t="s">
        <v>14</v>
      </c>
      <c r="C62" s="350" t="s">
        <v>106</v>
      </c>
      <c r="D62" s="109">
        <f>AS!H2</f>
        <v>471</v>
      </c>
      <c r="L62" s="149" t="s">
        <v>87</v>
      </c>
      <c r="M62" s="351">
        <f>AS!K2</f>
        <v>146</v>
      </c>
      <c r="N62" s="314">
        <f>D62/AS!J2</f>
        <v>1.4492307692307693</v>
      </c>
    </row>
    <row r="63" spans="1:14" ht="22.5" customHeight="1">
      <c r="A63" s="148" t="s">
        <v>129</v>
      </c>
      <c r="B63" s="349" t="s">
        <v>14</v>
      </c>
      <c r="C63" s="350" t="s">
        <v>106</v>
      </c>
      <c r="D63" s="109">
        <f>AS!H3</f>
        <v>770</v>
      </c>
      <c r="L63" s="156" t="s">
        <v>77</v>
      </c>
      <c r="M63" s="351">
        <f>AS!K3</f>
        <v>170</v>
      </c>
      <c r="N63" s="314">
        <f>D63/AS!J3</f>
        <v>1.2833333333333334</v>
      </c>
    </row>
    <row r="64" spans="1:14" ht="22.5" customHeight="1">
      <c r="A64" s="148" t="s">
        <v>130</v>
      </c>
      <c r="B64" s="349" t="s">
        <v>14</v>
      </c>
      <c r="C64" s="352" t="s">
        <v>82</v>
      </c>
      <c r="D64" s="109">
        <f>AS!H4</f>
        <v>1089</v>
      </c>
      <c r="L64" s="156" t="s">
        <v>77</v>
      </c>
      <c r="M64" s="351">
        <f>AS!K4</f>
        <v>439</v>
      </c>
      <c r="N64" s="314">
        <f>D64/AS!J4</f>
        <v>1.6753846153846155</v>
      </c>
    </row>
    <row r="65" spans="1:14" ht="22.5" customHeight="1">
      <c r="A65" s="148" t="s">
        <v>131</v>
      </c>
      <c r="B65" s="349" t="s">
        <v>14</v>
      </c>
      <c r="C65" s="353" t="s">
        <v>88</v>
      </c>
      <c r="D65" s="109">
        <f>AS!H5</f>
        <v>444</v>
      </c>
      <c r="L65" s="159" t="s">
        <v>74</v>
      </c>
      <c r="M65" s="351">
        <f>AS!K5</f>
        <v>414</v>
      </c>
      <c r="N65" s="314">
        <f>D65/AS!J5</f>
        <v>14.8</v>
      </c>
    </row>
    <row r="66" spans="1:14" ht="22.5" customHeight="1">
      <c r="A66" s="148" t="s">
        <v>132</v>
      </c>
      <c r="B66" s="349" t="s">
        <v>14</v>
      </c>
      <c r="C66" s="354" t="s">
        <v>118</v>
      </c>
      <c r="D66" s="109">
        <f>AS!H6</f>
        <v>629</v>
      </c>
      <c r="L66" s="156" t="s">
        <v>77</v>
      </c>
      <c r="M66" s="351">
        <f>AS!K6</f>
        <v>79</v>
      </c>
      <c r="N66" s="314">
        <f>D66/AS!J6</f>
        <v>1.1436363636363636</v>
      </c>
    </row>
    <row r="67" spans="1:14" ht="22.5" customHeight="1">
      <c r="A67" s="148" t="s">
        <v>133</v>
      </c>
      <c r="B67" s="349" t="s">
        <v>14</v>
      </c>
      <c r="C67" s="354" t="s">
        <v>118</v>
      </c>
      <c r="D67" s="109">
        <f>AS!H7</f>
        <v>221</v>
      </c>
      <c r="L67" s="156" t="s">
        <v>77</v>
      </c>
      <c r="M67" s="351">
        <f>AS!K7</f>
        <v>-79</v>
      </c>
      <c r="N67" s="314">
        <f>D67/AS!J7</f>
        <v>0.73666666666666669</v>
      </c>
    </row>
    <row r="68" spans="1:14" ht="22.5" customHeight="1">
      <c r="A68" s="148" t="s">
        <v>134</v>
      </c>
      <c r="B68" s="349" t="s">
        <v>14</v>
      </c>
      <c r="C68" s="354" t="s">
        <v>118</v>
      </c>
      <c r="D68" s="109">
        <f>AS!H8</f>
        <v>301</v>
      </c>
      <c r="L68" s="159" t="s">
        <v>74</v>
      </c>
      <c r="M68" s="351">
        <f>AS!K8</f>
        <v>-799</v>
      </c>
      <c r="N68" s="314">
        <f>D68/AS!J8</f>
        <v>0.27363636363636362</v>
      </c>
    </row>
    <row r="69" spans="1:14" ht="22.5" customHeight="1">
      <c r="A69" s="148" t="s">
        <v>135</v>
      </c>
      <c r="B69" s="349" t="s">
        <v>14</v>
      </c>
      <c r="C69" s="355" t="s">
        <v>91</v>
      </c>
      <c r="D69" s="109">
        <f>AS!H9</f>
        <v>98</v>
      </c>
      <c r="L69" s="149" t="s">
        <v>87</v>
      </c>
      <c r="M69" s="351">
        <f>AS!K9</f>
        <v>68</v>
      </c>
      <c r="N69" s="314">
        <f>D69/AS!J9</f>
        <v>3.2666666666666666</v>
      </c>
    </row>
    <row r="70" spans="1:14" ht="22.5" customHeight="1">
      <c r="A70" s="148" t="s">
        <v>136</v>
      </c>
      <c r="B70" s="349" t="s">
        <v>14</v>
      </c>
      <c r="C70" s="355" t="s">
        <v>91</v>
      </c>
      <c r="D70" s="109">
        <f>AS!H10</f>
        <v>433</v>
      </c>
      <c r="L70" s="159" t="s">
        <v>74</v>
      </c>
      <c r="M70" s="351">
        <f>AS!K10</f>
        <v>-417</v>
      </c>
      <c r="N70" s="314">
        <f>D70/AS!J10</f>
        <v>0.50941176470588234</v>
      </c>
    </row>
    <row r="71" spans="1:14" ht="22.5" customHeight="1">
      <c r="A71" s="148" t="s">
        <v>137</v>
      </c>
      <c r="B71" s="349" t="s">
        <v>14</v>
      </c>
      <c r="C71" s="356" t="s">
        <v>95</v>
      </c>
      <c r="D71" s="109">
        <f>AS!H11</f>
        <v>399</v>
      </c>
      <c r="L71" s="149" t="s">
        <v>87</v>
      </c>
      <c r="M71" s="351">
        <f>AS!K11</f>
        <v>149</v>
      </c>
      <c r="N71" s="314">
        <f>D71/AS!J11</f>
        <v>1.5960000000000001</v>
      </c>
    </row>
    <row r="72" spans="1:14" ht="22.5" customHeight="1">
      <c r="A72" s="148" t="s">
        <v>138</v>
      </c>
      <c r="B72" s="349" t="s">
        <v>14</v>
      </c>
      <c r="C72" s="357" t="s">
        <v>97</v>
      </c>
      <c r="D72" s="109">
        <f>AS!H12</f>
        <v>1211</v>
      </c>
      <c r="L72" s="149" t="s">
        <v>87</v>
      </c>
      <c r="M72" s="351">
        <f>AS!K12</f>
        <v>456</v>
      </c>
      <c r="N72" s="314">
        <f>D72/AS!J12</f>
        <v>1.6039735099337749</v>
      </c>
    </row>
    <row r="73" spans="1:14" ht="22.5" customHeight="1">
      <c r="A73" s="148" t="s">
        <v>139</v>
      </c>
      <c r="B73" s="349" t="s">
        <v>14</v>
      </c>
      <c r="C73" s="357" t="s">
        <v>97</v>
      </c>
      <c r="D73" s="109">
        <f>AS!H13</f>
        <v>401</v>
      </c>
      <c r="L73" s="159" t="s">
        <v>74</v>
      </c>
      <c r="M73" s="351">
        <f>AS!K13</f>
        <v>-199</v>
      </c>
      <c r="N73" s="314">
        <f>D73/AS!J13</f>
        <v>0.66833333333333333</v>
      </c>
    </row>
    <row r="74" spans="1:14" ht="22.5" customHeight="1">
      <c r="A74" s="148" t="s">
        <v>140</v>
      </c>
      <c r="B74" s="349" t="s">
        <v>14</v>
      </c>
      <c r="C74" s="358" t="s">
        <v>122</v>
      </c>
      <c r="D74" s="109">
        <f>AS!H14</f>
        <v>955</v>
      </c>
      <c r="L74" s="149" t="s">
        <v>87</v>
      </c>
      <c r="M74" s="351">
        <f>AS!K14</f>
        <v>-295</v>
      </c>
      <c r="N74" s="314">
        <f>D74/AS!J14</f>
        <v>0.76400000000000001</v>
      </c>
    </row>
    <row r="75" spans="1:14" ht="22.5" customHeight="1">
      <c r="A75" s="148" t="s">
        <v>141</v>
      </c>
      <c r="B75" s="349" t="s">
        <v>14</v>
      </c>
      <c r="C75" s="358" t="s">
        <v>122</v>
      </c>
      <c r="D75" s="109">
        <f>AS!H15</f>
        <v>996</v>
      </c>
      <c r="L75" s="156" t="s">
        <v>77</v>
      </c>
      <c r="M75" s="351">
        <f>AS!K15</f>
        <v>-54</v>
      </c>
      <c r="N75" s="314">
        <f>D75/AS!J15</f>
        <v>0.94857142857142862</v>
      </c>
    </row>
    <row r="76" spans="1:14" ht="22.5" customHeight="1">
      <c r="A76" s="148" t="s">
        <v>142</v>
      </c>
      <c r="B76" s="349" t="s">
        <v>14</v>
      </c>
      <c r="C76" s="359" t="s">
        <v>122</v>
      </c>
      <c r="D76" s="109">
        <f>AS!H16</f>
        <v>357</v>
      </c>
      <c r="L76" s="149" t="s">
        <v>87</v>
      </c>
      <c r="M76" s="313">
        <f>AS!K16</f>
        <v>-243</v>
      </c>
      <c r="N76" s="314">
        <f>D76/AS!J16</f>
        <v>0.59499999999999997</v>
      </c>
    </row>
    <row r="77" spans="1:14" ht="16.8">
      <c r="A77" s="360"/>
      <c r="C77" s="361"/>
      <c r="N77" s="362"/>
    </row>
    <row r="78" spans="1:14" ht="16.8">
      <c r="A78" s="360"/>
      <c r="C78" s="361"/>
      <c r="N78" s="362"/>
    </row>
    <row r="79" spans="1:14" ht="16.8">
      <c r="A79" s="360"/>
      <c r="C79" s="361"/>
      <c r="N79" s="362"/>
    </row>
    <row r="80" spans="1:14" ht="16.8">
      <c r="A80" s="360"/>
      <c r="C80" s="361"/>
      <c r="N80" s="362"/>
    </row>
    <row r="81" spans="1:14" ht="16.8">
      <c r="A81" s="360"/>
      <c r="C81" s="361"/>
      <c r="N81" s="362"/>
    </row>
    <row r="82" spans="1:14" ht="16.8">
      <c r="A82" s="360"/>
      <c r="C82" s="361"/>
      <c r="N82" s="362"/>
    </row>
    <row r="83" spans="1:14" ht="16.8">
      <c r="A83" s="360"/>
      <c r="C83" s="361"/>
      <c r="N83" s="362"/>
    </row>
    <row r="84" spans="1:14" ht="16.8">
      <c r="A84" s="360"/>
      <c r="C84" s="361"/>
      <c r="N84" s="362"/>
    </row>
    <row r="85" spans="1:14" ht="16.8">
      <c r="A85" s="360"/>
      <c r="C85" s="361"/>
      <c r="N85" s="362"/>
    </row>
    <row r="86" spans="1:14" ht="16.8">
      <c r="A86" s="360"/>
      <c r="C86" s="361"/>
      <c r="N86" s="362"/>
    </row>
    <row r="87" spans="1:14" ht="16.8">
      <c r="A87" s="360"/>
      <c r="C87" s="361"/>
      <c r="N87" s="362"/>
    </row>
    <row r="88" spans="1:14" ht="16.8">
      <c r="A88" s="360"/>
      <c r="C88" s="361"/>
      <c r="N88" s="362"/>
    </row>
    <row r="89" spans="1:14" ht="16.8">
      <c r="A89" s="360"/>
      <c r="C89" s="361"/>
      <c r="N89" s="362"/>
    </row>
    <row r="90" spans="1:14" ht="16.8">
      <c r="A90" s="360"/>
      <c r="C90" s="361"/>
      <c r="N90" s="362"/>
    </row>
    <row r="91" spans="1:14" ht="16.8">
      <c r="A91" s="360"/>
      <c r="C91" s="361"/>
      <c r="N91" s="362"/>
    </row>
    <row r="92" spans="1:14" ht="16.8">
      <c r="A92" s="360"/>
      <c r="C92" s="361"/>
      <c r="N92" s="362"/>
    </row>
    <row r="93" spans="1:14" ht="16.8">
      <c r="A93" s="360"/>
      <c r="C93" s="361"/>
      <c r="N93" s="362"/>
    </row>
    <row r="94" spans="1:14" ht="16.8">
      <c r="A94" s="360"/>
      <c r="C94" s="361"/>
      <c r="N94" s="362"/>
    </row>
    <row r="95" spans="1:14" ht="16.8">
      <c r="A95" s="360"/>
      <c r="C95" s="361"/>
      <c r="N95" s="362"/>
    </row>
    <row r="96" spans="1:14" ht="16.8">
      <c r="A96" s="360"/>
      <c r="C96" s="361"/>
      <c r="N96" s="362"/>
    </row>
    <row r="97" spans="1:14" ht="16.8">
      <c r="A97" s="360"/>
      <c r="C97" s="361"/>
      <c r="N97" s="362"/>
    </row>
    <row r="98" spans="1:14" ht="16.8">
      <c r="A98" s="360"/>
      <c r="C98" s="361"/>
      <c r="N98" s="362"/>
    </row>
    <row r="99" spans="1:14" ht="16.8">
      <c r="A99" s="360"/>
      <c r="C99" s="361"/>
      <c r="N99" s="362"/>
    </row>
    <row r="100" spans="1:14" ht="16.8">
      <c r="A100" s="360"/>
      <c r="C100" s="361"/>
      <c r="N100" s="362"/>
    </row>
    <row r="101" spans="1:14" ht="16.8">
      <c r="A101" s="360"/>
      <c r="C101" s="361"/>
      <c r="N101" s="362"/>
    </row>
    <row r="102" spans="1:14" ht="16.8">
      <c r="A102" s="360"/>
      <c r="C102" s="361"/>
      <c r="N102" s="362"/>
    </row>
    <row r="103" spans="1:14" ht="16.8">
      <c r="A103" s="360"/>
      <c r="C103" s="361"/>
      <c r="N103" s="362"/>
    </row>
    <row r="104" spans="1:14" ht="16.8">
      <c r="A104" s="360"/>
      <c r="C104" s="361"/>
      <c r="N104" s="362"/>
    </row>
    <row r="105" spans="1:14" ht="16.8">
      <c r="A105" s="360"/>
      <c r="C105" s="361"/>
      <c r="N105" s="362"/>
    </row>
    <row r="106" spans="1:14" ht="16.8">
      <c r="A106" s="360"/>
      <c r="C106" s="361"/>
      <c r="N106" s="362"/>
    </row>
    <row r="107" spans="1:14" ht="16.8">
      <c r="A107" s="360"/>
      <c r="C107" s="361"/>
      <c r="N107" s="362"/>
    </row>
    <row r="108" spans="1:14" ht="16.8">
      <c r="A108" s="360"/>
      <c r="C108" s="361"/>
      <c r="N108" s="362"/>
    </row>
    <row r="109" spans="1:14" ht="16.8">
      <c r="A109" s="360"/>
      <c r="C109" s="361"/>
      <c r="N109" s="362"/>
    </row>
    <row r="110" spans="1:14" ht="16.8">
      <c r="A110" s="360"/>
      <c r="C110" s="361"/>
      <c r="N110" s="362"/>
    </row>
    <row r="111" spans="1:14" ht="16.8">
      <c r="A111" s="360"/>
      <c r="C111" s="361"/>
      <c r="N111" s="362"/>
    </row>
    <row r="112" spans="1:14" ht="16.8">
      <c r="A112" s="360"/>
      <c r="C112" s="361"/>
      <c r="N112" s="362"/>
    </row>
    <row r="113" spans="1:14" ht="16.8">
      <c r="A113" s="360"/>
      <c r="C113" s="361"/>
      <c r="N113" s="362"/>
    </row>
    <row r="114" spans="1:14" ht="16.8">
      <c r="A114" s="360"/>
      <c r="C114" s="361"/>
      <c r="N114" s="362"/>
    </row>
    <row r="115" spans="1:14" ht="16.8">
      <c r="A115" s="360"/>
      <c r="C115" s="361"/>
      <c r="N115" s="362"/>
    </row>
    <row r="116" spans="1:14" ht="16.8">
      <c r="A116" s="360"/>
      <c r="C116" s="361"/>
      <c r="N116" s="362"/>
    </row>
    <row r="117" spans="1:14" ht="16.8">
      <c r="A117" s="360"/>
      <c r="C117" s="361"/>
      <c r="N117" s="362"/>
    </row>
    <row r="118" spans="1:14" ht="16.8">
      <c r="A118" s="360"/>
      <c r="C118" s="361"/>
      <c r="N118" s="362"/>
    </row>
    <row r="119" spans="1:14" ht="16.8">
      <c r="A119" s="360"/>
      <c r="C119" s="361"/>
      <c r="N119" s="362"/>
    </row>
    <row r="120" spans="1:14" ht="16.8">
      <c r="A120" s="360"/>
      <c r="C120" s="361"/>
      <c r="N120" s="362"/>
    </row>
    <row r="121" spans="1:14" ht="16.8">
      <c r="A121" s="360"/>
      <c r="C121" s="361"/>
      <c r="N121" s="362"/>
    </row>
    <row r="122" spans="1:14" ht="16.8">
      <c r="A122" s="360"/>
      <c r="C122" s="361"/>
      <c r="N122" s="362"/>
    </row>
    <row r="123" spans="1:14" ht="16.8">
      <c r="A123" s="360"/>
      <c r="C123" s="361"/>
      <c r="N123" s="362"/>
    </row>
    <row r="124" spans="1:14" ht="16.8">
      <c r="A124" s="360"/>
      <c r="C124" s="361"/>
      <c r="N124" s="362"/>
    </row>
    <row r="125" spans="1:14" ht="16.8">
      <c r="A125" s="360"/>
      <c r="C125" s="361"/>
      <c r="N125" s="362"/>
    </row>
    <row r="126" spans="1:14" ht="16.8">
      <c r="A126" s="360"/>
      <c r="C126" s="361"/>
      <c r="N126" s="362"/>
    </row>
    <row r="127" spans="1:14" ht="16.8">
      <c r="A127" s="360"/>
      <c r="C127" s="361"/>
      <c r="N127" s="362"/>
    </row>
    <row r="128" spans="1:14" ht="16.8">
      <c r="A128" s="360"/>
      <c r="C128" s="361"/>
      <c r="N128" s="362"/>
    </row>
    <row r="129" spans="1:14" ht="16.8">
      <c r="A129" s="360"/>
      <c r="C129" s="361"/>
      <c r="N129" s="362"/>
    </row>
    <row r="130" spans="1:14" ht="16.8">
      <c r="A130" s="360"/>
      <c r="C130" s="361"/>
      <c r="N130" s="362"/>
    </row>
    <row r="131" spans="1:14" ht="16.8">
      <c r="A131" s="360"/>
      <c r="C131" s="361"/>
      <c r="N131" s="362"/>
    </row>
    <row r="132" spans="1:14" ht="16.8">
      <c r="A132" s="360"/>
      <c r="C132" s="361"/>
      <c r="N132" s="362"/>
    </row>
    <row r="133" spans="1:14" ht="16.8">
      <c r="A133" s="360"/>
      <c r="C133" s="361"/>
      <c r="N133" s="362"/>
    </row>
    <row r="134" spans="1:14" ht="16.8">
      <c r="A134" s="360"/>
      <c r="C134" s="361"/>
      <c r="N134" s="362"/>
    </row>
    <row r="135" spans="1:14" ht="16.8">
      <c r="A135" s="360"/>
      <c r="C135" s="361"/>
      <c r="N135" s="362"/>
    </row>
    <row r="136" spans="1:14" ht="16.8">
      <c r="A136" s="360"/>
      <c r="C136" s="361"/>
      <c r="N136" s="362"/>
    </row>
    <row r="137" spans="1:14" ht="16.8">
      <c r="A137" s="360"/>
      <c r="C137" s="361"/>
      <c r="N137" s="362"/>
    </row>
    <row r="138" spans="1:14" ht="16.8">
      <c r="A138" s="360"/>
      <c r="C138" s="361"/>
      <c r="N138" s="362"/>
    </row>
    <row r="139" spans="1:14" ht="16.8">
      <c r="A139" s="360"/>
      <c r="C139" s="361"/>
      <c r="N139" s="362"/>
    </row>
    <row r="140" spans="1:14" ht="16.8">
      <c r="A140" s="360"/>
      <c r="C140" s="361"/>
      <c r="N140" s="362"/>
    </row>
    <row r="141" spans="1:14" ht="16.8">
      <c r="A141" s="360"/>
      <c r="C141" s="361"/>
      <c r="N141" s="362"/>
    </row>
    <row r="142" spans="1:14" ht="16.8">
      <c r="A142" s="360"/>
      <c r="C142" s="361"/>
      <c r="N142" s="362"/>
    </row>
    <row r="143" spans="1:14" ht="16.8">
      <c r="A143" s="360"/>
      <c r="C143" s="361"/>
      <c r="N143" s="362"/>
    </row>
    <row r="144" spans="1:14" ht="16.8">
      <c r="A144" s="360"/>
      <c r="C144" s="361"/>
      <c r="N144" s="362"/>
    </row>
    <row r="145" spans="1:14" ht="16.8">
      <c r="A145" s="360"/>
      <c r="C145" s="361"/>
      <c r="N145" s="362"/>
    </row>
    <row r="146" spans="1:14" ht="16.8">
      <c r="A146" s="360"/>
      <c r="C146" s="361"/>
      <c r="N146" s="362"/>
    </row>
    <row r="147" spans="1:14" ht="16.8">
      <c r="A147" s="360"/>
      <c r="C147" s="361"/>
      <c r="N147" s="362"/>
    </row>
    <row r="148" spans="1:14" ht="16.8">
      <c r="A148" s="360"/>
      <c r="C148" s="361"/>
      <c r="N148" s="362"/>
    </row>
    <row r="149" spans="1:14" ht="16.8">
      <c r="A149" s="360"/>
      <c r="C149" s="361"/>
      <c r="N149" s="362"/>
    </row>
    <row r="150" spans="1:14" ht="16.8">
      <c r="A150" s="360"/>
      <c r="C150" s="361"/>
      <c r="N150" s="362"/>
    </row>
    <row r="151" spans="1:14" ht="16.8">
      <c r="A151" s="360"/>
      <c r="C151" s="361"/>
      <c r="N151" s="362"/>
    </row>
    <row r="152" spans="1:14" ht="16.8">
      <c r="A152" s="360"/>
      <c r="C152" s="361"/>
      <c r="N152" s="362"/>
    </row>
    <row r="153" spans="1:14" ht="16.8">
      <c r="A153" s="360"/>
      <c r="C153" s="361"/>
      <c r="N153" s="362"/>
    </row>
    <row r="154" spans="1:14" ht="16.8">
      <c r="A154" s="360"/>
      <c r="C154" s="361"/>
      <c r="N154" s="362"/>
    </row>
    <row r="155" spans="1:14" ht="16.8">
      <c r="A155" s="360"/>
      <c r="C155" s="361"/>
      <c r="N155" s="362"/>
    </row>
    <row r="156" spans="1:14" ht="16.8">
      <c r="A156" s="360"/>
      <c r="C156" s="361"/>
      <c r="N156" s="362"/>
    </row>
    <row r="157" spans="1:14" ht="16.8">
      <c r="A157" s="360"/>
      <c r="C157" s="361"/>
      <c r="N157" s="362"/>
    </row>
    <row r="158" spans="1:14" ht="16.8">
      <c r="A158" s="360"/>
      <c r="C158" s="361"/>
      <c r="N158" s="362"/>
    </row>
    <row r="159" spans="1:14" ht="16.8">
      <c r="A159" s="360"/>
      <c r="C159" s="361"/>
      <c r="N159" s="362"/>
    </row>
    <row r="160" spans="1:14" ht="16.8">
      <c r="A160" s="360"/>
      <c r="C160" s="361"/>
      <c r="N160" s="362"/>
    </row>
    <row r="161" spans="1:14" ht="16.8">
      <c r="A161" s="360"/>
      <c r="C161" s="361"/>
      <c r="N161" s="362"/>
    </row>
    <row r="162" spans="1:14" ht="16.8">
      <c r="A162" s="360"/>
      <c r="C162" s="361"/>
      <c r="N162" s="362"/>
    </row>
    <row r="163" spans="1:14" ht="16.8">
      <c r="A163" s="360"/>
      <c r="C163" s="361"/>
      <c r="N163" s="362"/>
    </row>
    <row r="164" spans="1:14" ht="16.8">
      <c r="A164" s="360"/>
      <c r="C164" s="361"/>
      <c r="N164" s="362"/>
    </row>
    <row r="165" spans="1:14" ht="16.8">
      <c r="A165" s="360"/>
      <c r="C165" s="361"/>
      <c r="N165" s="362"/>
    </row>
    <row r="166" spans="1:14" ht="16.8">
      <c r="A166" s="360"/>
      <c r="C166" s="361"/>
      <c r="N166" s="362"/>
    </row>
    <row r="167" spans="1:14" ht="16.8">
      <c r="A167" s="360"/>
      <c r="C167" s="361"/>
      <c r="N167" s="362"/>
    </row>
    <row r="168" spans="1:14" ht="16.8">
      <c r="A168" s="360"/>
      <c r="C168" s="361"/>
      <c r="N168" s="362"/>
    </row>
    <row r="169" spans="1:14" ht="16.8">
      <c r="A169" s="360"/>
      <c r="C169" s="361"/>
      <c r="N169" s="362"/>
    </row>
    <row r="170" spans="1:14" ht="16.8">
      <c r="A170" s="360"/>
      <c r="C170" s="361"/>
      <c r="N170" s="362"/>
    </row>
    <row r="171" spans="1:14" ht="16.8">
      <c r="A171" s="360"/>
      <c r="C171" s="361"/>
      <c r="N171" s="362"/>
    </row>
    <row r="172" spans="1:14" ht="16.8">
      <c r="A172" s="360"/>
      <c r="C172" s="361"/>
      <c r="N172" s="362"/>
    </row>
    <row r="173" spans="1:14" ht="16.8">
      <c r="A173" s="360"/>
      <c r="C173" s="361"/>
      <c r="N173" s="362"/>
    </row>
    <row r="174" spans="1:14" ht="16.8">
      <c r="A174" s="360"/>
      <c r="C174" s="361"/>
      <c r="N174" s="362"/>
    </row>
    <row r="175" spans="1:14" ht="16.8">
      <c r="A175" s="360"/>
      <c r="C175" s="361"/>
      <c r="N175" s="362"/>
    </row>
    <row r="176" spans="1:14" ht="16.8">
      <c r="A176" s="360"/>
      <c r="C176" s="361"/>
      <c r="N176" s="362"/>
    </row>
    <row r="177" spans="1:14" ht="16.8">
      <c r="A177" s="360"/>
      <c r="C177" s="361"/>
      <c r="N177" s="362"/>
    </row>
    <row r="178" spans="1:14" ht="16.8">
      <c r="A178" s="360"/>
      <c r="C178" s="361"/>
      <c r="N178" s="362"/>
    </row>
    <row r="179" spans="1:14" ht="16.8">
      <c r="A179" s="360"/>
      <c r="C179" s="361"/>
      <c r="N179" s="362"/>
    </row>
    <row r="180" spans="1:14" ht="16.8">
      <c r="A180" s="360"/>
      <c r="C180" s="361"/>
      <c r="N180" s="362"/>
    </row>
    <row r="181" spans="1:14" ht="16.8">
      <c r="A181" s="360"/>
      <c r="C181" s="361"/>
      <c r="N181" s="362"/>
    </row>
    <row r="182" spans="1:14" ht="16.8">
      <c r="A182" s="360"/>
      <c r="C182" s="361"/>
      <c r="N182" s="362"/>
    </row>
    <row r="183" spans="1:14" ht="16.8">
      <c r="A183" s="360"/>
      <c r="C183" s="361"/>
      <c r="N183" s="362"/>
    </row>
    <row r="184" spans="1:14" ht="16.8">
      <c r="A184" s="360"/>
      <c r="C184" s="361"/>
      <c r="N184" s="362"/>
    </row>
    <row r="185" spans="1:14" ht="16.8">
      <c r="A185" s="360"/>
      <c r="C185" s="361"/>
      <c r="N185" s="362"/>
    </row>
    <row r="186" spans="1:14" ht="16.8">
      <c r="A186" s="360"/>
      <c r="C186" s="361"/>
      <c r="N186" s="362"/>
    </row>
    <row r="187" spans="1:14" ht="16.8">
      <c r="A187" s="360"/>
      <c r="C187" s="361"/>
      <c r="N187" s="362"/>
    </row>
    <row r="188" spans="1:14" ht="16.8">
      <c r="A188" s="360"/>
      <c r="C188" s="361"/>
      <c r="N188" s="362"/>
    </row>
    <row r="189" spans="1:14" ht="16.8">
      <c r="A189" s="360"/>
      <c r="C189" s="361"/>
      <c r="N189" s="362"/>
    </row>
    <row r="190" spans="1:14" ht="16.8">
      <c r="A190" s="360"/>
      <c r="C190" s="361"/>
      <c r="N190" s="362"/>
    </row>
    <row r="191" spans="1:14" ht="16.8">
      <c r="A191" s="360"/>
      <c r="C191" s="361"/>
      <c r="N191" s="362"/>
    </row>
    <row r="192" spans="1:14" ht="16.8">
      <c r="A192" s="360"/>
      <c r="C192" s="361"/>
      <c r="N192" s="362"/>
    </row>
    <row r="193" spans="1:14" ht="16.8">
      <c r="A193" s="360"/>
      <c r="C193" s="361"/>
      <c r="N193" s="362"/>
    </row>
    <row r="194" spans="1:14" ht="16.8">
      <c r="A194" s="360"/>
      <c r="C194" s="361"/>
      <c r="N194" s="362"/>
    </row>
    <row r="195" spans="1:14" ht="16.8">
      <c r="A195" s="360"/>
      <c r="C195" s="361"/>
      <c r="N195" s="362"/>
    </row>
    <row r="196" spans="1:14" ht="16.8">
      <c r="A196" s="360"/>
      <c r="C196" s="361"/>
      <c r="N196" s="362"/>
    </row>
    <row r="197" spans="1:14" ht="16.8">
      <c r="A197" s="360"/>
      <c r="C197" s="361"/>
      <c r="N197" s="362"/>
    </row>
    <row r="198" spans="1:14" ht="16.8">
      <c r="A198" s="360"/>
      <c r="C198" s="361"/>
      <c r="N198" s="362"/>
    </row>
    <row r="199" spans="1:14" ht="16.8">
      <c r="A199" s="360"/>
      <c r="C199" s="361"/>
      <c r="N199" s="362"/>
    </row>
    <row r="200" spans="1:14" ht="16.8">
      <c r="A200" s="360"/>
      <c r="C200" s="361"/>
      <c r="N200" s="362"/>
    </row>
    <row r="201" spans="1:14" ht="16.8">
      <c r="A201" s="360"/>
      <c r="C201" s="361"/>
      <c r="N201" s="362"/>
    </row>
    <row r="202" spans="1:14" ht="16.8">
      <c r="A202" s="360"/>
      <c r="C202" s="361"/>
      <c r="N202" s="362"/>
    </row>
    <row r="203" spans="1:14" ht="16.8">
      <c r="A203" s="360"/>
      <c r="C203" s="361"/>
      <c r="N203" s="362"/>
    </row>
    <row r="204" spans="1:14" ht="16.8">
      <c r="A204" s="360"/>
      <c r="C204" s="361"/>
      <c r="N204" s="362"/>
    </row>
    <row r="205" spans="1:14" ht="16.8">
      <c r="A205" s="360"/>
      <c r="C205" s="361"/>
      <c r="N205" s="362"/>
    </row>
    <row r="206" spans="1:14" ht="16.8">
      <c r="A206" s="360"/>
      <c r="C206" s="361"/>
      <c r="N206" s="362"/>
    </row>
    <row r="207" spans="1:14" ht="16.8">
      <c r="A207" s="360"/>
      <c r="C207" s="361"/>
      <c r="N207" s="362"/>
    </row>
    <row r="208" spans="1:14" ht="16.8">
      <c r="A208" s="360"/>
      <c r="C208" s="361"/>
      <c r="N208" s="362"/>
    </row>
    <row r="209" spans="1:14" ht="16.8">
      <c r="A209" s="360"/>
      <c r="C209" s="361"/>
      <c r="N209" s="362"/>
    </row>
    <row r="210" spans="1:14" ht="16.8">
      <c r="A210" s="360"/>
      <c r="C210" s="361"/>
      <c r="N210" s="362"/>
    </row>
    <row r="211" spans="1:14" ht="16.8">
      <c r="A211" s="360"/>
      <c r="C211" s="361"/>
      <c r="N211" s="362"/>
    </row>
    <row r="212" spans="1:14" ht="16.8">
      <c r="A212" s="360"/>
      <c r="C212" s="361"/>
      <c r="N212" s="362"/>
    </row>
    <row r="213" spans="1:14" ht="16.8">
      <c r="A213" s="360"/>
      <c r="C213" s="361"/>
      <c r="N213" s="362"/>
    </row>
    <row r="214" spans="1:14" ht="16.8">
      <c r="A214" s="360"/>
      <c r="C214" s="361"/>
      <c r="N214" s="362"/>
    </row>
    <row r="215" spans="1:14" ht="16.8">
      <c r="A215" s="360"/>
      <c r="C215" s="361"/>
      <c r="N215" s="362"/>
    </row>
    <row r="216" spans="1:14" ht="16.8">
      <c r="A216" s="360"/>
      <c r="C216" s="361"/>
      <c r="N216" s="362"/>
    </row>
    <row r="217" spans="1:14" ht="16.8">
      <c r="A217" s="360"/>
      <c r="C217" s="361"/>
      <c r="N217" s="362"/>
    </row>
    <row r="218" spans="1:14" ht="16.8">
      <c r="A218" s="360"/>
      <c r="C218" s="361"/>
      <c r="N218" s="362"/>
    </row>
    <row r="219" spans="1:14" ht="16.8">
      <c r="A219" s="360"/>
      <c r="C219" s="361"/>
      <c r="N219" s="362"/>
    </row>
    <row r="220" spans="1:14" ht="16.8">
      <c r="A220" s="360"/>
      <c r="C220" s="361"/>
      <c r="N220" s="362"/>
    </row>
    <row r="221" spans="1:14" ht="16.8">
      <c r="A221" s="360"/>
      <c r="C221" s="361"/>
      <c r="N221" s="362"/>
    </row>
    <row r="222" spans="1:14" ht="16.8">
      <c r="A222" s="360"/>
      <c r="C222" s="361"/>
      <c r="N222" s="362"/>
    </row>
    <row r="223" spans="1:14" ht="16.8">
      <c r="A223" s="360"/>
      <c r="C223" s="361"/>
      <c r="N223" s="362"/>
    </row>
    <row r="224" spans="1:14" ht="16.8">
      <c r="A224" s="360"/>
      <c r="C224" s="361"/>
      <c r="N224" s="362"/>
    </row>
    <row r="225" spans="1:14" ht="16.8">
      <c r="A225" s="360"/>
      <c r="C225" s="361"/>
      <c r="N225" s="362"/>
    </row>
    <row r="226" spans="1:14" ht="16.8">
      <c r="A226" s="360"/>
      <c r="C226" s="361"/>
      <c r="N226" s="362"/>
    </row>
    <row r="227" spans="1:14" ht="16.8">
      <c r="A227" s="360"/>
      <c r="C227" s="361"/>
      <c r="N227" s="362"/>
    </row>
    <row r="228" spans="1:14" ht="16.8">
      <c r="A228" s="360"/>
      <c r="C228" s="361"/>
      <c r="N228" s="362"/>
    </row>
    <row r="229" spans="1:14" ht="16.8">
      <c r="A229" s="360"/>
      <c r="C229" s="361"/>
      <c r="N229" s="362"/>
    </row>
    <row r="230" spans="1:14" ht="16.8">
      <c r="A230" s="360"/>
      <c r="C230" s="361"/>
      <c r="N230" s="362"/>
    </row>
    <row r="231" spans="1:14" ht="16.8">
      <c r="A231" s="360"/>
      <c r="C231" s="361"/>
      <c r="N231" s="362"/>
    </row>
    <row r="232" spans="1:14" ht="16.8">
      <c r="A232" s="360"/>
      <c r="C232" s="361"/>
      <c r="N232" s="362"/>
    </row>
    <row r="233" spans="1:14" ht="16.8">
      <c r="A233" s="360"/>
      <c r="C233" s="361"/>
      <c r="N233" s="362"/>
    </row>
    <row r="234" spans="1:14" ht="16.8">
      <c r="A234" s="360"/>
      <c r="C234" s="361"/>
      <c r="N234" s="362"/>
    </row>
    <row r="235" spans="1:14" ht="16.8">
      <c r="A235" s="360"/>
      <c r="C235" s="361"/>
      <c r="N235" s="362"/>
    </row>
    <row r="236" spans="1:14" ht="16.8">
      <c r="A236" s="360"/>
      <c r="C236" s="361"/>
      <c r="N236" s="362"/>
    </row>
    <row r="237" spans="1:14" ht="16.8">
      <c r="A237" s="360"/>
      <c r="C237" s="361"/>
      <c r="N237" s="362"/>
    </row>
    <row r="238" spans="1:14" ht="16.8">
      <c r="A238" s="360"/>
      <c r="C238" s="361"/>
      <c r="N238" s="362"/>
    </row>
    <row r="239" spans="1:14" ht="16.8">
      <c r="A239" s="360"/>
      <c r="C239" s="361"/>
      <c r="N239" s="362"/>
    </row>
    <row r="240" spans="1:14" ht="16.8">
      <c r="A240" s="360"/>
      <c r="C240" s="361"/>
      <c r="N240" s="362"/>
    </row>
    <row r="241" spans="1:14" ht="16.8">
      <c r="A241" s="360"/>
      <c r="C241" s="361"/>
      <c r="N241" s="362"/>
    </row>
    <row r="242" spans="1:14" ht="16.8">
      <c r="A242" s="360"/>
      <c r="C242" s="361"/>
      <c r="N242" s="362"/>
    </row>
    <row r="243" spans="1:14" ht="16.8">
      <c r="A243" s="360"/>
      <c r="C243" s="361"/>
      <c r="N243" s="362"/>
    </row>
    <row r="244" spans="1:14" ht="16.8">
      <c r="A244" s="360"/>
      <c r="C244" s="361"/>
      <c r="N244" s="362"/>
    </row>
    <row r="245" spans="1:14" ht="16.8">
      <c r="A245" s="360"/>
      <c r="C245" s="361"/>
      <c r="N245" s="362"/>
    </row>
    <row r="246" spans="1:14" ht="16.8">
      <c r="A246" s="360"/>
      <c r="C246" s="361"/>
      <c r="N246" s="362"/>
    </row>
    <row r="247" spans="1:14" ht="16.8">
      <c r="A247" s="360"/>
      <c r="C247" s="361"/>
      <c r="N247" s="362"/>
    </row>
    <row r="248" spans="1:14" ht="16.8">
      <c r="A248" s="360"/>
      <c r="C248" s="361"/>
      <c r="N248" s="362"/>
    </row>
    <row r="249" spans="1:14" ht="16.8">
      <c r="A249" s="360"/>
      <c r="C249" s="361"/>
      <c r="N249" s="362"/>
    </row>
    <row r="250" spans="1:14" ht="16.8">
      <c r="A250" s="360"/>
      <c r="C250" s="361"/>
      <c r="N250" s="362"/>
    </row>
    <row r="251" spans="1:14" ht="16.8">
      <c r="A251" s="360"/>
      <c r="C251" s="361"/>
      <c r="N251" s="362"/>
    </row>
    <row r="252" spans="1:14" ht="16.8">
      <c r="A252" s="360"/>
      <c r="C252" s="361"/>
      <c r="N252" s="362"/>
    </row>
    <row r="253" spans="1:14" ht="16.8">
      <c r="A253" s="360"/>
      <c r="C253" s="361"/>
      <c r="N253" s="362"/>
    </row>
    <row r="254" spans="1:14" ht="16.8">
      <c r="A254" s="360"/>
      <c r="C254" s="361"/>
      <c r="N254" s="362"/>
    </row>
    <row r="255" spans="1:14" ht="16.8">
      <c r="A255" s="360"/>
      <c r="C255" s="361"/>
      <c r="N255" s="362"/>
    </row>
    <row r="256" spans="1:14" ht="16.8">
      <c r="A256" s="360"/>
      <c r="C256" s="361"/>
      <c r="N256" s="362"/>
    </row>
    <row r="257" spans="1:14" ht="16.8">
      <c r="A257" s="360"/>
      <c r="C257" s="361"/>
      <c r="N257" s="362"/>
    </row>
    <row r="258" spans="1:14" ht="16.8">
      <c r="A258" s="360"/>
      <c r="C258" s="361"/>
      <c r="N258" s="362"/>
    </row>
    <row r="259" spans="1:14" ht="16.8">
      <c r="A259" s="360"/>
      <c r="C259" s="361"/>
      <c r="N259" s="362"/>
    </row>
    <row r="260" spans="1:14" ht="16.8">
      <c r="A260" s="360"/>
      <c r="C260" s="361"/>
      <c r="N260" s="362"/>
    </row>
    <row r="261" spans="1:14" ht="16.8">
      <c r="A261" s="360"/>
      <c r="C261" s="361"/>
      <c r="N261" s="362"/>
    </row>
    <row r="262" spans="1:14" ht="16.8">
      <c r="A262" s="360"/>
      <c r="C262" s="361"/>
      <c r="N262" s="362"/>
    </row>
    <row r="263" spans="1:14" ht="16.8">
      <c r="A263" s="360"/>
      <c r="C263" s="361"/>
      <c r="N263" s="362"/>
    </row>
    <row r="264" spans="1:14" ht="16.8">
      <c r="A264" s="360"/>
      <c r="C264" s="361"/>
      <c r="N264" s="362"/>
    </row>
    <row r="265" spans="1:14" ht="16.8">
      <c r="A265" s="360"/>
      <c r="C265" s="361"/>
      <c r="N265" s="362"/>
    </row>
    <row r="266" spans="1:14" ht="16.8">
      <c r="A266" s="360"/>
      <c r="C266" s="361"/>
      <c r="N266" s="362"/>
    </row>
    <row r="267" spans="1:14" ht="16.8">
      <c r="A267" s="360"/>
      <c r="C267" s="361"/>
      <c r="N267" s="362"/>
    </row>
    <row r="268" spans="1:14" ht="16.8">
      <c r="A268" s="360"/>
      <c r="C268" s="361"/>
      <c r="N268" s="362"/>
    </row>
    <row r="269" spans="1:14" ht="16.8">
      <c r="A269" s="360"/>
      <c r="C269" s="361"/>
      <c r="N269" s="362"/>
    </row>
    <row r="270" spans="1:14" ht="16.8">
      <c r="A270" s="360"/>
      <c r="C270" s="361"/>
      <c r="N270" s="362"/>
    </row>
    <row r="271" spans="1:14" ht="16.8">
      <c r="A271" s="360"/>
      <c r="C271" s="361"/>
      <c r="N271" s="362"/>
    </row>
    <row r="272" spans="1:14" ht="16.8">
      <c r="A272" s="360"/>
      <c r="C272" s="361"/>
      <c r="N272" s="362"/>
    </row>
    <row r="273" spans="1:14" ht="16.8">
      <c r="A273" s="360"/>
      <c r="C273" s="361"/>
      <c r="N273" s="362"/>
    </row>
    <row r="274" spans="1:14" ht="16.8">
      <c r="A274" s="360"/>
      <c r="C274" s="361"/>
      <c r="N274" s="362"/>
    </row>
    <row r="275" spans="1:14" ht="16.8">
      <c r="A275" s="360"/>
      <c r="C275" s="361"/>
      <c r="N275" s="362"/>
    </row>
    <row r="276" spans="1:14" ht="16.8">
      <c r="A276" s="360"/>
      <c r="C276" s="361"/>
      <c r="N276" s="362"/>
    </row>
    <row r="277" spans="1:14" ht="16.8">
      <c r="A277" s="360"/>
      <c r="C277" s="361"/>
      <c r="N277" s="362"/>
    </row>
    <row r="278" spans="1:14" ht="16.8">
      <c r="A278" s="360"/>
      <c r="C278" s="361"/>
      <c r="N278" s="362"/>
    </row>
    <row r="279" spans="1:14" ht="16.8">
      <c r="A279" s="360"/>
      <c r="C279" s="361"/>
      <c r="N279" s="362"/>
    </row>
    <row r="280" spans="1:14" ht="16.8">
      <c r="A280" s="360"/>
      <c r="C280" s="361"/>
      <c r="N280" s="362"/>
    </row>
    <row r="281" spans="1:14" ht="16.8">
      <c r="A281" s="360"/>
      <c r="C281" s="361"/>
      <c r="N281" s="362"/>
    </row>
    <row r="282" spans="1:14" ht="16.8">
      <c r="A282" s="360"/>
      <c r="C282" s="361"/>
      <c r="N282" s="362"/>
    </row>
    <row r="283" spans="1:14" ht="16.8">
      <c r="A283" s="360"/>
      <c r="C283" s="361"/>
      <c r="N283" s="362"/>
    </row>
    <row r="284" spans="1:14" ht="16.8">
      <c r="A284" s="360"/>
      <c r="C284" s="361"/>
      <c r="N284" s="362"/>
    </row>
    <row r="285" spans="1:14" ht="16.8">
      <c r="A285" s="360"/>
      <c r="C285" s="361"/>
      <c r="N285" s="362"/>
    </row>
    <row r="286" spans="1:14" ht="16.8">
      <c r="A286" s="360"/>
      <c r="C286" s="361"/>
      <c r="N286" s="362"/>
    </row>
    <row r="287" spans="1:14" ht="16.8">
      <c r="A287" s="360"/>
      <c r="C287" s="361"/>
      <c r="N287" s="362"/>
    </row>
    <row r="288" spans="1:14" ht="16.8">
      <c r="A288" s="360"/>
      <c r="C288" s="361"/>
      <c r="N288" s="362"/>
    </row>
    <row r="289" spans="1:14" ht="16.8">
      <c r="A289" s="360"/>
      <c r="C289" s="361"/>
      <c r="N289" s="362"/>
    </row>
    <row r="290" spans="1:14" ht="16.8">
      <c r="A290" s="360"/>
      <c r="C290" s="361"/>
      <c r="N290" s="362"/>
    </row>
    <row r="291" spans="1:14" ht="16.8">
      <c r="A291" s="360"/>
      <c r="C291" s="361"/>
      <c r="N291" s="362"/>
    </row>
    <row r="292" spans="1:14" ht="16.8">
      <c r="A292" s="360"/>
      <c r="C292" s="361"/>
      <c r="N292" s="362"/>
    </row>
    <row r="293" spans="1:14" ht="16.8">
      <c r="A293" s="360"/>
      <c r="C293" s="361"/>
      <c r="N293" s="362"/>
    </row>
    <row r="294" spans="1:14" ht="16.8">
      <c r="A294" s="360"/>
      <c r="C294" s="361"/>
      <c r="N294" s="362"/>
    </row>
    <row r="295" spans="1:14" ht="16.8">
      <c r="A295" s="360"/>
      <c r="C295" s="361"/>
      <c r="N295" s="362"/>
    </row>
    <row r="296" spans="1:14" ht="16.8">
      <c r="A296" s="360"/>
      <c r="C296" s="361"/>
      <c r="N296" s="362"/>
    </row>
    <row r="297" spans="1:14" ht="16.8">
      <c r="A297" s="360"/>
      <c r="C297" s="361"/>
      <c r="N297" s="362"/>
    </row>
    <row r="298" spans="1:14" ht="16.8">
      <c r="A298" s="360"/>
      <c r="C298" s="361"/>
      <c r="N298" s="362"/>
    </row>
    <row r="299" spans="1:14" ht="16.8">
      <c r="A299" s="360"/>
      <c r="C299" s="361"/>
      <c r="N299" s="362"/>
    </row>
    <row r="300" spans="1:14" ht="16.8">
      <c r="A300" s="360"/>
      <c r="C300" s="361"/>
      <c r="N300" s="362"/>
    </row>
    <row r="301" spans="1:14" ht="16.8">
      <c r="A301" s="360"/>
      <c r="C301" s="361"/>
      <c r="N301" s="362"/>
    </row>
    <row r="302" spans="1:14" ht="16.8">
      <c r="A302" s="360"/>
      <c r="C302" s="361"/>
      <c r="N302" s="362"/>
    </row>
    <row r="303" spans="1:14" ht="16.8">
      <c r="A303" s="360"/>
      <c r="C303" s="361"/>
      <c r="N303" s="362"/>
    </row>
    <row r="304" spans="1:14" ht="16.8">
      <c r="A304" s="360"/>
      <c r="C304" s="361"/>
      <c r="N304" s="362"/>
    </row>
    <row r="305" spans="1:14" ht="16.8">
      <c r="A305" s="360"/>
      <c r="C305" s="361"/>
      <c r="N305" s="362"/>
    </row>
    <row r="306" spans="1:14" ht="16.8">
      <c r="A306" s="360"/>
      <c r="C306" s="361"/>
      <c r="N306" s="362"/>
    </row>
    <row r="307" spans="1:14" ht="16.8">
      <c r="A307" s="360"/>
      <c r="C307" s="361"/>
      <c r="N307" s="362"/>
    </row>
    <row r="308" spans="1:14" ht="16.8">
      <c r="A308" s="360"/>
      <c r="C308" s="361"/>
      <c r="N308" s="362"/>
    </row>
    <row r="309" spans="1:14" ht="16.8">
      <c r="A309" s="360"/>
      <c r="C309" s="361"/>
      <c r="N309" s="362"/>
    </row>
    <row r="310" spans="1:14" ht="16.8">
      <c r="A310" s="360"/>
      <c r="C310" s="361"/>
      <c r="N310" s="362"/>
    </row>
    <row r="311" spans="1:14" ht="16.8">
      <c r="A311" s="360"/>
      <c r="C311" s="361"/>
      <c r="N311" s="362"/>
    </row>
    <row r="312" spans="1:14" ht="16.8">
      <c r="A312" s="360"/>
      <c r="C312" s="361"/>
      <c r="N312" s="362"/>
    </row>
    <row r="313" spans="1:14" ht="16.8">
      <c r="A313" s="360"/>
      <c r="C313" s="361"/>
      <c r="N313" s="362"/>
    </row>
    <row r="314" spans="1:14" ht="16.8">
      <c r="A314" s="360"/>
      <c r="C314" s="361"/>
      <c r="N314" s="362"/>
    </row>
    <row r="315" spans="1:14" ht="16.8">
      <c r="A315" s="360"/>
      <c r="C315" s="361"/>
      <c r="N315" s="362"/>
    </row>
    <row r="316" spans="1:14" ht="16.8">
      <c r="A316" s="360"/>
      <c r="C316" s="361"/>
      <c r="N316" s="362"/>
    </row>
    <row r="317" spans="1:14" ht="16.8">
      <c r="A317" s="360"/>
      <c r="C317" s="361"/>
      <c r="N317" s="362"/>
    </row>
    <row r="318" spans="1:14" ht="16.8">
      <c r="A318" s="360"/>
      <c r="C318" s="361"/>
      <c r="N318" s="362"/>
    </row>
    <row r="319" spans="1:14" ht="16.8">
      <c r="A319" s="360"/>
      <c r="C319" s="361"/>
      <c r="N319" s="362"/>
    </row>
    <row r="320" spans="1:14" ht="16.8">
      <c r="A320" s="360"/>
      <c r="C320" s="361"/>
      <c r="N320" s="362"/>
    </row>
    <row r="321" spans="1:14" ht="16.8">
      <c r="A321" s="360"/>
      <c r="C321" s="361"/>
      <c r="N321" s="362"/>
    </row>
    <row r="322" spans="1:14" ht="16.8">
      <c r="A322" s="360"/>
      <c r="C322" s="361"/>
      <c r="N322" s="362"/>
    </row>
    <row r="323" spans="1:14" ht="16.8">
      <c r="A323" s="360"/>
      <c r="C323" s="361"/>
      <c r="N323" s="362"/>
    </row>
    <row r="324" spans="1:14" ht="16.8">
      <c r="A324" s="360"/>
      <c r="C324" s="361"/>
      <c r="N324" s="362"/>
    </row>
    <row r="325" spans="1:14" ht="16.8">
      <c r="A325" s="360"/>
      <c r="C325" s="361"/>
      <c r="N325" s="362"/>
    </row>
    <row r="326" spans="1:14" ht="16.8">
      <c r="A326" s="360"/>
      <c r="C326" s="361"/>
      <c r="N326" s="362"/>
    </row>
    <row r="327" spans="1:14" ht="16.8">
      <c r="A327" s="360"/>
      <c r="C327" s="361"/>
      <c r="N327" s="362"/>
    </row>
    <row r="328" spans="1:14" ht="16.8">
      <c r="A328" s="360"/>
      <c r="C328" s="361"/>
      <c r="N328" s="362"/>
    </row>
    <row r="329" spans="1:14" ht="16.8">
      <c r="A329" s="360"/>
      <c r="C329" s="361"/>
      <c r="N329" s="362"/>
    </row>
    <row r="330" spans="1:14" ht="16.8">
      <c r="A330" s="360"/>
      <c r="C330" s="361"/>
      <c r="N330" s="362"/>
    </row>
    <row r="331" spans="1:14" ht="16.8">
      <c r="A331" s="360"/>
      <c r="C331" s="361"/>
      <c r="N331" s="362"/>
    </row>
    <row r="332" spans="1:14" ht="16.8">
      <c r="A332" s="360"/>
      <c r="C332" s="361"/>
      <c r="N332" s="362"/>
    </row>
    <row r="333" spans="1:14" ht="16.8">
      <c r="A333" s="360"/>
      <c r="C333" s="361"/>
      <c r="N333" s="362"/>
    </row>
    <row r="334" spans="1:14" ht="16.8">
      <c r="A334" s="360"/>
      <c r="C334" s="361"/>
      <c r="N334" s="362"/>
    </row>
    <row r="335" spans="1:14" ht="16.8">
      <c r="A335" s="360"/>
      <c r="C335" s="361"/>
      <c r="N335" s="362"/>
    </row>
    <row r="336" spans="1:14" ht="16.8">
      <c r="A336" s="360"/>
      <c r="C336" s="361"/>
      <c r="N336" s="362"/>
    </row>
    <row r="337" spans="1:14" ht="16.8">
      <c r="A337" s="360"/>
      <c r="C337" s="361"/>
      <c r="N337" s="362"/>
    </row>
    <row r="338" spans="1:14" ht="16.8">
      <c r="A338" s="360"/>
      <c r="C338" s="361"/>
      <c r="N338" s="362"/>
    </row>
    <row r="339" spans="1:14" ht="16.8">
      <c r="A339" s="360"/>
      <c r="C339" s="361"/>
      <c r="N339" s="362"/>
    </row>
    <row r="340" spans="1:14" ht="16.8">
      <c r="A340" s="360"/>
      <c r="C340" s="361"/>
      <c r="N340" s="362"/>
    </row>
    <row r="341" spans="1:14" ht="16.8">
      <c r="A341" s="360"/>
      <c r="C341" s="361"/>
      <c r="N341" s="362"/>
    </row>
    <row r="342" spans="1:14" ht="16.8">
      <c r="A342" s="360"/>
      <c r="C342" s="361"/>
      <c r="N342" s="362"/>
    </row>
    <row r="343" spans="1:14" ht="16.8">
      <c r="A343" s="360"/>
      <c r="C343" s="361"/>
      <c r="N343" s="362"/>
    </row>
    <row r="344" spans="1:14" ht="16.8">
      <c r="A344" s="360"/>
      <c r="C344" s="361"/>
      <c r="N344" s="362"/>
    </row>
    <row r="345" spans="1:14" ht="16.8">
      <c r="A345" s="360"/>
      <c r="C345" s="361"/>
      <c r="N345" s="362"/>
    </row>
    <row r="346" spans="1:14" ht="16.8">
      <c r="A346" s="360"/>
      <c r="C346" s="361"/>
      <c r="N346" s="362"/>
    </row>
    <row r="347" spans="1:14" ht="16.8">
      <c r="A347" s="360"/>
      <c r="C347" s="361"/>
      <c r="N347" s="362"/>
    </row>
    <row r="348" spans="1:14" ht="16.8">
      <c r="A348" s="360"/>
      <c r="C348" s="361"/>
      <c r="N348" s="362"/>
    </row>
    <row r="349" spans="1:14" ht="16.8">
      <c r="A349" s="360"/>
      <c r="C349" s="361"/>
      <c r="N349" s="362"/>
    </row>
    <row r="350" spans="1:14" ht="16.8">
      <c r="A350" s="360"/>
      <c r="C350" s="361"/>
      <c r="N350" s="362"/>
    </row>
    <row r="351" spans="1:14" ht="16.8">
      <c r="A351" s="360"/>
      <c r="C351" s="361"/>
      <c r="N351" s="362"/>
    </row>
    <row r="352" spans="1:14" ht="16.8">
      <c r="A352" s="360"/>
      <c r="C352" s="361"/>
      <c r="N352" s="362"/>
    </row>
    <row r="353" spans="1:14" ht="16.8">
      <c r="A353" s="360"/>
      <c r="C353" s="361"/>
      <c r="N353" s="362"/>
    </row>
    <row r="354" spans="1:14" ht="16.8">
      <c r="A354" s="360"/>
      <c r="C354" s="361"/>
      <c r="N354" s="362"/>
    </row>
    <row r="355" spans="1:14" ht="16.8">
      <c r="A355" s="360"/>
      <c r="C355" s="361"/>
      <c r="N355" s="362"/>
    </row>
    <row r="356" spans="1:14" ht="16.8">
      <c r="A356" s="360"/>
      <c r="C356" s="361"/>
      <c r="N356" s="362"/>
    </row>
    <row r="357" spans="1:14" ht="16.8">
      <c r="A357" s="360"/>
      <c r="C357" s="361"/>
      <c r="N357" s="362"/>
    </row>
    <row r="358" spans="1:14" ht="16.8">
      <c r="A358" s="360"/>
      <c r="C358" s="361"/>
      <c r="N358" s="362"/>
    </row>
    <row r="359" spans="1:14" ht="16.8">
      <c r="A359" s="360"/>
      <c r="C359" s="361"/>
      <c r="N359" s="362"/>
    </row>
    <row r="360" spans="1:14" ht="16.8">
      <c r="A360" s="360"/>
      <c r="C360" s="361"/>
      <c r="N360" s="362"/>
    </row>
    <row r="361" spans="1:14" ht="16.8">
      <c r="A361" s="360"/>
      <c r="C361" s="361"/>
      <c r="N361" s="362"/>
    </row>
    <row r="362" spans="1:14" ht="16.8">
      <c r="A362" s="360"/>
      <c r="C362" s="361"/>
      <c r="N362" s="362"/>
    </row>
    <row r="363" spans="1:14" ht="16.8">
      <c r="A363" s="360"/>
      <c r="C363" s="361"/>
      <c r="N363" s="362"/>
    </row>
    <row r="364" spans="1:14" ht="16.8">
      <c r="A364" s="360"/>
      <c r="C364" s="361"/>
      <c r="N364" s="362"/>
    </row>
    <row r="365" spans="1:14" ht="16.8">
      <c r="A365" s="360"/>
      <c r="C365" s="361"/>
      <c r="N365" s="362"/>
    </row>
    <row r="366" spans="1:14" ht="16.8">
      <c r="A366" s="360"/>
      <c r="C366" s="361"/>
      <c r="N366" s="362"/>
    </row>
    <row r="367" spans="1:14" ht="16.8">
      <c r="A367" s="360"/>
      <c r="C367" s="361"/>
      <c r="N367" s="362"/>
    </row>
    <row r="368" spans="1:14" ht="16.8">
      <c r="A368" s="360"/>
      <c r="C368" s="361"/>
      <c r="N368" s="362"/>
    </row>
    <row r="369" spans="1:14" ht="16.8">
      <c r="A369" s="360"/>
      <c r="C369" s="361"/>
      <c r="N369" s="362"/>
    </row>
    <row r="370" spans="1:14" ht="16.8">
      <c r="A370" s="360"/>
      <c r="C370" s="361"/>
      <c r="N370" s="362"/>
    </row>
    <row r="371" spans="1:14" ht="16.8">
      <c r="A371" s="360"/>
      <c r="C371" s="361"/>
      <c r="N371" s="362"/>
    </row>
    <row r="372" spans="1:14" ht="16.8">
      <c r="A372" s="360"/>
      <c r="C372" s="361"/>
      <c r="N372" s="362"/>
    </row>
    <row r="373" spans="1:14" ht="16.8">
      <c r="A373" s="360"/>
      <c r="C373" s="361"/>
      <c r="N373" s="362"/>
    </row>
    <row r="374" spans="1:14" ht="16.8">
      <c r="A374" s="360"/>
      <c r="C374" s="361"/>
      <c r="N374" s="362"/>
    </row>
    <row r="375" spans="1:14" ht="16.8">
      <c r="A375" s="360"/>
      <c r="C375" s="361"/>
      <c r="N375" s="362"/>
    </row>
    <row r="376" spans="1:14" ht="16.8">
      <c r="A376" s="360"/>
      <c r="C376" s="361"/>
      <c r="N376" s="362"/>
    </row>
    <row r="377" spans="1:14" ht="16.8">
      <c r="A377" s="360"/>
      <c r="C377" s="361"/>
      <c r="N377" s="362"/>
    </row>
    <row r="378" spans="1:14" ht="16.8">
      <c r="A378" s="360"/>
      <c r="C378" s="361"/>
      <c r="N378" s="362"/>
    </row>
    <row r="379" spans="1:14" ht="16.8">
      <c r="A379" s="360"/>
      <c r="C379" s="361"/>
      <c r="N379" s="362"/>
    </row>
    <row r="380" spans="1:14" ht="16.8">
      <c r="A380" s="360"/>
      <c r="C380" s="361"/>
      <c r="N380" s="362"/>
    </row>
    <row r="381" spans="1:14" ht="16.8">
      <c r="A381" s="360"/>
      <c r="C381" s="361"/>
      <c r="N381" s="362"/>
    </row>
    <row r="382" spans="1:14" ht="16.8">
      <c r="A382" s="360"/>
      <c r="C382" s="361"/>
      <c r="N382" s="362"/>
    </row>
    <row r="383" spans="1:14" ht="16.8">
      <c r="A383" s="360"/>
      <c r="C383" s="361"/>
      <c r="N383" s="362"/>
    </row>
    <row r="384" spans="1:14" ht="16.8">
      <c r="A384" s="360"/>
      <c r="C384" s="361"/>
      <c r="N384" s="362"/>
    </row>
    <row r="385" spans="1:14" ht="16.8">
      <c r="A385" s="360"/>
      <c r="C385" s="361"/>
      <c r="N385" s="362"/>
    </row>
    <row r="386" spans="1:14" ht="16.8">
      <c r="A386" s="360"/>
      <c r="C386" s="361"/>
      <c r="N386" s="362"/>
    </row>
    <row r="387" spans="1:14" ht="16.8">
      <c r="A387" s="360"/>
      <c r="C387" s="361"/>
      <c r="N387" s="362"/>
    </row>
    <row r="388" spans="1:14" ht="16.8">
      <c r="A388" s="360"/>
      <c r="C388" s="361"/>
      <c r="N388" s="362"/>
    </row>
    <row r="389" spans="1:14" ht="16.8">
      <c r="A389" s="360"/>
      <c r="C389" s="361"/>
      <c r="N389" s="362"/>
    </row>
    <row r="390" spans="1:14" ht="16.8">
      <c r="A390" s="360"/>
      <c r="C390" s="361"/>
      <c r="N390" s="362"/>
    </row>
    <row r="391" spans="1:14" ht="16.8">
      <c r="A391" s="360"/>
      <c r="C391" s="361"/>
      <c r="N391" s="362"/>
    </row>
    <row r="392" spans="1:14" ht="16.8">
      <c r="A392" s="360"/>
      <c r="C392" s="361"/>
      <c r="N392" s="362"/>
    </row>
    <row r="393" spans="1:14" ht="16.8">
      <c r="A393" s="360"/>
      <c r="C393" s="361"/>
      <c r="N393" s="362"/>
    </row>
    <row r="394" spans="1:14" ht="16.8">
      <c r="A394" s="360"/>
      <c r="C394" s="361"/>
      <c r="N394" s="362"/>
    </row>
    <row r="395" spans="1:14" ht="16.8">
      <c r="A395" s="360"/>
      <c r="C395" s="361"/>
      <c r="N395" s="362"/>
    </row>
    <row r="396" spans="1:14" ht="16.8">
      <c r="A396" s="360"/>
      <c r="C396" s="361"/>
      <c r="N396" s="362"/>
    </row>
    <row r="397" spans="1:14" ht="16.8">
      <c r="A397" s="360"/>
      <c r="C397" s="361"/>
      <c r="N397" s="362"/>
    </row>
    <row r="398" spans="1:14" ht="16.8">
      <c r="A398" s="360"/>
      <c r="C398" s="361"/>
      <c r="N398" s="362"/>
    </row>
    <row r="399" spans="1:14" ht="16.8">
      <c r="A399" s="360"/>
      <c r="C399" s="361"/>
      <c r="N399" s="362"/>
    </row>
    <row r="400" spans="1:14" ht="16.8">
      <c r="A400" s="360"/>
      <c r="C400" s="361"/>
      <c r="N400" s="362"/>
    </row>
    <row r="401" spans="1:14" ht="16.8">
      <c r="A401" s="360"/>
      <c r="C401" s="361"/>
      <c r="N401" s="362"/>
    </row>
    <row r="402" spans="1:14" ht="16.8">
      <c r="A402" s="360"/>
      <c r="C402" s="361"/>
      <c r="N402" s="362"/>
    </row>
    <row r="403" spans="1:14" ht="16.8">
      <c r="A403" s="360"/>
      <c r="C403" s="361"/>
      <c r="N403" s="362"/>
    </row>
    <row r="404" spans="1:14" ht="16.8">
      <c r="A404" s="360"/>
      <c r="C404" s="361"/>
      <c r="N404" s="362"/>
    </row>
    <row r="405" spans="1:14" ht="16.8">
      <c r="A405" s="360"/>
      <c r="C405" s="361"/>
      <c r="N405" s="362"/>
    </row>
    <row r="406" spans="1:14" ht="16.8">
      <c r="A406" s="360"/>
      <c r="C406" s="361"/>
      <c r="N406" s="362"/>
    </row>
    <row r="407" spans="1:14" ht="16.8">
      <c r="A407" s="360"/>
      <c r="C407" s="361"/>
      <c r="N407" s="362"/>
    </row>
    <row r="408" spans="1:14" ht="16.8">
      <c r="A408" s="360"/>
      <c r="C408" s="361"/>
      <c r="N408" s="362"/>
    </row>
    <row r="409" spans="1:14" ht="16.8">
      <c r="A409" s="360"/>
      <c r="C409" s="361"/>
      <c r="N409" s="362"/>
    </row>
    <row r="410" spans="1:14" ht="16.8">
      <c r="A410" s="360"/>
      <c r="C410" s="361"/>
      <c r="N410" s="362"/>
    </row>
    <row r="411" spans="1:14" ht="16.8">
      <c r="A411" s="360"/>
      <c r="C411" s="361"/>
      <c r="N411" s="362"/>
    </row>
    <row r="412" spans="1:14" ht="16.8">
      <c r="A412" s="360"/>
      <c r="C412" s="361"/>
      <c r="N412" s="362"/>
    </row>
    <row r="413" spans="1:14" ht="16.8">
      <c r="A413" s="360"/>
      <c r="C413" s="361"/>
      <c r="N413" s="362"/>
    </row>
    <row r="414" spans="1:14" ht="16.8">
      <c r="A414" s="360"/>
      <c r="C414" s="361"/>
      <c r="N414" s="362"/>
    </row>
    <row r="415" spans="1:14" ht="16.8">
      <c r="A415" s="360"/>
      <c r="C415" s="361"/>
      <c r="N415" s="362"/>
    </row>
    <row r="416" spans="1:14" ht="16.8">
      <c r="A416" s="360"/>
      <c r="C416" s="361"/>
      <c r="N416" s="362"/>
    </row>
    <row r="417" spans="1:14" ht="16.8">
      <c r="A417" s="360"/>
      <c r="C417" s="361"/>
      <c r="N417" s="362"/>
    </row>
    <row r="418" spans="1:14" ht="16.8">
      <c r="A418" s="360"/>
      <c r="C418" s="361"/>
      <c r="N418" s="362"/>
    </row>
    <row r="419" spans="1:14" ht="16.8">
      <c r="A419" s="360"/>
      <c r="C419" s="361"/>
      <c r="N419" s="362"/>
    </row>
    <row r="420" spans="1:14" ht="16.8">
      <c r="A420" s="360"/>
      <c r="C420" s="361"/>
      <c r="N420" s="362"/>
    </row>
    <row r="421" spans="1:14" ht="16.8">
      <c r="A421" s="360"/>
      <c r="C421" s="361"/>
      <c r="N421" s="362"/>
    </row>
    <row r="422" spans="1:14" ht="16.8">
      <c r="A422" s="360"/>
      <c r="C422" s="361"/>
      <c r="N422" s="362"/>
    </row>
    <row r="423" spans="1:14" ht="16.8">
      <c r="A423" s="360"/>
      <c r="C423" s="361"/>
      <c r="N423" s="362"/>
    </row>
    <row r="424" spans="1:14" ht="16.8">
      <c r="A424" s="360"/>
      <c r="C424" s="361"/>
      <c r="N424" s="362"/>
    </row>
    <row r="425" spans="1:14" ht="16.8">
      <c r="A425" s="360"/>
      <c r="C425" s="361"/>
      <c r="N425" s="362"/>
    </row>
    <row r="426" spans="1:14" ht="16.8">
      <c r="A426" s="360"/>
      <c r="C426" s="361"/>
      <c r="N426" s="362"/>
    </row>
    <row r="427" spans="1:14" ht="16.8">
      <c r="A427" s="360"/>
      <c r="C427" s="361"/>
      <c r="N427" s="362"/>
    </row>
    <row r="428" spans="1:14" ht="16.8">
      <c r="A428" s="360"/>
      <c r="C428" s="361"/>
      <c r="N428" s="362"/>
    </row>
    <row r="429" spans="1:14" ht="16.8">
      <c r="A429" s="360"/>
      <c r="C429" s="361"/>
      <c r="N429" s="362"/>
    </row>
    <row r="430" spans="1:14" ht="16.8">
      <c r="A430" s="360"/>
      <c r="C430" s="361"/>
      <c r="N430" s="362"/>
    </row>
    <row r="431" spans="1:14" ht="16.8">
      <c r="A431" s="360"/>
      <c r="C431" s="361"/>
      <c r="N431" s="362"/>
    </row>
    <row r="432" spans="1:14" ht="16.8">
      <c r="A432" s="360"/>
      <c r="C432" s="361"/>
      <c r="N432" s="362"/>
    </row>
    <row r="433" spans="1:14" ht="16.8">
      <c r="A433" s="360"/>
      <c r="C433" s="361"/>
      <c r="N433" s="362"/>
    </row>
    <row r="434" spans="1:14" ht="16.8">
      <c r="A434" s="360"/>
      <c r="C434" s="361"/>
      <c r="N434" s="362"/>
    </row>
    <row r="435" spans="1:14" ht="16.8">
      <c r="A435" s="360"/>
      <c r="C435" s="361"/>
      <c r="N435" s="362"/>
    </row>
    <row r="436" spans="1:14" ht="16.8">
      <c r="A436" s="360"/>
      <c r="C436" s="361"/>
      <c r="N436" s="362"/>
    </row>
    <row r="437" spans="1:14" ht="16.8">
      <c r="A437" s="360"/>
      <c r="C437" s="361"/>
      <c r="N437" s="362"/>
    </row>
    <row r="438" spans="1:14" ht="16.8">
      <c r="A438" s="360"/>
      <c r="C438" s="361"/>
      <c r="N438" s="362"/>
    </row>
    <row r="439" spans="1:14" ht="16.8">
      <c r="A439" s="360"/>
      <c r="C439" s="361"/>
      <c r="N439" s="362"/>
    </row>
    <row r="440" spans="1:14" ht="16.8">
      <c r="A440" s="360"/>
      <c r="C440" s="361"/>
      <c r="N440" s="362"/>
    </row>
    <row r="441" spans="1:14" ht="16.8">
      <c r="A441" s="360"/>
      <c r="C441" s="361"/>
      <c r="N441" s="362"/>
    </row>
    <row r="442" spans="1:14" ht="16.8">
      <c r="A442" s="360"/>
      <c r="C442" s="361"/>
      <c r="N442" s="362"/>
    </row>
    <row r="443" spans="1:14" ht="16.8">
      <c r="A443" s="360"/>
      <c r="C443" s="361"/>
      <c r="N443" s="362"/>
    </row>
    <row r="444" spans="1:14" ht="16.8">
      <c r="A444" s="360"/>
      <c r="C444" s="361"/>
      <c r="N444" s="362"/>
    </row>
    <row r="445" spans="1:14" ht="16.8">
      <c r="A445" s="360"/>
      <c r="C445" s="361"/>
      <c r="N445" s="362"/>
    </row>
    <row r="446" spans="1:14" ht="16.8">
      <c r="A446" s="360"/>
      <c r="C446" s="361"/>
      <c r="N446" s="362"/>
    </row>
    <row r="447" spans="1:14" ht="16.8">
      <c r="A447" s="360"/>
      <c r="C447" s="361"/>
      <c r="N447" s="362"/>
    </row>
    <row r="448" spans="1:14" ht="16.8">
      <c r="A448" s="360"/>
      <c r="C448" s="361"/>
      <c r="N448" s="362"/>
    </row>
    <row r="449" spans="1:14" ht="16.8">
      <c r="A449" s="360"/>
      <c r="C449" s="361"/>
      <c r="N449" s="362"/>
    </row>
    <row r="450" spans="1:14" ht="16.8">
      <c r="A450" s="360"/>
      <c r="C450" s="361"/>
      <c r="N450" s="362"/>
    </row>
    <row r="451" spans="1:14" ht="16.8">
      <c r="A451" s="360"/>
      <c r="C451" s="361"/>
      <c r="N451" s="362"/>
    </row>
    <row r="452" spans="1:14" ht="16.8">
      <c r="A452" s="360"/>
      <c r="C452" s="361"/>
      <c r="N452" s="362"/>
    </row>
    <row r="453" spans="1:14" ht="16.8">
      <c r="A453" s="360"/>
      <c r="C453" s="361"/>
      <c r="N453" s="362"/>
    </row>
    <row r="454" spans="1:14" ht="16.8">
      <c r="A454" s="360"/>
      <c r="C454" s="361"/>
      <c r="N454" s="362"/>
    </row>
    <row r="455" spans="1:14" ht="16.8">
      <c r="A455" s="360"/>
      <c r="C455" s="361"/>
      <c r="N455" s="362"/>
    </row>
    <row r="456" spans="1:14" ht="16.8">
      <c r="A456" s="360"/>
      <c r="C456" s="361"/>
      <c r="N456" s="362"/>
    </row>
    <row r="457" spans="1:14" ht="16.8">
      <c r="A457" s="360"/>
      <c r="C457" s="361"/>
      <c r="N457" s="362"/>
    </row>
    <row r="458" spans="1:14" ht="16.8">
      <c r="A458" s="360"/>
      <c r="C458" s="361"/>
      <c r="N458" s="362"/>
    </row>
    <row r="459" spans="1:14" ht="16.8">
      <c r="A459" s="360"/>
      <c r="C459" s="361"/>
      <c r="N459" s="362"/>
    </row>
    <row r="460" spans="1:14" ht="16.8">
      <c r="A460" s="360"/>
      <c r="C460" s="361"/>
      <c r="N460" s="362"/>
    </row>
    <row r="461" spans="1:14" ht="16.8">
      <c r="A461" s="360"/>
      <c r="C461" s="361"/>
      <c r="N461" s="362"/>
    </row>
    <row r="462" spans="1:14" ht="16.8">
      <c r="A462" s="360"/>
      <c r="C462" s="361"/>
      <c r="N462" s="362"/>
    </row>
    <row r="463" spans="1:14" ht="16.8">
      <c r="A463" s="360"/>
      <c r="C463" s="361"/>
      <c r="N463" s="362"/>
    </row>
    <row r="464" spans="1:14" ht="16.8">
      <c r="A464" s="360"/>
      <c r="C464" s="361"/>
      <c r="N464" s="362"/>
    </row>
    <row r="465" spans="1:14" ht="16.8">
      <c r="A465" s="360"/>
      <c r="C465" s="361"/>
      <c r="N465" s="362"/>
    </row>
    <row r="466" spans="1:14" ht="16.8">
      <c r="A466" s="360"/>
      <c r="C466" s="361"/>
      <c r="N466" s="362"/>
    </row>
    <row r="467" spans="1:14" ht="16.8">
      <c r="A467" s="360"/>
      <c r="C467" s="361"/>
      <c r="N467" s="362"/>
    </row>
    <row r="468" spans="1:14" ht="16.8">
      <c r="A468" s="360"/>
      <c r="C468" s="361"/>
      <c r="N468" s="362"/>
    </row>
    <row r="469" spans="1:14" ht="16.8">
      <c r="A469" s="360"/>
      <c r="C469" s="361"/>
      <c r="N469" s="362"/>
    </row>
    <row r="470" spans="1:14" ht="16.8">
      <c r="A470" s="360"/>
      <c r="C470" s="361"/>
      <c r="N470" s="362"/>
    </row>
    <row r="471" spans="1:14" ht="16.8">
      <c r="A471" s="360"/>
      <c r="C471" s="361"/>
      <c r="N471" s="362"/>
    </row>
    <row r="472" spans="1:14" ht="16.8">
      <c r="A472" s="360"/>
      <c r="C472" s="361"/>
      <c r="N472" s="362"/>
    </row>
    <row r="473" spans="1:14" ht="16.8">
      <c r="A473" s="360"/>
      <c r="C473" s="361"/>
      <c r="N473" s="362"/>
    </row>
    <row r="474" spans="1:14" ht="16.8">
      <c r="A474" s="360"/>
      <c r="C474" s="361"/>
      <c r="N474" s="362"/>
    </row>
    <row r="475" spans="1:14" ht="16.8">
      <c r="A475" s="360"/>
      <c r="C475" s="361"/>
      <c r="N475" s="362"/>
    </row>
    <row r="476" spans="1:14" ht="16.8">
      <c r="A476" s="360"/>
      <c r="C476" s="361"/>
      <c r="N476" s="362"/>
    </row>
    <row r="477" spans="1:14" ht="16.8">
      <c r="A477" s="360"/>
      <c r="C477" s="361"/>
      <c r="N477" s="362"/>
    </row>
    <row r="478" spans="1:14" ht="16.8">
      <c r="A478" s="360"/>
      <c r="C478" s="361"/>
      <c r="N478" s="362"/>
    </row>
    <row r="479" spans="1:14" ht="16.8">
      <c r="A479" s="360"/>
      <c r="C479" s="361"/>
      <c r="N479" s="362"/>
    </row>
    <row r="480" spans="1:14" ht="16.8">
      <c r="A480" s="360"/>
      <c r="C480" s="361"/>
      <c r="N480" s="362"/>
    </row>
    <row r="481" spans="1:14" ht="16.8">
      <c r="A481" s="360"/>
      <c r="C481" s="361"/>
      <c r="N481" s="362"/>
    </row>
    <row r="482" spans="1:14" ht="16.8">
      <c r="A482" s="360"/>
      <c r="C482" s="361"/>
      <c r="N482" s="362"/>
    </row>
    <row r="483" spans="1:14" ht="16.8">
      <c r="A483" s="360"/>
      <c r="C483" s="361"/>
      <c r="N483" s="362"/>
    </row>
    <row r="484" spans="1:14" ht="16.8">
      <c r="A484" s="360"/>
      <c r="C484" s="361"/>
      <c r="N484" s="362"/>
    </row>
    <row r="485" spans="1:14" ht="16.8">
      <c r="A485" s="360"/>
      <c r="C485" s="361"/>
      <c r="N485" s="362"/>
    </row>
    <row r="486" spans="1:14" ht="16.8">
      <c r="A486" s="360"/>
      <c r="C486" s="361"/>
      <c r="N486" s="362"/>
    </row>
    <row r="487" spans="1:14" ht="16.8">
      <c r="A487" s="360"/>
      <c r="C487" s="361"/>
      <c r="N487" s="362"/>
    </row>
    <row r="488" spans="1:14" ht="16.8">
      <c r="A488" s="360"/>
      <c r="C488" s="361"/>
      <c r="N488" s="362"/>
    </row>
    <row r="489" spans="1:14" ht="16.8">
      <c r="A489" s="360"/>
      <c r="C489" s="361"/>
      <c r="N489" s="362"/>
    </row>
    <row r="490" spans="1:14" ht="16.8">
      <c r="A490" s="360"/>
      <c r="C490" s="361"/>
      <c r="N490" s="362"/>
    </row>
    <row r="491" spans="1:14" ht="16.8">
      <c r="A491" s="360"/>
      <c r="C491" s="361"/>
      <c r="N491" s="362"/>
    </row>
    <row r="492" spans="1:14" ht="16.8">
      <c r="A492" s="360"/>
      <c r="C492" s="361"/>
      <c r="N492" s="362"/>
    </row>
    <row r="493" spans="1:14" ht="16.8">
      <c r="A493" s="360"/>
      <c r="C493" s="361"/>
      <c r="N493" s="362"/>
    </row>
    <row r="494" spans="1:14" ht="16.8">
      <c r="A494" s="360"/>
      <c r="C494" s="361"/>
      <c r="N494" s="362"/>
    </row>
    <row r="495" spans="1:14" ht="16.8">
      <c r="A495" s="360"/>
      <c r="C495" s="361"/>
      <c r="N495" s="362"/>
    </row>
    <row r="496" spans="1:14" ht="16.8">
      <c r="A496" s="360"/>
      <c r="C496" s="361"/>
      <c r="N496" s="362"/>
    </row>
    <row r="497" spans="1:14" ht="16.8">
      <c r="A497" s="360"/>
      <c r="C497" s="361"/>
      <c r="N497" s="362"/>
    </row>
    <row r="498" spans="1:14" ht="16.8">
      <c r="A498" s="360"/>
      <c r="C498" s="361"/>
      <c r="N498" s="362"/>
    </row>
    <row r="499" spans="1:14" ht="16.8">
      <c r="A499" s="360"/>
      <c r="C499" s="361"/>
      <c r="N499" s="362"/>
    </row>
    <row r="500" spans="1:14" ht="16.8">
      <c r="A500" s="360"/>
      <c r="C500" s="361"/>
      <c r="N500" s="362"/>
    </row>
    <row r="501" spans="1:14" ht="16.8">
      <c r="A501" s="360"/>
      <c r="C501" s="361"/>
      <c r="N501" s="362"/>
    </row>
    <row r="502" spans="1:14" ht="16.8">
      <c r="A502" s="360"/>
      <c r="C502" s="361"/>
      <c r="N502" s="362"/>
    </row>
    <row r="503" spans="1:14" ht="16.8">
      <c r="A503" s="360"/>
      <c r="C503" s="361"/>
      <c r="N503" s="362"/>
    </row>
    <row r="504" spans="1:14" ht="16.8">
      <c r="A504" s="360"/>
      <c r="C504" s="361"/>
      <c r="N504" s="362"/>
    </row>
    <row r="505" spans="1:14" ht="16.8">
      <c r="A505" s="360"/>
      <c r="C505" s="361"/>
      <c r="N505" s="362"/>
    </row>
    <row r="506" spans="1:14" ht="16.8">
      <c r="A506" s="360"/>
      <c r="C506" s="361"/>
      <c r="N506" s="362"/>
    </row>
    <row r="507" spans="1:14" ht="16.8">
      <c r="A507" s="360"/>
      <c r="C507" s="361"/>
      <c r="N507" s="362"/>
    </row>
    <row r="508" spans="1:14" ht="16.8">
      <c r="A508" s="360"/>
      <c r="C508" s="361"/>
      <c r="N508" s="362"/>
    </row>
    <row r="509" spans="1:14" ht="16.8">
      <c r="A509" s="360"/>
      <c r="C509" s="361"/>
      <c r="N509" s="362"/>
    </row>
    <row r="510" spans="1:14" ht="16.8">
      <c r="A510" s="360"/>
      <c r="C510" s="361"/>
      <c r="N510" s="362"/>
    </row>
    <row r="511" spans="1:14" ht="16.8">
      <c r="A511" s="360"/>
      <c r="C511" s="361"/>
      <c r="N511" s="362"/>
    </row>
    <row r="512" spans="1:14" ht="16.8">
      <c r="A512" s="360"/>
      <c r="C512" s="361"/>
      <c r="N512" s="362"/>
    </row>
    <row r="513" spans="1:14" ht="16.8">
      <c r="A513" s="360"/>
      <c r="C513" s="361"/>
      <c r="N513" s="362"/>
    </row>
    <row r="514" spans="1:14" ht="16.8">
      <c r="A514" s="360"/>
      <c r="C514" s="361"/>
      <c r="N514" s="362"/>
    </row>
    <row r="515" spans="1:14" ht="16.8">
      <c r="A515" s="360"/>
      <c r="C515" s="361"/>
      <c r="N515" s="362"/>
    </row>
    <row r="516" spans="1:14" ht="16.8">
      <c r="A516" s="360"/>
      <c r="C516" s="361"/>
      <c r="N516" s="362"/>
    </row>
    <row r="517" spans="1:14" ht="16.8">
      <c r="A517" s="360"/>
      <c r="C517" s="361"/>
      <c r="N517" s="362"/>
    </row>
    <row r="518" spans="1:14" ht="16.8">
      <c r="A518" s="360"/>
      <c r="C518" s="361"/>
      <c r="N518" s="362"/>
    </row>
    <row r="519" spans="1:14" ht="16.8">
      <c r="A519" s="360"/>
      <c r="C519" s="361"/>
      <c r="N519" s="362"/>
    </row>
    <row r="520" spans="1:14" ht="16.8">
      <c r="A520" s="360"/>
      <c r="C520" s="361"/>
      <c r="N520" s="362"/>
    </row>
    <row r="521" spans="1:14" ht="16.8">
      <c r="A521" s="360"/>
      <c r="C521" s="361"/>
      <c r="N521" s="362"/>
    </row>
    <row r="522" spans="1:14" ht="16.8">
      <c r="A522" s="360"/>
      <c r="C522" s="361"/>
      <c r="N522" s="362"/>
    </row>
    <row r="523" spans="1:14" ht="16.8">
      <c r="A523" s="360"/>
      <c r="C523" s="361"/>
      <c r="N523" s="362"/>
    </row>
    <row r="524" spans="1:14" ht="16.8">
      <c r="A524" s="360"/>
      <c r="C524" s="361"/>
      <c r="N524" s="362"/>
    </row>
    <row r="525" spans="1:14" ht="16.8">
      <c r="A525" s="360"/>
      <c r="C525" s="361"/>
      <c r="N525" s="362"/>
    </row>
    <row r="526" spans="1:14" ht="16.8">
      <c r="A526" s="360"/>
      <c r="C526" s="361"/>
      <c r="N526" s="362"/>
    </row>
    <row r="527" spans="1:14" ht="16.8">
      <c r="A527" s="360"/>
      <c r="C527" s="361"/>
      <c r="N527" s="362"/>
    </row>
    <row r="528" spans="1:14" ht="16.8">
      <c r="A528" s="360"/>
      <c r="C528" s="361"/>
      <c r="N528" s="362"/>
    </row>
    <row r="529" spans="1:14" ht="16.8">
      <c r="A529" s="360"/>
      <c r="C529" s="361"/>
      <c r="N529" s="362"/>
    </row>
    <row r="530" spans="1:14" ht="16.8">
      <c r="A530" s="360"/>
      <c r="C530" s="361"/>
      <c r="N530" s="362"/>
    </row>
    <row r="531" spans="1:14" ht="16.8">
      <c r="A531" s="360"/>
      <c r="C531" s="361"/>
      <c r="N531" s="362"/>
    </row>
    <row r="532" spans="1:14" ht="16.8">
      <c r="A532" s="360"/>
      <c r="C532" s="361"/>
      <c r="N532" s="362"/>
    </row>
    <row r="533" spans="1:14" ht="16.8">
      <c r="A533" s="360"/>
      <c r="C533" s="361"/>
      <c r="N533" s="362"/>
    </row>
    <row r="534" spans="1:14" ht="16.8">
      <c r="A534" s="360"/>
      <c r="C534" s="361"/>
      <c r="N534" s="362"/>
    </row>
    <row r="535" spans="1:14" ht="16.8">
      <c r="A535" s="360"/>
      <c r="C535" s="361"/>
      <c r="N535" s="362"/>
    </row>
    <row r="536" spans="1:14" ht="16.8">
      <c r="A536" s="360"/>
      <c r="C536" s="361"/>
      <c r="N536" s="362"/>
    </row>
    <row r="537" spans="1:14" ht="16.8">
      <c r="A537" s="360"/>
      <c r="C537" s="361"/>
      <c r="N537" s="362"/>
    </row>
    <row r="538" spans="1:14" ht="16.8">
      <c r="A538" s="360"/>
      <c r="C538" s="361"/>
      <c r="N538" s="362"/>
    </row>
    <row r="539" spans="1:14" ht="16.8">
      <c r="A539" s="360"/>
      <c r="C539" s="361"/>
      <c r="N539" s="362"/>
    </row>
    <row r="540" spans="1:14" ht="16.8">
      <c r="A540" s="360"/>
      <c r="C540" s="361"/>
      <c r="N540" s="362"/>
    </row>
    <row r="541" spans="1:14" ht="16.8">
      <c r="A541" s="360"/>
      <c r="C541" s="361"/>
      <c r="N541" s="362"/>
    </row>
    <row r="542" spans="1:14" ht="16.8">
      <c r="A542" s="360"/>
      <c r="C542" s="361"/>
      <c r="N542" s="362"/>
    </row>
    <row r="543" spans="1:14" ht="16.8">
      <c r="A543" s="360"/>
      <c r="C543" s="361"/>
      <c r="N543" s="362"/>
    </row>
    <row r="544" spans="1:14" ht="16.8">
      <c r="A544" s="360"/>
      <c r="C544" s="361"/>
      <c r="N544" s="362"/>
    </row>
    <row r="545" spans="1:14" ht="16.8">
      <c r="A545" s="360"/>
      <c r="C545" s="361"/>
      <c r="N545" s="362"/>
    </row>
    <row r="546" spans="1:14" ht="16.8">
      <c r="A546" s="360"/>
      <c r="C546" s="361"/>
      <c r="N546" s="362"/>
    </row>
    <row r="547" spans="1:14" ht="16.8">
      <c r="A547" s="360"/>
      <c r="C547" s="361"/>
      <c r="N547" s="362"/>
    </row>
    <row r="548" spans="1:14" ht="16.8">
      <c r="A548" s="360"/>
      <c r="C548" s="361"/>
      <c r="N548" s="362"/>
    </row>
    <row r="549" spans="1:14" ht="16.8">
      <c r="A549" s="360"/>
      <c r="C549" s="361"/>
      <c r="N549" s="362"/>
    </row>
    <row r="550" spans="1:14" ht="16.8">
      <c r="A550" s="360"/>
      <c r="C550" s="361"/>
      <c r="N550" s="362"/>
    </row>
    <row r="551" spans="1:14" ht="16.8">
      <c r="A551" s="360"/>
      <c r="C551" s="361"/>
      <c r="N551" s="362"/>
    </row>
    <row r="552" spans="1:14" ht="16.8">
      <c r="A552" s="360"/>
      <c r="C552" s="361"/>
      <c r="N552" s="362"/>
    </row>
    <row r="553" spans="1:14" ht="16.8">
      <c r="A553" s="360"/>
      <c r="C553" s="361"/>
      <c r="N553" s="362"/>
    </row>
    <row r="554" spans="1:14" ht="16.8">
      <c r="A554" s="360"/>
      <c r="C554" s="361"/>
      <c r="N554" s="362"/>
    </row>
    <row r="555" spans="1:14" ht="16.8">
      <c r="A555" s="360"/>
      <c r="C555" s="361"/>
      <c r="N555" s="362"/>
    </row>
    <row r="556" spans="1:14" ht="16.8">
      <c r="A556" s="360"/>
      <c r="C556" s="361"/>
      <c r="N556" s="362"/>
    </row>
    <row r="557" spans="1:14" ht="16.8">
      <c r="A557" s="360"/>
      <c r="C557" s="361"/>
      <c r="N557" s="362"/>
    </row>
    <row r="558" spans="1:14" ht="16.8">
      <c r="A558" s="360"/>
      <c r="C558" s="361"/>
      <c r="N558" s="362"/>
    </row>
    <row r="559" spans="1:14" ht="16.8">
      <c r="A559" s="360"/>
      <c r="C559" s="361"/>
      <c r="N559" s="362"/>
    </row>
    <row r="560" spans="1:14" ht="16.8">
      <c r="A560" s="360"/>
      <c r="C560" s="361"/>
      <c r="N560" s="362"/>
    </row>
    <row r="561" spans="1:14" ht="16.8">
      <c r="A561" s="360"/>
      <c r="C561" s="361"/>
      <c r="N561" s="362"/>
    </row>
    <row r="562" spans="1:14" ht="16.8">
      <c r="A562" s="360"/>
      <c r="C562" s="361"/>
      <c r="N562" s="362"/>
    </row>
    <row r="563" spans="1:14" ht="16.8">
      <c r="A563" s="360"/>
      <c r="C563" s="361"/>
      <c r="N563" s="362"/>
    </row>
    <row r="564" spans="1:14" ht="16.8">
      <c r="A564" s="360"/>
      <c r="C564" s="361"/>
      <c r="N564" s="362"/>
    </row>
    <row r="565" spans="1:14" ht="16.8">
      <c r="A565" s="360"/>
      <c r="C565" s="361"/>
      <c r="N565" s="362"/>
    </row>
    <row r="566" spans="1:14" ht="16.8">
      <c r="A566" s="360"/>
      <c r="C566" s="361"/>
      <c r="N566" s="362"/>
    </row>
    <row r="567" spans="1:14" ht="16.8">
      <c r="A567" s="360"/>
      <c r="C567" s="361"/>
      <c r="N567" s="362"/>
    </row>
    <row r="568" spans="1:14" ht="16.8">
      <c r="A568" s="360"/>
      <c r="C568" s="361"/>
      <c r="N568" s="362"/>
    </row>
    <row r="569" spans="1:14" ht="16.8">
      <c r="A569" s="360"/>
      <c r="C569" s="361"/>
      <c r="N569" s="362"/>
    </row>
    <row r="570" spans="1:14" ht="16.8">
      <c r="A570" s="360"/>
      <c r="C570" s="361"/>
      <c r="N570" s="362"/>
    </row>
    <row r="571" spans="1:14" ht="16.8">
      <c r="A571" s="360"/>
      <c r="C571" s="361"/>
      <c r="N571" s="362"/>
    </row>
    <row r="572" spans="1:14" ht="16.8">
      <c r="A572" s="360"/>
      <c r="C572" s="361"/>
      <c r="N572" s="362"/>
    </row>
    <row r="573" spans="1:14" ht="16.8">
      <c r="A573" s="360"/>
      <c r="C573" s="361"/>
      <c r="N573" s="362"/>
    </row>
    <row r="574" spans="1:14" ht="16.8">
      <c r="A574" s="360"/>
      <c r="C574" s="361"/>
      <c r="N574" s="362"/>
    </row>
    <row r="575" spans="1:14" ht="16.8">
      <c r="A575" s="360"/>
      <c r="C575" s="361"/>
      <c r="N575" s="362"/>
    </row>
    <row r="576" spans="1:14" ht="16.8">
      <c r="A576" s="360"/>
      <c r="C576" s="361"/>
      <c r="N576" s="362"/>
    </row>
    <row r="577" spans="1:14" ht="16.8">
      <c r="A577" s="360"/>
      <c r="C577" s="361"/>
      <c r="N577" s="362"/>
    </row>
    <row r="578" spans="1:14" ht="16.8">
      <c r="A578" s="360"/>
      <c r="C578" s="361"/>
      <c r="N578" s="362"/>
    </row>
    <row r="579" spans="1:14" ht="16.8">
      <c r="A579" s="360"/>
      <c r="C579" s="361"/>
      <c r="N579" s="362"/>
    </row>
    <row r="580" spans="1:14" ht="16.8">
      <c r="A580" s="360"/>
      <c r="C580" s="361"/>
      <c r="N580" s="362"/>
    </row>
    <row r="581" spans="1:14" ht="16.8">
      <c r="A581" s="360"/>
      <c r="C581" s="361"/>
      <c r="N581" s="362"/>
    </row>
    <row r="582" spans="1:14" ht="16.8">
      <c r="A582" s="360"/>
      <c r="C582" s="361"/>
      <c r="N582" s="362"/>
    </row>
    <row r="583" spans="1:14" ht="16.8">
      <c r="A583" s="360"/>
      <c r="C583" s="361"/>
      <c r="N583" s="362"/>
    </row>
    <row r="584" spans="1:14" ht="16.8">
      <c r="A584" s="360"/>
      <c r="C584" s="361"/>
      <c r="N584" s="362"/>
    </row>
    <row r="585" spans="1:14" ht="16.8">
      <c r="A585" s="360"/>
      <c r="C585" s="361"/>
      <c r="N585" s="362"/>
    </row>
    <row r="586" spans="1:14" ht="16.8">
      <c r="A586" s="360"/>
      <c r="C586" s="361"/>
      <c r="N586" s="362"/>
    </row>
    <row r="587" spans="1:14" ht="16.8">
      <c r="A587" s="360"/>
      <c r="C587" s="361"/>
      <c r="N587" s="362"/>
    </row>
    <row r="588" spans="1:14" ht="16.8">
      <c r="A588" s="360"/>
      <c r="C588" s="361"/>
      <c r="N588" s="362"/>
    </row>
    <row r="589" spans="1:14" ht="16.8">
      <c r="A589" s="360"/>
      <c r="C589" s="361"/>
      <c r="N589" s="362"/>
    </row>
    <row r="590" spans="1:14" ht="16.8">
      <c r="A590" s="360"/>
      <c r="C590" s="361"/>
      <c r="N590" s="362"/>
    </row>
    <row r="591" spans="1:14" ht="16.8">
      <c r="A591" s="360"/>
      <c r="C591" s="361"/>
      <c r="N591" s="362"/>
    </row>
    <row r="592" spans="1:14" ht="16.8">
      <c r="A592" s="360"/>
      <c r="C592" s="361"/>
      <c r="N592" s="362"/>
    </row>
    <row r="593" spans="1:14" ht="16.8">
      <c r="A593" s="360"/>
      <c r="C593" s="361"/>
      <c r="N593" s="362"/>
    </row>
    <row r="594" spans="1:14" ht="16.8">
      <c r="A594" s="360"/>
      <c r="C594" s="361"/>
      <c r="N594" s="362"/>
    </row>
    <row r="595" spans="1:14" ht="16.8">
      <c r="A595" s="360"/>
      <c r="C595" s="361"/>
      <c r="N595" s="362"/>
    </row>
    <row r="596" spans="1:14" ht="16.8">
      <c r="A596" s="360"/>
      <c r="C596" s="361"/>
      <c r="N596" s="362"/>
    </row>
    <row r="597" spans="1:14" ht="16.8">
      <c r="A597" s="360"/>
      <c r="C597" s="361"/>
      <c r="N597" s="362"/>
    </row>
    <row r="598" spans="1:14" ht="16.8">
      <c r="A598" s="360"/>
      <c r="C598" s="361"/>
      <c r="N598" s="362"/>
    </row>
    <row r="599" spans="1:14" ht="16.8">
      <c r="A599" s="360"/>
      <c r="C599" s="361"/>
      <c r="N599" s="362"/>
    </row>
    <row r="600" spans="1:14" ht="16.8">
      <c r="A600" s="360"/>
      <c r="C600" s="361"/>
      <c r="N600" s="362"/>
    </row>
    <row r="601" spans="1:14" ht="16.8">
      <c r="A601" s="360"/>
      <c r="C601" s="361"/>
      <c r="N601" s="362"/>
    </row>
    <row r="602" spans="1:14" ht="16.8">
      <c r="A602" s="360"/>
      <c r="C602" s="361"/>
      <c r="N602" s="362"/>
    </row>
    <row r="603" spans="1:14" ht="16.8">
      <c r="A603" s="360"/>
      <c r="C603" s="361"/>
      <c r="N603" s="362"/>
    </row>
    <row r="604" spans="1:14" ht="16.8">
      <c r="A604" s="360"/>
      <c r="C604" s="361"/>
      <c r="N604" s="362"/>
    </row>
    <row r="605" spans="1:14" ht="16.8">
      <c r="A605" s="360"/>
      <c r="C605" s="361"/>
      <c r="N605" s="362"/>
    </row>
    <row r="606" spans="1:14" ht="16.8">
      <c r="A606" s="360"/>
      <c r="C606" s="361"/>
      <c r="N606" s="362"/>
    </row>
    <row r="607" spans="1:14" ht="16.8">
      <c r="A607" s="360"/>
      <c r="C607" s="361"/>
      <c r="N607" s="362"/>
    </row>
    <row r="608" spans="1:14" ht="16.8">
      <c r="A608" s="360"/>
      <c r="C608" s="361"/>
      <c r="N608" s="362"/>
    </row>
    <row r="609" spans="1:14" ht="16.8">
      <c r="A609" s="360"/>
      <c r="C609" s="361"/>
      <c r="N609" s="362"/>
    </row>
    <row r="610" spans="1:14" ht="16.8">
      <c r="A610" s="360"/>
      <c r="C610" s="361"/>
      <c r="N610" s="362"/>
    </row>
    <row r="611" spans="1:14" ht="16.8">
      <c r="A611" s="360"/>
      <c r="C611" s="361"/>
      <c r="N611" s="362"/>
    </row>
    <row r="612" spans="1:14" ht="16.8">
      <c r="A612" s="360"/>
      <c r="C612" s="361"/>
      <c r="N612" s="362"/>
    </row>
    <row r="613" spans="1:14" ht="16.8">
      <c r="A613" s="360"/>
      <c r="C613" s="361"/>
      <c r="N613" s="362"/>
    </row>
    <row r="614" spans="1:14" ht="16.8">
      <c r="A614" s="360"/>
      <c r="C614" s="361"/>
      <c r="N614" s="362"/>
    </row>
    <row r="615" spans="1:14" ht="16.8">
      <c r="A615" s="360"/>
      <c r="C615" s="361"/>
      <c r="N615" s="362"/>
    </row>
    <row r="616" spans="1:14" ht="16.8">
      <c r="A616" s="360"/>
      <c r="C616" s="361"/>
      <c r="N616" s="362"/>
    </row>
    <row r="617" spans="1:14" ht="16.8">
      <c r="A617" s="360"/>
      <c r="C617" s="361"/>
      <c r="N617" s="362"/>
    </row>
    <row r="618" spans="1:14" ht="16.8">
      <c r="A618" s="360"/>
      <c r="C618" s="361"/>
      <c r="N618" s="362"/>
    </row>
    <row r="619" spans="1:14" ht="16.8">
      <c r="A619" s="360"/>
      <c r="C619" s="361"/>
      <c r="N619" s="362"/>
    </row>
    <row r="620" spans="1:14" ht="16.8">
      <c r="A620" s="360"/>
      <c r="C620" s="361"/>
      <c r="N620" s="362"/>
    </row>
    <row r="621" spans="1:14" ht="16.8">
      <c r="A621" s="360"/>
      <c r="C621" s="361"/>
      <c r="N621" s="362"/>
    </row>
    <row r="622" spans="1:14" ht="16.8">
      <c r="A622" s="360"/>
      <c r="C622" s="361"/>
      <c r="N622" s="362"/>
    </row>
    <row r="623" spans="1:14" ht="16.8">
      <c r="A623" s="360"/>
      <c r="C623" s="361"/>
      <c r="N623" s="362"/>
    </row>
    <row r="624" spans="1:14" ht="16.8">
      <c r="A624" s="360"/>
      <c r="C624" s="361"/>
      <c r="N624" s="362"/>
    </row>
    <row r="625" spans="1:14" ht="16.8">
      <c r="A625" s="360"/>
      <c r="C625" s="361"/>
      <c r="N625" s="362"/>
    </row>
    <row r="626" spans="1:14" ht="16.8">
      <c r="A626" s="360"/>
      <c r="C626" s="361"/>
      <c r="N626" s="362"/>
    </row>
    <row r="627" spans="1:14" ht="16.8">
      <c r="A627" s="360"/>
      <c r="C627" s="361"/>
      <c r="N627" s="362"/>
    </row>
    <row r="628" spans="1:14" ht="16.8">
      <c r="A628" s="360"/>
      <c r="C628" s="361"/>
      <c r="N628" s="362"/>
    </row>
    <row r="629" spans="1:14" ht="16.8">
      <c r="A629" s="360"/>
      <c r="C629" s="361"/>
      <c r="N629" s="362"/>
    </row>
    <row r="630" spans="1:14" ht="16.8">
      <c r="A630" s="360"/>
      <c r="C630" s="361"/>
      <c r="N630" s="362"/>
    </row>
    <row r="631" spans="1:14" ht="16.8">
      <c r="A631" s="360"/>
      <c r="C631" s="361"/>
      <c r="N631" s="362"/>
    </row>
    <row r="632" spans="1:14" ht="16.8">
      <c r="A632" s="360"/>
      <c r="C632" s="361"/>
      <c r="N632" s="362"/>
    </row>
    <row r="633" spans="1:14" ht="16.8">
      <c r="A633" s="360"/>
      <c r="C633" s="361"/>
      <c r="N633" s="362"/>
    </row>
    <row r="634" spans="1:14" ht="16.8">
      <c r="A634" s="360"/>
      <c r="C634" s="361"/>
      <c r="N634" s="362"/>
    </row>
    <row r="635" spans="1:14" ht="16.8">
      <c r="A635" s="360"/>
      <c r="C635" s="361"/>
      <c r="N635" s="362"/>
    </row>
    <row r="636" spans="1:14" ht="16.8">
      <c r="A636" s="360"/>
      <c r="C636" s="361"/>
      <c r="N636" s="362"/>
    </row>
    <row r="637" spans="1:14" ht="16.8">
      <c r="A637" s="360"/>
      <c r="C637" s="361"/>
      <c r="N637" s="362"/>
    </row>
    <row r="638" spans="1:14" ht="16.8">
      <c r="A638" s="360"/>
      <c r="C638" s="361"/>
      <c r="N638" s="362"/>
    </row>
    <row r="639" spans="1:14" ht="16.8">
      <c r="A639" s="360"/>
      <c r="C639" s="361"/>
      <c r="N639" s="362"/>
    </row>
    <row r="640" spans="1:14" ht="16.8">
      <c r="A640" s="360"/>
      <c r="C640" s="361"/>
      <c r="N640" s="362"/>
    </row>
    <row r="641" spans="1:14" ht="16.8">
      <c r="A641" s="360"/>
      <c r="C641" s="361"/>
      <c r="N641" s="362"/>
    </row>
    <row r="642" spans="1:14" ht="16.8">
      <c r="A642" s="360"/>
      <c r="C642" s="361"/>
      <c r="N642" s="362"/>
    </row>
    <row r="643" spans="1:14" ht="16.8">
      <c r="A643" s="360"/>
      <c r="C643" s="361"/>
      <c r="N643" s="362"/>
    </row>
    <row r="644" spans="1:14" ht="16.8">
      <c r="A644" s="360"/>
      <c r="C644" s="361"/>
      <c r="N644" s="362"/>
    </row>
    <row r="645" spans="1:14" ht="16.8">
      <c r="A645" s="360"/>
      <c r="C645" s="361"/>
      <c r="N645" s="362"/>
    </row>
    <row r="646" spans="1:14" ht="16.8">
      <c r="A646" s="360"/>
      <c r="C646" s="361"/>
      <c r="N646" s="362"/>
    </row>
    <row r="647" spans="1:14" ht="16.8">
      <c r="A647" s="360"/>
      <c r="C647" s="361"/>
      <c r="N647" s="362"/>
    </row>
    <row r="648" spans="1:14" ht="16.8">
      <c r="A648" s="360"/>
      <c r="C648" s="361"/>
      <c r="N648" s="362"/>
    </row>
    <row r="649" spans="1:14" ht="16.8">
      <c r="A649" s="360"/>
      <c r="C649" s="361"/>
      <c r="N649" s="362"/>
    </row>
    <row r="650" spans="1:14" ht="16.8">
      <c r="A650" s="360"/>
      <c r="C650" s="361"/>
      <c r="N650" s="362"/>
    </row>
    <row r="651" spans="1:14" ht="16.8">
      <c r="A651" s="360"/>
      <c r="C651" s="361"/>
      <c r="N651" s="362"/>
    </row>
    <row r="652" spans="1:14" ht="16.8">
      <c r="A652" s="360"/>
      <c r="C652" s="361"/>
      <c r="N652" s="362"/>
    </row>
    <row r="653" spans="1:14" ht="16.8">
      <c r="A653" s="360"/>
      <c r="C653" s="361"/>
      <c r="N653" s="362"/>
    </row>
    <row r="654" spans="1:14" ht="16.8">
      <c r="A654" s="360"/>
      <c r="C654" s="361"/>
      <c r="N654" s="362"/>
    </row>
    <row r="655" spans="1:14" ht="16.8">
      <c r="A655" s="360"/>
      <c r="C655" s="361"/>
      <c r="N655" s="362"/>
    </row>
    <row r="656" spans="1:14" ht="16.8">
      <c r="A656" s="360"/>
      <c r="C656" s="361"/>
      <c r="N656" s="362"/>
    </row>
    <row r="657" spans="1:14" ht="16.8">
      <c r="A657" s="360"/>
      <c r="C657" s="361"/>
      <c r="N657" s="362"/>
    </row>
    <row r="658" spans="1:14" ht="16.8">
      <c r="A658" s="360"/>
      <c r="C658" s="361"/>
      <c r="N658" s="362"/>
    </row>
    <row r="659" spans="1:14" ht="16.8">
      <c r="A659" s="360"/>
      <c r="C659" s="361"/>
      <c r="N659" s="362"/>
    </row>
    <row r="660" spans="1:14" ht="16.8">
      <c r="A660" s="360"/>
      <c r="C660" s="361"/>
      <c r="N660" s="362"/>
    </row>
    <row r="661" spans="1:14" ht="16.8">
      <c r="A661" s="360"/>
      <c r="C661" s="361"/>
      <c r="N661" s="362"/>
    </row>
    <row r="662" spans="1:14" ht="16.8">
      <c r="A662" s="360"/>
      <c r="C662" s="361"/>
      <c r="N662" s="362"/>
    </row>
    <row r="663" spans="1:14" ht="16.8">
      <c r="A663" s="360"/>
      <c r="C663" s="361"/>
      <c r="N663" s="362"/>
    </row>
    <row r="664" spans="1:14" ht="16.8">
      <c r="A664" s="360"/>
      <c r="C664" s="361"/>
      <c r="N664" s="362"/>
    </row>
    <row r="665" spans="1:14" ht="16.8">
      <c r="A665" s="360"/>
      <c r="C665" s="361"/>
      <c r="N665" s="362"/>
    </row>
    <row r="666" spans="1:14" ht="16.8">
      <c r="A666" s="360"/>
      <c r="C666" s="361"/>
      <c r="N666" s="362"/>
    </row>
    <row r="667" spans="1:14" ht="16.8">
      <c r="A667" s="360"/>
      <c r="C667" s="361"/>
      <c r="N667" s="362"/>
    </row>
    <row r="668" spans="1:14" ht="16.8">
      <c r="A668" s="360"/>
      <c r="C668" s="361"/>
      <c r="N668" s="362"/>
    </row>
    <row r="669" spans="1:14" ht="16.8">
      <c r="A669" s="360"/>
      <c r="C669" s="361"/>
      <c r="N669" s="362"/>
    </row>
    <row r="670" spans="1:14" ht="16.8">
      <c r="A670" s="360"/>
      <c r="C670" s="361"/>
      <c r="N670" s="362"/>
    </row>
    <row r="671" spans="1:14" ht="16.8">
      <c r="A671" s="360"/>
      <c r="C671" s="361"/>
      <c r="N671" s="362"/>
    </row>
    <row r="672" spans="1:14" ht="16.8">
      <c r="A672" s="360"/>
      <c r="C672" s="361"/>
      <c r="N672" s="362"/>
    </row>
    <row r="673" spans="1:14" ht="16.8">
      <c r="A673" s="360"/>
      <c r="C673" s="361"/>
      <c r="N673" s="362"/>
    </row>
    <row r="674" spans="1:14" ht="16.8">
      <c r="A674" s="360"/>
      <c r="C674" s="361"/>
      <c r="N674" s="362"/>
    </row>
    <row r="675" spans="1:14" ht="16.8">
      <c r="A675" s="360"/>
      <c r="C675" s="361"/>
      <c r="N675" s="362"/>
    </row>
    <row r="676" spans="1:14" ht="16.8">
      <c r="A676" s="360"/>
      <c r="C676" s="361"/>
      <c r="N676" s="362"/>
    </row>
    <row r="677" spans="1:14" ht="16.8">
      <c r="A677" s="360"/>
      <c r="C677" s="361"/>
      <c r="N677" s="362"/>
    </row>
    <row r="678" spans="1:14" ht="16.8">
      <c r="A678" s="360"/>
      <c r="C678" s="361"/>
      <c r="N678" s="362"/>
    </row>
    <row r="679" spans="1:14" ht="16.8">
      <c r="A679" s="360"/>
      <c r="C679" s="361"/>
      <c r="N679" s="362"/>
    </row>
    <row r="680" spans="1:14" ht="16.8">
      <c r="A680" s="360"/>
      <c r="C680" s="361"/>
      <c r="N680" s="362"/>
    </row>
    <row r="681" spans="1:14" ht="16.8">
      <c r="A681" s="360"/>
      <c r="C681" s="361"/>
      <c r="N681" s="362"/>
    </row>
    <row r="682" spans="1:14" ht="16.8">
      <c r="A682" s="360"/>
      <c r="C682" s="361"/>
      <c r="N682" s="362"/>
    </row>
    <row r="683" spans="1:14" ht="16.8">
      <c r="A683" s="360"/>
      <c r="C683" s="361"/>
      <c r="N683" s="362"/>
    </row>
    <row r="684" spans="1:14" ht="16.8">
      <c r="A684" s="360"/>
      <c r="C684" s="361"/>
      <c r="N684" s="362"/>
    </row>
    <row r="685" spans="1:14" ht="16.8">
      <c r="A685" s="360"/>
      <c r="C685" s="361"/>
      <c r="N685" s="362"/>
    </row>
    <row r="686" spans="1:14" ht="16.8">
      <c r="A686" s="360"/>
      <c r="C686" s="361"/>
      <c r="N686" s="362"/>
    </row>
    <row r="687" spans="1:14" ht="16.8">
      <c r="A687" s="360"/>
      <c r="C687" s="361"/>
      <c r="N687" s="362"/>
    </row>
    <row r="688" spans="1:14" ht="16.8">
      <c r="A688" s="360"/>
      <c r="C688" s="361"/>
      <c r="N688" s="362"/>
    </row>
    <row r="689" spans="1:14" ht="16.8">
      <c r="A689" s="360"/>
      <c r="C689" s="361"/>
      <c r="N689" s="362"/>
    </row>
    <row r="690" spans="1:14" ht="16.8">
      <c r="A690" s="360"/>
      <c r="C690" s="361"/>
      <c r="N690" s="362"/>
    </row>
    <row r="691" spans="1:14" ht="16.8">
      <c r="A691" s="360"/>
      <c r="C691" s="361"/>
      <c r="N691" s="362"/>
    </row>
    <row r="692" spans="1:14" ht="16.8">
      <c r="A692" s="360"/>
      <c r="C692" s="361"/>
      <c r="N692" s="362"/>
    </row>
    <row r="693" spans="1:14" ht="16.8">
      <c r="A693" s="360"/>
      <c r="C693" s="361"/>
      <c r="N693" s="362"/>
    </row>
    <row r="694" spans="1:14" ht="16.8">
      <c r="A694" s="360"/>
      <c r="C694" s="361"/>
      <c r="N694" s="362"/>
    </row>
    <row r="695" spans="1:14" ht="16.8">
      <c r="A695" s="360"/>
      <c r="C695" s="361"/>
      <c r="N695" s="362"/>
    </row>
    <row r="696" spans="1:14" ht="16.8">
      <c r="A696" s="360"/>
      <c r="C696" s="361"/>
      <c r="N696" s="362"/>
    </row>
    <row r="697" spans="1:14" ht="16.8">
      <c r="A697" s="360"/>
      <c r="C697" s="361"/>
      <c r="N697" s="362"/>
    </row>
    <row r="698" spans="1:14" ht="16.8">
      <c r="A698" s="360"/>
      <c r="C698" s="361"/>
      <c r="N698" s="362"/>
    </row>
    <row r="699" spans="1:14" ht="16.8">
      <c r="A699" s="360"/>
      <c r="C699" s="361"/>
      <c r="N699" s="362"/>
    </row>
    <row r="700" spans="1:14" ht="16.8">
      <c r="A700" s="360"/>
      <c r="C700" s="361"/>
      <c r="N700" s="362"/>
    </row>
    <row r="701" spans="1:14" ht="16.8">
      <c r="A701" s="360"/>
      <c r="C701" s="361"/>
      <c r="N701" s="362"/>
    </row>
    <row r="702" spans="1:14" ht="16.8">
      <c r="A702" s="360"/>
      <c r="C702" s="361"/>
      <c r="N702" s="362"/>
    </row>
    <row r="703" spans="1:14" ht="16.8">
      <c r="A703" s="360"/>
      <c r="C703" s="361"/>
      <c r="N703" s="362"/>
    </row>
    <row r="704" spans="1:14" ht="16.8">
      <c r="A704" s="360"/>
      <c r="C704" s="361"/>
      <c r="N704" s="362"/>
    </row>
    <row r="705" spans="1:14" ht="16.8">
      <c r="A705" s="360"/>
      <c r="C705" s="361"/>
      <c r="N705" s="362"/>
    </row>
    <row r="706" spans="1:14" ht="16.8">
      <c r="A706" s="360"/>
      <c r="C706" s="361"/>
      <c r="N706" s="362"/>
    </row>
    <row r="707" spans="1:14" ht="16.8">
      <c r="A707" s="360"/>
      <c r="C707" s="361"/>
      <c r="N707" s="362"/>
    </row>
    <row r="708" spans="1:14" ht="16.8">
      <c r="A708" s="360"/>
      <c r="C708" s="361"/>
      <c r="N708" s="362"/>
    </row>
    <row r="709" spans="1:14" ht="16.8">
      <c r="A709" s="360"/>
      <c r="C709" s="361"/>
      <c r="N709" s="362"/>
    </row>
    <row r="710" spans="1:14" ht="16.8">
      <c r="A710" s="360"/>
      <c r="C710" s="361"/>
      <c r="N710" s="362"/>
    </row>
    <row r="711" spans="1:14" ht="16.8">
      <c r="A711" s="360"/>
      <c r="C711" s="361"/>
      <c r="N711" s="362"/>
    </row>
    <row r="712" spans="1:14" ht="16.8">
      <c r="A712" s="360"/>
      <c r="C712" s="361"/>
      <c r="N712" s="362"/>
    </row>
    <row r="713" spans="1:14" ht="16.8">
      <c r="A713" s="360"/>
      <c r="C713" s="361"/>
      <c r="N713" s="362"/>
    </row>
    <row r="714" spans="1:14" ht="16.8">
      <c r="A714" s="360"/>
      <c r="C714" s="361"/>
      <c r="N714" s="362"/>
    </row>
    <row r="715" spans="1:14" ht="16.8">
      <c r="A715" s="360"/>
      <c r="C715" s="361"/>
      <c r="N715" s="362"/>
    </row>
    <row r="716" spans="1:14" ht="16.8">
      <c r="A716" s="360"/>
      <c r="C716" s="361"/>
      <c r="N716" s="362"/>
    </row>
    <row r="717" spans="1:14" ht="16.8">
      <c r="A717" s="360"/>
      <c r="C717" s="361"/>
      <c r="N717" s="362"/>
    </row>
    <row r="718" spans="1:14" ht="16.8">
      <c r="A718" s="360"/>
      <c r="C718" s="361"/>
      <c r="N718" s="362"/>
    </row>
    <row r="719" spans="1:14" ht="16.8">
      <c r="A719" s="360"/>
      <c r="C719" s="361"/>
      <c r="N719" s="362"/>
    </row>
    <row r="720" spans="1:14" ht="16.8">
      <c r="A720" s="360"/>
      <c r="C720" s="361"/>
      <c r="N720" s="362"/>
    </row>
    <row r="721" spans="1:14" ht="16.8">
      <c r="A721" s="360"/>
      <c r="C721" s="361"/>
      <c r="N721" s="362"/>
    </row>
    <row r="722" spans="1:14" ht="16.8">
      <c r="A722" s="360"/>
      <c r="C722" s="361"/>
      <c r="N722" s="362"/>
    </row>
    <row r="723" spans="1:14" ht="16.8">
      <c r="A723" s="360"/>
      <c r="C723" s="361"/>
      <c r="N723" s="362"/>
    </row>
    <row r="724" spans="1:14" ht="16.8">
      <c r="A724" s="360"/>
      <c r="C724" s="361"/>
      <c r="N724" s="362"/>
    </row>
    <row r="725" spans="1:14" ht="16.8">
      <c r="A725" s="360"/>
      <c r="C725" s="361"/>
      <c r="N725" s="362"/>
    </row>
    <row r="726" spans="1:14" ht="16.8">
      <c r="A726" s="360"/>
      <c r="C726" s="361"/>
      <c r="N726" s="362"/>
    </row>
    <row r="727" spans="1:14" ht="16.8">
      <c r="A727" s="360"/>
      <c r="C727" s="361"/>
      <c r="N727" s="362"/>
    </row>
    <row r="728" spans="1:14" ht="16.8">
      <c r="A728" s="360"/>
      <c r="C728" s="361"/>
      <c r="N728" s="362"/>
    </row>
    <row r="729" spans="1:14" ht="16.8">
      <c r="A729" s="360"/>
      <c r="C729" s="361"/>
      <c r="N729" s="362"/>
    </row>
    <row r="730" spans="1:14" ht="16.8">
      <c r="A730" s="360"/>
      <c r="C730" s="361"/>
      <c r="N730" s="362"/>
    </row>
    <row r="731" spans="1:14" ht="16.8">
      <c r="A731" s="360"/>
      <c r="C731" s="361"/>
      <c r="N731" s="362"/>
    </row>
    <row r="732" spans="1:14" ht="16.8">
      <c r="A732" s="360"/>
      <c r="C732" s="361"/>
      <c r="N732" s="362"/>
    </row>
    <row r="733" spans="1:14" ht="16.8">
      <c r="A733" s="360"/>
      <c r="C733" s="361"/>
      <c r="N733" s="362"/>
    </row>
    <row r="734" spans="1:14" ht="16.8">
      <c r="A734" s="360"/>
      <c r="C734" s="361"/>
      <c r="N734" s="362"/>
    </row>
    <row r="735" spans="1:14" ht="16.8">
      <c r="A735" s="360"/>
      <c r="C735" s="361"/>
      <c r="N735" s="362"/>
    </row>
    <row r="736" spans="1:14" ht="16.8">
      <c r="A736" s="360"/>
      <c r="C736" s="361"/>
      <c r="N736" s="362"/>
    </row>
    <row r="737" spans="1:14" ht="16.8">
      <c r="A737" s="360"/>
      <c r="C737" s="361"/>
      <c r="N737" s="362"/>
    </row>
    <row r="738" spans="1:14" ht="16.8">
      <c r="A738" s="360"/>
      <c r="C738" s="361"/>
      <c r="N738" s="362"/>
    </row>
    <row r="739" spans="1:14" ht="16.8">
      <c r="A739" s="360"/>
      <c r="C739" s="361"/>
      <c r="N739" s="362"/>
    </row>
    <row r="740" spans="1:14" ht="16.8">
      <c r="A740" s="360"/>
      <c r="C740" s="361"/>
      <c r="N740" s="362"/>
    </row>
    <row r="741" spans="1:14" ht="16.8">
      <c r="A741" s="360"/>
      <c r="C741" s="361"/>
      <c r="N741" s="362"/>
    </row>
    <row r="742" spans="1:14" ht="16.8">
      <c r="A742" s="360"/>
      <c r="C742" s="361"/>
      <c r="N742" s="362"/>
    </row>
    <row r="743" spans="1:14" ht="16.8">
      <c r="A743" s="360"/>
      <c r="C743" s="361"/>
      <c r="N743" s="362"/>
    </row>
    <row r="744" spans="1:14" ht="16.8">
      <c r="A744" s="360"/>
      <c r="C744" s="361"/>
      <c r="N744" s="362"/>
    </row>
    <row r="745" spans="1:14" ht="16.8">
      <c r="A745" s="360"/>
      <c r="C745" s="361"/>
      <c r="N745" s="362"/>
    </row>
    <row r="746" spans="1:14" ht="16.8">
      <c r="A746" s="360"/>
      <c r="C746" s="361"/>
      <c r="N746" s="362"/>
    </row>
    <row r="747" spans="1:14" ht="16.8">
      <c r="A747" s="360"/>
      <c r="C747" s="361"/>
      <c r="N747" s="362"/>
    </row>
    <row r="748" spans="1:14" ht="16.8">
      <c r="A748" s="360"/>
      <c r="C748" s="361"/>
      <c r="N748" s="362"/>
    </row>
    <row r="749" spans="1:14" ht="16.8">
      <c r="A749" s="360"/>
      <c r="C749" s="361"/>
      <c r="N749" s="362"/>
    </row>
    <row r="750" spans="1:14" ht="16.8">
      <c r="A750" s="360"/>
      <c r="C750" s="361"/>
      <c r="N750" s="362"/>
    </row>
    <row r="751" spans="1:14" ht="16.8">
      <c r="A751" s="360"/>
      <c r="C751" s="361"/>
      <c r="N751" s="362"/>
    </row>
    <row r="752" spans="1:14" ht="16.8">
      <c r="A752" s="360"/>
      <c r="C752" s="361"/>
      <c r="N752" s="362"/>
    </row>
    <row r="753" spans="1:14" ht="16.8">
      <c r="A753" s="360"/>
      <c r="C753" s="361"/>
      <c r="N753" s="362"/>
    </row>
    <row r="754" spans="1:14" ht="16.8">
      <c r="A754" s="360"/>
      <c r="C754" s="361"/>
      <c r="N754" s="362"/>
    </row>
    <row r="755" spans="1:14" ht="16.8">
      <c r="A755" s="360"/>
      <c r="C755" s="361"/>
      <c r="N755" s="362"/>
    </row>
    <row r="756" spans="1:14" ht="16.8">
      <c r="A756" s="360"/>
      <c r="C756" s="361"/>
      <c r="N756" s="362"/>
    </row>
    <row r="757" spans="1:14" ht="16.8">
      <c r="A757" s="360"/>
      <c r="C757" s="361"/>
      <c r="N757" s="362"/>
    </row>
    <row r="758" spans="1:14" ht="16.8">
      <c r="A758" s="360"/>
      <c r="C758" s="361"/>
      <c r="N758" s="362"/>
    </row>
    <row r="759" spans="1:14" ht="16.8">
      <c r="A759" s="360"/>
      <c r="C759" s="361"/>
      <c r="N759" s="362"/>
    </row>
    <row r="760" spans="1:14" ht="16.8">
      <c r="A760" s="360"/>
      <c r="C760" s="361"/>
      <c r="N760" s="362"/>
    </row>
    <row r="761" spans="1:14" ht="16.8">
      <c r="A761" s="360"/>
      <c r="C761" s="361"/>
      <c r="N761" s="362"/>
    </row>
    <row r="762" spans="1:14" ht="16.8">
      <c r="A762" s="360"/>
      <c r="C762" s="361"/>
      <c r="N762" s="362"/>
    </row>
    <row r="763" spans="1:14" ht="16.8">
      <c r="A763" s="360"/>
      <c r="C763" s="361"/>
      <c r="N763" s="362"/>
    </row>
    <row r="764" spans="1:14" ht="16.8">
      <c r="A764" s="360"/>
      <c r="C764" s="361"/>
      <c r="N764" s="362"/>
    </row>
    <row r="765" spans="1:14" ht="16.8">
      <c r="A765" s="360"/>
      <c r="C765" s="361"/>
      <c r="N765" s="362"/>
    </row>
    <row r="766" spans="1:14" ht="16.8">
      <c r="A766" s="360"/>
      <c r="C766" s="361"/>
      <c r="N766" s="362"/>
    </row>
    <row r="767" spans="1:14" ht="16.8">
      <c r="A767" s="360"/>
      <c r="C767" s="361"/>
      <c r="N767" s="362"/>
    </row>
    <row r="768" spans="1:14" ht="16.8">
      <c r="A768" s="360"/>
      <c r="C768" s="361"/>
      <c r="N768" s="362"/>
    </row>
    <row r="769" spans="1:14" ht="16.8">
      <c r="A769" s="360"/>
      <c r="C769" s="361"/>
      <c r="N769" s="362"/>
    </row>
    <row r="770" spans="1:14" ht="16.8">
      <c r="A770" s="360"/>
      <c r="C770" s="361"/>
      <c r="N770" s="362"/>
    </row>
    <row r="771" spans="1:14" ht="16.8">
      <c r="A771" s="360"/>
      <c r="C771" s="361"/>
      <c r="N771" s="362"/>
    </row>
    <row r="772" spans="1:14" ht="16.8">
      <c r="A772" s="360"/>
      <c r="C772" s="361"/>
      <c r="N772" s="362"/>
    </row>
    <row r="773" spans="1:14" ht="16.8">
      <c r="A773" s="360"/>
      <c r="C773" s="361"/>
      <c r="N773" s="362"/>
    </row>
    <row r="774" spans="1:14" ht="16.8">
      <c r="A774" s="360"/>
      <c r="C774" s="361"/>
      <c r="N774" s="362"/>
    </row>
    <row r="775" spans="1:14" ht="16.8">
      <c r="A775" s="360"/>
      <c r="C775" s="361"/>
      <c r="N775" s="362"/>
    </row>
    <row r="776" spans="1:14" ht="16.8">
      <c r="A776" s="360"/>
      <c r="C776" s="361"/>
      <c r="N776" s="362"/>
    </row>
    <row r="777" spans="1:14" ht="16.8">
      <c r="A777" s="360"/>
      <c r="C777" s="361"/>
      <c r="N777" s="362"/>
    </row>
    <row r="778" spans="1:14" ht="16.8">
      <c r="A778" s="360"/>
      <c r="C778" s="361"/>
      <c r="N778" s="362"/>
    </row>
    <row r="779" spans="1:14" ht="16.8">
      <c r="A779" s="360"/>
      <c r="C779" s="361"/>
      <c r="N779" s="362"/>
    </row>
    <row r="780" spans="1:14" ht="16.8">
      <c r="A780" s="360"/>
      <c r="C780" s="361"/>
      <c r="N780" s="362"/>
    </row>
    <row r="781" spans="1:14" ht="16.8">
      <c r="A781" s="360"/>
      <c r="C781" s="361"/>
      <c r="N781" s="362"/>
    </row>
    <row r="782" spans="1:14" ht="16.8">
      <c r="A782" s="360"/>
      <c r="C782" s="361"/>
      <c r="N782" s="362"/>
    </row>
    <row r="783" spans="1:14" ht="16.8">
      <c r="A783" s="360"/>
      <c r="C783" s="361"/>
      <c r="N783" s="362"/>
    </row>
    <row r="784" spans="1:14" ht="16.8">
      <c r="A784" s="360"/>
      <c r="C784" s="361"/>
      <c r="N784" s="362"/>
    </row>
    <row r="785" spans="1:14" ht="16.8">
      <c r="A785" s="360"/>
      <c r="C785" s="361"/>
      <c r="N785" s="362"/>
    </row>
    <row r="786" spans="1:14" ht="16.8">
      <c r="A786" s="360"/>
      <c r="C786" s="361"/>
      <c r="N786" s="362"/>
    </row>
    <row r="787" spans="1:14" ht="16.8">
      <c r="A787" s="360"/>
      <c r="C787" s="361"/>
      <c r="N787" s="362"/>
    </row>
    <row r="788" spans="1:14" ht="16.8">
      <c r="A788" s="360"/>
      <c r="C788" s="361"/>
      <c r="N788" s="362"/>
    </row>
    <row r="789" spans="1:14" ht="16.8">
      <c r="A789" s="360"/>
      <c r="C789" s="361"/>
      <c r="N789" s="362"/>
    </row>
    <row r="790" spans="1:14" ht="16.8">
      <c r="A790" s="360"/>
      <c r="C790" s="361"/>
      <c r="N790" s="362"/>
    </row>
    <row r="791" spans="1:14" ht="16.8">
      <c r="A791" s="360"/>
      <c r="C791" s="361"/>
      <c r="N791" s="362"/>
    </row>
    <row r="792" spans="1:14" ht="16.8">
      <c r="A792" s="360"/>
      <c r="C792" s="361"/>
      <c r="N792" s="362"/>
    </row>
    <row r="793" spans="1:14" ht="16.8">
      <c r="A793" s="360"/>
      <c r="C793" s="361"/>
      <c r="N793" s="362"/>
    </row>
    <row r="794" spans="1:14" ht="16.8">
      <c r="A794" s="360"/>
      <c r="C794" s="361"/>
      <c r="N794" s="362"/>
    </row>
    <row r="795" spans="1:14" ht="16.8">
      <c r="A795" s="360"/>
      <c r="C795" s="361"/>
      <c r="N795" s="362"/>
    </row>
    <row r="796" spans="1:14" ht="16.8">
      <c r="A796" s="360"/>
      <c r="C796" s="361"/>
      <c r="N796" s="362"/>
    </row>
    <row r="797" spans="1:14" ht="16.8">
      <c r="A797" s="360"/>
      <c r="C797" s="361"/>
      <c r="N797" s="362"/>
    </row>
    <row r="798" spans="1:14" ht="16.8">
      <c r="A798" s="360"/>
      <c r="C798" s="361"/>
      <c r="N798" s="362"/>
    </row>
    <row r="799" spans="1:14" ht="16.8">
      <c r="A799" s="360"/>
      <c r="C799" s="361"/>
      <c r="N799" s="362"/>
    </row>
    <row r="800" spans="1:14" ht="16.8">
      <c r="A800" s="360"/>
      <c r="C800" s="361"/>
      <c r="N800" s="362"/>
    </row>
    <row r="801" spans="1:14" ht="16.8">
      <c r="A801" s="360"/>
      <c r="C801" s="361"/>
      <c r="N801" s="362"/>
    </row>
    <row r="802" spans="1:14" ht="16.8">
      <c r="A802" s="360"/>
      <c r="C802" s="361"/>
      <c r="N802" s="362"/>
    </row>
    <row r="803" spans="1:14" ht="16.8">
      <c r="A803" s="360"/>
      <c r="C803" s="361"/>
      <c r="N803" s="362"/>
    </row>
    <row r="804" spans="1:14" ht="16.8">
      <c r="A804" s="360"/>
      <c r="C804" s="361"/>
      <c r="N804" s="362"/>
    </row>
    <row r="805" spans="1:14" ht="16.8">
      <c r="A805" s="360"/>
      <c r="C805" s="361"/>
      <c r="N805" s="362"/>
    </row>
    <row r="806" spans="1:14" ht="16.8">
      <c r="A806" s="360"/>
      <c r="C806" s="361"/>
      <c r="N806" s="362"/>
    </row>
    <row r="807" spans="1:14" ht="16.8">
      <c r="A807" s="360"/>
      <c r="C807" s="361"/>
      <c r="N807" s="362"/>
    </row>
    <row r="808" spans="1:14" ht="16.8">
      <c r="A808" s="360"/>
      <c r="C808" s="361"/>
      <c r="N808" s="362"/>
    </row>
    <row r="809" spans="1:14" ht="16.8">
      <c r="A809" s="360"/>
      <c r="C809" s="361"/>
      <c r="N809" s="362"/>
    </row>
    <row r="810" spans="1:14" ht="16.8">
      <c r="A810" s="360"/>
      <c r="C810" s="361"/>
      <c r="N810" s="362"/>
    </row>
    <row r="811" spans="1:14" ht="16.8">
      <c r="A811" s="360"/>
      <c r="C811" s="361"/>
      <c r="N811" s="362"/>
    </row>
    <row r="812" spans="1:14" ht="16.8">
      <c r="A812" s="360"/>
      <c r="C812" s="361"/>
      <c r="N812" s="362"/>
    </row>
    <row r="813" spans="1:14" ht="16.8">
      <c r="A813" s="360"/>
      <c r="C813" s="361"/>
      <c r="N813" s="362"/>
    </row>
    <row r="814" spans="1:14" ht="16.8">
      <c r="A814" s="360"/>
      <c r="C814" s="361"/>
      <c r="N814" s="362"/>
    </row>
    <row r="815" spans="1:14" ht="16.8">
      <c r="A815" s="360"/>
      <c r="C815" s="361"/>
      <c r="N815" s="362"/>
    </row>
    <row r="816" spans="1:14" ht="16.8">
      <c r="A816" s="360"/>
      <c r="C816" s="361"/>
      <c r="N816" s="362"/>
    </row>
    <row r="817" spans="1:14" ht="16.8">
      <c r="A817" s="360"/>
      <c r="C817" s="361"/>
      <c r="N817" s="362"/>
    </row>
    <row r="818" spans="1:14" ht="16.8">
      <c r="A818" s="360"/>
      <c r="C818" s="361"/>
      <c r="N818" s="362"/>
    </row>
    <row r="819" spans="1:14" ht="16.8">
      <c r="A819" s="360"/>
      <c r="C819" s="361"/>
      <c r="N819" s="362"/>
    </row>
    <row r="820" spans="1:14" ht="16.8">
      <c r="A820" s="360"/>
      <c r="C820" s="361"/>
      <c r="N820" s="362"/>
    </row>
    <row r="821" spans="1:14" ht="16.8">
      <c r="A821" s="360"/>
      <c r="C821" s="361"/>
      <c r="N821" s="362"/>
    </row>
    <row r="822" spans="1:14" ht="16.8">
      <c r="A822" s="360"/>
      <c r="C822" s="361"/>
      <c r="N822" s="362"/>
    </row>
    <row r="823" spans="1:14" ht="16.8">
      <c r="A823" s="360"/>
      <c r="C823" s="361"/>
      <c r="N823" s="362"/>
    </row>
    <row r="824" spans="1:14" ht="16.8">
      <c r="A824" s="360"/>
      <c r="C824" s="361"/>
      <c r="N824" s="362"/>
    </row>
    <row r="825" spans="1:14" ht="16.8">
      <c r="A825" s="360"/>
      <c r="C825" s="361"/>
      <c r="N825" s="362"/>
    </row>
    <row r="826" spans="1:14" ht="16.8">
      <c r="A826" s="360"/>
      <c r="C826" s="361"/>
      <c r="N826" s="362"/>
    </row>
    <row r="827" spans="1:14" ht="16.8">
      <c r="A827" s="360"/>
      <c r="C827" s="361"/>
      <c r="N827" s="362"/>
    </row>
    <row r="828" spans="1:14" ht="16.8">
      <c r="A828" s="360"/>
      <c r="C828" s="361"/>
      <c r="N828" s="362"/>
    </row>
    <row r="829" spans="1:14" ht="16.8">
      <c r="A829" s="360"/>
      <c r="C829" s="361"/>
      <c r="N829" s="362"/>
    </row>
    <row r="830" spans="1:14" ht="16.8">
      <c r="A830" s="360"/>
      <c r="C830" s="361"/>
      <c r="N830" s="362"/>
    </row>
    <row r="831" spans="1:14" ht="16.8">
      <c r="A831" s="360"/>
      <c r="C831" s="361"/>
      <c r="N831" s="362"/>
    </row>
    <row r="832" spans="1:14" ht="16.8">
      <c r="A832" s="360"/>
      <c r="C832" s="361"/>
      <c r="N832" s="362"/>
    </row>
    <row r="833" spans="1:14" ht="16.8">
      <c r="A833" s="360"/>
      <c r="C833" s="361"/>
      <c r="N833" s="362"/>
    </row>
    <row r="834" spans="1:14" ht="16.8">
      <c r="A834" s="360"/>
      <c r="C834" s="361"/>
      <c r="N834" s="362"/>
    </row>
    <row r="835" spans="1:14" ht="16.8">
      <c r="A835" s="360"/>
      <c r="C835" s="361"/>
      <c r="N835" s="362"/>
    </row>
    <row r="836" spans="1:14" ht="16.8">
      <c r="A836" s="360"/>
      <c r="C836" s="361"/>
      <c r="N836" s="362"/>
    </row>
    <row r="837" spans="1:14" ht="16.8">
      <c r="A837" s="360"/>
      <c r="C837" s="361"/>
      <c r="N837" s="362"/>
    </row>
    <row r="838" spans="1:14" ht="16.8">
      <c r="A838" s="360"/>
      <c r="C838" s="361"/>
      <c r="N838" s="362"/>
    </row>
    <row r="839" spans="1:14" ht="16.8">
      <c r="A839" s="360"/>
      <c r="C839" s="361"/>
      <c r="N839" s="362"/>
    </row>
    <row r="840" spans="1:14" ht="16.8">
      <c r="A840" s="360"/>
      <c r="C840" s="361"/>
      <c r="N840" s="362"/>
    </row>
    <row r="841" spans="1:14" ht="16.8">
      <c r="A841" s="360"/>
      <c r="C841" s="361"/>
      <c r="N841" s="362"/>
    </row>
    <row r="842" spans="1:14" ht="16.8">
      <c r="A842" s="360"/>
      <c r="C842" s="361"/>
      <c r="N842" s="362"/>
    </row>
    <row r="843" spans="1:14" ht="16.8">
      <c r="A843" s="360"/>
      <c r="C843" s="361"/>
      <c r="N843" s="362"/>
    </row>
    <row r="844" spans="1:14" ht="16.8">
      <c r="A844" s="360"/>
      <c r="C844" s="361"/>
      <c r="N844" s="362"/>
    </row>
    <row r="845" spans="1:14" ht="16.8">
      <c r="A845" s="360"/>
      <c r="C845" s="361"/>
      <c r="N845" s="362"/>
    </row>
    <row r="846" spans="1:14" ht="16.8">
      <c r="A846" s="360"/>
      <c r="C846" s="361"/>
      <c r="N846" s="362"/>
    </row>
    <row r="847" spans="1:14" ht="16.8">
      <c r="A847" s="360"/>
      <c r="C847" s="361"/>
      <c r="N847" s="362"/>
    </row>
    <row r="848" spans="1:14" ht="16.8">
      <c r="A848" s="360"/>
      <c r="C848" s="361"/>
      <c r="N848" s="362"/>
    </row>
    <row r="849" spans="1:14" ht="16.8">
      <c r="A849" s="360"/>
      <c r="C849" s="361"/>
      <c r="N849" s="362"/>
    </row>
    <row r="850" spans="1:14" ht="16.8">
      <c r="A850" s="360"/>
      <c r="C850" s="361"/>
      <c r="N850" s="362"/>
    </row>
    <row r="851" spans="1:14" ht="16.8">
      <c r="A851" s="360"/>
      <c r="C851" s="361"/>
      <c r="N851" s="362"/>
    </row>
    <row r="852" spans="1:14" ht="16.8">
      <c r="A852" s="360"/>
      <c r="C852" s="361"/>
      <c r="N852" s="362"/>
    </row>
    <row r="853" spans="1:14" ht="16.8">
      <c r="A853" s="360"/>
      <c r="C853" s="361"/>
      <c r="N853" s="362"/>
    </row>
    <row r="854" spans="1:14" ht="16.8">
      <c r="A854" s="360"/>
      <c r="C854" s="361"/>
      <c r="N854" s="362"/>
    </row>
    <row r="855" spans="1:14" ht="16.8">
      <c r="A855" s="360"/>
      <c r="C855" s="361"/>
      <c r="N855" s="362"/>
    </row>
    <row r="856" spans="1:14" ht="16.8">
      <c r="A856" s="360"/>
      <c r="C856" s="361"/>
      <c r="N856" s="362"/>
    </row>
    <row r="857" spans="1:14" ht="16.8">
      <c r="A857" s="360"/>
      <c r="C857" s="361"/>
      <c r="N857" s="362"/>
    </row>
    <row r="858" spans="1:14" ht="16.8">
      <c r="A858" s="360"/>
      <c r="C858" s="361"/>
      <c r="N858" s="362"/>
    </row>
    <row r="859" spans="1:14" ht="16.8">
      <c r="A859" s="360"/>
      <c r="C859" s="361"/>
      <c r="N859" s="362"/>
    </row>
    <row r="860" spans="1:14" ht="16.8">
      <c r="A860" s="360"/>
      <c r="C860" s="361"/>
      <c r="N860" s="362"/>
    </row>
    <row r="861" spans="1:14" ht="16.8">
      <c r="A861" s="360"/>
      <c r="C861" s="361"/>
      <c r="N861" s="362"/>
    </row>
    <row r="862" spans="1:14" ht="16.8">
      <c r="A862" s="360"/>
      <c r="C862" s="361"/>
      <c r="N862" s="362"/>
    </row>
    <row r="863" spans="1:14" ht="16.8">
      <c r="A863" s="360"/>
      <c r="C863" s="361"/>
      <c r="N863" s="362"/>
    </row>
    <row r="864" spans="1:14" ht="16.8">
      <c r="A864" s="360"/>
      <c r="C864" s="361"/>
      <c r="N864" s="362"/>
    </row>
    <row r="865" spans="1:14" ht="16.8">
      <c r="A865" s="360"/>
      <c r="C865" s="361"/>
      <c r="N865" s="362"/>
    </row>
    <row r="866" spans="1:14" ht="16.8">
      <c r="A866" s="360"/>
      <c r="C866" s="361"/>
      <c r="N866" s="362"/>
    </row>
    <row r="867" spans="1:14" ht="16.8">
      <c r="A867" s="360"/>
      <c r="C867" s="361"/>
      <c r="N867" s="362"/>
    </row>
    <row r="868" spans="1:14" ht="16.8">
      <c r="A868" s="360"/>
      <c r="C868" s="361"/>
      <c r="N868" s="362"/>
    </row>
    <row r="869" spans="1:14" ht="16.8">
      <c r="A869" s="360"/>
      <c r="C869" s="361"/>
      <c r="N869" s="362"/>
    </row>
    <row r="870" spans="1:14" ht="16.8">
      <c r="A870" s="360"/>
      <c r="C870" s="361"/>
      <c r="N870" s="362"/>
    </row>
    <row r="871" spans="1:14" ht="16.8">
      <c r="A871" s="360"/>
      <c r="C871" s="361"/>
      <c r="N871" s="362"/>
    </row>
    <row r="872" spans="1:14" ht="16.8">
      <c r="A872" s="360"/>
      <c r="C872" s="361"/>
      <c r="N872" s="362"/>
    </row>
    <row r="873" spans="1:14" ht="16.8">
      <c r="A873" s="360"/>
      <c r="C873" s="361"/>
      <c r="N873" s="362"/>
    </row>
    <row r="874" spans="1:14" ht="16.8">
      <c r="A874" s="360"/>
      <c r="C874" s="361"/>
      <c r="N874" s="362"/>
    </row>
    <row r="875" spans="1:14" ht="16.8">
      <c r="A875" s="360"/>
      <c r="C875" s="361"/>
      <c r="N875" s="362"/>
    </row>
    <row r="876" spans="1:14" ht="16.8">
      <c r="A876" s="360"/>
      <c r="C876" s="361"/>
      <c r="N876" s="362"/>
    </row>
    <row r="877" spans="1:14" ht="16.8">
      <c r="A877" s="360"/>
      <c r="C877" s="361"/>
      <c r="N877" s="362"/>
    </row>
    <row r="878" spans="1:14" ht="16.8">
      <c r="A878" s="360"/>
      <c r="C878" s="361"/>
      <c r="N878" s="362"/>
    </row>
    <row r="879" spans="1:14" ht="16.8">
      <c r="A879" s="360"/>
      <c r="C879" s="361"/>
      <c r="N879" s="362"/>
    </row>
    <row r="880" spans="1:14" ht="16.8">
      <c r="A880" s="360"/>
      <c r="C880" s="361"/>
      <c r="N880" s="362"/>
    </row>
    <row r="881" spans="1:14" ht="16.8">
      <c r="A881" s="360"/>
      <c r="C881" s="361"/>
      <c r="N881" s="362"/>
    </row>
    <row r="882" spans="1:14" ht="16.8">
      <c r="A882" s="360"/>
      <c r="C882" s="361"/>
      <c r="N882" s="362"/>
    </row>
    <row r="883" spans="1:14" ht="16.8">
      <c r="A883" s="360"/>
      <c r="C883" s="361"/>
      <c r="N883" s="362"/>
    </row>
    <row r="884" spans="1:14" ht="16.8">
      <c r="A884" s="360"/>
      <c r="C884" s="361"/>
      <c r="N884" s="362"/>
    </row>
    <row r="885" spans="1:14" ht="16.8">
      <c r="A885" s="360"/>
      <c r="C885" s="361"/>
      <c r="N885" s="362"/>
    </row>
    <row r="886" spans="1:14" ht="16.8">
      <c r="A886" s="360"/>
      <c r="C886" s="361"/>
      <c r="N886" s="362"/>
    </row>
    <row r="887" spans="1:14" ht="16.8">
      <c r="A887" s="360"/>
      <c r="C887" s="361"/>
      <c r="N887" s="362"/>
    </row>
    <row r="888" spans="1:14" ht="16.8">
      <c r="A888" s="360"/>
      <c r="C888" s="361"/>
      <c r="N888" s="362"/>
    </row>
    <row r="889" spans="1:14" ht="16.8">
      <c r="A889" s="360"/>
      <c r="C889" s="361"/>
      <c r="N889" s="362"/>
    </row>
    <row r="890" spans="1:14" ht="16.8">
      <c r="A890" s="360"/>
      <c r="C890" s="361"/>
      <c r="N890" s="362"/>
    </row>
    <row r="891" spans="1:14" ht="16.8">
      <c r="A891" s="360"/>
      <c r="C891" s="361"/>
      <c r="N891" s="362"/>
    </row>
    <row r="892" spans="1:14" ht="16.8">
      <c r="A892" s="360"/>
      <c r="C892" s="361"/>
      <c r="N892" s="362"/>
    </row>
    <row r="893" spans="1:14" ht="16.8">
      <c r="A893" s="360"/>
      <c r="C893" s="361"/>
      <c r="N893" s="362"/>
    </row>
    <row r="894" spans="1:14" ht="16.8">
      <c r="A894" s="360"/>
      <c r="C894" s="361"/>
      <c r="N894" s="362"/>
    </row>
    <row r="895" spans="1:14" ht="16.8">
      <c r="A895" s="360"/>
      <c r="C895" s="361"/>
      <c r="N895" s="362"/>
    </row>
    <row r="896" spans="1:14" ht="16.8">
      <c r="A896" s="360"/>
      <c r="C896" s="361"/>
      <c r="N896" s="362"/>
    </row>
    <row r="897" spans="1:14" ht="16.8">
      <c r="A897" s="360"/>
      <c r="C897" s="361"/>
      <c r="N897" s="362"/>
    </row>
    <row r="898" spans="1:14" ht="16.8">
      <c r="A898" s="360"/>
      <c r="C898" s="361"/>
      <c r="N898" s="362"/>
    </row>
    <row r="899" spans="1:14" ht="16.8">
      <c r="A899" s="360"/>
      <c r="C899" s="361"/>
      <c r="N899" s="362"/>
    </row>
    <row r="900" spans="1:14" ht="16.8">
      <c r="A900" s="360"/>
      <c r="C900" s="361"/>
      <c r="N900" s="362"/>
    </row>
    <row r="901" spans="1:14" ht="16.8">
      <c r="A901" s="360"/>
      <c r="C901" s="361"/>
      <c r="N901" s="362"/>
    </row>
    <row r="902" spans="1:14" ht="16.8">
      <c r="A902" s="360"/>
      <c r="C902" s="361"/>
      <c r="N902" s="362"/>
    </row>
    <row r="903" spans="1:14" ht="16.8">
      <c r="A903" s="360"/>
      <c r="C903" s="361"/>
      <c r="N903" s="362"/>
    </row>
    <row r="904" spans="1:14" ht="16.8">
      <c r="A904" s="360"/>
      <c r="C904" s="361"/>
      <c r="N904" s="362"/>
    </row>
    <row r="905" spans="1:14" ht="16.8">
      <c r="A905" s="360"/>
      <c r="C905" s="361"/>
      <c r="N905" s="362"/>
    </row>
    <row r="906" spans="1:14" ht="16.8">
      <c r="A906" s="360"/>
      <c r="C906" s="361"/>
      <c r="N906" s="362"/>
    </row>
    <row r="907" spans="1:14" ht="16.8">
      <c r="A907" s="360"/>
      <c r="C907" s="361"/>
      <c r="N907" s="362"/>
    </row>
    <row r="908" spans="1:14" ht="16.8">
      <c r="A908" s="360"/>
      <c r="C908" s="361"/>
      <c r="N908" s="362"/>
    </row>
    <row r="909" spans="1:14" ht="16.8">
      <c r="A909" s="360"/>
      <c r="C909" s="361"/>
      <c r="N909" s="362"/>
    </row>
    <row r="910" spans="1:14" ht="16.8">
      <c r="A910" s="360"/>
      <c r="C910" s="361"/>
      <c r="N910" s="362"/>
    </row>
    <row r="911" spans="1:14" ht="16.8">
      <c r="A911" s="360"/>
      <c r="C911" s="361"/>
      <c r="N911" s="362"/>
    </row>
    <row r="912" spans="1:14" ht="16.8">
      <c r="A912" s="360"/>
      <c r="C912" s="361"/>
      <c r="N912" s="362"/>
    </row>
    <row r="913" spans="1:14" ht="16.8">
      <c r="A913" s="360"/>
      <c r="C913" s="361"/>
      <c r="N913" s="362"/>
    </row>
    <row r="914" spans="1:14" ht="16.8">
      <c r="A914" s="360"/>
      <c r="C914" s="361"/>
      <c r="N914" s="362"/>
    </row>
    <row r="915" spans="1:14" ht="16.8">
      <c r="A915" s="360"/>
      <c r="C915" s="361"/>
      <c r="N915" s="362"/>
    </row>
    <row r="916" spans="1:14" ht="16.8">
      <c r="A916" s="360"/>
      <c r="C916" s="361"/>
      <c r="N916" s="362"/>
    </row>
    <row r="917" spans="1:14" ht="16.8">
      <c r="A917" s="360"/>
      <c r="C917" s="361"/>
      <c r="N917" s="362"/>
    </row>
    <row r="918" spans="1:14" ht="16.8">
      <c r="A918" s="360"/>
      <c r="C918" s="361"/>
      <c r="N918" s="362"/>
    </row>
    <row r="919" spans="1:14" ht="16.8">
      <c r="A919" s="360"/>
      <c r="C919" s="361"/>
      <c r="N919" s="362"/>
    </row>
    <row r="920" spans="1:14" ht="16.8">
      <c r="A920" s="360"/>
      <c r="C920" s="361"/>
      <c r="N920" s="362"/>
    </row>
    <row r="921" spans="1:14" ht="16.8">
      <c r="A921" s="360"/>
      <c r="C921" s="361"/>
      <c r="N921" s="362"/>
    </row>
    <row r="922" spans="1:14" ht="16.8">
      <c r="A922" s="360"/>
      <c r="C922" s="361"/>
      <c r="N922" s="362"/>
    </row>
    <row r="923" spans="1:14" ht="16.8">
      <c r="A923" s="360"/>
      <c r="C923" s="361"/>
      <c r="N923" s="362"/>
    </row>
    <row r="924" spans="1:14" ht="16.8">
      <c r="A924" s="360"/>
      <c r="C924" s="361"/>
      <c r="N924" s="362"/>
    </row>
    <row r="925" spans="1:14" ht="16.8">
      <c r="A925" s="360"/>
      <c r="C925" s="361"/>
      <c r="N925" s="362"/>
    </row>
    <row r="926" spans="1:14" ht="16.8">
      <c r="A926" s="360"/>
      <c r="C926" s="361"/>
      <c r="N926" s="362"/>
    </row>
    <row r="927" spans="1:14" ht="16.8">
      <c r="A927" s="360"/>
      <c r="C927" s="361"/>
      <c r="N927" s="362"/>
    </row>
    <row r="928" spans="1:14" ht="16.8">
      <c r="A928" s="360"/>
      <c r="C928" s="361"/>
      <c r="N928" s="362"/>
    </row>
    <row r="929" spans="1:14" ht="16.8">
      <c r="A929" s="360"/>
      <c r="C929" s="361"/>
      <c r="N929" s="362"/>
    </row>
    <row r="930" spans="1:14" ht="16.8">
      <c r="A930" s="360"/>
      <c r="C930" s="361"/>
      <c r="N930" s="362"/>
    </row>
    <row r="931" spans="1:14" ht="16.8">
      <c r="A931" s="360"/>
      <c r="C931" s="361"/>
      <c r="N931" s="362"/>
    </row>
    <row r="932" spans="1:14" ht="16.8">
      <c r="A932" s="360"/>
      <c r="C932" s="361"/>
      <c r="N932" s="362"/>
    </row>
    <row r="933" spans="1:14" ht="16.8">
      <c r="A933" s="360"/>
      <c r="C933" s="361"/>
      <c r="N933" s="362"/>
    </row>
    <row r="934" spans="1:14" ht="16.8">
      <c r="A934" s="360"/>
      <c r="C934" s="361"/>
      <c r="N934" s="362"/>
    </row>
    <row r="935" spans="1:14" ht="16.8">
      <c r="A935" s="360"/>
      <c r="C935" s="361"/>
      <c r="N935" s="362"/>
    </row>
    <row r="936" spans="1:14" ht="16.8">
      <c r="A936" s="360"/>
      <c r="C936" s="361"/>
      <c r="N936" s="362"/>
    </row>
    <row r="937" spans="1:14" ht="16.8">
      <c r="A937" s="360"/>
      <c r="C937" s="361"/>
      <c r="N937" s="362"/>
    </row>
    <row r="938" spans="1:14" ht="16.8">
      <c r="A938" s="360"/>
      <c r="C938" s="361"/>
      <c r="N938" s="362"/>
    </row>
    <row r="939" spans="1:14" ht="16.8">
      <c r="A939" s="360"/>
      <c r="C939" s="361"/>
      <c r="N939" s="362"/>
    </row>
    <row r="940" spans="1:14" ht="16.8">
      <c r="A940" s="360"/>
      <c r="C940" s="361"/>
      <c r="N940" s="362"/>
    </row>
    <row r="941" spans="1:14" ht="16.8">
      <c r="A941" s="360"/>
      <c r="C941" s="361"/>
      <c r="N941" s="362"/>
    </row>
    <row r="942" spans="1:14" ht="16.8">
      <c r="A942" s="360"/>
      <c r="C942" s="361"/>
      <c r="N942" s="362"/>
    </row>
    <row r="943" spans="1:14" ht="16.8">
      <c r="A943" s="360"/>
      <c r="C943" s="361"/>
      <c r="N943" s="362"/>
    </row>
    <row r="944" spans="1:14" ht="16.8">
      <c r="A944" s="360"/>
      <c r="C944" s="361"/>
      <c r="N944" s="362"/>
    </row>
    <row r="945" spans="1:14" ht="16.8">
      <c r="A945" s="360"/>
      <c r="C945" s="361"/>
      <c r="N945" s="362"/>
    </row>
    <row r="946" spans="1:14" ht="16.8">
      <c r="A946" s="360"/>
      <c r="C946" s="361"/>
      <c r="N946" s="362"/>
    </row>
    <row r="947" spans="1:14" ht="16.8">
      <c r="A947" s="360"/>
      <c r="C947" s="361"/>
      <c r="N947" s="362"/>
    </row>
    <row r="948" spans="1:14" ht="16.8">
      <c r="A948" s="360"/>
      <c r="C948" s="361"/>
      <c r="N948" s="362"/>
    </row>
    <row r="949" spans="1:14" ht="16.8">
      <c r="A949" s="360"/>
      <c r="C949" s="361"/>
      <c r="N949" s="362"/>
    </row>
    <row r="950" spans="1:14" ht="16.8">
      <c r="A950" s="360"/>
      <c r="C950" s="361"/>
      <c r="N950" s="362"/>
    </row>
    <row r="951" spans="1:14" ht="16.8">
      <c r="A951" s="360"/>
      <c r="C951" s="361"/>
      <c r="N951" s="362"/>
    </row>
    <row r="952" spans="1:14" ht="16.8">
      <c r="A952" s="360"/>
      <c r="C952" s="361"/>
      <c r="N952" s="362"/>
    </row>
    <row r="953" spans="1:14" ht="16.8">
      <c r="A953" s="360"/>
      <c r="C953" s="361"/>
      <c r="N953" s="362"/>
    </row>
    <row r="954" spans="1:14" ht="16.8">
      <c r="A954" s="360"/>
      <c r="C954" s="361"/>
      <c r="N954" s="362"/>
    </row>
    <row r="955" spans="1:14" ht="16.8">
      <c r="A955" s="360"/>
      <c r="C955" s="361"/>
      <c r="N955" s="362"/>
    </row>
    <row r="956" spans="1:14" ht="16.8">
      <c r="A956" s="360"/>
      <c r="C956" s="361"/>
      <c r="N956" s="362"/>
    </row>
    <row r="957" spans="1:14" ht="16.8">
      <c r="A957" s="360"/>
      <c r="C957" s="361"/>
      <c r="N957" s="362"/>
    </row>
    <row r="958" spans="1:14" ht="16.8">
      <c r="A958" s="360"/>
      <c r="C958" s="361"/>
      <c r="N958" s="362"/>
    </row>
    <row r="959" spans="1:14" ht="16.8">
      <c r="A959" s="360"/>
      <c r="C959" s="361"/>
      <c r="N959" s="362"/>
    </row>
    <row r="960" spans="1:14" ht="16.8">
      <c r="A960" s="360"/>
      <c r="C960" s="361"/>
      <c r="N960" s="362"/>
    </row>
    <row r="961" spans="1:14" ht="16.8">
      <c r="A961" s="360"/>
      <c r="C961" s="361"/>
      <c r="N961" s="362"/>
    </row>
    <row r="962" spans="1:14" ht="16.8">
      <c r="A962" s="360"/>
      <c r="C962" s="361"/>
      <c r="N962" s="362"/>
    </row>
    <row r="963" spans="1:14" ht="16.8">
      <c r="A963" s="360"/>
      <c r="C963" s="361"/>
      <c r="N963" s="362"/>
    </row>
    <row r="964" spans="1:14" ht="16.8">
      <c r="A964" s="360"/>
      <c r="C964" s="361"/>
      <c r="N964" s="362"/>
    </row>
    <row r="965" spans="1:14" ht="16.8">
      <c r="A965" s="360"/>
      <c r="C965" s="361"/>
      <c r="N965" s="362"/>
    </row>
    <row r="966" spans="1:14" ht="16.8">
      <c r="A966" s="360"/>
      <c r="C966" s="361"/>
      <c r="N966" s="362"/>
    </row>
    <row r="967" spans="1:14" ht="16.8">
      <c r="A967" s="360"/>
      <c r="C967" s="361"/>
      <c r="N967" s="362"/>
    </row>
    <row r="968" spans="1:14" ht="16.8">
      <c r="A968" s="360"/>
      <c r="C968" s="361"/>
      <c r="N968" s="362"/>
    </row>
    <row r="969" spans="1:14" ht="16.8">
      <c r="A969" s="360"/>
      <c r="C969" s="361"/>
      <c r="N969" s="362"/>
    </row>
    <row r="970" spans="1:14" ht="16.8">
      <c r="A970" s="360"/>
      <c r="C970" s="361"/>
      <c r="N970" s="362"/>
    </row>
    <row r="971" spans="1:14" ht="16.8">
      <c r="A971" s="360"/>
      <c r="C971" s="361"/>
      <c r="N971" s="362"/>
    </row>
    <row r="972" spans="1:14" ht="16.8">
      <c r="A972" s="360"/>
      <c r="C972" s="361"/>
      <c r="N972" s="362"/>
    </row>
    <row r="973" spans="1:14" ht="16.8">
      <c r="A973" s="360"/>
      <c r="C973" s="361"/>
      <c r="N973" s="362"/>
    </row>
    <row r="974" spans="1:14" ht="16.8">
      <c r="A974" s="360"/>
      <c r="C974" s="361"/>
      <c r="N974" s="362"/>
    </row>
    <row r="975" spans="1:14" ht="16.8">
      <c r="A975" s="360"/>
      <c r="C975" s="361"/>
      <c r="N975" s="362"/>
    </row>
    <row r="976" spans="1:14" ht="16.8">
      <c r="A976" s="360"/>
      <c r="C976" s="361"/>
      <c r="N976" s="362"/>
    </row>
    <row r="977" spans="1:14" ht="16.8">
      <c r="A977" s="360"/>
      <c r="C977" s="361"/>
      <c r="N977" s="362"/>
    </row>
    <row r="978" spans="1:14" ht="16.8">
      <c r="A978" s="360"/>
      <c r="C978" s="361"/>
      <c r="N978" s="362"/>
    </row>
    <row r="979" spans="1:14" ht="16.8">
      <c r="A979" s="360"/>
      <c r="C979" s="361"/>
      <c r="N979" s="362"/>
    </row>
    <row r="980" spans="1:14" ht="16.8">
      <c r="A980" s="360"/>
      <c r="C980" s="361"/>
      <c r="N980" s="362"/>
    </row>
    <row r="981" spans="1:14" ht="16.8">
      <c r="A981" s="360"/>
      <c r="C981" s="361"/>
      <c r="N981" s="362"/>
    </row>
    <row r="982" spans="1:14" ht="16.8">
      <c r="A982" s="360"/>
      <c r="C982" s="361"/>
      <c r="N982" s="362"/>
    </row>
    <row r="983" spans="1:14" ht="16.8">
      <c r="A983" s="360"/>
      <c r="C983" s="361"/>
      <c r="N983" s="362"/>
    </row>
    <row r="984" spans="1:14" ht="16.8">
      <c r="A984" s="360"/>
      <c r="C984" s="361"/>
      <c r="N984" s="362"/>
    </row>
    <row r="985" spans="1:14" ht="16.8">
      <c r="A985" s="360"/>
      <c r="C985" s="361"/>
      <c r="N985" s="362"/>
    </row>
    <row r="986" spans="1:14" ht="16.8">
      <c r="A986" s="360"/>
      <c r="C986" s="361"/>
      <c r="N986" s="362"/>
    </row>
    <row r="987" spans="1:14" ht="16.8">
      <c r="A987" s="360"/>
      <c r="C987" s="361"/>
      <c r="N987" s="362"/>
    </row>
    <row r="988" spans="1:14" ht="16.8">
      <c r="A988" s="360"/>
      <c r="C988" s="361"/>
      <c r="N988" s="362"/>
    </row>
    <row r="989" spans="1:14" ht="16.8">
      <c r="A989" s="360"/>
      <c r="C989" s="361"/>
      <c r="N989" s="362"/>
    </row>
    <row r="990" spans="1:14" ht="16.8">
      <c r="A990" s="360"/>
      <c r="C990" s="361"/>
      <c r="N990" s="362"/>
    </row>
    <row r="991" spans="1:14" ht="16.8">
      <c r="A991" s="360"/>
      <c r="C991" s="361"/>
      <c r="N991" s="362"/>
    </row>
    <row r="992" spans="1:14" ht="16.8">
      <c r="A992" s="360"/>
      <c r="C992" s="361"/>
      <c r="N992" s="362"/>
    </row>
    <row r="993" spans="1:14" ht="16.8">
      <c r="A993" s="360"/>
      <c r="C993" s="361"/>
      <c r="N993" s="362"/>
    </row>
    <row r="994" spans="1:14" ht="16.8">
      <c r="A994" s="360"/>
      <c r="C994" s="361"/>
      <c r="N994" s="362"/>
    </row>
    <row r="995" spans="1:14" ht="16.8">
      <c r="A995" s="360"/>
      <c r="C995" s="361"/>
      <c r="N995" s="362"/>
    </row>
    <row r="996" spans="1:14" ht="16.8">
      <c r="A996" s="360"/>
      <c r="C996" s="361"/>
      <c r="N996" s="362"/>
    </row>
    <row r="997" spans="1:14" ht="16.8">
      <c r="A997" s="360"/>
      <c r="C997" s="361"/>
      <c r="N997" s="362"/>
    </row>
    <row r="998" spans="1:14" ht="16.8">
      <c r="A998" s="360"/>
      <c r="C998" s="361"/>
      <c r="N998" s="362"/>
    </row>
    <row r="999" spans="1:14" ht="16.8">
      <c r="A999" s="360"/>
      <c r="C999" s="361"/>
      <c r="N999" s="362"/>
    </row>
    <row r="1000" spans="1:14" ht="16.8">
      <c r="A1000" s="360"/>
      <c r="C1000" s="361"/>
      <c r="N1000" s="362"/>
    </row>
  </sheetData>
  <dataValidations count="1">
    <dataValidation type="custom" allowBlank="1" showDropDown="1" sqref="N2:N76">
      <formula1>AND(ISNUMBER(N2),(NOT(OR(NOT(ISERROR(DATEVALUE(N2))), AND(ISNUMBER(N2), LEFT(CELL("format", N2))="D")))))</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9999"/>
    <outlinePr summaryBelow="0" summaryRight="0"/>
  </sheetPr>
  <dimension ref="A1:AC1003"/>
  <sheetViews>
    <sheetView workbookViewId="0">
      <pane ySplit="1" topLeftCell="A2" activePane="bottomLeft" state="frozen"/>
      <selection pane="bottomLeft" activeCell="B3" sqref="B3"/>
    </sheetView>
  </sheetViews>
  <sheetFormatPr defaultColWidth="12.6640625" defaultRowHeight="15.75" customHeight="1"/>
  <cols>
    <col min="1" max="1" width="6.109375" customWidth="1"/>
    <col min="2" max="2" width="24.21875" customWidth="1"/>
    <col min="3" max="3" width="13.33203125" customWidth="1"/>
    <col min="4" max="4" width="13.44140625" customWidth="1"/>
    <col min="5" max="5" width="11.88671875" customWidth="1"/>
    <col min="6" max="6" width="2.77734375" customWidth="1"/>
    <col min="7" max="7" width="6" customWidth="1"/>
    <col min="8" max="8" width="21.33203125" customWidth="1"/>
    <col min="9" max="9" width="9.33203125" customWidth="1"/>
    <col min="10" max="10" width="7.6640625" customWidth="1"/>
    <col min="12" max="12" width="3.33203125" customWidth="1"/>
    <col min="13" max="13" width="7.6640625" customWidth="1"/>
    <col min="14" max="14" width="20.6640625" customWidth="1"/>
    <col min="15" max="15" width="8.109375" customWidth="1"/>
    <col min="16" max="16" width="7.109375" customWidth="1"/>
    <col min="18" max="18" width="2.88671875" customWidth="1"/>
    <col min="19" max="19" width="7.109375" customWidth="1"/>
    <col min="20" max="20" width="21.6640625" customWidth="1"/>
    <col min="21" max="21" width="9.33203125" customWidth="1"/>
    <col min="22" max="22" width="6.6640625" customWidth="1"/>
    <col min="23" max="23" width="11" customWidth="1"/>
    <col min="24" max="24" width="7.77734375" customWidth="1"/>
    <col min="29" max="29" width="19.6640625" customWidth="1"/>
  </cols>
  <sheetData>
    <row r="1" spans="1:29" ht="16.8">
      <c r="A1" s="363" t="s">
        <v>237</v>
      </c>
      <c r="B1" s="364" t="s">
        <v>238</v>
      </c>
      <c r="C1" s="364" t="s">
        <v>1</v>
      </c>
      <c r="D1" s="365" t="s">
        <v>2</v>
      </c>
      <c r="E1" s="364" t="s">
        <v>239</v>
      </c>
      <c r="F1" s="366"/>
      <c r="G1" s="366"/>
      <c r="H1" s="366"/>
      <c r="I1" s="366"/>
      <c r="J1" s="366"/>
      <c r="K1" s="366"/>
      <c r="L1" s="366"/>
      <c r="M1" s="366"/>
      <c r="N1" s="366"/>
      <c r="O1" s="366"/>
      <c r="P1" s="366"/>
      <c r="Q1" s="366"/>
      <c r="R1" s="366"/>
      <c r="S1" s="366"/>
      <c r="T1" s="366"/>
      <c r="U1" s="366"/>
      <c r="V1" s="366"/>
      <c r="W1" s="366"/>
      <c r="X1" s="367"/>
    </row>
    <row r="2" spans="1:29" ht="31.5" customHeight="1">
      <c r="A2" s="368">
        <v>2</v>
      </c>
      <c r="B2" s="369" t="s">
        <v>7</v>
      </c>
      <c r="C2" s="370">
        <f>HW!H18</f>
        <v>9002</v>
      </c>
      <c r="D2" s="371">
        <f>HW!H19</f>
        <v>10097</v>
      </c>
      <c r="E2" s="372">
        <f t="shared" ref="E2:E6" ca="1" si="0">RANK(C2,C:C, FALSE)+COUNTIF(C$2:C2,C2)-1</f>
        <v>1</v>
      </c>
      <c r="F2" s="373"/>
      <c r="G2" s="373"/>
      <c r="H2" s="1086">
        <f ca="1">VLOOKUP("Himanshu Warriors", B:E, 4,FALSE)</f>
        <v>1</v>
      </c>
      <c r="I2" s="1087"/>
      <c r="J2" s="1092">
        <f ca="1">VLOOKUP("Mehul Challengers", B:E, 4,FALSE)</f>
        <v>5</v>
      </c>
      <c r="K2" s="1093"/>
      <c r="L2" s="1093"/>
      <c r="M2" s="1087"/>
      <c r="N2" s="1095">
        <f ca="1">VLOOKUP("Onkar Legends", B:E, 4,FALSE)</f>
        <v>2</v>
      </c>
      <c r="O2" s="1087"/>
      <c r="P2" s="1096">
        <f ca="1">VLOOKUP("Abhishek Strikers", B:E, 4,FALSE)</f>
        <v>3</v>
      </c>
      <c r="Q2" s="1093"/>
      <c r="R2" s="1093"/>
      <c r="S2" s="1087"/>
      <c r="T2" s="1097">
        <f ca="1">VLOOKUP("Pranav Astra", B:E, 4,FALSE)</f>
        <v>4</v>
      </c>
      <c r="U2" s="1087"/>
      <c r="V2" s="373"/>
      <c r="W2" s="373"/>
      <c r="X2" s="374"/>
      <c r="Y2" s="375"/>
      <c r="Z2" s="375"/>
      <c r="AA2" s="375"/>
      <c r="AB2" s="375"/>
      <c r="AC2" s="375"/>
    </row>
    <row r="3" spans="1:29" ht="31.5" customHeight="1">
      <c r="A3" s="376">
        <v>4</v>
      </c>
      <c r="B3" s="377" t="s">
        <v>9</v>
      </c>
      <c r="C3" s="378">
        <f>Legends[[#Totals],[Points]]</f>
        <v>8341</v>
      </c>
      <c r="D3" s="379">
        <f>OL!H18</f>
        <v>8882</v>
      </c>
      <c r="E3" s="380">
        <f t="shared" ca="1" si="0"/>
        <v>2</v>
      </c>
      <c r="F3" s="373"/>
      <c r="G3" s="373"/>
      <c r="H3" s="1088"/>
      <c r="I3" s="1089"/>
      <c r="J3" s="1088"/>
      <c r="K3" s="1015"/>
      <c r="L3" s="1015"/>
      <c r="M3" s="1089"/>
      <c r="N3" s="1088"/>
      <c r="O3" s="1089"/>
      <c r="P3" s="1088"/>
      <c r="Q3" s="1015"/>
      <c r="R3" s="1015"/>
      <c r="S3" s="1089"/>
      <c r="T3" s="1015"/>
      <c r="U3" s="1089"/>
      <c r="V3" s="373"/>
      <c r="W3" s="373"/>
      <c r="X3" s="374"/>
      <c r="Y3" s="375"/>
      <c r="Z3" s="375"/>
      <c r="AA3" s="375"/>
      <c r="AB3" s="375"/>
      <c r="AC3" s="375"/>
    </row>
    <row r="4" spans="1:29" ht="31.5" customHeight="1">
      <c r="A4" s="381">
        <v>1</v>
      </c>
      <c r="B4" s="382" t="s">
        <v>11</v>
      </c>
      <c r="C4" s="378">
        <f>Strikers[[#Totals],[Points]]</f>
        <v>8155</v>
      </c>
      <c r="D4" s="379">
        <f>AS!H18</f>
        <v>8775</v>
      </c>
      <c r="E4" s="380">
        <f t="shared" ca="1" si="0"/>
        <v>3</v>
      </c>
      <c r="F4" s="373"/>
      <c r="G4" s="373"/>
      <c r="H4" s="1088"/>
      <c r="I4" s="1089"/>
      <c r="J4" s="1088"/>
      <c r="K4" s="1015"/>
      <c r="L4" s="1015"/>
      <c r="M4" s="1089"/>
      <c r="N4" s="1088"/>
      <c r="O4" s="1089"/>
      <c r="P4" s="1088"/>
      <c r="Q4" s="1015"/>
      <c r="R4" s="1015"/>
      <c r="S4" s="1089"/>
      <c r="T4" s="1015"/>
      <c r="U4" s="1089"/>
      <c r="V4" s="373"/>
      <c r="W4" s="373"/>
      <c r="X4" s="374"/>
      <c r="Y4" s="375"/>
      <c r="Z4" s="375"/>
      <c r="AA4" s="375"/>
      <c r="AB4" s="375"/>
      <c r="AC4" s="375"/>
    </row>
    <row r="5" spans="1:29" ht="33" customHeight="1">
      <c r="A5" s="383">
        <v>3</v>
      </c>
      <c r="B5" s="384" t="s">
        <v>13</v>
      </c>
      <c r="C5" s="385">
        <f>PA!H17</f>
        <v>7919</v>
      </c>
      <c r="D5" s="386">
        <f>PA!H18</f>
        <v>8142</v>
      </c>
      <c r="E5" s="380">
        <f t="shared" ca="1" si="0"/>
        <v>4</v>
      </c>
      <c r="F5" s="373"/>
      <c r="G5" s="373"/>
      <c r="H5" s="1088"/>
      <c r="I5" s="1089"/>
      <c r="J5" s="1088"/>
      <c r="K5" s="1015"/>
      <c r="L5" s="1015"/>
      <c r="M5" s="1089"/>
      <c r="N5" s="1088"/>
      <c r="O5" s="1089"/>
      <c r="P5" s="1088"/>
      <c r="Q5" s="1015"/>
      <c r="R5" s="1015"/>
      <c r="S5" s="1089"/>
      <c r="T5" s="1015"/>
      <c r="U5" s="1089"/>
      <c r="V5" s="373"/>
      <c r="W5" s="373"/>
      <c r="X5" s="374"/>
      <c r="Y5" s="375"/>
      <c r="Z5" s="375"/>
      <c r="AA5" s="375"/>
      <c r="AB5" s="375"/>
      <c r="AC5" s="375"/>
    </row>
    <row r="6" spans="1:29" ht="30.75" customHeight="1">
      <c r="A6" s="387">
        <v>5</v>
      </c>
      <c r="B6" s="388" t="s">
        <v>15</v>
      </c>
      <c r="C6" s="389">
        <f>Challengers[[#Totals],[Points]]</f>
        <v>6245</v>
      </c>
      <c r="D6" s="390">
        <f>MC!H18</f>
        <v>6579</v>
      </c>
      <c r="E6" s="391">
        <f t="shared" ca="1" si="0"/>
        <v>5</v>
      </c>
      <c r="F6" s="373"/>
      <c r="G6" s="373"/>
      <c r="H6" s="1090"/>
      <c r="I6" s="1091"/>
      <c r="J6" s="1090"/>
      <c r="K6" s="1094"/>
      <c r="L6" s="1094"/>
      <c r="M6" s="1091"/>
      <c r="N6" s="1090"/>
      <c r="O6" s="1091"/>
      <c r="P6" s="1090"/>
      <c r="Q6" s="1094"/>
      <c r="R6" s="1094"/>
      <c r="S6" s="1091"/>
      <c r="T6" s="1094"/>
      <c r="U6" s="1091"/>
      <c r="V6" s="373"/>
      <c r="W6" s="373"/>
      <c r="X6" s="374"/>
      <c r="Y6" s="375"/>
      <c r="Z6" s="375"/>
      <c r="AA6" s="375"/>
      <c r="AB6" s="375"/>
      <c r="AC6" s="375"/>
    </row>
    <row r="7" spans="1:29" ht="13.2">
      <c r="A7" s="392"/>
      <c r="B7" s="393"/>
      <c r="C7" s="393"/>
      <c r="D7" s="393"/>
      <c r="E7" s="393"/>
      <c r="F7" s="373"/>
      <c r="G7" s="373"/>
      <c r="H7" s="373"/>
      <c r="I7" s="373"/>
      <c r="J7" s="373"/>
      <c r="K7" s="373"/>
      <c r="L7" s="373"/>
      <c r="M7" s="373"/>
      <c r="N7" s="373"/>
      <c r="O7" s="373"/>
      <c r="P7" s="373"/>
      <c r="Q7" s="373"/>
      <c r="R7" s="373"/>
      <c r="S7" s="373"/>
      <c r="T7" s="373"/>
      <c r="U7" s="373"/>
      <c r="V7" s="373"/>
      <c r="W7" s="373"/>
      <c r="X7" s="374"/>
      <c r="Y7" s="375"/>
      <c r="Z7" s="375"/>
      <c r="AA7" s="375"/>
      <c r="AB7" s="375"/>
      <c r="AC7" s="375"/>
    </row>
    <row r="8" spans="1:29" ht="13.2" hidden="1">
      <c r="A8" s="394"/>
      <c r="F8" s="373"/>
      <c r="L8" s="373"/>
      <c r="R8" s="373"/>
      <c r="X8" s="374"/>
      <c r="Y8" s="375"/>
      <c r="Z8" s="375"/>
      <c r="AA8" s="375"/>
      <c r="AB8" s="375"/>
      <c r="AC8" s="375"/>
    </row>
    <row r="9" spans="1:29" ht="13.2" hidden="1">
      <c r="A9" s="394"/>
      <c r="F9" s="373"/>
      <c r="L9" s="373"/>
      <c r="R9" s="373"/>
      <c r="X9" s="374"/>
      <c r="Y9" s="375"/>
      <c r="Z9" s="375"/>
      <c r="AA9" s="375"/>
      <c r="AB9" s="375"/>
      <c r="AC9" s="375"/>
    </row>
    <row r="10" spans="1:29" ht="21">
      <c r="A10" s="1098" t="s">
        <v>240</v>
      </c>
      <c r="B10" s="1084"/>
      <c r="C10" s="1084"/>
      <c r="D10" s="1084"/>
      <c r="E10" s="1085"/>
      <c r="F10" s="395"/>
      <c r="G10" s="1083" t="s">
        <v>241</v>
      </c>
      <c r="H10" s="1084"/>
      <c r="I10" s="1084"/>
      <c r="J10" s="1084"/>
      <c r="K10" s="1085"/>
      <c r="L10" s="395"/>
      <c r="M10" s="1083" t="s">
        <v>242</v>
      </c>
      <c r="N10" s="1084"/>
      <c r="O10" s="1084"/>
      <c r="P10" s="1084"/>
      <c r="Q10" s="1085"/>
      <c r="R10" s="395"/>
      <c r="S10" s="1083" t="s">
        <v>243</v>
      </c>
      <c r="T10" s="1084"/>
      <c r="U10" s="1084"/>
      <c r="V10" s="1084"/>
      <c r="W10" s="1085"/>
      <c r="X10" s="374"/>
      <c r="Y10" s="375"/>
      <c r="Z10" s="375"/>
      <c r="AA10" s="375"/>
      <c r="AB10" s="375"/>
      <c r="AC10" s="375"/>
    </row>
    <row r="11" spans="1:29" ht="16.8">
      <c r="A11" s="396" t="s">
        <v>237</v>
      </c>
      <c r="B11" s="397" t="str">
        <f ca="1">IFERROR(__xludf.DUMMYFUNCTION("QUERY(Performance!A:D, ""SELECT A, B, C, D ORDER BY D DESC LIMIT 12"", 1)"),"Name")</f>
        <v>Name</v>
      </c>
      <c r="C11" s="398" t="str">
        <f ca="1">IFERROR(__xludf.DUMMYFUNCTION("""COMPUTED_VALUE"""),"Team")</f>
        <v>Team</v>
      </c>
      <c r="D11" s="398" t="str">
        <f ca="1">IFERROR(__xludf.DUMMYFUNCTION("""COMPUTED_VALUE"""),"IPL")</f>
        <v>IPL</v>
      </c>
      <c r="E11" s="399" t="str">
        <f ca="1">IFERROR(__xludf.DUMMYFUNCTION("""COMPUTED_VALUE"""),"Points")</f>
        <v>Points</v>
      </c>
      <c r="F11" s="395"/>
      <c r="G11" s="400" t="s">
        <v>237</v>
      </c>
      <c r="H11" s="397" t="str">
        <f ca="1">IFERROR(__xludf.DUMMYFUNCTION("QUERY(Performance!A:L, ""SELECT A, B, C, D WHERE L = 'Batter' ORDER BY D DESC LIMIT 10"", 1)
"),"Name")</f>
        <v>Name</v>
      </c>
      <c r="I11" s="398" t="str">
        <f ca="1">IFERROR(__xludf.DUMMYFUNCTION("""COMPUTED_VALUE"""),"Team")</f>
        <v>Team</v>
      </c>
      <c r="J11" s="398" t="str">
        <f ca="1">IFERROR(__xludf.DUMMYFUNCTION("""COMPUTED_VALUE"""),"IPL")</f>
        <v>IPL</v>
      </c>
      <c r="K11" s="399" t="str">
        <f ca="1">IFERROR(__xludf.DUMMYFUNCTION("""COMPUTED_VALUE"""),"Points")</f>
        <v>Points</v>
      </c>
      <c r="L11" s="395"/>
      <c r="M11" s="400" t="s">
        <v>237</v>
      </c>
      <c r="N11" s="397" t="str">
        <f ca="1">IFERROR(__xludf.DUMMYFUNCTION("QUERY(Performance!A:L, ""SELECT A, B, C, D WHERE L = 'Bowler' ORDER BY D DESC LIMIT 10"", 1)
"),"Name")</f>
        <v>Name</v>
      </c>
      <c r="O11" s="398" t="str">
        <f ca="1">IFERROR(__xludf.DUMMYFUNCTION("""COMPUTED_VALUE"""),"Team")</f>
        <v>Team</v>
      </c>
      <c r="P11" s="398" t="str">
        <f ca="1">IFERROR(__xludf.DUMMYFUNCTION("""COMPUTED_VALUE"""),"IPL")</f>
        <v>IPL</v>
      </c>
      <c r="Q11" s="399" t="str">
        <f ca="1">IFERROR(__xludf.DUMMYFUNCTION("""COMPUTED_VALUE"""),"Points")</f>
        <v>Points</v>
      </c>
      <c r="R11" s="395"/>
      <c r="S11" s="400" t="s">
        <v>237</v>
      </c>
      <c r="T11" s="397" t="str">
        <f ca="1">IFERROR(__xludf.DUMMYFUNCTION("QUERY(Performance!A:L, ""SELECT A, B, C, D WHERE L = 'All-Rounder' ORDER BY D DESC LIMIT 10"", 1)
"),"Name")</f>
        <v>Name</v>
      </c>
      <c r="U11" s="398" t="str">
        <f ca="1">IFERROR(__xludf.DUMMYFUNCTION("""COMPUTED_VALUE"""),"Team")</f>
        <v>Team</v>
      </c>
      <c r="V11" s="398" t="str">
        <f ca="1">IFERROR(__xludf.DUMMYFUNCTION("""COMPUTED_VALUE"""),"IPL")</f>
        <v>IPL</v>
      </c>
      <c r="W11" s="399" t="str">
        <f ca="1">IFERROR(__xludf.DUMMYFUNCTION("""COMPUTED_VALUE"""),"Points")</f>
        <v>Points</v>
      </c>
      <c r="X11" s="374"/>
      <c r="Y11" s="375"/>
      <c r="Z11" s="375"/>
      <c r="AA11" s="375"/>
      <c r="AB11" s="375"/>
      <c r="AC11" s="375"/>
    </row>
    <row r="12" spans="1:29" ht="27.75" customHeight="1">
      <c r="A12" s="401">
        <v>1</v>
      </c>
      <c r="B12" s="402" t="str">
        <f ca="1">IFERROR(__xludf.DUMMYFUNCTION("""COMPUTED_VALUE"""),"Vaibhav Suryavanshi")</f>
        <v>Vaibhav Suryavanshi</v>
      </c>
      <c r="C12" s="403" t="str">
        <f ca="1">IFERROR(__xludf.DUMMYFUNCTION("""COMPUTED_VALUE"""),"AS")</f>
        <v>AS</v>
      </c>
      <c r="D12" s="403" t="str">
        <f ca="1">IFERROR(__xludf.DUMMYFUNCTION("""COMPUTED_VALUE"""),"RR")</f>
        <v>RR</v>
      </c>
      <c r="E12" s="404">
        <f ca="1">IFERROR(__xludf.DUMMYFUNCTION("""COMPUTED_VALUE"""),1211)</f>
        <v>1211</v>
      </c>
      <c r="F12" s="395"/>
      <c r="G12" s="405">
        <v>1</v>
      </c>
      <c r="H12" s="402" t="str">
        <f ca="1">IFERROR(__xludf.DUMMYFUNCTION("""COMPUTED_VALUE"""),"Shubman Gill")</f>
        <v>Shubman Gill</v>
      </c>
      <c r="I12" s="403" t="str">
        <f ca="1">IFERROR(__xludf.DUMMYFUNCTION("""COMPUTED_VALUE"""),"HW")</f>
        <v>HW</v>
      </c>
      <c r="J12" s="403" t="str">
        <f ca="1">IFERROR(__xludf.DUMMYFUNCTION("""COMPUTED_VALUE"""),"GT")</f>
        <v>GT</v>
      </c>
      <c r="K12" s="404">
        <f ca="1">IFERROR(__xludf.DUMMYFUNCTION("""COMPUTED_VALUE"""),1178)</f>
        <v>1178</v>
      </c>
      <c r="L12" s="395"/>
      <c r="M12" s="405">
        <v>1</v>
      </c>
      <c r="N12" s="402" t="str">
        <f ca="1">IFERROR(__xludf.DUMMYFUNCTION("""COMPUTED_VALUE"""),"Jofra Archer")</f>
        <v>Jofra Archer</v>
      </c>
      <c r="O12" s="403" t="str">
        <f ca="1">IFERROR(__xludf.DUMMYFUNCTION("""COMPUTED_VALUE"""),"HW")</f>
        <v>HW</v>
      </c>
      <c r="P12" s="406" t="str">
        <f ca="1">IFERROR(__xludf.DUMMYFUNCTION("""COMPUTED_VALUE"""),"RR")</f>
        <v>RR</v>
      </c>
      <c r="Q12" s="404">
        <f ca="1">IFERROR(__xludf.DUMMYFUNCTION("""COMPUTED_VALUE"""),1083)</f>
        <v>1083</v>
      </c>
      <c r="R12" s="395"/>
      <c r="S12" s="405">
        <v>1</v>
      </c>
      <c r="T12" s="402" t="str">
        <f ca="1">IFERROR(__xludf.DUMMYFUNCTION("""COMPUTED_VALUE"""),"Vaibhav Suryavanshi")</f>
        <v>Vaibhav Suryavanshi</v>
      </c>
      <c r="U12" s="403" t="str">
        <f ca="1">IFERROR(__xludf.DUMMYFUNCTION("""COMPUTED_VALUE"""),"AS")</f>
        <v>AS</v>
      </c>
      <c r="V12" s="403" t="str">
        <f ca="1">IFERROR(__xludf.DUMMYFUNCTION("""COMPUTED_VALUE"""),"RR")</f>
        <v>RR</v>
      </c>
      <c r="W12" s="404">
        <f ca="1">IFERROR(__xludf.DUMMYFUNCTION("""COMPUTED_VALUE"""),1211)</f>
        <v>1211</v>
      </c>
      <c r="X12" s="374"/>
      <c r="Y12" s="375"/>
      <c r="Z12" s="375"/>
      <c r="AA12" s="375"/>
      <c r="AB12" s="375"/>
      <c r="AC12" s="375"/>
    </row>
    <row r="13" spans="1:29" ht="27.75" customHeight="1">
      <c r="A13" s="401">
        <v>2</v>
      </c>
      <c r="B13" s="402" t="str">
        <f ca="1">IFERROR(__xludf.DUMMYFUNCTION("""COMPUTED_VALUE"""),"Shubman Gill")</f>
        <v>Shubman Gill</v>
      </c>
      <c r="C13" s="403" t="str">
        <f ca="1">IFERROR(__xludf.DUMMYFUNCTION("""COMPUTED_VALUE"""),"HW")</f>
        <v>HW</v>
      </c>
      <c r="D13" s="403" t="str">
        <f ca="1">IFERROR(__xludf.DUMMYFUNCTION("""COMPUTED_VALUE"""),"GT")</f>
        <v>GT</v>
      </c>
      <c r="E13" s="404">
        <f ca="1">IFERROR(__xludf.DUMMYFUNCTION("""COMPUTED_VALUE"""),1178)</f>
        <v>1178</v>
      </c>
      <c r="F13" s="395"/>
      <c r="G13" s="405">
        <v>2</v>
      </c>
      <c r="H13" s="402" t="str">
        <f ca="1">IFERROR(__xludf.DUMMYFUNCTION("""COMPUTED_VALUE"""),"Sai Sudharsan")</f>
        <v>Sai Sudharsan</v>
      </c>
      <c r="I13" s="403" t="str">
        <f ca="1">IFERROR(__xludf.DUMMYFUNCTION("""COMPUTED_VALUE"""),"AS")</f>
        <v>AS</v>
      </c>
      <c r="J13" s="403" t="str">
        <f ca="1">IFERROR(__xludf.DUMMYFUNCTION("""COMPUTED_VALUE"""),"GT")</f>
        <v>GT</v>
      </c>
      <c r="K13" s="404">
        <f ca="1">IFERROR(__xludf.DUMMYFUNCTION("""COMPUTED_VALUE"""),1089)</f>
        <v>1089</v>
      </c>
      <c r="L13" s="395"/>
      <c r="M13" s="405">
        <v>2</v>
      </c>
      <c r="N13" s="402" t="str">
        <f ca="1">IFERROR(__xludf.DUMMYFUNCTION("""COMPUTED_VALUE"""),"Bhuvneshwar Kumar")</f>
        <v>Bhuvneshwar Kumar</v>
      </c>
      <c r="O13" s="403" t="str">
        <f ca="1">IFERROR(__xludf.DUMMYFUNCTION("""COMPUTED_VALUE"""),"MC")</f>
        <v>MC</v>
      </c>
      <c r="P13" s="406" t="str">
        <f ca="1">IFERROR(__xludf.DUMMYFUNCTION("""COMPUTED_VALUE"""),"RCB")</f>
        <v>RCB</v>
      </c>
      <c r="Q13" s="404">
        <f ca="1">IFERROR(__xludf.DUMMYFUNCTION("""COMPUTED_VALUE"""),1051)</f>
        <v>1051</v>
      </c>
      <c r="R13" s="395"/>
      <c r="S13" s="405">
        <v>2</v>
      </c>
      <c r="T13" s="402" t="str">
        <f ca="1">IFERROR(__xludf.DUMMYFUNCTION("""COMPUTED_VALUE"""),"Abhishek Sharma")</f>
        <v>Abhishek Sharma</v>
      </c>
      <c r="U13" s="403" t="str">
        <f ca="1">IFERROR(__xludf.DUMMYFUNCTION("""COMPUTED_VALUE"""),"AS")</f>
        <v>AS</v>
      </c>
      <c r="V13" s="403" t="str">
        <f ca="1">IFERROR(__xludf.DUMMYFUNCTION("""COMPUTED_VALUE"""),"SRH")</f>
        <v>SRH</v>
      </c>
      <c r="W13" s="404">
        <f ca="1">IFERROR(__xludf.DUMMYFUNCTION("""COMPUTED_VALUE"""),955)</f>
        <v>955</v>
      </c>
      <c r="X13" s="374"/>
      <c r="Y13" s="375"/>
      <c r="Z13" s="375"/>
      <c r="AA13" s="375"/>
      <c r="AB13" s="375"/>
      <c r="AC13" s="375"/>
    </row>
    <row r="14" spans="1:29" ht="26.25" customHeight="1">
      <c r="A14" s="401">
        <v>3</v>
      </c>
      <c r="B14" s="402" t="str">
        <f ca="1">IFERROR(__xludf.DUMMYFUNCTION("""COMPUTED_VALUE"""),"Sai Sudharsan")</f>
        <v>Sai Sudharsan</v>
      </c>
      <c r="C14" s="403" t="str">
        <f ca="1">IFERROR(__xludf.DUMMYFUNCTION("""COMPUTED_VALUE"""),"AS")</f>
        <v>AS</v>
      </c>
      <c r="D14" s="403" t="str">
        <f ca="1">IFERROR(__xludf.DUMMYFUNCTION("""COMPUTED_VALUE"""),"GT")</f>
        <v>GT</v>
      </c>
      <c r="E14" s="404">
        <f ca="1">IFERROR(__xludf.DUMMYFUNCTION("""COMPUTED_VALUE"""),1089)</f>
        <v>1089</v>
      </c>
      <c r="F14" s="395"/>
      <c r="G14" s="405">
        <v>3</v>
      </c>
      <c r="H14" s="402" t="str">
        <f ca="1">IFERROR(__xludf.DUMMYFUNCTION("""COMPUTED_VALUE"""),"Virat Kohli")</f>
        <v>Virat Kohli</v>
      </c>
      <c r="I14" s="403" t="str">
        <f ca="1">IFERROR(__xludf.DUMMYFUNCTION("""COMPUTED_VALUE"""),"PA")</f>
        <v>PA</v>
      </c>
      <c r="J14" s="403" t="str">
        <f ca="1">IFERROR(__xludf.DUMMYFUNCTION("""COMPUTED_VALUE"""),"RCB")</f>
        <v>RCB</v>
      </c>
      <c r="K14" s="404">
        <f ca="1">IFERROR(__xludf.DUMMYFUNCTION("""COMPUTED_VALUE"""),1060)</f>
        <v>1060</v>
      </c>
      <c r="L14" s="395"/>
      <c r="M14" s="405">
        <v>3</v>
      </c>
      <c r="N14" s="402" t="str">
        <f ca="1">IFERROR(__xludf.DUMMYFUNCTION("""COMPUTED_VALUE"""),"Khaleel + Rabada")</f>
        <v>Khaleel + Rabada</v>
      </c>
      <c r="O14" s="403" t="str">
        <f ca="1">IFERROR(__xludf.DUMMYFUNCTION("""COMPUTED_VALUE"""),"HW")</f>
        <v>HW</v>
      </c>
      <c r="P14" s="406" t="str">
        <f ca="1">IFERROR(__xludf.DUMMYFUNCTION("""COMPUTED_VALUE"""),"CSK/GT")</f>
        <v>CSK/GT</v>
      </c>
      <c r="Q14" s="404">
        <f ca="1">IFERROR(__xludf.DUMMYFUNCTION("""COMPUTED_VALUE"""),1048)</f>
        <v>1048</v>
      </c>
      <c r="R14" s="395"/>
      <c r="S14" s="405">
        <v>3</v>
      </c>
      <c r="T14" s="402" t="str">
        <f ca="1">IFERROR(__xludf.DUMMYFUNCTION("""COMPUTED_VALUE"""),"Mitchell Marsh")</f>
        <v>Mitchell Marsh</v>
      </c>
      <c r="U14" s="403" t="str">
        <f ca="1">IFERROR(__xludf.DUMMYFUNCTION("""COMPUTED_VALUE"""),"HW")</f>
        <v>HW</v>
      </c>
      <c r="V14" s="403" t="str">
        <f ca="1">IFERROR(__xludf.DUMMYFUNCTION("""COMPUTED_VALUE"""),"LSG")</f>
        <v>LSG</v>
      </c>
      <c r="W14" s="404">
        <f ca="1">IFERROR(__xludf.DUMMYFUNCTION("""COMPUTED_VALUE"""),854)</f>
        <v>854</v>
      </c>
      <c r="X14" s="374"/>
      <c r="Y14" s="375"/>
      <c r="Z14" s="375"/>
      <c r="AA14" s="375"/>
      <c r="AB14" s="375"/>
      <c r="AC14" s="375"/>
    </row>
    <row r="15" spans="1:29" ht="24" customHeight="1">
      <c r="A15" s="401">
        <v>4</v>
      </c>
      <c r="B15" s="402" t="str">
        <f ca="1">IFERROR(__xludf.DUMMYFUNCTION("""COMPUTED_VALUE"""),"Jofra Archer")</f>
        <v>Jofra Archer</v>
      </c>
      <c r="C15" s="403" t="str">
        <f ca="1">IFERROR(__xludf.DUMMYFUNCTION("""COMPUTED_VALUE"""),"HW")</f>
        <v>HW</v>
      </c>
      <c r="D15" s="403" t="str">
        <f ca="1">IFERROR(__xludf.DUMMYFUNCTION("""COMPUTED_VALUE"""),"RR")</f>
        <v>RR</v>
      </c>
      <c r="E15" s="404">
        <f ca="1">IFERROR(__xludf.DUMMYFUNCTION("""COMPUTED_VALUE"""),1083)</f>
        <v>1083</v>
      </c>
      <c r="F15" s="395"/>
      <c r="G15" s="405">
        <v>4</v>
      </c>
      <c r="H15" s="402" t="str">
        <f ca="1">IFERROR(__xludf.DUMMYFUNCTION("""COMPUTED_VALUE"""),"Jos Buttler")</f>
        <v>Jos Buttler</v>
      </c>
      <c r="I15" s="403" t="str">
        <f ca="1">IFERROR(__xludf.DUMMYFUNCTION("""COMPUTED_VALUE"""),"PA")</f>
        <v>PA</v>
      </c>
      <c r="J15" s="403" t="str">
        <f ca="1">IFERROR(__xludf.DUMMYFUNCTION("""COMPUTED_VALUE"""),"GT")</f>
        <v>GT</v>
      </c>
      <c r="K15" s="404">
        <f ca="1">IFERROR(__xludf.DUMMYFUNCTION("""COMPUTED_VALUE"""),1037)</f>
        <v>1037</v>
      </c>
      <c r="L15" s="395"/>
      <c r="M15" s="405">
        <v>4</v>
      </c>
      <c r="N15" s="402" t="str">
        <f ca="1">IFERROR(__xludf.DUMMYFUNCTION("""COMPUTED_VALUE"""),"Rashid Khan")</f>
        <v>Rashid Khan</v>
      </c>
      <c r="O15" s="403" t="str">
        <f ca="1">IFERROR(__xludf.DUMMYFUNCTION("""COMPUTED_VALUE"""),"OL")</f>
        <v>OL</v>
      </c>
      <c r="P15" s="406" t="str">
        <f ca="1">IFERROR(__xludf.DUMMYFUNCTION("""COMPUTED_VALUE"""),"GT")</f>
        <v>GT</v>
      </c>
      <c r="Q15" s="404">
        <f ca="1">IFERROR(__xludf.DUMMYFUNCTION("""COMPUTED_VALUE"""),874)</f>
        <v>874</v>
      </c>
      <c r="R15" s="395"/>
      <c r="S15" s="405">
        <v>4</v>
      </c>
      <c r="T15" s="402" t="str">
        <f ca="1">IFERROR(__xludf.DUMMYFUNCTION("""COMPUTED_VALUE"""),"Krunal Pandya")</f>
        <v>Krunal Pandya</v>
      </c>
      <c r="U15" s="403" t="str">
        <f ca="1">IFERROR(__xludf.DUMMYFUNCTION("""COMPUTED_VALUE"""),"OL")</f>
        <v>OL</v>
      </c>
      <c r="V15" s="403" t="str">
        <f ca="1">IFERROR(__xludf.DUMMYFUNCTION("""COMPUTED_VALUE"""),"RCB")</f>
        <v>RCB</v>
      </c>
      <c r="W15" s="404">
        <f ca="1">IFERROR(__xludf.DUMMYFUNCTION("""COMPUTED_VALUE"""),836)</f>
        <v>836</v>
      </c>
      <c r="X15" s="374"/>
      <c r="Y15" s="375"/>
      <c r="Z15" s="375"/>
      <c r="AA15" s="375"/>
      <c r="AB15" s="375"/>
      <c r="AC15" s="375"/>
    </row>
    <row r="16" spans="1:29" ht="23.25" customHeight="1">
      <c r="A16" s="407">
        <v>5</v>
      </c>
      <c r="B16" s="408" t="str">
        <f ca="1">IFERROR(__xludf.DUMMYFUNCTION("""COMPUTED_VALUE"""),"Virat Kohli")</f>
        <v>Virat Kohli</v>
      </c>
      <c r="C16" s="409" t="str">
        <f ca="1">IFERROR(__xludf.DUMMYFUNCTION("""COMPUTED_VALUE"""),"PA")</f>
        <v>PA</v>
      </c>
      <c r="D16" s="409" t="str">
        <f ca="1">IFERROR(__xludf.DUMMYFUNCTION("""COMPUTED_VALUE"""),"RCB")</f>
        <v>RCB</v>
      </c>
      <c r="E16" s="410">
        <f ca="1">IFERROR(__xludf.DUMMYFUNCTION("""COMPUTED_VALUE"""),1060)</f>
        <v>1060</v>
      </c>
      <c r="F16" s="395"/>
      <c r="G16" s="411">
        <v>5</v>
      </c>
      <c r="H16" s="408" t="str">
        <f ca="1">IFERROR(__xludf.DUMMYFUNCTION("""COMPUTED_VALUE"""),"Heinrich Klaasen")</f>
        <v>Heinrich Klaasen</v>
      </c>
      <c r="I16" s="409" t="str">
        <f ca="1">IFERROR(__xludf.DUMMYFUNCTION("""COMPUTED_VALUE"""),"PA")</f>
        <v>PA</v>
      </c>
      <c r="J16" s="409" t="str">
        <f ca="1">IFERROR(__xludf.DUMMYFUNCTION("""COMPUTED_VALUE"""),"SRH")</f>
        <v>SRH</v>
      </c>
      <c r="K16" s="410">
        <f ca="1">IFERROR(__xludf.DUMMYFUNCTION("""COMPUTED_VALUE"""),1016)</f>
        <v>1016</v>
      </c>
      <c r="L16" s="395"/>
      <c r="M16" s="411">
        <v>5</v>
      </c>
      <c r="N16" s="408" t="str">
        <f ca="1">IFERROR(__xludf.DUMMYFUNCTION("""COMPUTED_VALUE"""),"Mohammad Siraj")</f>
        <v>Mohammad Siraj</v>
      </c>
      <c r="O16" s="409" t="str">
        <f ca="1">IFERROR(__xludf.DUMMYFUNCTION("""COMPUTED_VALUE"""),"HW")</f>
        <v>HW</v>
      </c>
      <c r="P16" s="412" t="str">
        <f ca="1">IFERROR(__xludf.DUMMYFUNCTION("""COMPUTED_VALUE"""),"GT")</f>
        <v>GT</v>
      </c>
      <c r="Q16" s="410">
        <f ca="1">IFERROR(__xludf.DUMMYFUNCTION("""COMPUTED_VALUE"""),775)</f>
        <v>775</v>
      </c>
      <c r="R16" s="395"/>
      <c r="S16" s="411">
        <v>5</v>
      </c>
      <c r="T16" s="408" t="str">
        <f ca="1">IFERROR(__xludf.DUMMYFUNCTION("""COMPUTED_VALUE"""),"Axar Patel")</f>
        <v>Axar Patel</v>
      </c>
      <c r="U16" s="409" t="str">
        <f ca="1">IFERROR(__xludf.DUMMYFUNCTION("""COMPUTED_VALUE"""),"OL")</f>
        <v>OL</v>
      </c>
      <c r="V16" s="409" t="str">
        <f ca="1">IFERROR(__xludf.DUMMYFUNCTION("""COMPUTED_VALUE"""),"DC")</f>
        <v>DC</v>
      </c>
      <c r="W16" s="410">
        <f ca="1">IFERROR(__xludf.DUMMYFUNCTION("""COMPUTED_VALUE"""),724)</f>
        <v>724</v>
      </c>
      <c r="X16" s="374"/>
      <c r="Y16" s="375"/>
      <c r="Z16" s="375"/>
      <c r="AA16" s="375"/>
      <c r="AB16" s="375"/>
      <c r="AC16" s="375"/>
    </row>
    <row r="17" spans="1:29" ht="27.75" hidden="1" customHeight="1">
      <c r="A17" s="413">
        <v>6</v>
      </c>
      <c r="B17" s="414" t="str">
        <f ca="1">IFERROR(__xludf.DUMMYFUNCTION("""COMPUTED_VALUE"""),"Bhuvneshwar Kumar")</f>
        <v>Bhuvneshwar Kumar</v>
      </c>
      <c r="C17" s="415" t="str">
        <f ca="1">IFERROR(__xludf.DUMMYFUNCTION("""COMPUTED_VALUE"""),"MC")</f>
        <v>MC</v>
      </c>
      <c r="D17" s="415" t="str">
        <f ca="1">IFERROR(__xludf.DUMMYFUNCTION("""COMPUTED_VALUE"""),"RCB")</f>
        <v>RCB</v>
      </c>
      <c r="E17" s="416">
        <f ca="1">IFERROR(__xludf.DUMMYFUNCTION("""COMPUTED_VALUE"""),1051)</f>
        <v>1051</v>
      </c>
      <c r="F17" s="395"/>
      <c r="G17" s="417">
        <v>6</v>
      </c>
      <c r="H17" s="414" t="str">
        <f ca="1">IFERROR(__xludf.DUMMYFUNCTION("""COMPUTED_VALUE"""),"Ishan Kishan")</f>
        <v>Ishan Kishan</v>
      </c>
      <c r="I17" s="415" t="str">
        <f ca="1">IFERROR(__xludf.DUMMYFUNCTION("""COMPUTED_VALUE"""),"AS")</f>
        <v>AS</v>
      </c>
      <c r="J17" s="415" t="str">
        <f ca="1">IFERROR(__xludf.DUMMYFUNCTION("""COMPUTED_VALUE"""),"SRH")</f>
        <v>SRH</v>
      </c>
      <c r="K17" s="416">
        <f ca="1">IFERROR(__xludf.DUMMYFUNCTION("""COMPUTED_VALUE"""),996)</f>
        <v>996</v>
      </c>
      <c r="L17" s="395"/>
      <c r="M17" s="417">
        <v>6</v>
      </c>
      <c r="N17" s="414" t="str">
        <f ca="1">IFERROR(__xludf.DUMMYFUNCTION("""COMPUTED_VALUE"""),"Josh Hazlewood")</f>
        <v>Josh Hazlewood</v>
      </c>
      <c r="O17" s="415" t="str">
        <f ca="1">IFERROR(__xludf.DUMMYFUNCTION("""COMPUTED_VALUE"""),"MC")</f>
        <v>MC</v>
      </c>
      <c r="P17" s="415" t="str">
        <f ca="1">IFERROR(__xludf.DUMMYFUNCTION("""COMPUTED_VALUE"""),"RCB")</f>
        <v>RCB</v>
      </c>
      <c r="Q17" s="416">
        <f ca="1">IFERROR(__xludf.DUMMYFUNCTION("""COMPUTED_VALUE"""),643)</f>
        <v>643</v>
      </c>
      <c r="R17" s="395"/>
      <c r="S17" s="417">
        <v>6</v>
      </c>
      <c r="T17" s="414" t="str">
        <f ca="1">IFERROR(__xludf.DUMMYFUNCTION("""COMPUTED_VALUE"""),"Ravindra Jadeja")</f>
        <v>Ravindra Jadeja</v>
      </c>
      <c r="U17" s="415" t="str">
        <f ca="1">IFERROR(__xludf.DUMMYFUNCTION("""COMPUTED_VALUE"""),"HW")</f>
        <v>HW</v>
      </c>
      <c r="V17" s="415" t="str">
        <f ca="1">IFERROR(__xludf.DUMMYFUNCTION("""COMPUTED_VALUE"""),"RR")</f>
        <v>RR</v>
      </c>
      <c r="W17" s="416">
        <f ca="1">IFERROR(__xludf.DUMMYFUNCTION("""COMPUTED_VALUE"""),715)</f>
        <v>715</v>
      </c>
      <c r="X17" s="374"/>
      <c r="Y17" s="375"/>
      <c r="Z17" s="375"/>
      <c r="AA17" s="375"/>
      <c r="AB17" s="375"/>
      <c r="AC17" s="375"/>
    </row>
    <row r="18" spans="1:29" ht="27.75" hidden="1" customHeight="1">
      <c r="A18" s="401">
        <v>7</v>
      </c>
      <c r="B18" s="402" t="str">
        <f ca="1">IFERROR(__xludf.DUMMYFUNCTION("""COMPUTED_VALUE"""),"Khaleel + Rabada")</f>
        <v>Khaleel + Rabada</v>
      </c>
      <c r="C18" s="403" t="str">
        <f ca="1">IFERROR(__xludf.DUMMYFUNCTION("""COMPUTED_VALUE"""),"HW")</f>
        <v>HW</v>
      </c>
      <c r="D18" s="403" t="str">
        <f ca="1">IFERROR(__xludf.DUMMYFUNCTION("""COMPUTED_VALUE"""),"CSK/GT")</f>
        <v>CSK/GT</v>
      </c>
      <c r="E18" s="418">
        <f ca="1">IFERROR(__xludf.DUMMYFUNCTION("""COMPUTED_VALUE"""),1048)</f>
        <v>1048</v>
      </c>
      <c r="F18" s="395"/>
      <c r="G18" s="419">
        <v>7</v>
      </c>
      <c r="H18" s="402" t="str">
        <f ca="1">IFERROR(__xludf.DUMMYFUNCTION("""COMPUTED_VALUE"""),"KL Rahul")</f>
        <v>KL Rahul</v>
      </c>
      <c r="I18" s="403" t="str">
        <f ca="1">IFERROR(__xludf.DUMMYFUNCTION("""COMPUTED_VALUE"""),"OL")</f>
        <v>OL</v>
      </c>
      <c r="J18" s="403" t="str">
        <f ca="1">IFERROR(__xludf.DUMMYFUNCTION("""COMPUTED_VALUE"""),"DC")</f>
        <v>DC</v>
      </c>
      <c r="K18" s="418">
        <f ca="1">IFERROR(__xludf.DUMMYFUNCTION("""COMPUTED_VALUE"""),903)</f>
        <v>903</v>
      </c>
      <c r="L18" s="395"/>
      <c r="M18" s="419">
        <v>7</v>
      </c>
      <c r="N18" s="402" t="str">
        <f ca="1">IFERROR(__xludf.DUMMYFUNCTION("""COMPUTED_VALUE"""),"Prasidh Krishna")</f>
        <v>Prasidh Krishna</v>
      </c>
      <c r="O18" s="403" t="str">
        <f ca="1">IFERROR(__xludf.DUMMYFUNCTION("""COMPUTED_VALUE"""),"PA")</f>
        <v>PA</v>
      </c>
      <c r="P18" s="403" t="str">
        <f ca="1">IFERROR(__xludf.DUMMYFUNCTION("""COMPUTED_VALUE"""),"GT")</f>
        <v>GT</v>
      </c>
      <c r="Q18" s="418">
        <f ca="1">IFERROR(__xludf.DUMMYFUNCTION("""COMPUTED_VALUE"""),572)</f>
        <v>572</v>
      </c>
      <c r="R18" s="395"/>
      <c r="S18" s="419">
        <v>7</v>
      </c>
      <c r="T18" s="402" t="str">
        <f ca="1">IFERROR(__xludf.DUMMYFUNCTION("""COMPUTED_VALUE"""),"Sunil Narine")</f>
        <v>Sunil Narine</v>
      </c>
      <c r="U18" s="403" t="str">
        <f ca="1">IFERROR(__xludf.DUMMYFUNCTION("""COMPUTED_VALUE"""),"MC")</f>
        <v>MC</v>
      </c>
      <c r="V18" s="403" t="str">
        <f ca="1">IFERROR(__xludf.DUMMYFUNCTION("""COMPUTED_VALUE"""),"KKR")</f>
        <v>KKR</v>
      </c>
      <c r="W18" s="418">
        <f ca="1">IFERROR(__xludf.DUMMYFUNCTION("""COMPUTED_VALUE"""),688)</f>
        <v>688</v>
      </c>
      <c r="X18" s="374"/>
      <c r="Y18" s="375"/>
      <c r="Z18" s="375"/>
      <c r="AA18" s="375"/>
      <c r="AB18" s="375"/>
      <c r="AC18" s="375"/>
    </row>
    <row r="19" spans="1:29" ht="26.25" hidden="1" customHeight="1">
      <c r="A19" s="401">
        <v>8</v>
      </c>
      <c r="B19" s="402" t="str">
        <f ca="1">IFERROR(__xludf.DUMMYFUNCTION("""COMPUTED_VALUE"""),"Jos Buttler")</f>
        <v>Jos Buttler</v>
      </c>
      <c r="C19" s="403" t="str">
        <f ca="1">IFERROR(__xludf.DUMMYFUNCTION("""COMPUTED_VALUE"""),"PA")</f>
        <v>PA</v>
      </c>
      <c r="D19" s="403" t="str">
        <f ca="1">IFERROR(__xludf.DUMMYFUNCTION("""COMPUTED_VALUE"""),"GT")</f>
        <v>GT</v>
      </c>
      <c r="E19" s="418">
        <f ca="1">IFERROR(__xludf.DUMMYFUNCTION("""COMPUTED_VALUE"""),1037)</f>
        <v>1037</v>
      </c>
      <c r="F19" s="395"/>
      <c r="G19" s="419">
        <v>8</v>
      </c>
      <c r="H19" s="402" t="str">
        <f ca="1">IFERROR(__xludf.DUMMYFUNCTION("""COMPUTED_VALUE"""),"Rajat Patidar")</f>
        <v>Rajat Patidar</v>
      </c>
      <c r="I19" s="403" t="str">
        <f ca="1">IFERROR(__xludf.DUMMYFUNCTION("""COMPUTED_VALUE"""),"OL")</f>
        <v>OL</v>
      </c>
      <c r="J19" s="403" t="str">
        <f ca="1">IFERROR(__xludf.DUMMYFUNCTION("""COMPUTED_VALUE"""),"RCB")</f>
        <v>RCB</v>
      </c>
      <c r="K19" s="418">
        <f ca="1">IFERROR(__xludf.DUMMYFUNCTION("""COMPUTED_VALUE"""),845)</f>
        <v>845</v>
      </c>
      <c r="L19" s="395"/>
      <c r="M19" s="419">
        <v>8</v>
      </c>
      <c r="N19" s="402" t="str">
        <f ca="1">IFERROR(__xludf.DUMMYFUNCTION("""COMPUTED_VALUE"""),"Mohammed Shami")</f>
        <v>Mohammed Shami</v>
      </c>
      <c r="O19" s="403" t="str">
        <f ca="1">IFERROR(__xludf.DUMMYFUNCTION("""COMPUTED_VALUE"""),"HW")</f>
        <v>HW</v>
      </c>
      <c r="P19" s="403" t="str">
        <f ca="1">IFERROR(__xludf.DUMMYFUNCTION("""COMPUTED_VALUE"""),"LSG")</f>
        <v>LSG</v>
      </c>
      <c r="Q19" s="418">
        <f ca="1">IFERROR(__xludf.DUMMYFUNCTION("""COMPUTED_VALUE"""),543)</f>
        <v>543</v>
      </c>
      <c r="R19" s="395"/>
      <c r="S19" s="419">
        <v>8</v>
      </c>
      <c r="T19" s="402" t="str">
        <f ca="1">IFERROR(__xludf.DUMMYFUNCTION("""COMPUTED_VALUE"""),"Priyansh Arya")</f>
        <v>Priyansh Arya</v>
      </c>
      <c r="U19" s="403" t="str">
        <f ca="1">IFERROR(__xludf.DUMMYFUNCTION("""COMPUTED_VALUE"""),"MC")</f>
        <v>MC</v>
      </c>
      <c r="V19" s="403" t="str">
        <f ca="1">IFERROR(__xludf.DUMMYFUNCTION("""COMPUTED_VALUE"""),"PBSK")</f>
        <v>PBSK</v>
      </c>
      <c r="W19" s="418">
        <f ca="1">IFERROR(__xludf.DUMMYFUNCTION("""COMPUTED_VALUE"""),585)</f>
        <v>585</v>
      </c>
      <c r="X19" s="374"/>
      <c r="Y19" s="375"/>
      <c r="Z19" s="375"/>
      <c r="AA19" s="375"/>
      <c r="AB19" s="375"/>
      <c r="AC19" s="375"/>
    </row>
    <row r="20" spans="1:29" ht="24" hidden="1" customHeight="1">
      <c r="A20" s="401">
        <v>9</v>
      </c>
      <c r="B20" s="402" t="str">
        <f ca="1">IFERROR(__xludf.DUMMYFUNCTION("""COMPUTED_VALUE"""),"Heinrich Klaasen")</f>
        <v>Heinrich Klaasen</v>
      </c>
      <c r="C20" s="403" t="str">
        <f ca="1">IFERROR(__xludf.DUMMYFUNCTION("""COMPUTED_VALUE"""),"PA")</f>
        <v>PA</v>
      </c>
      <c r="D20" s="403" t="str">
        <f ca="1">IFERROR(__xludf.DUMMYFUNCTION("""COMPUTED_VALUE"""),"SRH")</f>
        <v>SRH</v>
      </c>
      <c r="E20" s="418">
        <f ca="1">IFERROR(__xludf.DUMMYFUNCTION("""COMPUTED_VALUE"""),1016)</f>
        <v>1016</v>
      </c>
      <c r="F20" s="395"/>
      <c r="G20" s="419">
        <v>9</v>
      </c>
      <c r="H20" s="402" t="str">
        <f ca="1">IFERROR(__xludf.DUMMYFUNCTION("""COMPUTED_VALUE"""),"Devdutt Padikkal")</f>
        <v>Devdutt Padikkal</v>
      </c>
      <c r="I20" s="403" t="str">
        <f ca="1">IFERROR(__xludf.DUMMYFUNCTION("""COMPUTED_VALUE"""),"PA")</f>
        <v>PA</v>
      </c>
      <c r="J20" s="403" t="str">
        <f ca="1">IFERROR(__xludf.DUMMYFUNCTION("""COMPUTED_VALUE"""),"RCB")</f>
        <v>RCB</v>
      </c>
      <c r="K20" s="418">
        <f ca="1">IFERROR(__xludf.DUMMYFUNCTION("""COMPUTED_VALUE"""),835)</f>
        <v>835</v>
      </c>
      <c r="L20" s="395"/>
      <c r="M20" s="419">
        <v>9</v>
      </c>
      <c r="N20" s="402" t="str">
        <f ca="1">IFERROR(__xludf.DUMMYFUNCTION("""COMPUTED_VALUE"""),"Arshdeep Singh")</f>
        <v>Arshdeep Singh</v>
      </c>
      <c r="O20" s="403" t="str">
        <f ca="1">IFERROR(__xludf.DUMMYFUNCTION("""COMPUTED_VALUE"""),"OL")</f>
        <v>OL</v>
      </c>
      <c r="P20" s="403" t="str">
        <f ca="1">IFERROR(__xludf.DUMMYFUNCTION("""COMPUTED_VALUE"""),"PBSK")</f>
        <v>PBSK</v>
      </c>
      <c r="Q20" s="418">
        <f ca="1">IFERROR(__xludf.DUMMYFUNCTION("""COMPUTED_VALUE"""),536)</f>
        <v>536</v>
      </c>
      <c r="R20" s="395"/>
      <c r="S20" s="419">
        <v>9</v>
      </c>
      <c r="T20" s="402" t="str">
        <f ca="1">IFERROR(__xludf.DUMMYFUNCTION("""COMPUTED_VALUE"""),"Riyan Parag")</f>
        <v>Riyan Parag</v>
      </c>
      <c r="U20" s="403" t="str">
        <f ca="1">IFERROR(__xludf.DUMMYFUNCTION("""COMPUTED_VALUE"""),"PA")</f>
        <v>PA</v>
      </c>
      <c r="V20" s="403" t="str">
        <f ca="1">IFERROR(__xludf.DUMMYFUNCTION("""COMPUTED_VALUE"""),"RR")</f>
        <v>RR</v>
      </c>
      <c r="W20" s="418">
        <f ca="1">IFERROR(__xludf.DUMMYFUNCTION("""COMPUTED_VALUE"""),564)</f>
        <v>564</v>
      </c>
      <c r="X20" s="374"/>
      <c r="Y20" s="375"/>
      <c r="Z20" s="375"/>
      <c r="AA20" s="375"/>
      <c r="AB20" s="375"/>
      <c r="AC20" s="375"/>
    </row>
    <row r="21" spans="1:29" ht="23.25" hidden="1" customHeight="1">
      <c r="A21" s="401">
        <v>10</v>
      </c>
      <c r="B21" s="402" t="str">
        <f ca="1">IFERROR(__xludf.DUMMYFUNCTION("""COMPUTED_VALUE"""),"Ishan Kishan")</f>
        <v>Ishan Kishan</v>
      </c>
      <c r="C21" s="403" t="str">
        <f ca="1">IFERROR(__xludf.DUMMYFUNCTION("""COMPUTED_VALUE"""),"AS")</f>
        <v>AS</v>
      </c>
      <c r="D21" s="403" t="str">
        <f ca="1">IFERROR(__xludf.DUMMYFUNCTION("""COMPUTED_VALUE"""),"SRH")</f>
        <v>SRH</v>
      </c>
      <c r="E21" s="418">
        <f ca="1">IFERROR(__xludf.DUMMYFUNCTION("""COMPUTED_VALUE"""),996)</f>
        <v>996</v>
      </c>
      <c r="F21" s="395"/>
      <c r="G21" s="419">
        <v>10</v>
      </c>
      <c r="H21" s="402" t="str">
        <f ca="1">IFERROR(__xludf.DUMMYFUNCTION("""COMPUTED_VALUE"""),"Prabhsimran Singh")</f>
        <v>Prabhsimran Singh</v>
      </c>
      <c r="I21" s="403" t="str">
        <f ca="1">IFERROR(__xludf.DUMMYFUNCTION("""COMPUTED_VALUE"""),"HW")</f>
        <v>HW</v>
      </c>
      <c r="J21" s="403" t="str">
        <f ca="1">IFERROR(__xludf.DUMMYFUNCTION("""COMPUTED_VALUE"""),"PBSK")</f>
        <v>PBSK</v>
      </c>
      <c r="K21" s="418">
        <f ca="1">IFERROR(__xludf.DUMMYFUNCTION("""COMPUTED_VALUE"""),831)</f>
        <v>831</v>
      </c>
      <c r="L21" s="395"/>
      <c r="M21" s="419">
        <v>10</v>
      </c>
      <c r="N21" s="402" t="str">
        <f ca="1">IFERROR(__xludf.DUMMYFUNCTION("""COMPUTED_VALUE"""),"Noor Ahmad")</f>
        <v>Noor Ahmad</v>
      </c>
      <c r="O21" s="403" t="str">
        <f ca="1">IFERROR(__xludf.DUMMYFUNCTION("""COMPUTED_VALUE"""),"PA")</f>
        <v>PA</v>
      </c>
      <c r="P21" s="403" t="str">
        <f ca="1">IFERROR(__xludf.DUMMYFUNCTION("""COMPUTED_VALUE"""),"CSK")</f>
        <v>CSK</v>
      </c>
      <c r="Q21" s="418">
        <f ca="1">IFERROR(__xludf.DUMMYFUNCTION("""COMPUTED_VALUE"""),520)</f>
        <v>520</v>
      </c>
      <c r="R21" s="395"/>
      <c r="S21" s="419">
        <v>10</v>
      </c>
      <c r="T21" s="402" t="str">
        <f ca="1">IFERROR(__xludf.DUMMYFUNCTION("""COMPUTED_VALUE"""),"Shivam Dube")</f>
        <v>Shivam Dube</v>
      </c>
      <c r="U21" s="403" t="str">
        <f ca="1">IFERROR(__xludf.DUMMYFUNCTION("""COMPUTED_VALUE"""),"AS")</f>
        <v>AS</v>
      </c>
      <c r="V21" s="403" t="str">
        <f ca="1">IFERROR(__xludf.DUMMYFUNCTION("""COMPUTED_VALUE"""),"CSK")</f>
        <v>CSK</v>
      </c>
      <c r="W21" s="418">
        <f ca="1">IFERROR(__xludf.DUMMYFUNCTION("""COMPUTED_VALUE"""),471)</f>
        <v>471</v>
      </c>
      <c r="X21" s="374"/>
      <c r="Y21" s="375"/>
      <c r="Z21" s="375"/>
      <c r="AA21" s="375"/>
      <c r="AB21" s="375"/>
      <c r="AC21" s="375"/>
    </row>
    <row r="22" spans="1:29" ht="19.2" hidden="1">
      <c r="A22" s="401">
        <v>11</v>
      </c>
      <c r="B22" s="405" t="str">
        <f ca="1">IFERROR(__xludf.DUMMYFUNCTION("""COMPUTED_VALUE"""),"Abhishek Sharma")</f>
        <v>Abhishek Sharma</v>
      </c>
      <c r="C22" s="403" t="str">
        <f ca="1">IFERROR(__xludf.DUMMYFUNCTION("""COMPUTED_VALUE"""),"AS")</f>
        <v>AS</v>
      </c>
      <c r="D22" s="403" t="str">
        <f ca="1">IFERROR(__xludf.DUMMYFUNCTION("""COMPUTED_VALUE"""),"SRH")</f>
        <v>SRH</v>
      </c>
      <c r="E22" s="418">
        <f ca="1">IFERROR(__xludf.DUMMYFUNCTION("""COMPUTED_VALUE"""),955)</f>
        <v>955</v>
      </c>
      <c r="F22" s="395"/>
      <c r="G22" s="420"/>
      <c r="H22" s="420"/>
      <c r="I22" s="420"/>
      <c r="J22" s="420"/>
      <c r="K22" s="420"/>
      <c r="L22" s="395"/>
      <c r="M22" s="420"/>
      <c r="N22" s="420"/>
      <c r="O22" s="420"/>
      <c r="P22" s="420"/>
      <c r="Q22" s="420"/>
      <c r="R22" s="395"/>
      <c r="S22" s="420"/>
      <c r="T22" s="420"/>
      <c r="U22" s="420"/>
      <c r="V22" s="420"/>
      <c r="W22" s="420"/>
      <c r="X22" s="374"/>
      <c r="Y22" s="375"/>
      <c r="Z22" s="375"/>
      <c r="AA22" s="375"/>
      <c r="AB22" s="375"/>
      <c r="AC22" s="375"/>
    </row>
    <row r="23" spans="1:29" ht="19.2" hidden="1">
      <c r="A23" s="401">
        <v>12</v>
      </c>
      <c r="B23" s="405" t="str">
        <f ca="1">IFERROR(__xludf.DUMMYFUNCTION("""COMPUTED_VALUE"""),"KL Rahul")</f>
        <v>KL Rahul</v>
      </c>
      <c r="C23" s="403" t="str">
        <f ca="1">IFERROR(__xludf.DUMMYFUNCTION("""COMPUTED_VALUE"""),"OL")</f>
        <v>OL</v>
      </c>
      <c r="D23" s="403" t="str">
        <f ca="1">IFERROR(__xludf.DUMMYFUNCTION("""COMPUTED_VALUE"""),"DC")</f>
        <v>DC</v>
      </c>
      <c r="E23" s="418">
        <f ca="1">IFERROR(__xludf.DUMMYFUNCTION("""COMPUTED_VALUE"""),903)</f>
        <v>903</v>
      </c>
      <c r="F23" s="395"/>
      <c r="G23" s="420"/>
      <c r="H23" s="420"/>
      <c r="I23" s="420"/>
      <c r="J23" s="420"/>
      <c r="K23" s="420"/>
      <c r="L23" s="395"/>
      <c r="M23" s="420"/>
      <c r="N23" s="420"/>
      <c r="O23" s="420"/>
      <c r="P23" s="420"/>
      <c r="Q23" s="420"/>
      <c r="R23" s="395"/>
      <c r="S23" s="420"/>
      <c r="T23" s="420"/>
      <c r="U23" s="420"/>
      <c r="V23" s="420"/>
      <c r="W23" s="420"/>
      <c r="X23" s="374"/>
      <c r="Y23" s="375"/>
      <c r="Z23" s="375"/>
      <c r="AA23" s="375"/>
      <c r="AB23" s="375"/>
      <c r="AC23" s="375"/>
    </row>
    <row r="24" spans="1:29" ht="19.2" hidden="1">
      <c r="A24" s="421"/>
      <c r="B24" s="420"/>
      <c r="C24" s="420"/>
      <c r="D24" s="420"/>
      <c r="E24" s="420"/>
      <c r="F24" s="395"/>
      <c r="G24" s="420"/>
      <c r="H24" s="420"/>
      <c r="I24" s="420"/>
      <c r="J24" s="420"/>
      <c r="K24" s="420"/>
      <c r="L24" s="395"/>
      <c r="M24" s="420"/>
      <c r="N24" s="420"/>
      <c r="O24" s="420"/>
      <c r="P24" s="420"/>
      <c r="Q24" s="420"/>
      <c r="R24" s="395"/>
      <c r="S24" s="420"/>
      <c r="T24" s="420"/>
      <c r="U24" s="420"/>
      <c r="V24" s="420"/>
      <c r="W24" s="420"/>
      <c r="X24" s="374"/>
      <c r="Y24" s="375"/>
      <c r="Z24" s="375"/>
      <c r="AA24" s="375"/>
      <c r="AB24" s="375"/>
      <c r="AC24" s="375"/>
    </row>
    <row r="25" spans="1:29" ht="19.2" hidden="1">
      <c r="A25" s="421"/>
      <c r="B25" s="420"/>
      <c r="C25" s="420"/>
      <c r="D25" s="420"/>
      <c r="E25" s="420"/>
      <c r="F25" s="395"/>
      <c r="G25" s="420"/>
      <c r="H25" s="420"/>
      <c r="I25" s="420"/>
      <c r="J25" s="420"/>
      <c r="K25" s="420"/>
      <c r="L25" s="395"/>
      <c r="M25" s="420"/>
      <c r="N25" s="420"/>
      <c r="O25" s="420"/>
      <c r="P25" s="420"/>
      <c r="Q25" s="420"/>
      <c r="R25" s="395"/>
      <c r="S25" s="420"/>
      <c r="T25" s="420"/>
      <c r="U25" s="420"/>
      <c r="V25" s="420"/>
      <c r="W25" s="420"/>
      <c r="X25" s="374"/>
      <c r="Y25" s="375"/>
      <c r="Z25" s="375"/>
      <c r="AA25" s="375"/>
      <c r="AB25" s="375"/>
      <c r="AC25" s="375"/>
    </row>
    <row r="26" spans="1:29" ht="19.2" hidden="1">
      <c r="A26" s="421"/>
      <c r="B26" s="420"/>
      <c r="C26" s="420"/>
      <c r="D26" s="420"/>
      <c r="E26" s="420"/>
      <c r="F26" s="395"/>
      <c r="G26" s="420"/>
      <c r="H26" s="420"/>
      <c r="I26" s="420"/>
      <c r="J26" s="420"/>
      <c r="K26" s="420"/>
      <c r="L26" s="395"/>
      <c r="M26" s="420"/>
      <c r="N26" s="420"/>
      <c r="O26" s="420"/>
      <c r="P26" s="420"/>
      <c r="Q26" s="420"/>
      <c r="R26" s="395"/>
      <c r="S26" s="420"/>
      <c r="T26" s="420"/>
      <c r="U26" s="420"/>
      <c r="V26" s="420"/>
      <c r="W26" s="420"/>
      <c r="X26" s="374"/>
      <c r="Y26" s="375"/>
      <c r="Z26" s="375"/>
      <c r="AA26" s="375"/>
      <c r="AB26" s="375"/>
      <c r="AC26" s="375"/>
    </row>
    <row r="27" spans="1:29" ht="19.2" hidden="1">
      <c r="A27" s="421"/>
      <c r="B27" s="420"/>
      <c r="C27" s="420"/>
      <c r="D27" s="420"/>
      <c r="E27" s="420"/>
      <c r="F27" s="395"/>
      <c r="G27" s="420"/>
      <c r="H27" s="420"/>
      <c r="I27" s="420"/>
      <c r="J27" s="420"/>
      <c r="K27" s="420"/>
      <c r="L27" s="395"/>
      <c r="M27" s="420"/>
      <c r="N27" s="420"/>
      <c r="O27" s="420"/>
      <c r="P27" s="420"/>
      <c r="Q27" s="420"/>
      <c r="R27" s="395"/>
      <c r="S27" s="420"/>
      <c r="T27" s="420"/>
      <c r="U27" s="420"/>
      <c r="V27" s="420"/>
      <c r="W27" s="420"/>
      <c r="X27" s="374"/>
      <c r="Y27" s="375"/>
      <c r="Z27" s="375"/>
      <c r="AA27" s="375"/>
      <c r="AB27" s="375"/>
      <c r="AC27" s="375"/>
    </row>
    <row r="28" spans="1:29" ht="19.2">
      <c r="A28" s="422"/>
      <c r="B28" s="423"/>
      <c r="C28" s="423"/>
      <c r="D28" s="423"/>
      <c r="E28" s="423"/>
      <c r="F28" s="395"/>
      <c r="G28" s="423"/>
      <c r="H28" s="423"/>
      <c r="I28" s="423"/>
      <c r="J28" s="423"/>
      <c r="K28" s="423"/>
      <c r="L28" s="395"/>
      <c r="M28" s="423"/>
      <c r="N28" s="423"/>
      <c r="O28" s="423"/>
      <c r="P28" s="423"/>
      <c r="Q28" s="423"/>
      <c r="R28" s="395"/>
      <c r="S28" s="423"/>
      <c r="T28" s="423"/>
      <c r="U28" s="423"/>
      <c r="V28" s="423"/>
      <c r="W28" s="423"/>
      <c r="X28" s="374"/>
      <c r="Y28" s="375"/>
      <c r="Z28" s="375"/>
      <c r="AA28" s="375"/>
      <c r="AB28" s="375"/>
      <c r="AC28" s="375"/>
    </row>
    <row r="29" spans="1:29" ht="21">
      <c r="A29" s="1098" t="s">
        <v>244</v>
      </c>
      <c r="B29" s="1084"/>
      <c r="C29" s="1084"/>
      <c r="D29" s="1084"/>
      <c r="E29" s="1085"/>
      <c r="F29" s="395"/>
      <c r="G29" s="1083" t="s">
        <v>245</v>
      </c>
      <c r="H29" s="1084"/>
      <c r="I29" s="1084"/>
      <c r="J29" s="1084"/>
      <c r="K29" s="1085"/>
      <c r="L29" s="395"/>
      <c r="M29" s="1083" t="s">
        <v>246</v>
      </c>
      <c r="N29" s="1084"/>
      <c r="O29" s="1084"/>
      <c r="P29" s="1084"/>
      <c r="Q29" s="1085"/>
      <c r="R29" s="395"/>
      <c r="S29" s="1083" t="s">
        <v>247</v>
      </c>
      <c r="T29" s="1084"/>
      <c r="U29" s="1084"/>
      <c r="V29" s="1084"/>
      <c r="W29" s="1085"/>
      <c r="X29" s="374"/>
      <c r="Y29" s="375"/>
      <c r="Z29" s="375"/>
      <c r="AA29" s="375"/>
      <c r="AB29" s="375"/>
      <c r="AC29" s="375"/>
    </row>
    <row r="30" spans="1:29" ht="20.25" customHeight="1">
      <c r="A30" s="424" t="s">
        <v>4</v>
      </c>
      <c r="B30" s="397" t="str">
        <f ca="1">IFERROR(__xludf.DUMMYFUNCTION("QUERY(HW!B:I, ""SELECT B, C, I, H where B is not null ORDER BY H DESC LIMIT 1"", 1)"),"Name")</f>
        <v>Name</v>
      </c>
      <c r="C30" s="398" t="str">
        <f ca="1">IFERROR(__xludf.DUMMYFUNCTION("""COMPUTED_VALUE"""),"Type")</f>
        <v>Type</v>
      </c>
      <c r="D30" s="398" t="str">
        <f ca="1">IFERROR(__xludf.DUMMYFUNCTION("""COMPUTED_VALUE"""),"IPL")</f>
        <v>IPL</v>
      </c>
      <c r="E30" s="399" t="str">
        <f ca="1">IFERROR(__xludf.DUMMYFUNCTION("""COMPUTED_VALUE"""),"Points")</f>
        <v>Points</v>
      </c>
      <c r="F30" s="395"/>
      <c r="G30" s="425" t="s">
        <v>4</v>
      </c>
      <c r="H30" s="397" t="str">
        <f ca="1">IFERROR(__xludf.DUMMYFUNCTION("QUERY(HW!B:I, ""SELECT B, C, I, H where B is not null AND C = 'Batter' ORDER BY H DESC LIMIT 1"", 1)"),"Name")</f>
        <v>Name</v>
      </c>
      <c r="I30" s="398" t="str">
        <f ca="1">IFERROR(__xludf.DUMMYFUNCTION("""COMPUTED_VALUE"""),"Type")</f>
        <v>Type</v>
      </c>
      <c r="J30" s="398" t="str">
        <f ca="1">IFERROR(__xludf.DUMMYFUNCTION("""COMPUTED_VALUE"""),"IPL")</f>
        <v>IPL</v>
      </c>
      <c r="K30" s="399" t="str">
        <f ca="1">IFERROR(__xludf.DUMMYFUNCTION("""COMPUTED_VALUE"""),"Points")</f>
        <v>Points</v>
      </c>
      <c r="L30" s="395"/>
      <c r="M30" s="425" t="s">
        <v>4</v>
      </c>
      <c r="N30" s="397" t="str">
        <f ca="1">IFERROR(__xludf.DUMMYFUNCTION("QUERY(HW!B:I, ""SELECT B, C, I, H where B is not null AND C = 'Bowler' ORDER BY H DESC LIMIT 1"", 1)"),"Name")</f>
        <v>Name</v>
      </c>
      <c r="O30" s="398" t="str">
        <f ca="1">IFERROR(__xludf.DUMMYFUNCTION("""COMPUTED_VALUE"""),"Type")</f>
        <v>Type</v>
      </c>
      <c r="P30" s="398" t="str">
        <f ca="1">IFERROR(__xludf.DUMMYFUNCTION("""COMPUTED_VALUE"""),"IPL")</f>
        <v>IPL</v>
      </c>
      <c r="Q30" s="399" t="str">
        <f ca="1">IFERROR(__xludf.DUMMYFUNCTION("""COMPUTED_VALUE"""),"Points")</f>
        <v>Points</v>
      </c>
      <c r="R30" s="395"/>
      <c r="S30" s="426" t="s">
        <v>4</v>
      </c>
      <c r="T30" s="427" t="str">
        <f ca="1">IFERROR(__xludf.DUMMYFUNCTION("QUERY(HW!B:I, ""SELECT B, C, I, H where B is not null AND C = 'All-Rounder' ORDER BY H DESC LIMIT 1"", 1)"),"Name")</f>
        <v>Name</v>
      </c>
      <c r="U30" s="428" t="str">
        <f ca="1">IFERROR(__xludf.DUMMYFUNCTION("""COMPUTED_VALUE"""),"Type")</f>
        <v>Type</v>
      </c>
      <c r="V30" s="428" t="str">
        <f ca="1">IFERROR(__xludf.DUMMYFUNCTION("""COMPUTED_VALUE"""),"IPL")</f>
        <v>IPL</v>
      </c>
      <c r="W30" s="429" t="str">
        <f ca="1">IFERROR(__xludf.DUMMYFUNCTION("""COMPUTED_VALUE"""),"Points")</f>
        <v>Points</v>
      </c>
      <c r="X30" s="374"/>
      <c r="Y30" s="375"/>
      <c r="Z30" s="375"/>
      <c r="AA30" s="375"/>
      <c r="AB30" s="375"/>
      <c r="AC30" s="375"/>
    </row>
    <row r="31" spans="1:29" ht="20.25" customHeight="1">
      <c r="A31" s="430" t="s">
        <v>8</v>
      </c>
      <c r="B31" s="431" t="str">
        <f ca="1">IFERROR(__xludf.DUMMYFUNCTION("""COMPUTED_VALUE"""),"Shubman Gill")</f>
        <v>Shubman Gill</v>
      </c>
      <c r="C31" s="431" t="str">
        <f ca="1">IFERROR(__xludf.DUMMYFUNCTION("""COMPUTED_VALUE"""),"Batter")</f>
        <v>Batter</v>
      </c>
      <c r="D31" s="432" t="str">
        <f ca="1">IFERROR(__xludf.DUMMYFUNCTION("""COMPUTED_VALUE"""),"GT")</f>
        <v>GT</v>
      </c>
      <c r="E31" s="433">
        <f ca="1">IFERROR(__xludf.DUMMYFUNCTION("""COMPUTED_VALUE"""),1178)</f>
        <v>1178</v>
      </c>
      <c r="F31" s="395"/>
      <c r="G31" s="434" t="s">
        <v>8</v>
      </c>
      <c r="H31" s="431" t="str">
        <f ca="1">IFERROR(__xludf.DUMMYFUNCTION("""COMPUTED_VALUE"""),"Shubman Gill")</f>
        <v>Shubman Gill</v>
      </c>
      <c r="I31" s="431" t="str">
        <f ca="1">IFERROR(__xludf.DUMMYFUNCTION("""COMPUTED_VALUE"""),"Batter")</f>
        <v>Batter</v>
      </c>
      <c r="J31" s="432" t="str">
        <f ca="1">IFERROR(__xludf.DUMMYFUNCTION("""COMPUTED_VALUE"""),"GT")</f>
        <v>GT</v>
      </c>
      <c r="K31" s="433">
        <f ca="1">IFERROR(__xludf.DUMMYFUNCTION("""COMPUTED_VALUE"""),1178)</f>
        <v>1178</v>
      </c>
      <c r="L31" s="395"/>
      <c r="M31" s="434" t="s">
        <v>8</v>
      </c>
      <c r="N31" s="435" t="str">
        <f ca="1">IFERROR(__xludf.DUMMYFUNCTION("""COMPUTED_VALUE"""),"Jofra Archer")</f>
        <v>Jofra Archer</v>
      </c>
      <c r="O31" s="431" t="str">
        <f ca="1">IFERROR(__xludf.DUMMYFUNCTION("""COMPUTED_VALUE"""),"Bowler")</f>
        <v>Bowler</v>
      </c>
      <c r="P31" s="432" t="str">
        <f ca="1">IFERROR(__xludf.DUMMYFUNCTION("""COMPUTED_VALUE"""),"RR")</f>
        <v>RR</v>
      </c>
      <c r="Q31" s="433">
        <f ca="1">IFERROR(__xludf.DUMMYFUNCTION("""COMPUTED_VALUE"""),1083)</f>
        <v>1083</v>
      </c>
      <c r="R31" s="395"/>
      <c r="S31" s="434" t="s">
        <v>8</v>
      </c>
      <c r="T31" s="431" t="str">
        <f ca="1">IFERROR(__xludf.DUMMYFUNCTION("""COMPUTED_VALUE"""),"Mitchell Marsh")</f>
        <v>Mitchell Marsh</v>
      </c>
      <c r="U31" s="431" t="str">
        <f ca="1">IFERROR(__xludf.DUMMYFUNCTION("""COMPUTED_VALUE"""),"All-Rounder")</f>
        <v>All-Rounder</v>
      </c>
      <c r="V31" s="432" t="str">
        <f ca="1">IFERROR(__xludf.DUMMYFUNCTION("""COMPUTED_VALUE"""),"LSG")</f>
        <v>LSG</v>
      </c>
      <c r="W31" s="433">
        <f ca="1">IFERROR(__xludf.DUMMYFUNCTION("""COMPUTED_VALUE"""),854)</f>
        <v>854</v>
      </c>
      <c r="X31" s="374"/>
      <c r="Y31" s="375"/>
      <c r="Z31" s="375"/>
      <c r="AA31" s="375"/>
      <c r="AB31" s="375"/>
      <c r="AC31" s="375"/>
    </row>
    <row r="32" spans="1:29" ht="15.6" hidden="1">
      <c r="A32" s="436" t="s">
        <v>248</v>
      </c>
      <c r="B32" s="402" t="str">
        <f ca="1">IFERROR(__xludf.DUMMYFUNCTION("ARRAYFORMULA(QUERY(PA!B:I, ""SELECT B, C, I, H where B is not null ORDER BY H DESC LIMIT 1"", 1))
"),"Name")</f>
        <v>Name</v>
      </c>
      <c r="C32" s="402" t="str">
        <f ca="1">IFERROR(__xludf.DUMMYFUNCTION("""COMPUTED_VALUE"""),"Type")</f>
        <v>Type</v>
      </c>
      <c r="D32" s="403" t="str">
        <f ca="1">IFERROR(__xludf.DUMMYFUNCTION("""COMPUTED_VALUE"""),"IPL")</f>
        <v>IPL</v>
      </c>
      <c r="E32" s="437" t="str">
        <f ca="1">IFERROR(__xludf.DUMMYFUNCTION("""COMPUTED_VALUE"""),"Points")</f>
        <v>Points</v>
      </c>
      <c r="F32" s="395"/>
      <c r="G32" s="438" t="s">
        <v>248</v>
      </c>
      <c r="H32" s="402" t="str">
        <f ca="1">IFERROR(__xludf.DUMMYFUNCTION("ARRAYFORMULA(QUERY(PA!B:I, ""SELECT B, C, I, H where B is not null AND C = 'Batter' ORDER BY H DESC LIMIT 1"", 1))
"),"Name")</f>
        <v>Name</v>
      </c>
      <c r="I32" s="402" t="str">
        <f ca="1">IFERROR(__xludf.DUMMYFUNCTION("""COMPUTED_VALUE"""),"Type")</f>
        <v>Type</v>
      </c>
      <c r="J32" s="403" t="str">
        <f ca="1">IFERROR(__xludf.DUMMYFUNCTION("""COMPUTED_VALUE"""),"IPL")</f>
        <v>IPL</v>
      </c>
      <c r="K32" s="437" t="str">
        <f ca="1">IFERROR(__xludf.DUMMYFUNCTION("""COMPUTED_VALUE"""),"Points")</f>
        <v>Points</v>
      </c>
      <c r="L32" s="395"/>
      <c r="M32" s="438" t="s">
        <v>248</v>
      </c>
      <c r="N32" s="402" t="str">
        <f ca="1">IFERROR(__xludf.DUMMYFUNCTION("ARRAYFORMULA(QUERY(PA!B:I, ""SELECT B, C, I, H where B is not null AND C = 'Bowler' ORDER BY H DESC LIMIT 1"", 1))
"),"Name")</f>
        <v>Name</v>
      </c>
      <c r="O32" s="402" t="str">
        <f ca="1">IFERROR(__xludf.DUMMYFUNCTION("""COMPUTED_VALUE"""),"Type")</f>
        <v>Type</v>
      </c>
      <c r="P32" s="403" t="str">
        <f ca="1">IFERROR(__xludf.DUMMYFUNCTION("""COMPUTED_VALUE"""),"IPL")</f>
        <v>IPL</v>
      </c>
      <c r="Q32" s="437" t="str">
        <f ca="1">IFERROR(__xludf.DUMMYFUNCTION("""COMPUTED_VALUE"""),"Points")</f>
        <v>Points</v>
      </c>
      <c r="R32" s="395"/>
      <c r="S32" s="438" t="s">
        <v>248</v>
      </c>
      <c r="T32" s="403" t="str">
        <f ca="1">IFERROR(__xludf.DUMMYFUNCTION("ARRAYFORMULA(QUERY(PA!B:I, ""SELECT B, C, I, H where B is not null AND C = 'All-Rounder' ORDER BY H DESC LIMIT 1"", 1))"),"Name")</f>
        <v>Name</v>
      </c>
      <c r="U32" s="439" t="str">
        <f ca="1">IFERROR(__xludf.DUMMYFUNCTION("""COMPUTED_VALUE"""),"Type")</f>
        <v>Type</v>
      </c>
      <c r="V32" s="439" t="str">
        <f ca="1">IFERROR(__xludf.DUMMYFUNCTION("""COMPUTED_VALUE"""),"IPL")</f>
        <v>IPL</v>
      </c>
      <c r="W32" s="440" t="str">
        <f ca="1">IFERROR(__xludf.DUMMYFUNCTION("""COMPUTED_VALUE"""),"Points")</f>
        <v>Points</v>
      </c>
      <c r="X32" s="374"/>
      <c r="Y32" s="375"/>
      <c r="Z32" s="375"/>
      <c r="AA32" s="375"/>
      <c r="AB32" s="375"/>
      <c r="AC32" s="375"/>
    </row>
    <row r="33" spans="1:29" ht="24.75" customHeight="1">
      <c r="A33" s="441" t="s">
        <v>16</v>
      </c>
      <c r="B33" s="442" t="str">
        <f ca="1">IFERROR(__xludf.DUMMYFUNCTION("""COMPUTED_VALUE"""),"Virat Kohli")</f>
        <v>Virat Kohli</v>
      </c>
      <c r="C33" s="442" t="str">
        <f ca="1">IFERROR(__xludf.DUMMYFUNCTION("""COMPUTED_VALUE"""),"Batter")</f>
        <v>Batter</v>
      </c>
      <c r="D33" s="443" t="str">
        <f ca="1">IFERROR(__xludf.DUMMYFUNCTION("""COMPUTED_VALUE"""),"RCB")</f>
        <v>RCB</v>
      </c>
      <c r="E33" s="444">
        <f ca="1">IFERROR(__xludf.DUMMYFUNCTION("""COMPUTED_VALUE"""),1060)</f>
        <v>1060</v>
      </c>
      <c r="F33" s="395"/>
      <c r="G33" s="445" t="s">
        <v>16</v>
      </c>
      <c r="H33" s="442" t="str">
        <f ca="1">IFERROR(__xludf.DUMMYFUNCTION("""COMPUTED_VALUE"""),"Virat Kohli")</f>
        <v>Virat Kohli</v>
      </c>
      <c r="I33" s="442" t="str">
        <f ca="1">IFERROR(__xludf.DUMMYFUNCTION("""COMPUTED_VALUE"""),"Batter")</f>
        <v>Batter</v>
      </c>
      <c r="J33" s="443" t="str">
        <f ca="1">IFERROR(__xludf.DUMMYFUNCTION("""COMPUTED_VALUE"""),"RCB")</f>
        <v>RCB</v>
      </c>
      <c r="K33" s="444">
        <f ca="1">IFERROR(__xludf.DUMMYFUNCTION("""COMPUTED_VALUE"""),1060)</f>
        <v>1060</v>
      </c>
      <c r="L33" s="395"/>
      <c r="M33" s="445" t="s">
        <v>16</v>
      </c>
      <c r="N33" s="442" t="str">
        <f ca="1">IFERROR(__xludf.DUMMYFUNCTION("""COMPUTED_VALUE"""),"Prasidh Krishna")</f>
        <v>Prasidh Krishna</v>
      </c>
      <c r="O33" s="442" t="str">
        <f ca="1">IFERROR(__xludf.DUMMYFUNCTION("""COMPUTED_VALUE"""),"Bowler")</f>
        <v>Bowler</v>
      </c>
      <c r="P33" s="443" t="str">
        <f ca="1">IFERROR(__xludf.DUMMYFUNCTION("""COMPUTED_VALUE"""),"GT")</f>
        <v>GT</v>
      </c>
      <c r="Q33" s="444">
        <f ca="1">IFERROR(__xludf.DUMMYFUNCTION("""COMPUTED_VALUE"""),572)</f>
        <v>572</v>
      </c>
      <c r="R33" s="395"/>
      <c r="S33" s="445" t="s">
        <v>16</v>
      </c>
      <c r="T33" s="442" t="str">
        <f ca="1">IFERROR(__xludf.DUMMYFUNCTION("""COMPUTED_VALUE"""),"Riyan Parag")</f>
        <v>Riyan Parag</v>
      </c>
      <c r="U33" s="442" t="str">
        <f ca="1">IFERROR(__xludf.DUMMYFUNCTION("""COMPUTED_VALUE"""),"All-Rounder")</f>
        <v>All-Rounder</v>
      </c>
      <c r="V33" s="443" t="str">
        <f ca="1">IFERROR(__xludf.DUMMYFUNCTION("""COMPUTED_VALUE"""),"RR")</f>
        <v>RR</v>
      </c>
      <c r="W33" s="444">
        <f ca="1">IFERROR(__xludf.DUMMYFUNCTION("""COMPUTED_VALUE"""),564)</f>
        <v>564</v>
      </c>
      <c r="X33" s="374"/>
      <c r="Y33" s="375"/>
      <c r="Z33" s="375"/>
      <c r="AA33" s="375"/>
      <c r="AB33" s="375"/>
      <c r="AC33" s="375"/>
    </row>
    <row r="34" spans="1:29" ht="15.6" hidden="1">
      <c r="A34" s="436" t="s">
        <v>10</v>
      </c>
      <c r="B34" s="402" t="str">
        <f ca="1">IFERROR(__xludf.DUMMYFUNCTION("QUERY(MC!B:I, ""SELECT B, C, I, H where B is not null ORDER BY H DESC LIMIT 1"", 1)"),"Name")</f>
        <v>Name</v>
      </c>
      <c r="C34" s="402" t="str">
        <f ca="1">IFERROR(__xludf.DUMMYFUNCTION("""COMPUTED_VALUE"""),"Type")</f>
        <v>Type</v>
      </c>
      <c r="D34" s="403" t="str">
        <f ca="1">IFERROR(__xludf.DUMMYFUNCTION("""COMPUTED_VALUE"""),"IPL")</f>
        <v>IPL</v>
      </c>
      <c r="E34" s="437" t="str">
        <f ca="1">IFERROR(__xludf.DUMMYFUNCTION("""COMPUTED_VALUE"""),"Points")</f>
        <v>Points</v>
      </c>
      <c r="F34" s="395"/>
      <c r="G34" s="438" t="s">
        <v>10</v>
      </c>
      <c r="H34" s="402" t="str">
        <f ca="1">IFERROR(__xludf.DUMMYFUNCTION("QUERY(MC!B:I, ""SELECT B, C, I, H where B is not null AND C = 'Batter' ORDER BY H DESC LIMIT 1"", 1)"),"Name")</f>
        <v>Name</v>
      </c>
      <c r="I34" s="402" t="str">
        <f ca="1">IFERROR(__xludf.DUMMYFUNCTION("""COMPUTED_VALUE"""),"Type")</f>
        <v>Type</v>
      </c>
      <c r="J34" s="403" t="str">
        <f ca="1">IFERROR(__xludf.DUMMYFUNCTION("""COMPUTED_VALUE"""),"IPL")</f>
        <v>IPL</v>
      </c>
      <c r="K34" s="437" t="str">
        <f ca="1">IFERROR(__xludf.DUMMYFUNCTION("""COMPUTED_VALUE"""),"Points")</f>
        <v>Points</v>
      </c>
      <c r="L34" s="395"/>
      <c r="M34" s="438" t="s">
        <v>10</v>
      </c>
      <c r="N34" s="402" t="str">
        <f ca="1">IFERROR(__xludf.DUMMYFUNCTION("QUERY(MC!B:I, ""SELECT B, C, I, H where B is not null AND C = 'Bowler' ORDER BY H DESC LIMIT 1"", 1)"),"Name")</f>
        <v>Name</v>
      </c>
      <c r="O34" s="402" t="str">
        <f ca="1">IFERROR(__xludf.DUMMYFUNCTION("""COMPUTED_VALUE"""),"Type")</f>
        <v>Type</v>
      </c>
      <c r="P34" s="403" t="str">
        <f ca="1">IFERROR(__xludf.DUMMYFUNCTION("""COMPUTED_VALUE"""),"IPL")</f>
        <v>IPL</v>
      </c>
      <c r="Q34" s="437" t="str">
        <f ca="1">IFERROR(__xludf.DUMMYFUNCTION("""COMPUTED_VALUE"""),"Points")</f>
        <v>Points</v>
      </c>
      <c r="R34" s="395"/>
      <c r="S34" s="438" t="s">
        <v>10</v>
      </c>
      <c r="T34" s="403" t="str">
        <f ca="1">IFERROR(__xludf.DUMMYFUNCTION("QUERY(MC!B:I, ""SELECT B, C, I, H where B is not null AND C = 'All-Rounder' ORDER BY H DESC LIMIT 1"", 1)"),"Name")</f>
        <v>Name</v>
      </c>
      <c r="U34" s="439" t="str">
        <f ca="1">IFERROR(__xludf.DUMMYFUNCTION("""COMPUTED_VALUE"""),"Type")</f>
        <v>Type</v>
      </c>
      <c r="V34" s="439" t="str">
        <f ca="1">IFERROR(__xludf.DUMMYFUNCTION("""COMPUTED_VALUE"""),"IPL")</f>
        <v>IPL</v>
      </c>
      <c r="W34" s="440" t="str">
        <f ca="1">IFERROR(__xludf.DUMMYFUNCTION("""COMPUTED_VALUE"""),"Points")</f>
        <v>Points</v>
      </c>
      <c r="X34" s="374"/>
      <c r="Y34" s="375"/>
      <c r="Z34" s="375"/>
      <c r="AA34" s="375"/>
      <c r="AB34" s="375"/>
      <c r="AC34" s="375"/>
    </row>
    <row r="35" spans="1:29" ht="23.25" customHeight="1">
      <c r="A35" s="446" t="s">
        <v>10</v>
      </c>
      <c r="B35" s="447" t="str">
        <f ca="1">IFERROR(__xludf.DUMMYFUNCTION("""COMPUTED_VALUE"""),"Bhuvneshwar Kumar")</f>
        <v>Bhuvneshwar Kumar</v>
      </c>
      <c r="C35" s="447" t="str">
        <f ca="1">IFERROR(__xludf.DUMMYFUNCTION("""COMPUTED_VALUE"""),"Bowler")</f>
        <v>Bowler</v>
      </c>
      <c r="D35" s="448" t="str">
        <f ca="1">IFERROR(__xludf.DUMMYFUNCTION("""COMPUTED_VALUE"""),"RCB")</f>
        <v>RCB</v>
      </c>
      <c r="E35" s="449">
        <f ca="1">IFERROR(__xludf.DUMMYFUNCTION("""COMPUTED_VALUE"""),1051)</f>
        <v>1051</v>
      </c>
      <c r="F35" s="395"/>
      <c r="G35" s="450" t="s">
        <v>10</v>
      </c>
      <c r="H35" s="447" t="str">
        <f ca="1">IFERROR(__xludf.DUMMYFUNCTION("""COMPUTED_VALUE"""),"Ajinkya Rahane")</f>
        <v>Ajinkya Rahane</v>
      </c>
      <c r="I35" s="447" t="str">
        <f ca="1">IFERROR(__xludf.DUMMYFUNCTION("""COMPUTED_VALUE"""),"Batter")</f>
        <v>Batter</v>
      </c>
      <c r="J35" s="448" t="str">
        <f ca="1">IFERROR(__xludf.DUMMYFUNCTION("""COMPUTED_VALUE"""),"KKR")</f>
        <v>KKR</v>
      </c>
      <c r="K35" s="449">
        <f ca="1">IFERROR(__xludf.DUMMYFUNCTION("""COMPUTED_VALUE"""),550)</f>
        <v>550</v>
      </c>
      <c r="L35" s="395"/>
      <c r="M35" s="450" t="s">
        <v>10</v>
      </c>
      <c r="N35" s="447" t="str">
        <f ca="1">IFERROR(__xludf.DUMMYFUNCTION("""COMPUTED_VALUE"""),"Bhuvneshwar Kumar")</f>
        <v>Bhuvneshwar Kumar</v>
      </c>
      <c r="O35" s="447" t="str">
        <f ca="1">IFERROR(__xludf.DUMMYFUNCTION("""COMPUTED_VALUE"""),"Bowler")</f>
        <v>Bowler</v>
      </c>
      <c r="P35" s="448" t="str">
        <f ca="1">IFERROR(__xludf.DUMMYFUNCTION("""COMPUTED_VALUE"""),"RCB")</f>
        <v>RCB</v>
      </c>
      <c r="Q35" s="449">
        <f ca="1">IFERROR(__xludf.DUMMYFUNCTION("""COMPUTED_VALUE"""),1051)</f>
        <v>1051</v>
      </c>
      <c r="R35" s="395"/>
      <c r="S35" s="450" t="s">
        <v>10</v>
      </c>
      <c r="T35" s="447" t="str">
        <f ca="1">IFERROR(__xludf.DUMMYFUNCTION("""COMPUTED_VALUE"""),"Sunil Narine")</f>
        <v>Sunil Narine</v>
      </c>
      <c r="U35" s="447" t="str">
        <f ca="1">IFERROR(__xludf.DUMMYFUNCTION("""COMPUTED_VALUE"""),"All-Rounder")</f>
        <v>All-Rounder</v>
      </c>
      <c r="V35" s="448" t="str">
        <f ca="1">IFERROR(__xludf.DUMMYFUNCTION("""COMPUTED_VALUE"""),"KKR")</f>
        <v>KKR</v>
      </c>
      <c r="W35" s="449">
        <f ca="1">IFERROR(__xludf.DUMMYFUNCTION("""COMPUTED_VALUE"""),688)</f>
        <v>688</v>
      </c>
      <c r="X35" s="374"/>
      <c r="Y35" s="375"/>
      <c r="Z35" s="375"/>
      <c r="AA35" s="375"/>
      <c r="AB35" s="375"/>
      <c r="AC35" s="375"/>
    </row>
    <row r="36" spans="1:29" ht="15.6" hidden="1">
      <c r="A36" s="436" t="s">
        <v>249</v>
      </c>
      <c r="B36" s="402" t="str">
        <f ca="1">IFERROR(__xludf.DUMMYFUNCTION("QUERY(AS!B:I, ""SELECT B, C, I, H where B is not null ORDER BY H DESC LIMIT 1"", 1)"),"Name")</f>
        <v>Name</v>
      </c>
      <c r="C36" s="402" t="str">
        <f ca="1">IFERROR(__xludf.DUMMYFUNCTION("""COMPUTED_VALUE"""),"Type")</f>
        <v>Type</v>
      </c>
      <c r="D36" s="403" t="str">
        <f ca="1">IFERROR(__xludf.DUMMYFUNCTION("""COMPUTED_VALUE"""),"IPL")</f>
        <v>IPL</v>
      </c>
      <c r="E36" s="437" t="str">
        <f ca="1">IFERROR(__xludf.DUMMYFUNCTION("""COMPUTED_VALUE"""),"Points")</f>
        <v>Points</v>
      </c>
      <c r="F36" s="395"/>
      <c r="G36" s="438" t="s">
        <v>249</v>
      </c>
      <c r="H36" s="402" t="str">
        <f ca="1">IFERROR(__xludf.DUMMYFUNCTION("QUERY(AS!B:I, ""SELECT B, C, I, H where B is not null AND C = 'Batter' ORDER BY H DESC LIMIT 1"", 1)"),"Name")</f>
        <v>Name</v>
      </c>
      <c r="I36" s="402" t="str">
        <f ca="1">IFERROR(__xludf.DUMMYFUNCTION("""COMPUTED_VALUE"""),"Type")</f>
        <v>Type</v>
      </c>
      <c r="J36" s="403" t="str">
        <f ca="1">IFERROR(__xludf.DUMMYFUNCTION("""COMPUTED_VALUE"""),"IPL")</f>
        <v>IPL</v>
      </c>
      <c r="K36" s="437" t="str">
        <f ca="1">IFERROR(__xludf.DUMMYFUNCTION("""COMPUTED_VALUE"""),"Points")</f>
        <v>Points</v>
      </c>
      <c r="L36" s="395"/>
      <c r="M36" s="438" t="s">
        <v>249</v>
      </c>
      <c r="N36" s="402" t="str">
        <f ca="1">IFERROR(__xludf.DUMMYFUNCTION("QUERY(AS!B:I, ""SELECT B, C, I, H where B is not null AND C = 'Bowler' ORDER BY H DESC LIMIT 1"", 1)"),"Name")</f>
        <v>Name</v>
      </c>
      <c r="O36" s="402" t="str">
        <f ca="1">IFERROR(__xludf.DUMMYFUNCTION("""COMPUTED_VALUE"""),"Type")</f>
        <v>Type</v>
      </c>
      <c r="P36" s="403" t="str">
        <f ca="1">IFERROR(__xludf.DUMMYFUNCTION("""COMPUTED_VALUE"""),"IPL")</f>
        <v>IPL</v>
      </c>
      <c r="Q36" s="437" t="str">
        <f ca="1">IFERROR(__xludf.DUMMYFUNCTION("""COMPUTED_VALUE"""),"Points")</f>
        <v>Points</v>
      </c>
      <c r="R36" s="395"/>
      <c r="S36" s="438" t="s">
        <v>249</v>
      </c>
      <c r="T36" s="403" t="str">
        <f ca="1">IFERROR(__xludf.DUMMYFUNCTION("QUERY(AS!B:I, ""SELECT B, C, I, H where B is not null AND C = 'All-Rounder' ORDER BY H DESC LIMIT 1"", 1)"),"Name")</f>
        <v>Name</v>
      </c>
      <c r="U36" s="439" t="str">
        <f ca="1">IFERROR(__xludf.DUMMYFUNCTION("""COMPUTED_VALUE"""),"Type")</f>
        <v>Type</v>
      </c>
      <c r="V36" s="439" t="str">
        <f ca="1">IFERROR(__xludf.DUMMYFUNCTION("""COMPUTED_VALUE"""),"IPL")</f>
        <v>IPL</v>
      </c>
      <c r="W36" s="440" t="str">
        <f ca="1">IFERROR(__xludf.DUMMYFUNCTION("""COMPUTED_VALUE"""),"Points")</f>
        <v>Points</v>
      </c>
      <c r="X36" s="374"/>
      <c r="Y36" s="375"/>
      <c r="Z36" s="375"/>
      <c r="AA36" s="375"/>
      <c r="AB36" s="375"/>
      <c r="AC36" s="375"/>
    </row>
    <row r="37" spans="1:29" ht="24.75" customHeight="1">
      <c r="A37" s="451" t="s">
        <v>14</v>
      </c>
      <c r="B37" s="452" t="str">
        <f ca="1">IFERROR(__xludf.DUMMYFUNCTION("""COMPUTED_VALUE"""),"Vaibhav Suryavanshi")</f>
        <v>Vaibhav Suryavanshi</v>
      </c>
      <c r="C37" s="452" t="str">
        <f ca="1">IFERROR(__xludf.DUMMYFUNCTION("""COMPUTED_VALUE"""),"All-Rounder")</f>
        <v>All-Rounder</v>
      </c>
      <c r="D37" s="453" t="str">
        <f ca="1">IFERROR(__xludf.DUMMYFUNCTION("""COMPUTED_VALUE"""),"RR")</f>
        <v>RR</v>
      </c>
      <c r="E37" s="454">
        <f ca="1">IFERROR(__xludf.DUMMYFUNCTION("""COMPUTED_VALUE"""),1211)</f>
        <v>1211</v>
      </c>
      <c r="F37" s="395"/>
      <c r="G37" s="455" t="s">
        <v>14</v>
      </c>
      <c r="H37" s="452" t="str">
        <f ca="1">IFERROR(__xludf.DUMMYFUNCTION("""COMPUTED_VALUE"""),"Sai Sudharsan")</f>
        <v>Sai Sudharsan</v>
      </c>
      <c r="I37" s="452" t="str">
        <f ca="1">IFERROR(__xludf.DUMMYFUNCTION("""COMPUTED_VALUE"""),"Batter")</f>
        <v>Batter</v>
      </c>
      <c r="J37" s="453" t="str">
        <f ca="1">IFERROR(__xludf.DUMMYFUNCTION("""COMPUTED_VALUE"""),"GT")</f>
        <v>GT</v>
      </c>
      <c r="K37" s="454">
        <f ca="1">IFERROR(__xludf.DUMMYFUNCTION("""COMPUTED_VALUE"""),1089)</f>
        <v>1089</v>
      </c>
      <c r="L37" s="395"/>
      <c r="M37" s="455" t="s">
        <v>14</v>
      </c>
      <c r="N37" s="452" t="str">
        <f ca="1">IFERROR(__xludf.DUMMYFUNCTION("""COMPUTED_VALUE"""),"Rasikh Dar")</f>
        <v>Rasikh Dar</v>
      </c>
      <c r="O37" s="452" t="str">
        <f ca="1">IFERROR(__xludf.DUMMYFUNCTION("""COMPUTED_VALUE"""),"Bowler")</f>
        <v>Bowler</v>
      </c>
      <c r="P37" s="453" t="str">
        <f ca="1">IFERROR(__xludf.DUMMYFUNCTION("""COMPUTED_VALUE"""),"RCB")</f>
        <v>RCB</v>
      </c>
      <c r="Q37" s="454">
        <f ca="1">IFERROR(__xludf.DUMMYFUNCTION("""COMPUTED_VALUE"""),604)</f>
        <v>604</v>
      </c>
      <c r="R37" s="395"/>
      <c r="S37" s="455" t="s">
        <v>14</v>
      </c>
      <c r="T37" s="452" t="str">
        <f ca="1">IFERROR(__xludf.DUMMYFUNCTION("""COMPUTED_VALUE"""),"Vaibhav Suryavanshi")</f>
        <v>Vaibhav Suryavanshi</v>
      </c>
      <c r="U37" s="452" t="str">
        <f ca="1">IFERROR(__xludf.DUMMYFUNCTION("""COMPUTED_VALUE"""),"All-Rounder")</f>
        <v>All-Rounder</v>
      </c>
      <c r="V37" s="453" t="str">
        <f ca="1">IFERROR(__xludf.DUMMYFUNCTION("""COMPUTED_VALUE"""),"RR")</f>
        <v>RR</v>
      </c>
      <c r="W37" s="454">
        <f ca="1">IFERROR(__xludf.DUMMYFUNCTION("""COMPUTED_VALUE"""),1211)</f>
        <v>1211</v>
      </c>
      <c r="X37" s="374"/>
      <c r="Y37" s="375"/>
      <c r="Z37" s="375"/>
      <c r="AA37" s="375"/>
      <c r="AB37" s="375"/>
      <c r="AC37" s="375"/>
    </row>
    <row r="38" spans="1:29" ht="15.6" hidden="1">
      <c r="A38" s="436" t="s">
        <v>12</v>
      </c>
      <c r="B38" s="402" t="str">
        <f ca="1">IFERROR(__xludf.DUMMYFUNCTION("QUERY(OL!B:I, ""SELECT B, C, I, H where B is not null ORDER BY H DESC LIMIT 1"", 1)"),"Name")</f>
        <v>Name</v>
      </c>
      <c r="C38" s="402" t="str">
        <f ca="1">IFERROR(__xludf.DUMMYFUNCTION("""COMPUTED_VALUE"""),"Type")</f>
        <v>Type</v>
      </c>
      <c r="D38" s="403" t="str">
        <f ca="1">IFERROR(__xludf.DUMMYFUNCTION("""COMPUTED_VALUE"""),"IPL")</f>
        <v>IPL</v>
      </c>
      <c r="E38" s="437" t="str">
        <f ca="1">IFERROR(__xludf.DUMMYFUNCTION("""COMPUTED_VALUE"""),"Points")</f>
        <v>Points</v>
      </c>
      <c r="F38" s="395"/>
      <c r="G38" s="438" t="s">
        <v>12</v>
      </c>
      <c r="H38" s="402" t="str">
        <f ca="1">IFERROR(__xludf.DUMMYFUNCTION("QUERY(OL!B:I, ""SELECT B, C, I, H where B is not null AND C = 'Batter' ORDER BY H DESC LIMIT 1"", 1)"),"Name")</f>
        <v>Name</v>
      </c>
      <c r="I38" s="402" t="str">
        <f ca="1">IFERROR(__xludf.DUMMYFUNCTION("""COMPUTED_VALUE"""),"Type")</f>
        <v>Type</v>
      </c>
      <c r="J38" s="403" t="str">
        <f ca="1">IFERROR(__xludf.DUMMYFUNCTION("""COMPUTED_VALUE"""),"IPL")</f>
        <v>IPL</v>
      </c>
      <c r="K38" s="437" t="str">
        <f ca="1">IFERROR(__xludf.DUMMYFUNCTION("""COMPUTED_VALUE"""),"Points")</f>
        <v>Points</v>
      </c>
      <c r="L38" s="395"/>
      <c r="M38" s="438" t="s">
        <v>12</v>
      </c>
      <c r="N38" s="402" t="str">
        <f ca="1">IFERROR(__xludf.DUMMYFUNCTION("QUERY(OL!B:I, ""SELECT B, C, I, H where B is not null AND C = 'Bowler' ORDER BY H DESC LIMIT 1"", 1)"),"Name")</f>
        <v>Name</v>
      </c>
      <c r="O38" s="402" t="str">
        <f ca="1">IFERROR(__xludf.DUMMYFUNCTION("""COMPUTED_VALUE"""),"Type")</f>
        <v>Type</v>
      </c>
      <c r="P38" s="403" t="str">
        <f ca="1">IFERROR(__xludf.DUMMYFUNCTION("""COMPUTED_VALUE"""),"IPL")</f>
        <v>IPL</v>
      </c>
      <c r="Q38" s="437" t="str">
        <f ca="1">IFERROR(__xludf.DUMMYFUNCTION("""COMPUTED_VALUE"""),"Points")</f>
        <v>Points</v>
      </c>
      <c r="R38" s="395"/>
      <c r="S38" s="438" t="s">
        <v>12</v>
      </c>
      <c r="T38" s="403" t="str">
        <f ca="1">IFERROR(__xludf.DUMMYFUNCTION("QUERY(OL!B:I, ""SELECT B, C, I, H where B is not null AND C = 'All-Rounder' ORDER BY H DESC LIMIT 1"", 1)"),"Name")</f>
        <v>Name</v>
      </c>
      <c r="U38" s="439" t="str">
        <f ca="1">IFERROR(__xludf.DUMMYFUNCTION("""COMPUTED_VALUE"""),"Type")</f>
        <v>Type</v>
      </c>
      <c r="V38" s="439" t="str">
        <f ca="1">IFERROR(__xludf.DUMMYFUNCTION("""COMPUTED_VALUE"""),"IPL")</f>
        <v>IPL</v>
      </c>
      <c r="W38" s="440" t="str">
        <f ca="1">IFERROR(__xludf.DUMMYFUNCTION("""COMPUTED_VALUE"""),"Points")</f>
        <v>Points</v>
      </c>
      <c r="X38" s="374"/>
      <c r="Y38" s="375"/>
      <c r="Z38" s="375"/>
      <c r="AA38" s="375"/>
      <c r="AB38" s="375"/>
      <c r="AC38" s="375"/>
    </row>
    <row r="39" spans="1:29" ht="25.5" customHeight="1">
      <c r="A39" s="456" t="s">
        <v>12</v>
      </c>
      <c r="B39" s="457" t="str">
        <f ca="1">IFERROR(__xludf.DUMMYFUNCTION("""COMPUTED_VALUE"""),"KL Rahul")</f>
        <v>KL Rahul</v>
      </c>
      <c r="C39" s="457" t="str">
        <f ca="1">IFERROR(__xludf.DUMMYFUNCTION("""COMPUTED_VALUE"""),"Batter")</f>
        <v>Batter</v>
      </c>
      <c r="D39" s="458" t="str">
        <f ca="1">IFERROR(__xludf.DUMMYFUNCTION("""COMPUTED_VALUE"""),"DC")</f>
        <v>DC</v>
      </c>
      <c r="E39" s="459">
        <f ca="1">IFERROR(__xludf.DUMMYFUNCTION("""COMPUTED_VALUE"""),903)</f>
        <v>903</v>
      </c>
      <c r="F39" s="395"/>
      <c r="G39" s="460" t="s">
        <v>12</v>
      </c>
      <c r="H39" s="457" t="str">
        <f ca="1">IFERROR(__xludf.DUMMYFUNCTION("""COMPUTED_VALUE"""),"KL Rahul")</f>
        <v>KL Rahul</v>
      </c>
      <c r="I39" s="457" t="str">
        <f ca="1">IFERROR(__xludf.DUMMYFUNCTION("""COMPUTED_VALUE"""),"Batter")</f>
        <v>Batter</v>
      </c>
      <c r="J39" s="458" t="str">
        <f ca="1">IFERROR(__xludf.DUMMYFUNCTION("""COMPUTED_VALUE"""),"DC")</f>
        <v>DC</v>
      </c>
      <c r="K39" s="459">
        <f ca="1">IFERROR(__xludf.DUMMYFUNCTION("""COMPUTED_VALUE"""),903)</f>
        <v>903</v>
      </c>
      <c r="L39" s="395"/>
      <c r="M39" s="460" t="s">
        <v>12</v>
      </c>
      <c r="N39" s="457" t="str">
        <f ca="1">IFERROR(__xludf.DUMMYFUNCTION("""COMPUTED_VALUE"""),"Rashid Khan")</f>
        <v>Rashid Khan</v>
      </c>
      <c r="O39" s="457" t="str">
        <f ca="1">IFERROR(__xludf.DUMMYFUNCTION("""COMPUTED_VALUE"""),"Bowler")</f>
        <v>Bowler</v>
      </c>
      <c r="P39" s="458" t="str">
        <f ca="1">IFERROR(__xludf.DUMMYFUNCTION("""COMPUTED_VALUE"""),"GT")</f>
        <v>GT</v>
      </c>
      <c r="Q39" s="459">
        <f ca="1">IFERROR(__xludf.DUMMYFUNCTION("""COMPUTED_VALUE"""),874)</f>
        <v>874</v>
      </c>
      <c r="R39" s="395"/>
      <c r="S39" s="460" t="s">
        <v>12</v>
      </c>
      <c r="T39" s="457" t="str">
        <f ca="1">IFERROR(__xludf.DUMMYFUNCTION("""COMPUTED_VALUE"""),"Krunal Pandya")</f>
        <v>Krunal Pandya</v>
      </c>
      <c r="U39" s="457" t="str">
        <f ca="1">IFERROR(__xludf.DUMMYFUNCTION("""COMPUTED_VALUE"""),"All-Rounder")</f>
        <v>All-Rounder</v>
      </c>
      <c r="V39" s="458" t="str">
        <f ca="1">IFERROR(__xludf.DUMMYFUNCTION("""COMPUTED_VALUE"""),"RCB")</f>
        <v>RCB</v>
      </c>
      <c r="W39" s="459">
        <f ca="1">IFERROR(__xludf.DUMMYFUNCTION("""COMPUTED_VALUE"""),836)</f>
        <v>836</v>
      </c>
      <c r="X39" s="374"/>
      <c r="Y39" s="375"/>
      <c r="Z39" s="375"/>
      <c r="AA39" s="375"/>
      <c r="AB39" s="375"/>
      <c r="AC39" s="375"/>
    </row>
    <row r="40" spans="1:29" ht="13.2">
      <c r="A40" s="461"/>
      <c r="B40" s="395"/>
      <c r="C40" s="395"/>
      <c r="D40" s="395"/>
      <c r="E40" s="395"/>
      <c r="F40" s="395"/>
      <c r="G40" s="395"/>
      <c r="H40" s="395"/>
      <c r="I40" s="395"/>
      <c r="J40" s="395"/>
      <c r="K40" s="395"/>
      <c r="L40" s="395"/>
      <c r="M40" s="395"/>
      <c r="N40" s="395"/>
      <c r="O40" s="395"/>
      <c r="P40" s="395"/>
      <c r="Q40" s="395"/>
      <c r="R40" s="395"/>
      <c r="S40" s="395"/>
      <c r="T40" s="395"/>
      <c r="U40" s="395"/>
      <c r="V40" s="395"/>
      <c r="W40" s="395"/>
      <c r="X40" s="374"/>
      <c r="Y40" s="375"/>
      <c r="Z40" s="375"/>
      <c r="AA40" s="375"/>
      <c r="AB40" s="375"/>
      <c r="AC40" s="375"/>
    </row>
    <row r="41" spans="1:29" ht="21">
      <c r="A41" s="1098" t="s">
        <v>250</v>
      </c>
      <c r="B41" s="1084"/>
      <c r="C41" s="1084"/>
      <c r="D41" s="1084"/>
      <c r="E41" s="1085"/>
      <c r="F41" s="395"/>
      <c r="G41" s="1083" t="s">
        <v>251</v>
      </c>
      <c r="H41" s="1084"/>
      <c r="I41" s="1084"/>
      <c r="J41" s="1084"/>
      <c r="K41" s="1085"/>
      <c r="L41" s="395"/>
      <c r="M41" s="1083" t="s">
        <v>252</v>
      </c>
      <c r="N41" s="1084"/>
      <c r="O41" s="1084"/>
      <c r="P41" s="1084"/>
      <c r="Q41" s="1085"/>
      <c r="R41" s="395"/>
      <c r="S41" s="1083" t="s">
        <v>253</v>
      </c>
      <c r="T41" s="1084"/>
      <c r="U41" s="1084"/>
      <c r="V41" s="1084"/>
      <c r="W41" s="1085"/>
      <c r="X41" s="374"/>
      <c r="Y41" s="375"/>
      <c r="Z41" s="375"/>
      <c r="AA41" s="375"/>
      <c r="AB41" s="375"/>
      <c r="AC41" s="375"/>
    </row>
    <row r="42" spans="1:29" ht="15.6">
      <c r="A42" s="396" t="s">
        <v>237</v>
      </c>
      <c r="B42" s="462" t="str">
        <f ca="1">IFERROR(__xludf.DUMMYFUNCTION("QUERY(Performance!A:N, ""SELECT A, B, C, D ORDER BY N DESC LIMIT 12"", 1)"),"Name")</f>
        <v>Name</v>
      </c>
      <c r="C42" s="462" t="str">
        <f ca="1">IFERROR(__xludf.DUMMYFUNCTION("""COMPUTED_VALUE"""),"Team")</f>
        <v>Team</v>
      </c>
      <c r="D42" s="462" t="str">
        <f ca="1">IFERROR(__xludf.DUMMYFUNCTION("""COMPUTED_VALUE"""),"IPL")</f>
        <v>IPL</v>
      </c>
      <c r="E42" s="463" t="str">
        <f ca="1">IFERROR(__xludf.DUMMYFUNCTION("""COMPUTED_VALUE"""),"Points")</f>
        <v>Points</v>
      </c>
      <c r="F42" s="395"/>
      <c r="G42" s="464" t="s">
        <v>254</v>
      </c>
      <c r="H42" s="462" t="str">
        <f ca="1">IFERROR(__xludf.DUMMYFUNCTION("QUERY(Performance!A:N, ""SELECT A, B, C, D WHERE L = 'Batter' ORDER BY N DESC LIMIT 12"", 1)
"),"Name")</f>
        <v>Name</v>
      </c>
      <c r="I42" s="462" t="str">
        <f ca="1">IFERROR(__xludf.DUMMYFUNCTION("""COMPUTED_VALUE"""),"Team")</f>
        <v>Team</v>
      </c>
      <c r="J42" s="462" t="str">
        <f ca="1">IFERROR(__xludf.DUMMYFUNCTION("""COMPUTED_VALUE"""),"IPL")</f>
        <v>IPL</v>
      </c>
      <c r="K42" s="463" t="str">
        <f ca="1">IFERROR(__xludf.DUMMYFUNCTION("""COMPUTED_VALUE"""),"Points")</f>
        <v>Points</v>
      </c>
      <c r="L42" s="395"/>
      <c r="M42" s="464" t="s">
        <v>255</v>
      </c>
      <c r="N42" s="462" t="str">
        <f ca="1">IFERROR(__xludf.DUMMYFUNCTION("QUERY(Performance!A:N, ""SELECT A, B, C, D WHERE L = 'Bowler' ORDER BY N DESC LIMIT 12"", 1)
"),"Name")</f>
        <v>Name</v>
      </c>
      <c r="O42" s="462" t="str">
        <f ca="1">IFERROR(__xludf.DUMMYFUNCTION("""COMPUTED_VALUE"""),"Team")</f>
        <v>Team</v>
      </c>
      <c r="P42" s="462" t="str">
        <f ca="1">IFERROR(__xludf.DUMMYFUNCTION("""COMPUTED_VALUE"""),"IPL")</f>
        <v>IPL</v>
      </c>
      <c r="Q42" s="463" t="str">
        <f ca="1">IFERROR(__xludf.DUMMYFUNCTION("""COMPUTED_VALUE"""),"Points")</f>
        <v>Points</v>
      </c>
      <c r="R42" s="395"/>
      <c r="S42" s="464" t="s">
        <v>256</v>
      </c>
      <c r="T42" s="462" t="str">
        <f ca="1">IFERROR(__xludf.DUMMYFUNCTION("QUERY(Performance!A:N, ""SELECT A, B, C, D WHERE L = 'All-Rounder' ORDER BY N DESC LIMIT 12"", 1)
"),"Name")</f>
        <v>Name</v>
      </c>
      <c r="U42" s="462" t="str">
        <f ca="1">IFERROR(__xludf.DUMMYFUNCTION("""COMPUTED_VALUE"""),"Team")</f>
        <v>Team</v>
      </c>
      <c r="V42" s="462" t="str">
        <f ca="1">IFERROR(__xludf.DUMMYFUNCTION("""COMPUTED_VALUE"""),"IPL")</f>
        <v>IPL</v>
      </c>
      <c r="W42" s="463" t="str">
        <f ca="1">IFERROR(__xludf.DUMMYFUNCTION("""COMPUTED_VALUE"""),"Points")</f>
        <v>Points</v>
      </c>
      <c r="X42" s="374"/>
      <c r="Y42" s="375"/>
      <c r="Z42" s="375"/>
      <c r="AA42" s="375"/>
      <c r="AB42" s="375"/>
      <c r="AC42" s="375"/>
    </row>
    <row r="43" spans="1:29" ht="21" customHeight="1">
      <c r="A43" s="401">
        <v>1</v>
      </c>
      <c r="B43" s="419" t="str">
        <f ca="1">IFERROR(__xludf.DUMMYFUNCTION("""COMPUTED_VALUE"""),"Mohsin Khan")</f>
        <v>Mohsin Khan</v>
      </c>
      <c r="C43" s="419" t="str">
        <f ca="1">IFERROR(__xludf.DUMMYFUNCTION("""COMPUTED_VALUE"""),"AS")</f>
        <v>AS</v>
      </c>
      <c r="D43" s="419" t="str">
        <f ca="1">IFERROR(__xludf.DUMMYFUNCTION("""COMPUTED_VALUE"""),"LSG")</f>
        <v>LSG</v>
      </c>
      <c r="E43" s="465">
        <f ca="1">IFERROR(__xludf.DUMMYFUNCTION("""COMPUTED_VALUE"""),444)</f>
        <v>444</v>
      </c>
      <c r="F43" s="395"/>
      <c r="G43" s="405">
        <v>1</v>
      </c>
      <c r="H43" s="419" t="str">
        <f ca="1">IFERROR(__xludf.DUMMYFUNCTION("""COMPUTED_VALUE"""),"Glenn Phillips")</f>
        <v>Glenn Phillips</v>
      </c>
      <c r="I43" s="419" t="str">
        <f ca="1">IFERROR(__xludf.DUMMYFUNCTION("""COMPUTED_VALUE"""),"MC")</f>
        <v>MC</v>
      </c>
      <c r="J43" s="419" t="str">
        <f ca="1">IFERROR(__xludf.DUMMYFUNCTION("""COMPUTED_VALUE"""),"GT")</f>
        <v>GT</v>
      </c>
      <c r="K43" s="465">
        <f ca="1">IFERROR(__xludf.DUMMYFUNCTION("""COMPUTED_VALUE"""),165)</f>
        <v>165</v>
      </c>
      <c r="L43" s="395"/>
      <c r="M43" s="405">
        <v>1</v>
      </c>
      <c r="N43" s="419" t="str">
        <f ca="1">IFERROR(__xludf.DUMMYFUNCTION("""COMPUTED_VALUE"""),"Mohsin Khan")</f>
        <v>Mohsin Khan</v>
      </c>
      <c r="O43" s="419" t="str">
        <f ca="1">IFERROR(__xludf.DUMMYFUNCTION("""COMPUTED_VALUE"""),"AS")</f>
        <v>AS</v>
      </c>
      <c r="P43" s="419" t="str">
        <f ca="1">IFERROR(__xludf.DUMMYFUNCTION("""COMPUTED_VALUE"""),"LSG")</f>
        <v>LSG</v>
      </c>
      <c r="Q43" s="465">
        <f ca="1">IFERROR(__xludf.DUMMYFUNCTION("""COMPUTED_VALUE"""),444)</f>
        <v>444</v>
      </c>
      <c r="R43" s="395"/>
      <c r="S43" s="405">
        <v>1</v>
      </c>
      <c r="T43" s="419" t="str">
        <f ca="1">IFERROR(__xludf.DUMMYFUNCTION("""COMPUTED_VALUE"""),"Krunal Pandya")</f>
        <v>Krunal Pandya</v>
      </c>
      <c r="U43" s="419" t="str">
        <f ca="1">IFERROR(__xludf.DUMMYFUNCTION("""COMPUTED_VALUE"""),"OL")</f>
        <v>OL</v>
      </c>
      <c r="V43" s="419" t="str">
        <f ca="1">IFERROR(__xludf.DUMMYFUNCTION("""COMPUTED_VALUE"""),"RCB")</f>
        <v>RCB</v>
      </c>
      <c r="W43" s="465">
        <f ca="1">IFERROR(__xludf.DUMMYFUNCTION("""COMPUTED_VALUE"""),836)</f>
        <v>836</v>
      </c>
      <c r="X43" s="374"/>
      <c r="Y43" s="375"/>
      <c r="Z43" s="375"/>
      <c r="AA43" s="375"/>
      <c r="AB43" s="375"/>
      <c r="AC43" s="375"/>
    </row>
    <row r="44" spans="1:29" ht="19.5" customHeight="1">
      <c r="A44" s="401">
        <v>2</v>
      </c>
      <c r="B44" s="419" t="str">
        <f ca="1">IFERROR(__xludf.DUMMYFUNCTION("""COMPUTED_VALUE"""),"Digvesh Singh")</f>
        <v>Digvesh Singh</v>
      </c>
      <c r="C44" s="419" t="str">
        <f ca="1">IFERROR(__xludf.DUMMYFUNCTION("""COMPUTED_VALUE"""),"OL")</f>
        <v>OL</v>
      </c>
      <c r="D44" s="419" t="str">
        <f ca="1">IFERROR(__xludf.DUMMYFUNCTION("""COMPUTED_VALUE"""),"LSG")</f>
        <v>LSG</v>
      </c>
      <c r="E44" s="465">
        <f ca="1">IFERROR(__xludf.DUMMYFUNCTION("""COMPUTED_VALUE"""),245)</f>
        <v>245</v>
      </c>
      <c r="F44" s="395"/>
      <c r="G44" s="405">
        <v>2</v>
      </c>
      <c r="H44" s="419" t="str">
        <f ca="1">IFERROR(__xludf.DUMMYFUNCTION("""COMPUTED_VALUE"""),"Devdutt Padikkal")</f>
        <v>Devdutt Padikkal</v>
      </c>
      <c r="I44" s="419" t="str">
        <f ca="1">IFERROR(__xludf.DUMMYFUNCTION("""COMPUTED_VALUE"""),"PA")</f>
        <v>PA</v>
      </c>
      <c r="J44" s="419" t="str">
        <f ca="1">IFERROR(__xludf.DUMMYFUNCTION("""COMPUTED_VALUE"""),"RCB")</f>
        <v>RCB</v>
      </c>
      <c r="K44" s="465">
        <f ca="1">IFERROR(__xludf.DUMMYFUNCTION("""COMPUTED_VALUE"""),835)</f>
        <v>835</v>
      </c>
      <c r="L44" s="395"/>
      <c r="M44" s="405">
        <v>2</v>
      </c>
      <c r="N44" s="419" t="str">
        <f ca="1">IFERROR(__xludf.DUMMYFUNCTION("""COMPUTED_VALUE"""),"Digvesh Singh")</f>
        <v>Digvesh Singh</v>
      </c>
      <c r="O44" s="419" t="str">
        <f ca="1">IFERROR(__xludf.DUMMYFUNCTION("""COMPUTED_VALUE"""),"OL")</f>
        <v>OL</v>
      </c>
      <c r="P44" s="419" t="str">
        <f ca="1">IFERROR(__xludf.DUMMYFUNCTION("""COMPUTED_VALUE"""),"LSG")</f>
        <v>LSG</v>
      </c>
      <c r="Q44" s="465">
        <f ca="1">IFERROR(__xludf.DUMMYFUNCTION("""COMPUTED_VALUE"""),245)</f>
        <v>245</v>
      </c>
      <c r="R44" s="395"/>
      <c r="S44" s="405">
        <v>2</v>
      </c>
      <c r="T44" s="419" t="str">
        <f ca="1">IFERROR(__xludf.DUMMYFUNCTION("""COMPUTED_VALUE"""),"Harpreet Brar")</f>
        <v>Harpreet Brar</v>
      </c>
      <c r="U44" s="419" t="str">
        <f ca="1">IFERROR(__xludf.DUMMYFUNCTION("""COMPUTED_VALUE"""),"AS")</f>
        <v>AS</v>
      </c>
      <c r="V44" s="419" t="str">
        <f ca="1">IFERROR(__xludf.DUMMYFUNCTION("""COMPUTED_VALUE"""),"PBSK")</f>
        <v>PBSK</v>
      </c>
      <c r="W44" s="465">
        <f ca="1">IFERROR(__xludf.DUMMYFUNCTION("""COMPUTED_VALUE"""),98)</f>
        <v>98</v>
      </c>
      <c r="X44" s="374"/>
      <c r="Y44" s="375"/>
      <c r="Z44" s="375"/>
      <c r="AA44" s="375"/>
      <c r="AB44" s="375"/>
      <c r="AC44" s="375"/>
    </row>
    <row r="45" spans="1:29" ht="21.75" customHeight="1">
      <c r="A45" s="401">
        <v>3</v>
      </c>
      <c r="B45" s="419" t="str">
        <f ca="1">IFERROR(__xludf.DUMMYFUNCTION("""COMPUTED_VALUE"""),"Khaleel + Rabada")</f>
        <v>Khaleel + Rabada</v>
      </c>
      <c r="C45" s="419" t="str">
        <f ca="1">IFERROR(__xludf.DUMMYFUNCTION("""COMPUTED_VALUE"""),"HW")</f>
        <v>HW</v>
      </c>
      <c r="D45" s="419" t="str">
        <f ca="1">IFERROR(__xludf.DUMMYFUNCTION("""COMPUTED_VALUE"""),"CSK/GT")</f>
        <v>CSK/GT</v>
      </c>
      <c r="E45" s="465">
        <f ca="1">IFERROR(__xludf.DUMMYFUNCTION("""COMPUTED_VALUE"""),1048)</f>
        <v>1048</v>
      </c>
      <c r="F45" s="395"/>
      <c r="G45" s="405">
        <v>3</v>
      </c>
      <c r="H45" s="419" t="str">
        <f ca="1">IFERROR(__xludf.DUMMYFUNCTION("""COMPUTED_VALUE"""),"Rajat Patidar")</f>
        <v>Rajat Patidar</v>
      </c>
      <c r="I45" s="419" t="str">
        <f ca="1">IFERROR(__xludf.DUMMYFUNCTION("""COMPUTED_VALUE"""),"OL")</f>
        <v>OL</v>
      </c>
      <c r="J45" s="419" t="str">
        <f ca="1">IFERROR(__xludf.DUMMYFUNCTION("""COMPUTED_VALUE"""),"RCB")</f>
        <v>RCB</v>
      </c>
      <c r="K45" s="465">
        <f ca="1">IFERROR(__xludf.DUMMYFUNCTION("""COMPUTED_VALUE"""),845)</f>
        <v>845</v>
      </c>
      <c r="L45" s="395"/>
      <c r="M45" s="405">
        <v>3</v>
      </c>
      <c r="N45" s="419" t="str">
        <f ca="1">IFERROR(__xludf.DUMMYFUNCTION("""COMPUTED_VALUE"""),"Khaleel + Rabada")</f>
        <v>Khaleel + Rabada</v>
      </c>
      <c r="O45" s="419" t="str">
        <f ca="1">IFERROR(__xludf.DUMMYFUNCTION("""COMPUTED_VALUE"""),"HW")</f>
        <v>HW</v>
      </c>
      <c r="P45" s="419" t="str">
        <f ca="1">IFERROR(__xludf.DUMMYFUNCTION("""COMPUTED_VALUE"""),"CSK/GT")</f>
        <v>CSK/GT</v>
      </c>
      <c r="Q45" s="465">
        <f ca="1">IFERROR(__xludf.DUMMYFUNCTION("""COMPUTED_VALUE"""),1048)</f>
        <v>1048</v>
      </c>
      <c r="R45" s="395"/>
      <c r="S45" s="405">
        <v>3</v>
      </c>
      <c r="T45" s="419" t="str">
        <f ca="1">IFERROR(__xludf.DUMMYFUNCTION("""COMPUTED_VALUE"""),"Riyan Parag")</f>
        <v>Riyan Parag</v>
      </c>
      <c r="U45" s="419" t="str">
        <f ca="1">IFERROR(__xludf.DUMMYFUNCTION("""COMPUTED_VALUE"""),"PA")</f>
        <v>PA</v>
      </c>
      <c r="V45" s="419" t="str">
        <f ca="1">IFERROR(__xludf.DUMMYFUNCTION("""COMPUTED_VALUE"""),"RR")</f>
        <v>RR</v>
      </c>
      <c r="W45" s="465">
        <f ca="1">IFERROR(__xludf.DUMMYFUNCTION("""COMPUTED_VALUE"""),564)</f>
        <v>564</v>
      </c>
      <c r="X45" s="374"/>
      <c r="Y45" s="375"/>
      <c r="Z45" s="375"/>
      <c r="AA45" s="375"/>
      <c r="AB45" s="375"/>
      <c r="AC45" s="375"/>
    </row>
    <row r="46" spans="1:29" ht="22.5" customHeight="1">
      <c r="A46" s="401">
        <v>4</v>
      </c>
      <c r="B46" s="419" t="str">
        <f ca="1">IFERROR(__xludf.DUMMYFUNCTION("""COMPUTED_VALUE"""),"Glenn Phillips")</f>
        <v>Glenn Phillips</v>
      </c>
      <c r="C46" s="419" t="str">
        <f ca="1">IFERROR(__xludf.DUMMYFUNCTION("""COMPUTED_VALUE"""),"MC")</f>
        <v>MC</v>
      </c>
      <c r="D46" s="419" t="str">
        <f ca="1">IFERROR(__xludf.DUMMYFUNCTION("""COMPUTED_VALUE"""),"GT")</f>
        <v>GT</v>
      </c>
      <c r="E46" s="465">
        <f ca="1">IFERROR(__xludf.DUMMYFUNCTION("""COMPUTED_VALUE"""),165)</f>
        <v>165</v>
      </c>
      <c r="F46" s="395"/>
      <c r="G46" s="405">
        <v>4</v>
      </c>
      <c r="H46" s="419" t="str">
        <f ca="1">IFERROR(__xludf.DUMMYFUNCTION("""COMPUTED_VALUE"""),"Abhishek Porel")</f>
        <v>Abhishek Porel</v>
      </c>
      <c r="I46" s="419" t="str">
        <f ca="1">IFERROR(__xludf.DUMMYFUNCTION("""COMPUTED_VALUE"""),"OL")</f>
        <v>OL</v>
      </c>
      <c r="J46" s="419" t="str">
        <f ca="1">IFERROR(__xludf.DUMMYFUNCTION("""COMPUTED_VALUE"""),"DC")</f>
        <v>DC</v>
      </c>
      <c r="K46" s="465">
        <f ca="1">IFERROR(__xludf.DUMMYFUNCTION("""COMPUTED_VALUE"""),157)</f>
        <v>157</v>
      </c>
      <c r="L46" s="395"/>
      <c r="M46" s="405">
        <v>4</v>
      </c>
      <c r="N46" s="419" t="str">
        <f ca="1">IFERROR(__xludf.DUMMYFUNCTION("""COMPUTED_VALUE"""),"Mohammed Shami")</f>
        <v>Mohammed Shami</v>
      </c>
      <c r="O46" s="419" t="str">
        <f ca="1">IFERROR(__xludf.DUMMYFUNCTION("""COMPUTED_VALUE"""),"HW")</f>
        <v>HW</v>
      </c>
      <c r="P46" s="419" t="str">
        <f ca="1">IFERROR(__xludf.DUMMYFUNCTION("""COMPUTED_VALUE"""),"LSG")</f>
        <v>LSG</v>
      </c>
      <c r="Q46" s="465">
        <f ca="1">IFERROR(__xludf.DUMMYFUNCTION("""COMPUTED_VALUE"""),543)</f>
        <v>543</v>
      </c>
      <c r="R46" s="395"/>
      <c r="S46" s="405">
        <v>4</v>
      </c>
      <c r="T46" s="419" t="str">
        <f ca="1">IFERROR(__xludf.DUMMYFUNCTION("""COMPUTED_VALUE"""),"Marcus Stoinis")</f>
        <v>Marcus Stoinis</v>
      </c>
      <c r="U46" s="419" t="str">
        <f ca="1">IFERROR(__xludf.DUMMYFUNCTION("""COMPUTED_VALUE"""),"HW")</f>
        <v>HW</v>
      </c>
      <c r="V46" s="419" t="str">
        <f ca="1">IFERROR(__xludf.DUMMYFUNCTION("""COMPUTED_VALUE"""),"PBSK")</f>
        <v>PBSK</v>
      </c>
      <c r="W46" s="465">
        <f ca="1">IFERROR(__xludf.DUMMYFUNCTION("""COMPUTED_VALUE"""),415)</f>
        <v>415</v>
      </c>
      <c r="X46" s="374"/>
      <c r="Y46" s="375"/>
      <c r="Z46" s="375"/>
      <c r="AA46" s="375"/>
      <c r="AB46" s="375"/>
      <c r="AC46" s="375"/>
    </row>
    <row r="47" spans="1:29" ht="21" customHeight="1">
      <c r="A47" s="407">
        <v>5</v>
      </c>
      <c r="B47" s="466" t="str">
        <f ca="1">IFERROR(__xludf.DUMMYFUNCTION("""COMPUTED_VALUE"""),"Devdutt Padikkal")</f>
        <v>Devdutt Padikkal</v>
      </c>
      <c r="C47" s="466" t="str">
        <f ca="1">IFERROR(__xludf.DUMMYFUNCTION("""COMPUTED_VALUE"""),"PA")</f>
        <v>PA</v>
      </c>
      <c r="D47" s="466" t="str">
        <f ca="1">IFERROR(__xludf.DUMMYFUNCTION("""COMPUTED_VALUE"""),"RCB")</f>
        <v>RCB</v>
      </c>
      <c r="E47" s="467">
        <f ca="1">IFERROR(__xludf.DUMMYFUNCTION("""COMPUTED_VALUE"""),835)</f>
        <v>835</v>
      </c>
      <c r="F47" s="395"/>
      <c r="G47" s="411">
        <v>5</v>
      </c>
      <c r="H47" s="466" t="str">
        <f ca="1">IFERROR(__xludf.DUMMYFUNCTION("""COMPUTED_VALUE"""),"Sai Sudharsan")</f>
        <v>Sai Sudharsan</v>
      </c>
      <c r="I47" s="466" t="str">
        <f ca="1">IFERROR(__xludf.DUMMYFUNCTION("""COMPUTED_VALUE"""),"AS")</f>
        <v>AS</v>
      </c>
      <c r="J47" s="466" t="str">
        <f ca="1">IFERROR(__xludf.DUMMYFUNCTION("""COMPUTED_VALUE"""),"GT")</f>
        <v>GT</v>
      </c>
      <c r="K47" s="467">
        <f ca="1">IFERROR(__xludf.DUMMYFUNCTION("""COMPUTED_VALUE"""),1089)</f>
        <v>1089</v>
      </c>
      <c r="L47" s="395"/>
      <c r="M47" s="411">
        <v>5</v>
      </c>
      <c r="N47" s="466" t="str">
        <f ca="1">IFERROR(__xludf.DUMMYFUNCTION("""COMPUTED_VALUE"""),"Mohammad Siraj")</f>
        <v>Mohammad Siraj</v>
      </c>
      <c r="O47" s="466" t="str">
        <f ca="1">IFERROR(__xludf.DUMMYFUNCTION("""COMPUTED_VALUE"""),"HW")</f>
        <v>HW</v>
      </c>
      <c r="P47" s="466" t="str">
        <f ca="1">IFERROR(__xludf.DUMMYFUNCTION("""COMPUTED_VALUE"""),"GT")</f>
        <v>GT</v>
      </c>
      <c r="Q47" s="467">
        <f ca="1">IFERROR(__xludf.DUMMYFUNCTION("""COMPUTED_VALUE"""),775)</f>
        <v>775</v>
      </c>
      <c r="R47" s="395"/>
      <c r="S47" s="411">
        <v>5</v>
      </c>
      <c r="T47" s="466" t="str">
        <f ca="1">IFERROR(__xludf.DUMMYFUNCTION("""COMPUTED_VALUE"""),"Priyansh Arya")</f>
        <v>Priyansh Arya</v>
      </c>
      <c r="U47" s="466" t="str">
        <f ca="1">IFERROR(__xludf.DUMMYFUNCTION("""COMPUTED_VALUE"""),"MC")</f>
        <v>MC</v>
      </c>
      <c r="V47" s="466" t="str">
        <f ca="1">IFERROR(__xludf.DUMMYFUNCTION("""COMPUTED_VALUE"""),"PBSK")</f>
        <v>PBSK</v>
      </c>
      <c r="W47" s="467">
        <f ca="1">IFERROR(__xludf.DUMMYFUNCTION("""COMPUTED_VALUE"""),585)</f>
        <v>585</v>
      </c>
      <c r="X47" s="374"/>
      <c r="Y47" s="375"/>
      <c r="Z47" s="375"/>
      <c r="AA47" s="375"/>
      <c r="AB47" s="375"/>
      <c r="AC47" s="375"/>
    </row>
    <row r="48" spans="1:29" ht="21" hidden="1" customHeight="1">
      <c r="A48" s="413">
        <v>6</v>
      </c>
      <c r="B48" s="468" t="str">
        <f ca="1">IFERROR(__xludf.DUMMYFUNCTION("""COMPUTED_VALUE"""),"Krunal Pandya")</f>
        <v>Krunal Pandya</v>
      </c>
      <c r="C48" s="468" t="str">
        <f ca="1">IFERROR(__xludf.DUMMYFUNCTION("""COMPUTED_VALUE"""),"OL")</f>
        <v>OL</v>
      </c>
      <c r="D48" s="468" t="str">
        <f ca="1">IFERROR(__xludf.DUMMYFUNCTION("""COMPUTED_VALUE"""),"RCB")</f>
        <v>RCB</v>
      </c>
      <c r="E48" s="469">
        <f ca="1">IFERROR(__xludf.DUMMYFUNCTION("""COMPUTED_VALUE"""),836)</f>
        <v>836</v>
      </c>
      <c r="F48" s="395"/>
      <c r="G48" s="470"/>
      <c r="H48" s="470" t="str">
        <f ca="1">IFERROR(__xludf.DUMMYFUNCTION("""COMPUTED_VALUE"""),"Heinrich Klaasen")</f>
        <v>Heinrich Klaasen</v>
      </c>
      <c r="I48" s="470" t="str">
        <f ca="1">IFERROR(__xludf.DUMMYFUNCTION("""COMPUTED_VALUE"""),"PA")</f>
        <v>PA</v>
      </c>
      <c r="J48" s="470" t="str">
        <f ca="1">IFERROR(__xludf.DUMMYFUNCTION("""COMPUTED_VALUE"""),"SRH")</f>
        <v>SRH</v>
      </c>
      <c r="K48" s="471">
        <f ca="1">IFERROR(__xludf.DUMMYFUNCTION("""COMPUTED_VALUE"""),1016)</f>
        <v>1016</v>
      </c>
      <c r="L48" s="395"/>
      <c r="M48" s="470"/>
      <c r="N48" s="470" t="str">
        <f ca="1">IFERROR(__xludf.DUMMYFUNCTION("""COMPUTED_VALUE"""),"Jofra Archer")</f>
        <v>Jofra Archer</v>
      </c>
      <c r="O48" s="470" t="str">
        <f ca="1">IFERROR(__xludf.DUMMYFUNCTION("""COMPUTED_VALUE"""),"HW")</f>
        <v>HW</v>
      </c>
      <c r="P48" s="470" t="str">
        <f ca="1">IFERROR(__xludf.DUMMYFUNCTION("""COMPUTED_VALUE"""),"RR")</f>
        <v>RR</v>
      </c>
      <c r="Q48" s="471">
        <f ca="1">IFERROR(__xludf.DUMMYFUNCTION("""COMPUTED_VALUE"""),1083)</f>
        <v>1083</v>
      </c>
      <c r="R48" s="395"/>
      <c r="S48" s="470"/>
      <c r="T48" s="470" t="str">
        <f ca="1">IFERROR(__xludf.DUMMYFUNCTION("""COMPUTED_VALUE"""),"Auqib Nabi")</f>
        <v>Auqib Nabi</v>
      </c>
      <c r="U48" s="470" t="str">
        <f ca="1">IFERROR(__xludf.DUMMYFUNCTION("""COMPUTED_VALUE"""),"PA")</f>
        <v>PA</v>
      </c>
      <c r="V48" s="470" t="str">
        <f ca="1">IFERROR(__xludf.DUMMYFUNCTION("""COMPUTED_VALUE"""),"DC")</f>
        <v>DC</v>
      </c>
      <c r="W48" s="471">
        <f ca="1">IFERROR(__xludf.DUMMYFUNCTION("""COMPUTED_VALUE"""),56)</f>
        <v>56</v>
      </c>
      <c r="X48" s="374"/>
      <c r="Y48" s="375"/>
      <c r="Z48" s="375"/>
      <c r="AA48" s="375"/>
      <c r="AB48" s="375"/>
      <c r="AC48" s="375"/>
    </row>
    <row r="49" spans="1:29" ht="23.25" hidden="1" customHeight="1">
      <c r="A49" s="401">
        <v>7</v>
      </c>
      <c r="B49" s="405" t="str">
        <f ca="1">IFERROR(__xludf.DUMMYFUNCTION("""COMPUTED_VALUE"""),"Harpreet Brar")</f>
        <v>Harpreet Brar</v>
      </c>
      <c r="C49" s="405" t="str">
        <f ca="1">IFERROR(__xludf.DUMMYFUNCTION("""COMPUTED_VALUE"""),"AS")</f>
        <v>AS</v>
      </c>
      <c r="D49" s="405" t="str">
        <f ca="1">IFERROR(__xludf.DUMMYFUNCTION("""COMPUTED_VALUE"""),"PBSK")</f>
        <v>PBSK</v>
      </c>
      <c r="E49" s="472">
        <f ca="1">IFERROR(__xludf.DUMMYFUNCTION("""COMPUTED_VALUE"""),98)</f>
        <v>98</v>
      </c>
      <c r="F49" s="395"/>
      <c r="G49" s="470"/>
      <c r="H49" s="470" t="str">
        <f ca="1">IFERROR(__xludf.DUMMYFUNCTION("""COMPUTED_VALUE"""),"Prabhsimran Singh")</f>
        <v>Prabhsimran Singh</v>
      </c>
      <c r="I49" s="470" t="str">
        <f ca="1">IFERROR(__xludf.DUMMYFUNCTION("""COMPUTED_VALUE"""),"HW")</f>
        <v>HW</v>
      </c>
      <c r="J49" s="470" t="str">
        <f ca="1">IFERROR(__xludf.DUMMYFUNCTION("""COMPUTED_VALUE"""),"PBSK")</f>
        <v>PBSK</v>
      </c>
      <c r="K49" s="471">
        <f ca="1">IFERROR(__xludf.DUMMYFUNCTION("""COMPUTED_VALUE"""),831)</f>
        <v>831</v>
      </c>
      <c r="L49" s="395"/>
      <c r="M49" s="470"/>
      <c r="N49" s="470" t="str">
        <f ca="1">IFERROR(__xludf.DUMMYFUNCTION("""COMPUTED_VALUE"""),"Mitchell Starc")</f>
        <v>Mitchell Starc</v>
      </c>
      <c r="O49" s="470" t="str">
        <f ca="1">IFERROR(__xludf.DUMMYFUNCTION("""COMPUTED_VALUE"""),"MC")</f>
        <v>MC</v>
      </c>
      <c r="P49" s="470" t="str">
        <f ca="1">IFERROR(__xludf.DUMMYFUNCTION("""COMPUTED_VALUE"""),"DC")</f>
        <v>DC</v>
      </c>
      <c r="Q49" s="471">
        <f ca="1">IFERROR(__xludf.DUMMYFUNCTION("""COMPUTED_VALUE"""),404)</f>
        <v>404</v>
      </c>
      <c r="R49" s="395"/>
      <c r="S49" s="470"/>
      <c r="T49" s="470" t="str">
        <f ca="1">IFERROR(__xludf.DUMMYFUNCTION("""COMPUTED_VALUE"""),"Vaibhav Suryavanshi")</f>
        <v>Vaibhav Suryavanshi</v>
      </c>
      <c r="U49" s="470" t="str">
        <f ca="1">IFERROR(__xludf.DUMMYFUNCTION("""COMPUTED_VALUE"""),"AS")</f>
        <v>AS</v>
      </c>
      <c r="V49" s="470" t="str">
        <f ca="1">IFERROR(__xludf.DUMMYFUNCTION("""COMPUTED_VALUE"""),"RR")</f>
        <v>RR</v>
      </c>
      <c r="W49" s="471">
        <f ca="1">IFERROR(__xludf.DUMMYFUNCTION("""COMPUTED_VALUE"""),1211)</f>
        <v>1211</v>
      </c>
      <c r="X49" s="374"/>
      <c r="Y49" s="375"/>
      <c r="Z49" s="375"/>
      <c r="AA49" s="375"/>
      <c r="AB49" s="375"/>
      <c r="AC49" s="375"/>
    </row>
    <row r="50" spans="1:29" ht="24" hidden="1" customHeight="1">
      <c r="A50" s="401">
        <v>8</v>
      </c>
      <c r="B50" s="405" t="str">
        <f ca="1">IFERROR(__xludf.DUMMYFUNCTION("""COMPUTED_VALUE"""),"Mohammed Shami")</f>
        <v>Mohammed Shami</v>
      </c>
      <c r="C50" s="405" t="str">
        <f ca="1">IFERROR(__xludf.DUMMYFUNCTION("""COMPUTED_VALUE"""),"HW")</f>
        <v>HW</v>
      </c>
      <c r="D50" s="405" t="str">
        <f ca="1">IFERROR(__xludf.DUMMYFUNCTION("""COMPUTED_VALUE"""),"LSG")</f>
        <v>LSG</v>
      </c>
      <c r="E50" s="472">
        <f ca="1">IFERROR(__xludf.DUMMYFUNCTION("""COMPUTED_VALUE"""),543)</f>
        <v>543</v>
      </c>
      <c r="F50" s="395"/>
      <c r="G50" s="470"/>
      <c r="H50" s="470" t="str">
        <f ca="1">IFERROR(__xludf.DUMMYFUNCTION("""COMPUTED_VALUE"""),"Jitesh Sharma")</f>
        <v>Jitesh Sharma</v>
      </c>
      <c r="I50" s="470" t="str">
        <f ca="1">IFERROR(__xludf.DUMMYFUNCTION("""COMPUTED_VALUE"""),"HW")</f>
        <v>HW</v>
      </c>
      <c r="J50" s="470" t="str">
        <f ca="1">IFERROR(__xludf.DUMMYFUNCTION("""COMPUTED_VALUE"""),"RCB")</f>
        <v>RCB</v>
      </c>
      <c r="K50" s="471">
        <f ca="1">IFERROR(__xludf.DUMMYFUNCTION("""COMPUTED_VALUE"""),357)</f>
        <v>357</v>
      </c>
      <c r="L50" s="395"/>
      <c r="M50" s="470"/>
      <c r="N50" s="470" t="str">
        <f ca="1">IFERROR(__xludf.DUMMYFUNCTION("""COMPUTED_VALUE"""),"Rashid Khan")</f>
        <v>Rashid Khan</v>
      </c>
      <c r="O50" s="470" t="str">
        <f ca="1">IFERROR(__xludf.DUMMYFUNCTION("""COMPUTED_VALUE"""),"OL")</f>
        <v>OL</v>
      </c>
      <c r="P50" s="470" t="str">
        <f ca="1">IFERROR(__xludf.DUMMYFUNCTION("""COMPUTED_VALUE"""),"GT")</f>
        <v>GT</v>
      </c>
      <c r="Q50" s="471">
        <f ca="1">IFERROR(__xludf.DUMMYFUNCTION("""COMPUTED_VALUE"""),874)</f>
        <v>874</v>
      </c>
      <c r="R50" s="395"/>
      <c r="S50" s="470"/>
      <c r="T50" s="470" t="str">
        <f ca="1">IFERROR(__xludf.DUMMYFUNCTION("""COMPUTED_VALUE"""),"Romario Shepherd")</f>
        <v>Romario Shepherd</v>
      </c>
      <c r="U50" s="470" t="str">
        <f ca="1">IFERROR(__xludf.DUMMYFUNCTION("""COMPUTED_VALUE"""),"AS")</f>
        <v>AS</v>
      </c>
      <c r="V50" s="470" t="str">
        <f ca="1">IFERROR(__xludf.DUMMYFUNCTION("""COMPUTED_VALUE"""),"RCB")</f>
        <v>RCB</v>
      </c>
      <c r="W50" s="471">
        <f ca="1">IFERROR(__xludf.DUMMYFUNCTION("""COMPUTED_VALUE"""),399)</f>
        <v>399</v>
      </c>
      <c r="X50" s="374"/>
      <c r="Y50" s="375"/>
      <c r="Z50" s="375"/>
      <c r="AA50" s="375"/>
      <c r="AB50" s="375"/>
      <c r="AC50" s="375"/>
    </row>
    <row r="51" spans="1:29" ht="21" hidden="1" customHeight="1">
      <c r="A51" s="401">
        <v>9</v>
      </c>
      <c r="B51" s="405" t="str">
        <f ca="1">IFERROR(__xludf.DUMMYFUNCTION("""COMPUTED_VALUE"""),"Mohammad Siraj")</f>
        <v>Mohammad Siraj</v>
      </c>
      <c r="C51" s="405" t="str">
        <f ca="1">IFERROR(__xludf.DUMMYFUNCTION("""COMPUTED_VALUE"""),"HW")</f>
        <v>HW</v>
      </c>
      <c r="D51" s="405" t="str">
        <f ca="1">IFERROR(__xludf.DUMMYFUNCTION("""COMPUTED_VALUE"""),"GT")</f>
        <v>GT</v>
      </c>
      <c r="E51" s="472">
        <f ca="1">IFERROR(__xludf.DUMMYFUNCTION("""COMPUTED_VALUE"""),775)</f>
        <v>775</v>
      </c>
      <c r="F51" s="395"/>
      <c r="G51" s="470"/>
      <c r="H51" s="470" t="str">
        <f ca="1">IFERROR(__xludf.DUMMYFUNCTION("""COMPUTED_VALUE"""),"Tristan Stubbs")</f>
        <v>Tristan Stubbs</v>
      </c>
      <c r="I51" s="470" t="str">
        <f ca="1">IFERROR(__xludf.DUMMYFUNCTION("""COMPUTED_VALUE"""),"HW")</f>
        <v>HW</v>
      </c>
      <c r="J51" s="470" t="str">
        <f ca="1">IFERROR(__xludf.DUMMYFUNCTION("""COMPUTED_VALUE"""),"DC")</f>
        <v>DC</v>
      </c>
      <c r="K51" s="471">
        <f ca="1">IFERROR(__xludf.DUMMYFUNCTION("""COMPUTED_VALUE"""),459)</f>
        <v>459</v>
      </c>
      <c r="L51" s="395"/>
      <c r="M51" s="470"/>
      <c r="N51" s="470" t="str">
        <f ca="1">IFERROR(__xludf.DUMMYFUNCTION("""COMPUTED_VALUE"""),"Bhuvneshwar Kumar")</f>
        <v>Bhuvneshwar Kumar</v>
      </c>
      <c r="O51" s="470" t="str">
        <f ca="1">IFERROR(__xludf.DUMMYFUNCTION("""COMPUTED_VALUE"""),"MC")</f>
        <v>MC</v>
      </c>
      <c r="P51" s="470" t="str">
        <f ca="1">IFERROR(__xludf.DUMMYFUNCTION("""COMPUTED_VALUE"""),"RCB")</f>
        <v>RCB</v>
      </c>
      <c r="Q51" s="471">
        <f ca="1">IFERROR(__xludf.DUMMYFUNCTION("""COMPUTED_VALUE"""),1051)</f>
        <v>1051</v>
      </c>
      <c r="R51" s="395"/>
      <c r="S51" s="470"/>
      <c r="T51" s="470" t="str">
        <f ca="1">IFERROR(__xludf.DUMMYFUNCTION("""COMPUTED_VALUE"""),"Shivam Dube")</f>
        <v>Shivam Dube</v>
      </c>
      <c r="U51" s="470" t="str">
        <f ca="1">IFERROR(__xludf.DUMMYFUNCTION("""COMPUTED_VALUE"""),"AS")</f>
        <v>AS</v>
      </c>
      <c r="V51" s="470" t="str">
        <f ca="1">IFERROR(__xludf.DUMMYFUNCTION("""COMPUTED_VALUE"""),"CSK")</f>
        <v>CSK</v>
      </c>
      <c r="W51" s="471">
        <f ca="1">IFERROR(__xludf.DUMMYFUNCTION("""COMPUTED_VALUE"""),471)</f>
        <v>471</v>
      </c>
      <c r="X51" s="374"/>
      <c r="Y51" s="375"/>
      <c r="Z51" s="375"/>
      <c r="AA51" s="375"/>
      <c r="AB51" s="375"/>
      <c r="AC51" s="375"/>
    </row>
    <row r="52" spans="1:29" ht="24" hidden="1" customHeight="1">
      <c r="A52" s="401">
        <v>10</v>
      </c>
      <c r="B52" s="405" t="str">
        <f ca="1">IFERROR(__xludf.DUMMYFUNCTION("""COMPUTED_VALUE"""),"Riyan Parag")</f>
        <v>Riyan Parag</v>
      </c>
      <c r="C52" s="405" t="str">
        <f ca="1">IFERROR(__xludf.DUMMYFUNCTION("""COMPUTED_VALUE"""),"PA")</f>
        <v>PA</v>
      </c>
      <c r="D52" s="405" t="str">
        <f ca="1">IFERROR(__xludf.DUMMYFUNCTION("""COMPUTED_VALUE"""),"RR")</f>
        <v>RR</v>
      </c>
      <c r="E52" s="472">
        <f ca="1">IFERROR(__xludf.DUMMYFUNCTION("""COMPUTED_VALUE"""),564)</f>
        <v>564</v>
      </c>
      <c r="F52" s="395"/>
      <c r="G52" s="470"/>
      <c r="H52" s="470" t="str">
        <f ca="1">IFERROR(__xludf.DUMMYFUNCTION("""COMPUTED_VALUE"""),"Sanju Samson")</f>
        <v>Sanju Samson</v>
      </c>
      <c r="I52" s="470" t="str">
        <f ca="1">IFERROR(__xludf.DUMMYFUNCTION("""COMPUTED_VALUE"""),"AS")</f>
        <v>AS</v>
      </c>
      <c r="J52" s="470" t="str">
        <f ca="1">IFERROR(__xludf.DUMMYFUNCTION("""COMPUTED_VALUE"""),"CSK")</f>
        <v>CSK</v>
      </c>
      <c r="K52" s="471">
        <f ca="1">IFERROR(__xludf.DUMMYFUNCTION("""COMPUTED_VALUE"""),770)</f>
        <v>770</v>
      </c>
      <c r="L52" s="395"/>
      <c r="M52" s="470"/>
      <c r="N52" s="470" t="str">
        <f ca="1">IFERROR(__xludf.DUMMYFUNCTION("""COMPUTED_VALUE"""),"Prasidh Krishna")</f>
        <v>Prasidh Krishna</v>
      </c>
      <c r="O52" s="470" t="str">
        <f ca="1">IFERROR(__xludf.DUMMYFUNCTION("""COMPUTED_VALUE"""),"PA")</f>
        <v>PA</v>
      </c>
      <c r="P52" s="470" t="str">
        <f ca="1">IFERROR(__xludf.DUMMYFUNCTION("""COMPUTED_VALUE"""),"GT")</f>
        <v>GT</v>
      </c>
      <c r="Q52" s="471">
        <f ca="1">IFERROR(__xludf.DUMMYFUNCTION("""COMPUTED_VALUE"""),572)</f>
        <v>572</v>
      </c>
      <c r="R52" s="395"/>
      <c r="S52" s="470"/>
      <c r="T52" s="470" t="str">
        <f ca="1">IFERROR(__xludf.DUMMYFUNCTION("""COMPUTED_VALUE"""),"Mitchell Marsh")</f>
        <v>Mitchell Marsh</v>
      </c>
      <c r="U52" s="470" t="str">
        <f ca="1">IFERROR(__xludf.DUMMYFUNCTION("""COMPUTED_VALUE"""),"HW")</f>
        <v>HW</v>
      </c>
      <c r="V52" s="470" t="str">
        <f ca="1">IFERROR(__xludf.DUMMYFUNCTION("""COMPUTED_VALUE"""),"LSG")</f>
        <v>LSG</v>
      </c>
      <c r="W52" s="471">
        <f ca="1">IFERROR(__xludf.DUMMYFUNCTION("""COMPUTED_VALUE"""),854)</f>
        <v>854</v>
      </c>
      <c r="X52" s="374"/>
      <c r="Y52" s="375"/>
      <c r="Z52" s="375"/>
      <c r="AA52" s="375"/>
      <c r="AB52" s="375"/>
      <c r="AC52" s="375"/>
    </row>
    <row r="53" spans="1:29" ht="24" hidden="1" customHeight="1">
      <c r="A53" s="401">
        <v>11</v>
      </c>
      <c r="B53" s="405" t="str">
        <f ca="1">IFERROR(__xludf.DUMMYFUNCTION("""COMPUTED_VALUE"""),"Rajat Patidar")</f>
        <v>Rajat Patidar</v>
      </c>
      <c r="C53" s="405" t="str">
        <f ca="1">IFERROR(__xludf.DUMMYFUNCTION("""COMPUTED_VALUE"""),"OL")</f>
        <v>OL</v>
      </c>
      <c r="D53" s="405" t="str">
        <f ca="1">IFERROR(__xludf.DUMMYFUNCTION("""COMPUTED_VALUE"""),"RCB")</f>
        <v>RCB</v>
      </c>
      <c r="E53" s="472">
        <f ca="1">IFERROR(__xludf.DUMMYFUNCTION("""COMPUTED_VALUE"""),845)</f>
        <v>845</v>
      </c>
      <c r="F53" s="395"/>
      <c r="G53" s="470"/>
      <c r="H53" s="470" t="str">
        <f ca="1">IFERROR(__xludf.DUMMYFUNCTION("""COMPUTED_VALUE"""),"Angkrish Raghuvanshi")</f>
        <v>Angkrish Raghuvanshi</v>
      </c>
      <c r="I53" s="470" t="str">
        <f ca="1">IFERROR(__xludf.DUMMYFUNCTION("""COMPUTED_VALUE"""),"HW")</f>
        <v>HW</v>
      </c>
      <c r="J53" s="470" t="str">
        <f ca="1">IFERROR(__xludf.DUMMYFUNCTION("""COMPUTED_VALUE"""),"KKR")</f>
        <v>KKR</v>
      </c>
      <c r="K53" s="471">
        <f ca="1">IFERROR(__xludf.DUMMYFUNCTION("""COMPUTED_VALUE"""),676)</f>
        <v>676</v>
      </c>
      <c r="L53" s="395"/>
      <c r="M53" s="470"/>
      <c r="N53" s="470" t="str">
        <f ca="1">IFERROR(__xludf.DUMMYFUNCTION("""COMPUTED_VALUE"""),"Arshdeep Singh")</f>
        <v>Arshdeep Singh</v>
      </c>
      <c r="O53" s="470" t="str">
        <f ca="1">IFERROR(__xludf.DUMMYFUNCTION("""COMPUTED_VALUE"""),"OL")</f>
        <v>OL</v>
      </c>
      <c r="P53" s="470" t="str">
        <f ca="1">IFERROR(__xludf.DUMMYFUNCTION("""COMPUTED_VALUE"""),"PBSK")</f>
        <v>PBSK</v>
      </c>
      <c r="Q53" s="471">
        <f ca="1">IFERROR(__xludf.DUMMYFUNCTION("""COMPUTED_VALUE"""),536)</f>
        <v>536</v>
      </c>
      <c r="R53" s="395"/>
      <c r="S53" s="470"/>
      <c r="T53" s="470" t="str">
        <f ca="1">IFERROR(__xludf.DUMMYFUNCTION("""COMPUTED_VALUE"""),"Sunil Narine")</f>
        <v>Sunil Narine</v>
      </c>
      <c r="U53" s="470" t="str">
        <f ca="1">IFERROR(__xludf.DUMMYFUNCTION("""COMPUTED_VALUE"""),"MC")</f>
        <v>MC</v>
      </c>
      <c r="V53" s="470" t="str">
        <f ca="1">IFERROR(__xludf.DUMMYFUNCTION("""COMPUTED_VALUE"""),"KKR")</f>
        <v>KKR</v>
      </c>
      <c r="W53" s="471">
        <f ca="1">IFERROR(__xludf.DUMMYFUNCTION("""COMPUTED_VALUE"""),688)</f>
        <v>688</v>
      </c>
      <c r="X53" s="374"/>
      <c r="Y53" s="375"/>
      <c r="Z53" s="375"/>
      <c r="AA53" s="375"/>
      <c r="AB53" s="375"/>
      <c r="AC53" s="375"/>
    </row>
    <row r="54" spans="1:29" ht="24" hidden="1" customHeight="1">
      <c r="A54" s="407">
        <v>12</v>
      </c>
      <c r="B54" s="411" t="str">
        <f ca="1">IFERROR(__xludf.DUMMYFUNCTION("""COMPUTED_VALUE"""),"Marcus Stoinis")</f>
        <v>Marcus Stoinis</v>
      </c>
      <c r="C54" s="411" t="str">
        <f ca="1">IFERROR(__xludf.DUMMYFUNCTION("""COMPUTED_VALUE"""),"HW")</f>
        <v>HW</v>
      </c>
      <c r="D54" s="411" t="str">
        <f ca="1">IFERROR(__xludf.DUMMYFUNCTION("""COMPUTED_VALUE"""),"PBSK")</f>
        <v>PBSK</v>
      </c>
      <c r="E54" s="473">
        <f ca="1">IFERROR(__xludf.DUMMYFUNCTION("""COMPUTED_VALUE"""),415)</f>
        <v>415</v>
      </c>
      <c r="F54" s="395"/>
      <c r="G54" s="470"/>
      <c r="H54" s="470" t="str">
        <f ca="1">IFERROR(__xludf.DUMMYFUNCTION("""COMPUTED_VALUE"""),"Shashank Singh")</f>
        <v>Shashank Singh</v>
      </c>
      <c r="I54" s="470" t="str">
        <f ca="1">IFERROR(__xludf.DUMMYFUNCTION("""COMPUTED_VALUE"""),"HW")</f>
        <v>HW</v>
      </c>
      <c r="J54" s="470" t="str">
        <f ca="1">IFERROR(__xludf.DUMMYFUNCTION("""COMPUTED_VALUE"""),"PBSK")</f>
        <v>PBSK</v>
      </c>
      <c r="K54" s="471">
        <f ca="1">IFERROR(__xludf.DUMMYFUNCTION("""COMPUTED_VALUE"""),350)</f>
        <v>350</v>
      </c>
      <c r="L54" s="395"/>
      <c r="M54" s="470"/>
      <c r="N54" s="470" t="str">
        <f ca="1">IFERROR(__xludf.DUMMYFUNCTION("""COMPUTED_VALUE"""),"Noor Ahmad")</f>
        <v>Noor Ahmad</v>
      </c>
      <c r="O54" s="470" t="str">
        <f ca="1">IFERROR(__xludf.DUMMYFUNCTION("""COMPUTED_VALUE"""),"PA")</f>
        <v>PA</v>
      </c>
      <c r="P54" s="470" t="str">
        <f ca="1">IFERROR(__xludf.DUMMYFUNCTION("""COMPUTED_VALUE"""),"CSK")</f>
        <v>CSK</v>
      </c>
      <c r="Q54" s="471">
        <f ca="1">IFERROR(__xludf.DUMMYFUNCTION("""COMPUTED_VALUE"""),520)</f>
        <v>520</v>
      </c>
      <c r="R54" s="395"/>
      <c r="S54" s="470"/>
      <c r="T54" s="470" t="str">
        <f ca="1">IFERROR(__xludf.DUMMYFUNCTION("""COMPUTED_VALUE"""),"Aiden Markram")</f>
        <v>Aiden Markram</v>
      </c>
      <c r="U54" s="470" t="str">
        <f ca="1">IFERROR(__xludf.DUMMYFUNCTION("""COMPUTED_VALUE"""),"PA")</f>
        <v>PA</v>
      </c>
      <c r="V54" s="470" t="str">
        <f ca="1">IFERROR(__xludf.DUMMYFUNCTION("""COMPUTED_VALUE"""),"LSG")</f>
        <v>LSG</v>
      </c>
      <c r="W54" s="471">
        <f ca="1">IFERROR(__xludf.DUMMYFUNCTION("""COMPUTED_VALUE"""),431)</f>
        <v>431</v>
      </c>
      <c r="X54" s="374"/>
      <c r="Y54" s="375"/>
      <c r="Z54" s="375"/>
      <c r="AA54" s="375"/>
      <c r="AB54" s="375"/>
      <c r="AC54" s="375"/>
    </row>
    <row r="55" spans="1:29" ht="13.2">
      <c r="A55" s="461"/>
      <c r="B55" s="395"/>
      <c r="C55" s="395"/>
      <c r="D55" s="395"/>
      <c r="E55" s="395"/>
      <c r="F55" s="395"/>
      <c r="G55" s="395"/>
      <c r="H55" s="395"/>
      <c r="I55" s="395"/>
      <c r="J55" s="395"/>
      <c r="K55" s="395"/>
      <c r="L55" s="395"/>
      <c r="M55" s="395"/>
      <c r="N55" s="395"/>
      <c r="O55" s="395"/>
      <c r="P55" s="395"/>
      <c r="Q55" s="395"/>
      <c r="R55" s="395"/>
      <c r="S55" s="395"/>
      <c r="T55" s="395"/>
      <c r="U55" s="395"/>
      <c r="V55" s="395"/>
      <c r="W55" s="395"/>
      <c r="X55" s="374"/>
      <c r="Y55" s="375"/>
      <c r="Z55" s="375"/>
      <c r="AA55" s="375"/>
      <c r="AB55" s="375"/>
      <c r="AC55" s="375"/>
    </row>
    <row r="56" spans="1:29" ht="21">
      <c r="A56" s="1104" t="s">
        <v>257</v>
      </c>
      <c r="B56" s="1084"/>
      <c r="C56" s="1084"/>
      <c r="D56" s="1084"/>
      <c r="E56" s="1085"/>
      <c r="F56" s="395"/>
      <c r="G56" s="1099" t="s">
        <v>258</v>
      </c>
      <c r="H56" s="1084"/>
      <c r="I56" s="1084"/>
      <c r="J56" s="1084"/>
      <c r="K56" s="1085"/>
      <c r="L56" s="395"/>
      <c r="M56" s="1100" t="s">
        <v>259</v>
      </c>
      <c r="N56" s="1084"/>
      <c r="O56" s="1084"/>
      <c r="P56" s="1084"/>
      <c r="Q56" s="1085"/>
      <c r="R56" s="395"/>
      <c r="S56" s="1105" t="s">
        <v>260</v>
      </c>
      <c r="T56" s="1084"/>
      <c r="U56" s="1084"/>
      <c r="V56" s="1084"/>
      <c r="W56" s="1085"/>
      <c r="X56" s="374"/>
      <c r="Y56" s="375"/>
      <c r="Z56" s="375"/>
      <c r="AA56" s="375"/>
      <c r="AB56" s="375"/>
      <c r="AC56" s="375"/>
    </row>
    <row r="57" spans="1:29" ht="15.6">
      <c r="A57" s="396" t="s">
        <v>237</v>
      </c>
      <c r="B57" s="462" t="str">
        <f ca="1">IFERROR(__xludf.DUMMYFUNCTION("ARRAYFORMULA(QUERY(Warriors[[#ALL],[Name]:[IPL]], ""SELECT B, C, I, H where B is not null AND F = 'Uncapped' ORDER BY H DESC LIMIT 3"", 1))"),"Name")</f>
        <v>Name</v>
      </c>
      <c r="C57" s="462" t="str">
        <f ca="1">IFERROR(__xludf.DUMMYFUNCTION("""COMPUTED_VALUE"""),"Type")</f>
        <v>Type</v>
      </c>
      <c r="D57" s="462" t="str">
        <f ca="1">IFERROR(__xludf.DUMMYFUNCTION("""COMPUTED_VALUE"""),"IPL")</f>
        <v>IPL</v>
      </c>
      <c r="E57" s="463" t="str">
        <f ca="1">IFERROR(__xludf.DUMMYFUNCTION("""COMPUTED_VALUE"""),"Points")</f>
        <v>Points</v>
      </c>
      <c r="F57" s="395"/>
      <c r="G57" s="400" t="s">
        <v>237</v>
      </c>
      <c r="H57" s="462" t="str">
        <f ca="1">IFERROR(__xludf.DUMMYFUNCTION("ARRAYFORMULA(QUERY(PA!B1:I16, ""SELECT B, C, I, H where B is not null AND F = 'Uncapped' ORDER BY H DESC LIMIT 3"", 1))"),"Name")</f>
        <v>Name</v>
      </c>
      <c r="I57" s="462" t="str">
        <f ca="1">IFERROR(__xludf.DUMMYFUNCTION("""COMPUTED_VALUE"""),"Type")</f>
        <v>Type</v>
      </c>
      <c r="J57" s="462" t="str">
        <f ca="1">IFERROR(__xludf.DUMMYFUNCTION("""COMPUTED_VALUE"""),"IPL")</f>
        <v>IPL</v>
      </c>
      <c r="K57" s="463" t="str">
        <f ca="1">IFERROR(__xludf.DUMMYFUNCTION("""COMPUTED_VALUE"""),"Points")</f>
        <v>Points</v>
      </c>
      <c r="L57" s="395"/>
      <c r="M57" s="400" t="s">
        <v>237</v>
      </c>
      <c r="N57" s="462" t="str">
        <f ca="1">IFERROR(__xludf.DUMMYFUNCTION("QUERY(MC!B:I, ""SELECT B, C, I, H where B is not null AND F = 'Uncapped' ORDER BY H DESC LIMIT 3"", 1)"),"Name")</f>
        <v>Name</v>
      </c>
      <c r="O57" s="462" t="str">
        <f ca="1">IFERROR(__xludf.DUMMYFUNCTION("""COMPUTED_VALUE"""),"Type")</f>
        <v>Type</v>
      </c>
      <c r="P57" s="462" t="str">
        <f ca="1">IFERROR(__xludf.DUMMYFUNCTION("""COMPUTED_VALUE"""),"IPL")</f>
        <v>IPL</v>
      </c>
      <c r="Q57" s="463" t="str">
        <f ca="1">IFERROR(__xludf.DUMMYFUNCTION("""COMPUTED_VALUE"""),"Points")</f>
        <v>Points</v>
      </c>
      <c r="R57" s="395"/>
      <c r="S57" s="400" t="s">
        <v>237</v>
      </c>
      <c r="T57" s="462" t="str">
        <f ca="1">IFERROR(__xludf.DUMMYFUNCTION("QUERY(AS!B:I, ""SELECT B, C, I, H where B is not null AND F = 'Uncapped' ORDER BY H DESC LIMIT 3"", 1)"),"Name")</f>
        <v>Name</v>
      </c>
      <c r="U57" s="462" t="str">
        <f ca="1">IFERROR(__xludf.DUMMYFUNCTION("""COMPUTED_VALUE"""),"Type")</f>
        <v>Type</v>
      </c>
      <c r="V57" s="462" t="str">
        <f ca="1">IFERROR(__xludf.DUMMYFUNCTION("""COMPUTED_VALUE"""),"IPL")</f>
        <v>IPL</v>
      </c>
      <c r="W57" s="463" t="str">
        <f ca="1">IFERROR(__xludf.DUMMYFUNCTION("""COMPUTED_VALUE"""),"Points")</f>
        <v>Points</v>
      </c>
      <c r="X57" s="374"/>
      <c r="Y57" s="375"/>
      <c r="Z57" s="375"/>
      <c r="AA57" s="375"/>
      <c r="AB57" s="375"/>
      <c r="AC57" s="375"/>
    </row>
    <row r="58" spans="1:29" ht="15.6">
      <c r="A58" s="401">
        <v>1</v>
      </c>
      <c r="B58" s="419" t="str">
        <f ca="1">IFERROR(__xludf.DUMMYFUNCTION("""COMPUTED_VALUE"""),"Prabhsimran Singh")</f>
        <v>Prabhsimran Singh</v>
      </c>
      <c r="C58" s="419" t="str">
        <f ca="1">IFERROR(__xludf.DUMMYFUNCTION("""COMPUTED_VALUE"""),"Batter")</f>
        <v>Batter</v>
      </c>
      <c r="D58" s="419" t="str">
        <f ca="1">IFERROR(__xludf.DUMMYFUNCTION("""COMPUTED_VALUE"""),"PBSK")</f>
        <v>PBSK</v>
      </c>
      <c r="E58" s="474">
        <f ca="1">IFERROR(__xludf.DUMMYFUNCTION("""COMPUTED_VALUE"""),831)</f>
        <v>831</v>
      </c>
      <c r="F58" s="395"/>
      <c r="G58" s="405">
        <v>1</v>
      </c>
      <c r="H58" s="419" t="str">
        <f ca="1">IFERROR(__xludf.DUMMYFUNCTION("""COMPUTED_VALUE"""),"Vaibhav Arora")</f>
        <v>Vaibhav Arora</v>
      </c>
      <c r="I58" s="419" t="str">
        <f ca="1">IFERROR(__xludf.DUMMYFUNCTION("""COMPUTED_VALUE"""),"Bowler")</f>
        <v>Bowler</v>
      </c>
      <c r="J58" s="419" t="str">
        <f ca="1">IFERROR(__xludf.DUMMYFUNCTION("""COMPUTED_VALUE"""),"KKR")</f>
        <v>KKR</v>
      </c>
      <c r="K58" s="465">
        <f ca="1">IFERROR(__xludf.DUMMYFUNCTION("""COMPUTED_VALUE"""),405)</f>
        <v>405</v>
      </c>
      <c r="L58" s="395"/>
      <c r="M58" s="405">
        <v>1</v>
      </c>
      <c r="N58" s="419" t="str">
        <f ca="1">IFERROR(__xludf.DUMMYFUNCTION("""COMPUTED_VALUE"""),"Priyansh Arya")</f>
        <v>Priyansh Arya</v>
      </c>
      <c r="O58" s="419" t="str">
        <f ca="1">IFERROR(__xludf.DUMMYFUNCTION("""COMPUTED_VALUE"""),"All-Rounder")</f>
        <v>All-Rounder</v>
      </c>
      <c r="P58" s="419" t="str">
        <f ca="1">IFERROR(__xludf.DUMMYFUNCTION("""COMPUTED_VALUE"""),"PBSK")</f>
        <v>PBSK</v>
      </c>
      <c r="Q58" s="465">
        <f ca="1">IFERROR(__xludf.DUMMYFUNCTION("""COMPUTED_VALUE"""),585)</f>
        <v>585</v>
      </c>
      <c r="R58" s="395"/>
      <c r="S58" s="405">
        <v>1</v>
      </c>
      <c r="T58" s="419" t="str">
        <f ca="1">IFERROR(__xludf.DUMMYFUNCTION("""COMPUTED_VALUE"""),"Vaibhav Suryavanshi")</f>
        <v>Vaibhav Suryavanshi</v>
      </c>
      <c r="U58" s="419" t="str">
        <f ca="1">IFERROR(__xludf.DUMMYFUNCTION("""COMPUTED_VALUE"""),"All-Rounder")</f>
        <v>All-Rounder</v>
      </c>
      <c r="V58" s="419" t="str">
        <f ca="1">IFERROR(__xludf.DUMMYFUNCTION("""COMPUTED_VALUE"""),"RR")</f>
        <v>RR</v>
      </c>
      <c r="W58" s="475">
        <f ca="1">IFERROR(__xludf.DUMMYFUNCTION("""COMPUTED_VALUE"""),1211)</f>
        <v>1211</v>
      </c>
      <c r="X58" s="374"/>
      <c r="Y58" s="375"/>
      <c r="Z58" s="375"/>
      <c r="AA58" s="375"/>
      <c r="AB58" s="375"/>
      <c r="AC58" s="375"/>
    </row>
    <row r="59" spans="1:29" ht="15.6">
      <c r="A59" s="401">
        <v>2</v>
      </c>
      <c r="B59" s="419" t="str">
        <f ca="1">IFERROR(__xludf.DUMMYFUNCTION("""COMPUTED_VALUE"""),"Angkrish Raghuvanshi")</f>
        <v>Angkrish Raghuvanshi</v>
      </c>
      <c r="C59" s="419" t="str">
        <f ca="1">IFERROR(__xludf.DUMMYFUNCTION("""COMPUTED_VALUE"""),"Batter")</f>
        <v>Batter</v>
      </c>
      <c r="D59" s="419" t="str">
        <f ca="1">IFERROR(__xludf.DUMMYFUNCTION("""COMPUTED_VALUE"""),"KKR")</f>
        <v>KKR</v>
      </c>
      <c r="E59" s="474">
        <f ca="1">IFERROR(__xludf.DUMMYFUNCTION("""COMPUTED_VALUE"""),676)</f>
        <v>676</v>
      </c>
      <c r="F59" s="395"/>
      <c r="G59" s="405">
        <v>2</v>
      </c>
      <c r="H59" s="419" t="str">
        <f ca="1">IFERROR(__xludf.DUMMYFUNCTION("""COMPUTED_VALUE"""),"Nehal Wadhera")</f>
        <v>Nehal Wadhera</v>
      </c>
      <c r="I59" s="419" t="str">
        <f ca="1">IFERROR(__xludf.DUMMYFUNCTION("""COMPUTED_VALUE"""),"Batter")</f>
        <v>Batter</v>
      </c>
      <c r="J59" s="419" t="str">
        <f ca="1">IFERROR(__xludf.DUMMYFUNCTION("""COMPUTED_VALUE"""),"PBSK")</f>
        <v>PBSK</v>
      </c>
      <c r="K59" s="465">
        <f ca="1">IFERROR(__xludf.DUMMYFUNCTION("""COMPUTED_VALUE"""),127)</f>
        <v>127</v>
      </c>
      <c r="L59" s="395"/>
      <c r="M59" s="405">
        <v>2</v>
      </c>
      <c r="N59" s="419" t="str">
        <f ca="1">IFERROR(__xludf.DUMMYFUNCTION("""COMPUTED_VALUE"""),"Ayush Badoni")</f>
        <v>Ayush Badoni</v>
      </c>
      <c r="O59" s="419" t="str">
        <f ca="1">IFERROR(__xludf.DUMMYFUNCTION("""COMPUTED_VALUE"""),"All-Rounder")</f>
        <v>All-Rounder</v>
      </c>
      <c r="P59" s="419" t="str">
        <f ca="1">IFERROR(__xludf.DUMMYFUNCTION("""COMPUTED_VALUE"""),"LSG")</f>
        <v>LSG</v>
      </c>
      <c r="Q59" s="465">
        <f ca="1">IFERROR(__xludf.DUMMYFUNCTION("""COMPUTED_VALUE"""),348)</f>
        <v>348</v>
      </c>
      <c r="R59" s="395"/>
      <c r="S59" s="405">
        <v>2</v>
      </c>
      <c r="T59" s="419" t="str">
        <f ca="1">IFERROR(__xludf.DUMMYFUNCTION("""COMPUTED_VALUE"""),"Rasikh Dar")</f>
        <v>Rasikh Dar</v>
      </c>
      <c r="U59" s="419" t="str">
        <f ca="1">IFERROR(__xludf.DUMMYFUNCTION("""COMPUTED_VALUE"""),"Bowler")</f>
        <v>Bowler</v>
      </c>
      <c r="V59" s="419" t="str">
        <f ca="1">IFERROR(__xludf.DUMMYFUNCTION("""COMPUTED_VALUE"""),"RCB")</f>
        <v>RCB</v>
      </c>
      <c r="W59" s="475">
        <f ca="1">IFERROR(__xludf.DUMMYFUNCTION("""COMPUTED_VALUE"""),604)</f>
        <v>604</v>
      </c>
      <c r="X59" s="374"/>
      <c r="Y59" s="375"/>
      <c r="Z59" s="375"/>
      <c r="AA59" s="375"/>
      <c r="AB59" s="375"/>
      <c r="AC59" s="375"/>
    </row>
    <row r="60" spans="1:29" ht="15.6">
      <c r="A60" s="407">
        <v>3</v>
      </c>
      <c r="B60" s="466" t="str">
        <f ca="1">IFERROR(__xludf.DUMMYFUNCTION("""COMPUTED_VALUE"""),"Shashank Singh")</f>
        <v>Shashank Singh</v>
      </c>
      <c r="C60" s="466" t="str">
        <f ca="1">IFERROR(__xludf.DUMMYFUNCTION("""COMPUTED_VALUE"""),"Batter")</f>
        <v>Batter</v>
      </c>
      <c r="D60" s="466" t="str">
        <f ca="1">IFERROR(__xludf.DUMMYFUNCTION("""COMPUTED_VALUE"""),"PBSK")</f>
        <v>PBSK</v>
      </c>
      <c r="E60" s="476">
        <f ca="1">IFERROR(__xludf.DUMMYFUNCTION("""COMPUTED_VALUE"""),350)</f>
        <v>350</v>
      </c>
      <c r="F60" s="395"/>
      <c r="G60" s="411">
        <v>3</v>
      </c>
      <c r="H60" s="466" t="str">
        <f ca="1">IFERROR(__xludf.DUMMYFUNCTION("""COMPUTED_VALUE"""),"Auqib Nabi")</f>
        <v>Auqib Nabi</v>
      </c>
      <c r="I60" s="466" t="str">
        <f ca="1">IFERROR(__xludf.DUMMYFUNCTION("""COMPUTED_VALUE"""),"All-Rounder")</f>
        <v>All-Rounder</v>
      </c>
      <c r="J60" s="466" t="str">
        <f ca="1">IFERROR(__xludf.DUMMYFUNCTION("""COMPUTED_VALUE"""),"DC")</f>
        <v>DC</v>
      </c>
      <c r="K60" s="467">
        <f ca="1">IFERROR(__xludf.DUMMYFUNCTION("""COMPUTED_VALUE"""),56)</f>
        <v>56</v>
      </c>
      <c r="L60" s="395"/>
      <c r="M60" s="411">
        <v>3</v>
      </c>
      <c r="N60" s="466" t="str">
        <f ca="1">IFERROR(__xludf.DUMMYFUNCTION("""COMPUTED_VALUE"""),"Ayush Mhatre + Sandeep Sharma")</f>
        <v>Ayush Mhatre + Sandeep Sharma</v>
      </c>
      <c r="O60" s="466" t="str">
        <f ca="1">IFERROR(__xludf.DUMMYFUNCTION("""COMPUTED_VALUE"""),"Batter")</f>
        <v>Batter</v>
      </c>
      <c r="P60" s="466" t="str">
        <f ca="1">IFERROR(__xludf.DUMMYFUNCTION("""COMPUTED_VALUE"""),"CSK + RR")</f>
        <v>CSK + RR</v>
      </c>
      <c r="Q60" s="467">
        <f ca="1">IFERROR(__xludf.DUMMYFUNCTION("""COMPUTED_VALUE"""),312)</f>
        <v>312</v>
      </c>
      <c r="R60" s="395"/>
      <c r="S60" s="411">
        <v>3</v>
      </c>
      <c r="T60" s="466" t="str">
        <f ca="1">IFERROR(__xludf.DUMMYFUNCTION("""COMPUTED_VALUE"""),"Mohsin Khan")</f>
        <v>Mohsin Khan</v>
      </c>
      <c r="U60" s="466" t="str">
        <f ca="1">IFERROR(__xludf.DUMMYFUNCTION("""COMPUTED_VALUE"""),"Bowler")</f>
        <v>Bowler</v>
      </c>
      <c r="V60" s="466" t="str">
        <f ca="1">IFERROR(__xludf.DUMMYFUNCTION("""COMPUTED_VALUE"""),"LSG")</f>
        <v>LSG</v>
      </c>
      <c r="W60" s="477">
        <f ca="1">IFERROR(__xludf.DUMMYFUNCTION("""COMPUTED_VALUE"""),444)</f>
        <v>444</v>
      </c>
      <c r="X60" s="374"/>
      <c r="Y60" s="375"/>
      <c r="Z60" s="375"/>
      <c r="AA60" s="375"/>
      <c r="AB60" s="375"/>
      <c r="AC60" s="375"/>
    </row>
    <row r="61" spans="1:29" ht="13.2">
      <c r="A61" s="461"/>
      <c r="B61" s="395"/>
      <c r="C61" s="395"/>
      <c r="D61" s="395"/>
      <c r="E61" s="395"/>
      <c r="F61" s="395"/>
      <c r="G61" s="395"/>
      <c r="H61" s="395"/>
      <c r="I61" s="395"/>
      <c r="J61" s="395"/>
      <c r="K61" s="395"/>
      <c r="L61" s="395"/>
      <c r="M61" s="395"/>
      <c r="N61" s="395"/>
      <c r="O61" s="395"/>
      <c r="P61" s="395"/>
      <c r="Q61" s="395"/>
      <c r="R61" s="395"/>
      <c r="S61" s="395"/>
      <c r="T61" s="478"/>
      <c r="U61" s="478"/>
      <c r="V61" s="478"/>
      <c r="W61" s="395"/>
      <c r="X61" s="374"/>
      <c r="Y61" s="375"/>
      <c r="Z61" s="375"/>
      <c r="AA61" s="375"/>
      <c r="AB61" s="375"/>
      <c r="AC61" s="375"/>
    </row>
    <row r="62" spans="1:29" ht="21">
      <c r="A62" s="1102" t="s">
        <v>261</v>
      </c>
      <c r="B62" s="1084"/>
      <c r="C62" s="1084"/>
      <c r="D62" s="1084"/>
      <c r="E62" s="1085"/>
      <c r="F62" s="395"/>
      <c r="G62" s="1106" t="s">
        <v>262</v>
      </c>
      <c r="H62" s="1084"/>
      <c r="I62" s="1084"/>
      <c r="J62" s="1084"/>
      <c r="K62" s="1085"/>
      <c r="L62" s="395"/>
      <c r="M62" s="1099" t="s">
        <v>263</v>
      </c>
      <c r="N62" s="1084"/>
      <c r="O62" s="1084"/>
      <c r="P62" s="1084"/>
      <c r="Q62" s="1085"/>
      <c r="R62" s="395"/>
      <c r="S62" s="1100" t="s">
        <v>264</v>
      </c>
      <c r="T62" s="1084"/>
      <c r="U62" s="1084"/>
      <c r="V62" s="1084"/>
      <c r="W62" s="1085"/>
      <c r="X62" s="374"/>
      <c r="Y62" s="375"/>
      <c r="Z62" s="375"/>
      <c r="AA62" s="375"/>
      <c r="AB62" s="375"/>
      <c r="AC62" s="375"/>
    </row>
    <row r="63" spans="1:29" ht="15.6">
      <c r="A63" s="396" t="s">
        <v>237</v>
      </c>
      <c r="B63" s="462" t="str">
        <f ca="1">IFERROR(__xludf.DUMMYFUNCTION("QUERY(OL!B1:I16, ""SELECT B, C, I, H where B is not null AND F = 'Uncapped' ORDER BY H DESC LIMIT 3"", 1)"),"Name")</f>
        <v>Name</v>
      </c>
      <c r="C63" s="462" t="str">
        <f ca="1">IFERROR(__xludf.DUMMYFUNCTION("""COMPUTED_VALUE"""),"Type")</f>
        <v>Type</v>
      </c>
      <c r="D63" s="462" t="str">
        <f ca="1">IFERROR(__xludf.DUMMYFUNCTION("""COMPUTED_VALUE"""),"IPL")</f>
        <v>IPL</v>
      </c>
      <c r="E63" s="463" t="str">
        <f ca="1">IFERROR(__xludf.DUMMYFUNCTION("""COMPUTED_VALUE"""),"Points")</f>
        <v>Points</v>
      </c>
      <c r="F63" s="395"/>
      <c r="G63" s="400" t="s">
        <v>237</v>
      </c>
      <c r="H63" s="462" t="str">
        <f ca="1">IFERROR(__xludf.DUMMYFUNCTION("QUERY(Warriors[[#HEADERS],[#DATA]], ""SELECT B, C, I, H ORDER BY H ASC LIMIT 3"", 1)"),"Name")</f>
        <v>Name</v>
      </c>
      <c r="I63" s="462" t="str">
        <f ca="1">IFERROR(__xludf.DUMMYFUNCTION("""COMPUTED_VALUE"""),"Type")</f>
        <v>Type</v>
      </c>
      <c r="J63" s="462" t="str">
        <f ca="1">IFERROR(__xludf.DUMMYFUNCTION("""COMPUTED_VALUE"""),"IPL")</f>
        <v>IPL</v>
      </c>
      <c r="K63" s="479" t="str">
        <f ca="1">IFERROR(__xludf.DUMMYFUNCTION("""COMPUTED_VALUE"""),"Points")</f>
        <v>Points</v>
      </c>
      <c r="L63" s="395"/>
      <c r="M63" s="400" t="s">
        <v>237</v>
      </c>
      <c r="N63" s="462" t="str">
        <f ca="1">IFERROR(__xludf.DUMMYFUNCTION("QUERY(PA!A1:K16, ""SELECT B, C, I, H ORDER BY H ASC LIMIT 3"", 1)"),"Name")</f>
        <v>Name</v>
      </c>
      <c r="O63" s="462" t="str">
        <f ca="1">IFERROR(__xludf.DUMMYFUNCTION("""COMPUTED_VALUE"""),"Type")</f>
        <v>Type</v>
      </c>
      <c r="P63" s="462" t="str">
        <f ca="1">IFERROR(__xludf.DUMMYFUNCTION("""COMPUTED_VALUE"""),"IPL")</f>
        <v>IPL</v>
      </c>
      <c r="Q63" s="479" t="str">
        <f ca="1">IFERROR(__xludf.DUMMYFUNCTION("""COMPUTED_VALUE"""),"Points")</f>
        <v>Points</v>
      </c>
      <c r="R63" s="395"/>
      <c r="S63" s="400" t="s">
        <v>237</v>
      </c>
      <c r="T63" s="462" t="str">
        <f ca="1">IFERROR(__xludf.DUMMYFUNCTION("QUERY(Challengers[[#HEADERS],[#DATA]], ""SELECT B, C, I, H ORDER BY H ASC LIMIT 3"", 1)"),"Name")</f>
        <v>Name</v>
      </c>
      <c r="U63" s="462" t="str">
        <f ca="1">IFERROR(__xludf.DUMMYFUNCTION("""COMPUTED_VALUE"""),"Type")</f>
        <v>Type</v>
      </c>
      <c r="V63" s="462" t="str">
        <f ca="1">IFERROR(__xludf.DUMMYFUNCTION("""COMPUTED_VALUE"""),"IPL")</f>
        <v>IPL</v>
      </c>
      <c r="W63" s="479" t="str">
        <f ca="1">IFERROR(__xludf.DUMMYFUNCTION("""COMPUTED_VALUE"""),"Points")</f>
        <v>Points</v>
      </c>
      <c r="X63" s="374"/>
      <c r="Y63" s="375"/>
      <c r="Z63" s="375"/>
      <c r="AA63" s="375"/>
      <c r="AB63" s="375"/>
      <c r="AC63" s="375"/>
    </row>
    <row r="64" spans="1:29" ht="15.6">
      <c r="A64" s="401">
        <v>1</v>
      </c>
      <c r="B64" s="419" t="str">
        <f ca="1">IFERROR(__xludf.DUMMYFUNCTION("""COMPUTED_VALUE"""),"Digvesh Singh")</f>
        <v>Digvesh Singh</v>
      </c>
      <c r="C64" s="419" t="str">
        <f ca="1">IFERROR(__xludf.DUMMYFUNCTION("""COMPUTED_VALUE"""),"Bowler")</f>
        <v>Bowler</v>
      </c>
      <c r="D64" s="419" t="str">
        <f ca="1">IFERROR(__xludf.DUMMYFUNCTION("""COMPUTED_VALUE"""),"LSG")</f>
        <v>LSG</v>
      </c>
      <c r="E64" s="474">
        <f ca="1">IFERROR(__xludf.DUMMYFUNCTION("""COMPUTED_VALUE"""),245)</f>
        <v>245</v>
      </c>
      <c r="F64" s="395"/>
      <c r="G64" s="405">
        <v>1</v>
      </c>
      <c r="H64" s="419" t="str">
        <f ca="1">IFERROR(__xludf.DUMMYFUNCTION("""COMPUTED_VALUE"""),"Shashank Singh")</f>
        <v>Shashank Singh</v>
      </c>
      <c r="I64" s="480" t="str">
        <f ca="1">IFERROR(__xludf.DUMMYFUNCTION("""COMPUTED_VALUE"""),"Batter")</f>
        <v>Batter</v>
      </c>
      <c r="J64" s="419" t="str">
        <f ca="1">IFERROR(__xludf.DUMMYFUNCTION("""COMPUTED_VALUE"""),"PBSK")</f>
        <v>PBSK</v>
      </c>
      <c r="K64" s="465">
        <f ca="1">IFERROR(__xludf.DUMMYFUNCTION("""COMPUTED_VALUE"""),350)</f>
        <v>350</v>
      </c>
      <c r="L64" s="395"/>
      <c r="M64" s="405">
        <v>1</v>
      </c>
      <c r="N64" s="419" t="str">
        <f ca="1">IFERROR(__xludf.DUMMYFUNCTION("""COMPUTED_VALUE"""),"Harshal Patel")</f>
        <v>Harshal Patel</v>
      </c>
      <c r="O64" s="480" t="str">
        <f ca="1">IFERROR(__xludf.DUMMYFUNCTION("""COMPUTED_VALUE"""),"All-Rounder")</f>
        <v>All-Rounder</v>
      </c>
      <c r="P64" s="419" t="str">
        <f ca="1">IFERROR(__xludf.DUMMYFUNCTION("""COMPUTED_VALUE"""),"SRH")</f>
        <v>SRH</v>
      </c>
      <c r="Q64" s="465">
        <f ca="1">IFERROR(__xludf.DUMMYFUNCTION("""COMPUTED_VALUE"""),40)</f>
        <v>40</v>
      </c>
      <c r="R64" s="395"/>
      <c r="S64" s="405">
        <v>1</v>
      </c>
      <c r="T64" s="419" t="str">
        <f ca="1">IFERROR(__xludf.DUMMYFUNCTION("""COMPUTED_VALUE"""),"MS Dhoni")</f>
        <v>MS Dhoni</v>
      </c>
      <c r="U64" s="480" t="str">
        <f ca="1">IFERROR(__xludf.DUMMYFUNCTION("""COMPUTED_VALUE"""),"Batter")</f>
        <v>Batter</v>
      </c>
      <c r="V64" s="419" t="str">
        <f ca="1">IFERROR(__xludf.DUMMYFUNCTION("""COMPUTED_VALUE"""),"CSK")</f>
        <v>CSK</v>
      </c>
      <c r="W64" s="465">
        <f ca="1">IFERROR(__xludf.DUMMYFUNCTION("""COMPUTED_VALUE"""),0)</f>
        <v>0</v>
      </c>
      <c r="X64" s="374"/>
      <c r="Y64" s="375"/>
      <c r="Z64" s="375"/>
      <c r="AA64" s="375"/>
      <c r="AB64" s="375"/>
      <c r="AC64" s="375"/>
    </row>
    <row r="65" spans="1:29" ht="15.6">
      <c r="A65" s="401">
        <v>2</v>
      </c>
      <c r="B65" s="419" t="str">
        <f ca="1">IFERROR(__xludf.DUMMYFUNCTION("""COMPUTED_VALUE"""),"Abhishek Porel")</f>
        <v>Abhishek Porel</v>
      </c>
      <c r="C65" s="419" t="str">
        <f ca="1">IFERROR(__xludf.DUMMYFUNCTION("""COMPUTED_VALUE"""),"Batter")</f>
        <v>Batter</v>
      </c>
      <c r="D65" s="419" t="str">
        <f ca="1">IFERROR(__xludf.DUMMYFUNCTION("""COMPUTED_VALUE"""),"DC")</f>
        <v>DC</v>
      </c>
      <c r="E65" s="474">
        <f ca="1">IFERROR(__xludf.DUMMYFUNCTION("""COMPUTED_VALUE"""),157)</f>
        <v>157</v>
      </c>
      <c r="F65" s="395"/>
      <c r="G65" s="405">
        <v>2</v>
      </c>
      <c r="H65" s="419" t="str">
        <f ca="1">IFERROR(__xludf.DUMMYFUNCTION("""COMPUTED_VALUE"""),"Jitesh Sharma")</f>
        <v>Jitesh Sharma</v>
      </c>
      <c r="I65" s="480" t="str">
        <f ca="1">IFERROR(__xludf.DUMMYFUNCTION("""COMPUTED_VALUE"""),"Batter")</f>
        <v>Batter</v>
      </c>
      <c r="J65" s="419" t="str">
        <f ca="1">IFERROR(__xludf.DUMMYFUNCTION("""COMPUTED_VALUE"""),"RCB")</f>
        <v>RCB</v>
      </c>
      <c r="K65" s="465">
        <f ca="1">IFERROR(__xludf.DUMMYFUNCTION("""COMPUTED_VALUE"""),357)</f>
        <v>357</v>
      </c>
      <c r="L65" s="395"/>
      <c r="M65" s="405">
        <v>2</v>
      </c>
      <c r="N65" s="419" t="str">
        <f ca="1">IFERROR(__xludf.DUMMYFUNCTION("""COMPUTED_VALUE"""),"Auqib Nabi")</f>
        <v>Auqib Nabi</v>
      </c>
      <c r="O65" s="480" t="str">
        <f ca="1">IFERROR(__xludf.DUMMYFUNCTION("""COMPUTED_VALUE"""),"All-Rounder")</f>
        <v>All-Rounder</v>
      </c>
      <c r="P65" s="419" t="str">
        <f ca="1">IFERROR(__xludf.DUMMYFUNCTION("""COMPUTED_VALUE"""),"DC")</f>
        <v>DC</v>
      </c>
      <c r="Q65" s="465">
        <f ca="1">IFERROR(__xludf.DUMMYFUNCTION("""COMPUTED_VALUE"""),56)</f>
        <v>56</v>
      </c>
      <c r="R65" s="395"/>
      <c r="S65" s="405">
        <v>2</v>
      </c>
      <c r="T65" s="419" t="str">
        <f ca="1">IFERROR(__xludf.DUMMYFUNCTION("""COMPUTED_VALUE"""),"Glenn Phillips")</f>
        <v>Glenn Phillips</v>
      </c>
      <c r="U65" s="480" t="str">
        <f ca="1">IFERROR(__xludf.DUMMYFUNCTION("""COMPUTED_VALUE"""),"Batter")</f>
        <v>Batter</v>
      </c>
      <c r="V65" s="419" t="str">
        <f ca="1">IFERROR(__xludf.DUMMYFUNCTION("""COMPUTED_VALUE"""),"GT")</f>
        <v>GT</v>
      </c>
      <c r="W65" s="465">
        <f ca="1">IFERROR(__xludf.DUMMYFUNCTION("""COMPUTED_VALUE"""),165)</f>
        <v>165</v>
      </c>
      <c r="X65" s="374"/>
      <c r="Y65" s="375"/>
      <c r="Z65" s="375"/>
      <c r="AA65" s="375"/>
      <c r="AB65" s="375"/>
      <c r="AC65" s="375"/>
    </row>
    <row r="66" spans="1:29" ht="15.6">
      <c r="A66" s="407">
        <v>3</v>
      </c>
      <c r="B66" s="466" t="str">
        <f ca="1">IFERROR(__xludf.DUMMYFUNCTION("""COMPUTED_VALUE"""),"Prashant Veer")</f>
        <v>Prashant Veer</v>
      </c>
      <c r="C66" s="466" t="str">
        <f ca="1">IFERROR(__xludf.DUMMYFUNCTION("""COMPUTED_VALUE"""),"All-Rounder")</f>
        <v>All-Rounder</v>
      </c>
      <c r="D66" s="466" t="str">
        <f ca="1">IFERROR(__xludf.DUMMYFUNCTION("""COMPUTED_VALUE"""),"CSK")</f>
        <v>CSK</v>
      </c>
      <c r="E66" s="476">
        <f ca="1">IFERROR(__xludf.DUMMYFUNCTION("""COMPUTED_VALUE"""),139)</f>
        <v>139</v>
      </c>
      <c r="F66" s="395"/>
      <c r="G66" s="411">
        <v>3</v>
      </c>
      <c r="H66" s="466" t="str">
        <f ca="1">IFERROR(__xludf.DUMMYFUNCTION("""COMPUTED_VALUE"""),"Kuldeep Yadav")</f>
        <v>Kuldeep Yadav</v>
      </c>
      <c r="I66" s="481" t="str">
        <f ca="1">IFERROR(__xludf.DUMMYFUNCTION("""COMPUTED_VALUE"""),"Bowler")</f>
        <v>Bowler</v>
      </c>
      <c r="J66" s="466" t="str">
        <f ca="1">IFERROR(__xludf.DUMMYFUNCTION("""COMPUTED_VALUE"""),"DC")</f>
        <v>DC</v>
      </c>
      <c r="K66" s="467">
        <f ca="1">IFERROR(__xludf.DUMMYFUNCTION("""COMPUTED_VALUE"""),388)</f>
        <v>388</v>
      </c>
      <c r="L66" s="395"/>
      <c r="M66" s="411">
        <v>3</v>
      </c>
      <c r="N66" s="466" t="str">
        <f ca="1">IFERROR(__xludf.DUMMYFUNCTION("""COMPUTED_VALUE"""),"Nehal Wadhera")</f>
        <v>Nehal Wadhera</v>
      </c>
      <c r="O66" s="481" t="str">
        <f ca="1">IFERROR(__xludf.DUMMYFUNCTION("""COMPUTED_VALUE"""),"Batter")</f>
        <v>Batter</v>
      </c>
      <c r="P66" s="466" t="str">
        <f ca="1">IFERROR(__xludf.DUMMYFUNCTION("""COMPUTED_VALUE"""),"PBSK")</f>
        <v>PBSK</v>
      </c>
      <c r="Q66" s="467">
        <f ca="1">IFERROR(__xludf.DUMMYFUNCTION("""COMPUTED_VALUE"""),127)</f>
        <v>127</v>
      </c>
      <c r="R66" s="395"/>
      <c r="S66" s="411">
        <v>3</v>
      </c>
      <c r="T66" s="466" t="str">
        <f ca="1">IFERROR(__xludf.DUMMYFUNCTION("""COMPUTED_VALUE"""),"Shimron Hetmyer")</f>
        <v>Shimron Hetmyer</v>
      </c>
      <c r="U66" s="481" t="str">
        <f ca="1">IFERROR(__xludf.DUMMYFUNCTION("""COMPUTED_VALUE"""),"Batter")</f>
        <v>Batter</v>
      </c>
      <c r="V66" s="466" t="str">
        <f ca="1">IFERROR(__xludf.DUMMYFUNCTION("""COMPUTED_VALUE"""),"RR")</f>
        <v>RR</v>
      </c>
      <c r="W66" s="467">
        <f ca="1">IFERROR(__xludf.DUMMYFUNCTION("""COMPUTED_VALUE"""),169)</f>
        <v>169</v>
      </c>
      <c r="X66" s="374"/>
      <c r="Y66" s="375"/>
      <c r="Z66" s="375"/>
      <c r="AA66" s="375"/>
      <c r="AB66" s="375"/>
      <c r="AC66" s="375"/>
    </row>
    <row r="67" spans="1:29" ht="13.2">
      <c r="A67" s="461"/>
      <c r="B67" s="395"/>
      <c r="C67" s="395"/>
      <c r="D67" s="395"/>
      <c r="E67" s="395"/>
      <c r="F67" s="395"/>
      <c r="G67" s="395"/>
      <c r="H67" s="395"/>
      <c r="I67" s="395"/>
      <c r="J67" s="395"/>
      <c r="K67" s="395"/>
      <c r="L67" s="395"/>
      <c r="M67" s="395"/>
      <c r="N67" s="395"/>
      <c r="O67" s="395"/>
      <c r="P67" s="395"/>
      <c r="Q67" s="395"/>
      <c r="R67" s="395"/>
      <c r="S67" s="395"/>
      <c r="T67" s="395"/>
      <c r="U67" s="395"/>
      <c r="V67" s="395"/>
      <c r="W67" s="395"/>
      <c r="X67" s="374"/>
      <c r="Y67" s="375"/>
      <c r="Z67" s="375"/>
      <c r="AA67" s="375"/>
      <c r="AB67" s="375"/>
      <c r="AC67" s="375"/>
    </row>
    <row r="68" spans="1:29" ht="21">
      <c r="A68" s="1101" t="s">
        <v>265</v>
      </c>
      <c r="B68" s="1084"/>
      <c r="C68" s="1084"/>
      <c r="D68" s="1084"/>
      <c r="E68" s="1085"/>
      <c r="F68" s="395"/>
      <c r="G68" s="1102" t="s">
        <v>266</v>
      </c>
      <c r="H68" s="1084"/>
      <c r="I68" s="1084"/>
      <c r="J68" s="1084"/>
      <c r="K68" s="1085"/>
      <c r="L68" s="395"/>
      <c r="M68" s="1083" t="s">
        <v>267</v>
      </c>
      <c r="N68" s="1084"/>
      <c r="O68" s="1084"/>
      <c r="P68" s="1085"/>
      <c r="Q68" s="395"/>
      <c r="R68" s="395"/>
      <c r="S68" s="395"/>
      <c r="T68" s="478" t="s">
        <v>185</v>
      </c>
      <c r="U68" s="478" t="s">
        <v>77</v>
      </c>
      <c r="V68" s="478" t="s">
        <v>106</v>
      </c>
      <c r="W68" s="478">
        <v>0</v>
      </c>
      <c r="X68" s="374"/>
      <c r="Y68" s="375"/>
      <c r="Z68" s="375"/>
      <c r="AA68" s="375"/>
      <c r="AB68" s="375"/>
      <c r="AC68" s="375"/>
    </row>
    <row r="69" spans="1:29" ht="17.399999999999999">
      <c r="A69" s="396" t="s">
        <v>237</v>
      </c>
      <c r="B69" s="462" t="str">
        <f ca="1">IFERROR(__xludf.DUMMYFUNCTION("QUERY(Strikers[[#HEADERS],[#DATA]], ""SELECT B, C, I, H ORDER BY H ASC LIMIT 3"", 1)"),"Name")</f>
        <v>Name</v>
      </c>
      <c r="C69" s="462" t="str">
        <f ca="1">IFERROR(__xludf.DUMMYFUNCTION("""COMPUTED_VALUE"""),"Type")</f>
        <v>Type</v>
      </c>
      <c r="D69" s="462" t="str">
        <f ca="1">IFERROR(__xludf.DUMMYFUNCTION("""COMPUTED_VALUE"""),"IPL")</f>
        <v>IPL</v>
      </c>
      <c r="E69" s="479" t="str">
        <f ca="1">IFERROR(__xludf.DUMMYFUNCTION("""COMPUTED_VALUE"""),"Points")</f>
        <v>Points</v>
      </c>
      <c r="F69" s="395"/>
      <c r="G69" s="400" t="s">
        <v>237</v>
      </c>
      <c r="H69" s="462" t="str">
        <f ca="1">IFERROR(__xludf.DUMMYFUNCTION("QUERY(Legends[[#HEADERS],[#DATA]], ""SELECT B, C, I, H ORDER BY H ASC LIMIT 3"", 1)"),"Name")</f>
        <v>Name</v>
      </c>
      <c r="I69" s="462" t="str">
        <f ca="1">IFERROR(__xludf.DUMMYFUNCTION("""COMPUTED_VALUE"""),"Type")</f>
        <v>Type</v>
      </c>
      <c r="J69" s="462" t="str">
        <f ca="1">IFERROR(__xludf.DUMMYFUNCTION("""COMPUTED_VALUE"""),"IPL")</f>
        <v>IPL</v>
      </c>
      <c r="K69" s="479" t="str">
        <f ca="1">IFERROR(__xludf.DUMMYFUNCTION("""COMPUTED_VALUE"""),"Points")</f>
        <v>Points</v>
      </c>
      <c r="L69" s="395"/>
      <c r="M69" s="400" t="s">
        <v>237</v>
      </c>
      <c r="N69" s="462" t="str">
        <f ca="1">IFERROR(__xludf.DUMMYFUNCTION("ARRAYFORMULA(QUERY(Extra!B4:F19, ""SELECT B, F, E where B is not null ORDER BY E DESC LIMIT 3""))"),"Player Name")</f>
        <v>Player Name</v>
      </c>
      <c r="O69" s="462" t="str">
        <f ca="1">IFERROR(__xludf.DUMMYFUNCTION("""COMPUTED_VALUE"""),"IPL")</f>
        <v>IPL</v>
      </c>
      <c r="P69" s="479" t="str">
        <f ca="1">IFERROR(__xludf.DUMMYFUNCTION("""COMPUTED_VALUE"""),"Pts")</f>
        <v>Pts</v>
      </c>
      <c r="Q69" s="395"/>
      <c r="R69" s="395"/>
      <c r="S69" s="395"/>
      <c r="T69" s="482" t="s">
        <v>268</v>
      </c>
      <c r="U69" s="483">
        <f ca="1">SUM(E12:E24)</f>
        <v>12627</v>
      </c>
      <c r="V69" s="395"/>
      <c r="W69" s="395"/>
      <c r="X69" s="374"/>
      <c r="Y69" s="375"/>
      <c r="Z69" s="375"/>
      <c r="AA69" s="375"/>
      <c r="AB69" s="375"/>
      <c r="AC69" s="375"/>
    </row>
    <row r="70" spans="1:29" ht="15.6">
      <c r="A70" s="401">
        <v>1</v>
      </c>
      <c r="B70" s="419" t="str">
        <f ca="1">IFERROR(__xludf.DUMMYFUNCTION("""COMPUTED_VALUE"""),"Harpreet Brar")</f>
        <v>Harpreet Brar</v>
      </c>
      <c r="C70" s="480" t="str">
        <f ca="1">IFERROR(__xludf.DUMMYFUNCTION("""COMPUTED_VALUE"""),"All-Rounder")</f>
        <v>All-Rounder</v>
      </c>
      <c r="D70" s="419" t="str">
        <f ca="1">IFERROR(__xludf.DUMMYFUNCTION("""COMPUTED_VALUE"""),"PBSK")</f>
        <v>PBSK</v>
      </c>
      <c r="E70" s="465">
        <f ca="1">IFERROR(__xludf.DUMMYFUNCTION("""COMPUTED_VALUE"""),98)</f>
        <v>98</v>
      </c>
      <c r="F70" s="395"/>
      <c r="G70" s="405">
        <v>1</v>
      </c>
      <c r="H70" s="419" t="str">
        <f ca="1">IFERROR(__xludf.DUMMYFUNCTION("""COMPUTED_VALUE"""),"Prashant Veer")</f>
        <v>Prashant Veer</v>
      </c>
      <c r="I70" s="480" t="str">
        <f ca="1">IFERROR(__xludf.DUMMYFUNCTION("""COMPUTED_VALUE"""),"All-Rounder")</f>
        <v>All-Rounder</v>
      </c>
      <c r="J70" s="419" t="str">
        <f ca="1">IFERROR(__xludf.DUMMYFUNCTION("""COMPUTED_VALUE"""),"CSK")</f>
        <v>CSK</v>
      </c>
      <c r="K70" s="465">
        <f ca="1">IFERROR(__xludf.DUMMYFUNCTION("""COMPUTED_VALUE"""),139)</f>
        <v>139</v>
      </c>
      <c r="L70" s="395"/>
      <c r="M70" s="405">
        <v>1</v>
      </c>
      <c r="N70" s="419" t="str">
        <f ca="1">IFERROR(__xludf.DUMMYFUNCTION("""COMPUTED_VALUE"""),"Cooper Connolly")</f>
        <v>Cooper Connolly</v>
      </c>
      <c r="O70" s="419" t="str">
        <f ca="1">IFERROR(__xludf.DUMMYFUNCTION("""COMPUTED_VALUE"""),"PBSK")</f>
        <v>PBSK</v>
      </c>
      <c r="P70" s="465">
        <f ca="1">IFERROR(__xludf.DUMMYFUNCTION("""COMPUTED_VALUE"""),790)</f>
        <v>790</v>
      </c>
      <c r="Q70" s="395"/>
      <c r="R70" s="395"/>
      <c r="S70" s="395"/>
      <c r="T70" s="395"/>
      <c r="U70" s="395"/>
      <c r="V70" s="395"/>
      <c r="W70" s="395"/>
      <c r="X70" s="374"/>
      <c r="Y70" s="375"/>
      <c r="Z70" s="375"/>
      <c r="AA70" s="375"/>
      <c r="AB70" s="375"/>
      <c r="AC70" s="375"/>
    </row>
    <row r="71" spans="1:29" ht="16.2">
      <c r="A71" s="401">
        <v>2</v>
      </c>
      <c r="B71" s="419" t="str">
        <f ca="1">IFERROR(__xludf.DUMMYFUNCTION("""COMPUTED_VALUE"""),"Quinton de Kock")</f>
        <v>Quinton de Kock</v>
      </c>
      <c r="C71" s="480" t="str">
        <f ca="1">IFERROR(__xludf.DUMMYFUNCTION("""COMPUTED_VALUE"""),"Batter")</f>
        <v>Batter</v>
      </c>
      <c r="D71" s="419" t="str">
        <f ca="1">IFERROR(__xludf.DUMMYFUNCTION("""COMPUTED_VALUE"""),"MI")</f>
        <v>MI</v>
      </c>
      <c r="E71" s="465">
        <f ca="1">IFERROR(__xludf.DUMMYFUNCTION("""COMPUTED_VALUE"""),221)</f>
        <v>221</v>
      </c>
      <c r="F71" s="395"/>
      <c r="G71" s="405">
        <v>2</v>
      </c>
      <c r="H71" s="419" t="str">
        <f ca="1">IFERROR(__xludf.DUMMYFUNCTION("""COMPUTED_VALUE"""),"Abhishek Porel")</f>
        <v>Abhishek Porel</v>
      </c>
      <c r="I71" s="480" t="str">
        <f ca="1">IFERROR(__xludf.DUMMYFUNCTION("""COMPUTED_VALUE"""),"Batter")</f>
        <v>Batter</v>
      </c>
      <c r="J71" s="419" t="str">
        <f ca="1">IFERROR(__xludf.DUMMYFUNCTION("""COMPUTED_VALUE"""),"DC")</f>
        <v>DC</v>
      </c>
      <c r="K71" s="465">
        <f ca="1">IFERROR(__xludf.DUMMYFUNCTION("""COMPUTED_VALUE"""),157)</f>
        <v>157</v>
      </c>
      <c r="L71" s="395"/>
      <c r="M71" s="405">
        <v>2</v>
      </c>
      <c r="N71" s="419" t="str">
        <f ca="1">IFERROR(__xludf.DUMMYFUNCTION("""COMPUTED_VALUE"""),"Jason Holder")</f>
        <v>Jason Holder</v>
      </c>
      <c r="O71" s="419" t="str">
        <f ca="1">IFERROR(__xludf.DUMMYFUNCTION("""COMPUTED_VALUE"""),"GT")</f>
        <v>GT</v>
      </c>
      <c r="P71" s="465">
        <f ca="1">IFERROR(__xludf.DUMMYFUNCTION("""COMPUTED_VALUE"""),769)</f>
        <v>769</v>
      </c>
      <c r="Q71" s="395"/>
      <c r="R71" s="395"/>
      <c r="S71" s="395"/>
      <c r="T71" s="484" t="s">
        <v>269</v>
      </c>
      <c r="U71" s="485">
        <f ca="1">E126</f>
        <v>6168</v>
      </c>
      <c r="V71" s="395"/>
      <c r="W71" s="395"/>
      <c r="X71" s="374"/>
      <c r="Y71" s="375"/>
      <c r="Z71" s="375"/>
      <c r="AA71" s="375"/>
      <c r="AB71" s="375"/>
      <c r="AC71" s="375"/>
    </row>
    <row r="72" spans="1:29" ht="15.6">
      <c r="A72" s="407">
        <v>3</v>
      </c>
      <c r="B72" s="466" t="str">
        <f ca="1">IFERROR(__xludf.DUMMYFUNCTION("""COMPUTED_VALUE"""),"Jasprit Bumrah")</f>
        <v>Jasprit Bumrah</v>
      </c>
      <c r="C72" s="481" t="str">
        <f ca="1">IFERROR(__xludf.DUMMYFUNCTION("""COMPUTED_VALUE"""),"Bowler")</f>
        <v>Bowler</v>
      </c>
      <c r="D72" s="466" t="str">
        <f ca="1">IFERROR(__xludf.DUMMYFUNCTION("""COMPUTED_VALUE"""),"MI")</f>
        <v>MI</v>
      </c>
      <c r="E72" s="467">
        <f ca="1">IFERROR(__xludf.DUMMYFUNCTION("""COMPUTED_VALUE"""),301)</f>
        <v>301</v>
      </c>
      <c r="F72" s="395"/>
      <c r="G72" s="411">
        <v>3</v>
      </c>
      <c r="H72" s="466" t="str">
        <f ca="1">IFERROR(__xludf.DUMMYFUNCTION("""COMPUTED_VALUE"""),"Digvesh Singh")</f>
        <v>Digvesh Singh</v>
      </c>
      <c r="I72" s="481" t="str">
        <f ca="1">IFERROR(__xludf.DUMMYFUNCTION("""COMPUTED_VALUE"""),"Bowler")</f>
        <v>Bowler</v>
      </c>
      <c r="J72" s="466" t="str">
        <f ca="1">IFERROR(__xludf.DUMMYFUNCTION("""COMPUTED_VALUE"""),"LSG")</f>
        <v>LSG</v>
      </c>
      <c r="K72" s="467">
        <f ca="1">IFERROR(__xludf.DUMMYFUNCTION("""COMPUTED_VALUE"""),245)</f>
        <v>245</v>
      </c>
      <c r="L72" s="395"/>
      <c r="M72" s="411">
        <v>3</v>
      </c>
      <c r="N72" s="466" t="str">
        <f ca="1">IFERROR(__xludf.DUMMYFUNCTION("""COMPUTED_VALUE"""),"Tim David ")</f>
        <v xml:space="preserve">Tim David </v>
      </c>
      <c r="O72" s="466" t="str">
        <f ca="1">IFERROR(__xludf.DUMMYFUNCTION("""COMPUTED_VALUE"""),"RCB")</f>
        <v>RCB</v>
      </c>
      <c r="P72" s="467">
        <f ca="1">IFERROR(__xludf.DUMMYFUNCTION("""COMPUTED_VALUE"""),510)</f>
        <v>510</v>
      </c>
      <c r="Q72" s="395"/>
      <c r="R72" s="395"/>
      <c r="S72" s="395"/>
      <c r="T72" s="486" t="s">
        <v>270</v>
      </c>
      <c r="U72" s="487"/>
      <c r="V72" s="487"/>
      <c r="W72" s="395"/>
      <c r="X72" s="374"/>
      <c r="Y72" s="375"/>
      <c r="Z72" s="375"/>
      <c r="AA72" s="375"/>
      <c r="AB72" s="375"/>
      <c r="AC72" s="375"/>
    </row>
    <row r="73" spans="1:29" ht="13.2">
      <c r="A73" s="461"/>
      <c r="B73" s="395"/>
      <c r="C73" s="395"/>
      <c r="D73" s="395"/>
      <c r="E73" s="395"/>
      <c r="F73" s="395"/>
      <c r="G73" s="395"/>
      <c r="H73" s="395"/>
      <c r="I73" s="395"/>
      <c r="J73" s="395"/>
      <c r="K73" s="395"/>
      <c r="L73" s="395"/>
      <c r="M73" s="395"/>
      <c r="N73" s="395"/>
      <c r="O73" s="395"/>
      <c r="P73" s="395"/>
      <c r="Q73" s="395"/>
      <c r="R73" s="395"/>
      <c r="S73" s="395"/>
      <c r="T73" s="486" t="s">
        <v>271</v>
      </c>
      <c r="U73" s="487"/>
      <c r="V73" s="487"/>
      <c r="W73" s="395"/>
      <c r="X73" s="374"/>
      <c r="Y73" s="375"/>
      <c r="Z73" s="375"/>
      <c r="AA73" s="375"/>
      <c r="AB73" s="375"/>
      <c r="AC73" s="375"/>
    </row>
    <row r="74" spans="1:29" ht="13.2">
      <c r="A74" s="461"/>
      <c r="B74" s="395"/>
      <c r="C74" s="395"/>
      <c r="D74" s="1103" t="s">
        <v>272</v>
      </c>
      <c r="E74" s="1093"/>
      <c r="F74" s="1093"/>
      <c r="G74" s="1093"/>
      <c r="H74" s="1093"/>
      <c r="I74" s="1093"/>
      <c r="J74" s="1093"/>
      <c r="K74" s="1093"/>
      <c r="L74" s="1093"/>
      <c r="M74" s="1093"/>
      <c r="N74" s="1093"/>
      <c r="O74" s="1093"/>
      <c r="P74" s="1093"/>
      <c r="Q74" s="1093"/>
      <c r="R74" s="1093"/>
      <c r="S74" s="1093"/>
      <c r="T74" s="1093"/>
      <c r="U74" s="1087"/>
      <c r="V74" s="395"/>
      <c r="W74" s="395"/>
      <c r="X74" s="488"/>
      <c r="Y74" s="375"/>
      <c r="Z74" s="375"/>
      <c r="AA74" s="375"/>
      <c r="AB74" s="375"/>
      <c r="AC74" s="375"/>
    </row>
    <row r="75" spans="1:29" ht="13.2">
      <c r="A75" s="461"/>
      <c r="B75" s="395"/>
      <c r="C75" s="395"/>
      <c r="D75" s="1088"/>
      <c r="E75" s="1015"/>
      <c r="F75" s="1015"/>
      <c r="G75" s="1015"/>
      <c r="H75" s="1015"/>
      <c r="I75" s="1015"/>
      <c r="J75" s="1015"/>
      <c r="K75" s="1015"/>
      <c r="L75" s="1015"/>
      <c r="M75" s="1015"/>
      <c r="N75" s="1015"/>
      <c r="O75" s="1015"/>
      <c r="P75" s="1015"/>
      <c r="Q75" s="1015"/>
      <c r="R75" s="1015"/>
      <c r="S75" s="1015"/>
      <c r="T75" s="1015"/>
      <c r="U75" s="1089"/>
      <c r="V75" s="395"/>
      <c r="W75" s="395"/>
      <c r="X75" s="488"/>
      <c r="Y75" s="375"/>
      <c r="Z75" s="375"/>
      <c r="AA75" s="375"/>
      <c r="AB75" s="375"/>
      <c r="AC75" s="375"/>
    </row>
    <row r="76" spans="1:29" ht="267.75" customHeight="1">
      <c r="A76" s="461"/>
      <c r="B76" s="395"/>
      <c r="C76" s="395"/>
      <c r="D76" s="1090"/>
      <c r="E76" s="1094"/>
      <c r="F76" s="1094"/>
      <c r="G76" s="1094"/>
      <c r="H76" s="1094"/>
      <c r="I76" s="1094"/>
      <c r="J76" s="1094"/>
      <c r="K76" s="1094"/>
      <c r="L76" s="1094"/>
      <c r="M76" s="1094"/>
      <c r="N76" s="1094"/>
      <c r="O76" s="1094"/>
      <c r="P76" s="1094"/>
      <c r="Q76" s="1094"/>
      <c r="R76" s="1094"/>
      <c r="S76" s="1094"/>
      <c r="T76" s="1094"/>
      <c r="U76" s="1091"/>
      <c r="V76" s="395"/>
      <c r="W76" s="395"/>
      <c r="X76" s="488"/>
      <c r="Y76" s="375"/>
      <c r="Z76" s="375"/>
      <c r="AA76" s="375"/>
      <c r="AB76" s="375"/>
      <c r="AC76" s="375"/>
    </row>
    <row r="77" spans="1:29" ht="13.2">
      <c r="A77" s="461"/>
      <c r="B77" s="395"/>
      <c r="C77" s="395"/>
      <c r="D77" s="395"/>
      <c r="E77" s="395"/>
      <c r="F77" s="395"/>
      <c r="G77" s="395"/>
      <c r="H77" s="395"/>
      <c r="I77" s="395"/>
      <c r="J77" s="395"/>
      <c r="K77" s="395"/>
      <c r="L77" s="395"/>
      <c r="M77" s="395"/>
      <c r="N77" s="395"/>
      <c r="O77" s="395"/>
      <c r="P77" s="395"/>
      <c r="Q77" s="395"/>
      <c r="R77" s="395"/>
      <c r="S77" s="395"/>
      <c r="T77" s="395"/>
      <c r="U77" s="395"/>
      <c r="V77" s="395"/>
      <c r="W77" s="395"/>
      <c r="X77" s="488"/>
      <c r="Y77" s="375"/>
      <c r="Z77" s="375"/>
      <c r="AA77" s="375"/>
      <c r="AB77" s="375"/>
      <c r="AC77" s="375"/>
    </row>
    <row r="78" spans="1:29" ht="13.2">
      <c r="A78" s="461"/>
      <c r="B78" s="395"/>
      <c r="C78" s="395"/>
      <c r="D78" s="489"/>
      <c r="E78" s="490"/>
      <c r="F78" s="490"/>
      <c r="G78" s="490"/>
      <c r="H78" s="490"/>
      <c r="I78" s="490"/>
      <c r="J78" s="490"/>
      <c r="K78" s="490"/>
      <c r="L78" s="490"/>
      <c r="M78" s="490"/>
      <c r="N78" s="490"/>
      <c r="O78" s="490"/>
      <c r="P78" s="490"/>
      <c r="Q78" s="490"/>
      <c r="R78" s="490"/>
      <c r="S78" s="490"/>
      <c r="T78" s="490"/>
      <c r="U78" s="491"/>
      <c r="V78" s="395"/>
      <c r="W78" s="395"/>
      <c r="X78" s="488"/>
      <c r="Y78" s="375"/>
      <c r="Z78" s="375"/>
      <c r="AA78" s="375"/>
      <c r="AB78" s="375"/>
      <c r="AC78" s="375"/>
    </row>
    <row r="79" spans="1:29" ht="30">
      <c r="A79" s="492" t="s">
        <v>4</v>
      </c>
      <c r="B79" s="493" t="s">
        <v>273</v>
      </c>
      <c r="C79" s="494" t="s">
        <v>72</v>
      </c>
      <c r="D79" s="495"/>
      <c r="E79" s="395"/>
      <c r="F79" s="395"/>
      <c r="G79" s="395"/>
      <c r="H79" s="395"/>
      <c r="I79" s="395"/>
      <c r="J79" s="395"/>
      <c r="K79" s="395"/>
      <c r="L79" s="395"/>
      <c r="M79" s="395"/>
      <c r="N79" s="395"/>
      <c r="O79" s="395"/>
      <c r="P79" s="395"/>
      <c r="Q79" s="395"/>
      <c r="R79" s="395"/>
      <c r="S79" s="492" t="s">
        <v>4</v>
      </c>
      <c r="T79" s="496" t="s">
        <v>274</v>
      </c>
      <c r="U79" s="497"/>
      <c r="V79" s="395"/>
      <c r="W79" s="395"/>
      <c r="X79" s="488"/>
      <c r="Y79" s="375"/>
      <c r="Z79" s="375"/>
      <c r="AA79" s="375"/>
      <c r="AB79" s="375"/>
      <c r="AC79" s="375"/>
    </row>
    <row r="80" spans="1:29" ht="19.2">
      <c r="A80" s="498" t="s">
        <v>8</v>
      </c>
      <c r="B80" s="499">
        <f ca="1">HW!H20</f>
        <v>9600</v>
      </c>
      <c r="C80" s="500">
        <f ca="1">HW!J20</f>
        <v>598</v>
      </c>
      <c r="D80" s="495"/>
      <c r="E80" s="395"/>
      <c r="F80" s="395"/>
      <c r="G80" s="395"/>
      <c r="H80" s="395"/>
      <c r="I80" s="395"/>
      <c r="J80" s="395"/>
      <c r="K80" s="395"/>
      <c r="L80" s="395"/>
      <c r="M80" s="395"/>
      <c r="N80" s="395"/>
      <c r="O80" s="395"/>
      <c r="P80" s="395"/>
      <c r="Q80" s="395"/>
      <c r="R80" s="395"/>
      <c r="S80" s="9" t="s">
        <v>8</v>
      </c>
      <c r="T80" s="10">
        <f>(RR!I5+SRH!I5+RCB!I5+DC!I5+GT!J5+PBSK!I5+CSK!I5+LSG!I5+KKR!I5+MI!I5)</f>
        <v>140</v>
      </c>
      <c r="U80" s="497"/>
      <c r="V80" s="395"/>
      <c r="W80" s="395"/>
      <c r="X80" s="488"/>
      <c r="Y80" s="375"/>
      <c r="Z80" s="375"/>
      <c r="AA80" s="375"/>
      <c r="AB80" s="375"/>
      <c r="AC80" s="375"/>
    </row>
    <row r="81" spans="1:29" ht="18.600000000000001">
      <c r="A81" s="501" t="s">
        <v>10</v>
      </c>
      <c r="B81" s="502">
        <f ca="1">MC!H19</f>
        <v>6406</v>
      </c>
      <c r="C81" s="503">
        <f ca="1">MC!J19</f>
        <v>161</v>
      </c>
      <c r="D81" s="495"/>
      <c r="E81" s="395"/>
      <c r="F81" s="395"/>
      <c r="G81" s="395"/>
      <c r="H81" s="395"/>
      <c r="I81" s="395"/>
      <c r="J81" s="395"/>
      <c r="K81" s="395"/>
      <c r="L81" s="395"/>
      <c r="M81" s="395"/>
      <c r="N81" s="395"/>
      <c r="O81" s="395"/>
      <c r="P81" s="395"/>
      <c r="Q81" s="395"/>
      <c r="R81" s="395"/>
      <c r="S81" s="14" t="s">
        <v>10</v>
      </c>
      <c r="T81" s="10">
        <f>(RR!I6+SRH!I6+RCB!I6+DC!I6+GT!J6+PBSK!I6+CSK!I6+LSG!I6+KKR!I6+MI!I6)</f>
        <v>134</v>
      </c>
      <c r="U81" s="497"/>
      <c r="V81" s="395"/>
      <c r="W81" s="395"/>
      <c r="X81" s="488"/>
      <c r="Y81" s="375"/>
      <c r="Z81" s="375"/>
      <c r="AA81" s="375"/>
      <c r="AB81" s="375"/>
      <c r="AC81" s="375"/>
    </row>
    <row r="82" spans="1:29" ht="21">
      <c r="A82" s="504" t="s">
        <v>12</v>
      </c>
      <c r="B82" s="502">
        <f ca="1">OL!H19</f>
        <v>8960</v>
      </c>
      <c r="C82" s="503">
        <f ca="1">OL!J19</f>
        <v>619</v>
      </c>
      <c r="D82" s="495"/>
      <c r="E82" s="395"/>
      <c r="F82" s="395"/>
      <c r="G82" s="395"/>
      <c r="H82" s="395"/>
      <c r="I82" s="395"/>
      <c r="J82" s="395"/>
      <c r="K82" s="395"/>
      <c r="L82" s="395"/>
      <c r="M82" s="395"/>
      <c r="N82" s="395"/>
      <c r="O82" s="395"/>
      <c r="P82" s="395"/>
      <c r="Q82" s="395"/>
      <c r="R82" s="395"/>
      <c r="S82" s="18" t="s">
        <v>12</v>
      </c>
      <c r="T82" s="10">
        <f>(RR!I7+SRH!I7+RCB!I7+DC!I7+GT!J7+PBSK!I7+CSK!I7+LSG!I7+KKR!I7+MI!I7)</f>
        <v>161</v>
      </c>
      <c r="U82" s="497"/>
      <c r="V82" s="395"/>
      <c r="W82" s="395"/>
      <c r="X82" s="488"/>
      <c r="Y82" s="375"/>
      <c r="Z82" s="375"/>
      <c r="AA82" s="375"/>
      <c r="AB82" s="375"/>
      <c r="AC82" s="375"/>
    </row>
    <row r="83" spans="1:29" ht="21">
      <c r="A83" s="505" t="s">
        <v>14</v>
      </c>
      <c r="B83" s="506">
        <f ca="1">AS!H20</f>
        <v>8402</v>
      </c>
      <c r="C83" s="507">
        <f ca="1">AS!J20</f>
        <v>247</v>
      </c>
      <c r="D83" s="495"/>
      <c r="E83" s="395"/>
      <c r="F83" s="395"/>
      <c r="G83" s="395"/>
      <c r="H83" s="395"/>
      <c r="I83" s="395"/>
      <c r="J83" s="395"/>
      <c r="K83" s="395"/>
      <c r="L83" s="395"/>
      <c r="M83" s="395"/>
      <c r="N83" s="395"/>
      <c r="O83" s="395"/>
      <c r="P83" s="395"/>
      <c r="Q83" s="395"/>
      <c r="R83" s="395"/>
      <c r="S83" s="21" t="s">
        <v>14</v>
      </c>
      <c r="T83" s="10">
        <f>(RR!I8+SRH!I8+RCB!I8+DC!I8+GT!J8+PBSK!I8+CSK!I8+LSG!I8+KKR!I8+MI!I8)</f>
        <v>30</v>
      </c>
      <c r="U83" s="497"/>
      <c r="V83" s="395"/>
      <c r="W83" s="395"/>
      <c r="X83" s="488"/>
      <c r="Y83" s="375"/>
      <c r="Z83" s="375"/>
      <c r="AA83" s="375"/>
      <c r="AB83" s="375"/>
      <c r="AC83" s="375"/>
    </row>
    <row r="84" spans="1:29" ht="22.8">
      <c r="A84" s="508" t="s">
        <v>16</v>
      </c>
      <c r="B84" s="502">
        <f ca="1">PA!H19</f>
        <v>8038</v>
      </c>
      <c r="C84" s="503">
        <f ca="1">PA!J19</f>
        <v>119</v>
      </c>
      <c r="D84" s="495"/>
      <c r="E84" s="395"/>
      <c r="F84" s="395"/>
      <c r="G84" s="395"/>
      <c r="H84" s="395"/>
      <c r="I84" s="395"/>
      <c r="J84" s="395"/>
      <c r="K84" s="395"/>
      <c r="L84" s="395"/>
      <c r="M84" s="395"/>
      <c r="N84" s="395"/>
      <c r="O84" s="395"/>
      <c r="P84" s="395"/>
      <c r="Q84" s="395"/>
      <c r="R84" s="395"/>
      <c r="S84" s="25" t="s">
        <v>16</v>
      </c>
      <c r="T84" s="10">
        <f>(RR!I9+SRH!I9+RCB!I9+DC!I9+GT!J9+PBSK!I9+CSK!I9+LSG!I9+KKR!I9+MI!I9)</f>
        <v>160</v>
      </c>
      <c r="U84" s="497"/>
      <c r="V84" s="395"/>
      <c r="W84" s="395"/>
      <c r="X84" s="488"/>
      <c r="Y84" s="375"/>
      <c r="Z84" s="375"/>
      <c r="AA84" s="375"/>
      <c r="AB84" s="375"/>
      <c r="AC84" s="375"/>
    </row>
    <row r="85" spans="1:29" ht="13.2">
      <c r="A85" s="461"/>
      <c r="B85" s="395"/>
      <c r="C85" s="395"/>
      <c r="D85" s="495"/>
      <c r="E85" s="395"/>
      <c r="F85" s="395"/>
      <c r="G85" s="395"/>
      <c r="H85" s="395"/>
      <c r="I85" s="395"/>
      <c r="J85" s="395"/>
      <c r="K85" s="395"/>
      <c r="L85" s="395"/>
      <c r="M85" s="395"/>
      <c r="N85" s="395"/>
      <c r="O85" s="395"/>
      <c r="P85" s="395"/>
      <c r="Q85" s="395"/>
      <c r="R85" s="395"/>
      <c r="S85" s="395"/>
      <c r="T85" s="395"/>
      <c r="U85" s="497"/>
      <c r="V85" s="395"/>
      <c r="W85" s="395"/>
      <c r="X85" s="488"/>
      <c r="Y85" s="375"/>
      <c r="Z85" s="375"/>
      <c r="AA85" s="375"/>
      <c r="AB85" s="375"/>
      <c r="AC85" s="375"/>
    </row>
    <row r="86" spans="1:29" ht="30">
      <c r="A86" s="461"/>
      <c r="B86" s="395"/>
      <c r="C86" s="395"/>
      <c r="D86" s="495"/>
      <c r="E86" s="395"/>
      <c r="F86" s="395"/>
      <c r="G86" s="395"/>
      <c r="H86" s="395"/>
      <c r="I86" s="395"/>
      <c r="J86" s="395"/>
      <c r="K86" s="395"/>
      <c r="L86" s="395"/>
      <c r="M86" s="395"/>
      <c r="N86" s="395"/>
      <c r="O86" s="395"/>
      <c r="P86" s="395"/>
      <c r="Q86" s="395"/>
      <c r="R86" s="395"/>
      <c r="S86" s="492" t="s">
        <v>4</v>
      </c>
      <c r="T86" s="496" t="s">
        <v>275</v>
      </c>
      <c r="U86" s="497"/>
      <c r="V86" s="395"/>
      <c r="W86" s="395"/>
      <c r="X86" s="488"/>
      <c r="Y86" s="375"/>
      <c r="Z86" s="375"/>
      <c r="AA86" s="375"/>
      <c r="AB86" s="375"/>
      <c r="AC86" s="375"/>
    </row>
    <row r="87" spans="1:29" ht="19.2">
      <c r="A87" s="461"/>
      <c r="B87" s="395"/>
      <c r="C87" s="395"/>
      <c r="D87" s="495"/>
      <c r="E87" s="395"/>
      <c r="F87" s="395"/>
      <c r="G87" s="395"/>
      <c r="H87" s="395"/>
      <c r="I87" s="395"/>
      <c r="J87" s="395"/>
      <c r="K87" s="395"/>
      <c r="L87" s="395"/>
      <c r="M87" s="395"/>
      <c r="N87" s="395"/>
      <c r="O87" s="395"/>
      <c r="P87" s="395"/>
      <c r="Q87" s="395"/>
      <c r="R87" s="395"/>
      <c r="S87" s="9" t="s">
        <v>8</v>
      </c>
      <c r="T87" s="10">
        <f>HW!H18-Data!B2</f>
        <v>104</v>
      </c>
      <c r="U87" s="497"/>
      <c r="V87" s="395"/>
      <c r="W87" s="395"/>
      <c r="X87" s="488"/>
      <c r="Y87" s="375"/>
      <c r="Z87" s="375"/>
      <c r="AA87" s="375"/>
      <c r="AB87" s="375"/>
      <c r="AC87" s="375"/>
    </row>
    <row r="88" spans="1:29" ht="18.600000000000001">
      <c r="A88" s="461"/>
      <c r="B88" s="395"/>
      <c r="C88" s="395"/>
      <c r="D88" s="495"/>
      <c r="E88" s="395"/>
      <c r="F88" s="395"/>
      <c r="G88" s="395"/>
      <c r="H88" s="395"/>
      <c r="I88" s="395"/>
      <c r="J88" s="395"/>
      <c r="K88" s="395"/>
      <c r="L88" s="395"/>
      <c r="M88" s="395"/>
      <c r="N88" s="395"/>
      <c r="O88" s="395"/>
      <c r="P88" s="395"/>
      <c r="Q88" s="395"/>
      <c r="R88" s="395"/>
      <c r="S88" s="14" t="s">
        <v>10</v>
      </c>
      <c r="T88" s="10">
        <f>Challengers[[#Totals],[Points]]-Data!B3</f>
        <v>134</v>
      </c>
      <c r="U88" s="497"/>
      <c r="V88" s="395"/>
      <c r="W88" s="395"/>
      <c r="X88" s="488"/>
      <c r="Y88" s="375"/>
      <c r="Z88" s="375"/>
      <c r="AA88" s="375"/>
      <c r="AB88" s="375"/>
      <c r="AC88" s="375"/>
    </row>
    <row r="89" spans="1:29" ht="21">
      <c r="A89" s="461"/>
      <c r="B89" s="395"/>
      <c r="C89" s="395"/>
      <c r="D89" s="495"/>
      <c r="E89" s="395"/>
      <c r="F89" s="395"/>
      <c r="G89" s="395"/>
      <c r="H89" s="395"/>
      <c r="I89" s="395"/>
      <c r="J89" s="395"/>
      <c r="K89" s="395"/>
      <c r="L89" s="395"/>
      <c r="M89" s="395"/>
      <c r="N89" s="395"/>
      <c r="O89" s="395"/>
      <c r="P89" s="395"/>
      <c r="Q89" s="395"/>
      <c r="R89" s="395"/>
      <c r="S89" s="18" t="s">
        <v>12</v>
      </c>
      <c r="T89" s="10">
        <f>Legends[[#Totals],[Points]]-Data!B4</f>
        <v>161</v>
      </c>
      <c r="U89" s="497"/>
      <c r="V89" s="395"/>
      <c r="W89" s="395"/>
      <c r="X89" s="488"/>
      <c r="Y89" s="375"/>
      <c r="Z89" s="375"/>
      <c r="AA89" s="375"/>
      <c r="AB89" s="375"/>
      <c r="AC89" s="375"/>
    </row>
    <row r="90" spans="1:29" ht="21">
      <c r="A90" s="461"/>
      <c r="B90" s="395"/>
      <c r="C90" s="395"/>
      <c r="D90" s="495"/>
      <c r="E90" s="395"/>
      <c r="F90" s="395"/>
      <c r="G90" s="395"/>
      <c r="H90" s="395"/>
      <c r="I90" s="395"/>
      <c r="J90" s="395"/>
      <c r="K90" s="395"/>
      <c r="L90" s="395"/>
      <c r="M90" s="395"/>
      <c r="N90" s="395"/>
      <c r="O90" s="395"/>
      <c r="P90" s="395"/>
      <c r="Q90" s="395"/>
      <c r="R90" s="395"/>
      <c r="S90" s="21" t="s">
        <v>14</v>
      </c>
      <c r="T90" s="10">
        <f>Strikers[[#Totals],[Points]]-Data!B5</f>
        <v>30</v>
      </c>
      <c r="U90" s="497"/>
      <c r="V90" s="395"/>
      <c r="W90" s="395"/>
      <c r="X90" s="488"/>
      <c r="Y90" s="375"/>
      <c r="Z90" s="375"/>
      <c r="AA90" s="375"/>
      <c r="AB90" s="375"/>
      <c r="AC90" s="375"/>
    </row>
    <row r="91" spans="1:29" ht="22.8">
      <c r="A91" s="461"/>
      <c r="B91" s="395"/>
      <c r="C91" s="395"/>
      <c r="D91" s="495"/>
      <c r="E91" s="395"/>
      <c r="F91" s="395"/>
      <c r="G91" s="395"/>
      <c r="H91" s="395"/>
      <c r="I91" s="395"/>
      <c r="J91" s="395"/>
      <c r="K91" s="395"/>
      <c r="L91" s="395"/>
      <c r="M91" s="395"/>
      <c r="N91" s="395"/>
      <c r="O91" s="395"/>
      <c r="P91" s="395"/>
      <c r="Q91" s="395"/>
      <c r="R91" s="395"/>
      <c r="S91" s="25" t="s">
        <v>16</v>
      </c>
      <c r="T91" s="10">
        <f>PA!H17-Data!B6</f>
        <v>160</v>
      </c>
      <c r="U91" s="497"/>
      <c r="V91" s="395"/>
      <c r="W91" s="395"/>
      <c r="X91" s="488"/>
      <c r="Y91" s="375"/>
      <c r="Z91" s="375"/>
      <c r="AA91" s="375"/>
      <c r="AB91" s="375"/>
      <c r="AC91" s="375"/>
    </row>
    <row r="92" spans="1:29" ht="13.2">
      <c r="A92" s="461"/>
      <c r="B92" s="395"/>
      <c r="C92" s="395"/>
      <c r="D92" s="509"/>
      <c r="E92" s="510"/>
      <c r="F92" s="510"/>
      <c r="G92" s="510"/>
      <c r="H92" s="510"/>
      <c r="I92" s="510"/>
      <c r="J92" s="510"/>
      <c r="K92" s="510"/>
      <c r="L92" s="510"/>
      <c r="M92" s="510"/>
      <c r="N92" s="510"/>
      <c r="O92" s="510"/>
      <c r="P92" s="510"/>
      <c r="Q92" s="510"/>
      <c r="R92" s="510"/>
      <c r="S92" s="510"/>
      <c r="T92" s="510"/>
      <c r="U92" s="511"/>
      <c r="V92" s="395"/>
      <c r="W92" s="395"/>
      <c r="X92" s="488"/>
      <c r="Y92" s="375"/>
      <c r="Z92" s="375"/>
      <c r="AA92" s="375"/>
      <c r="AB92" s="375"/>
      <c r="AC92" s="375"/>
    </row>
    <row r="93" spans="1:29" ht="13.2">
      <c r="A93" s="461"/>
      <c r="B93" s="395"/>
      <c r="C93" s="395"/>
      <c r="D93" s="395"/>
      <c r="E93" s="395"/>
      <c r="F93" s="395"/>
      <c r="G93" s="395"/>
      <c r="H93" s="395"/>
      <c r="I93" s="395"/>
      <c r="J93" s="395"/>
      <c r="K93" s="395"/>
      <c r="L93" s="395"/>
      <c r="M93" s="395"/>
      <c r="N93" s="395"/>
      <c r="O93" s="395"/>
      <c r="P93" s="395"/>
      <c r="Q93" s="395"/>
      <c r="R93" s="395"/>
      <c r="S93" s="395"/>
      <c r="T93" s="395"/>
      <c r="U93" s="395"/>
      <c r="V93" s="395"/>
      <c r="W93" s="395"/>
      <c r="X93" s="488"/>
      <c r="Y93" s="375"/>
      <c r="Z93" s="375"/>
      <c r="AA93" s="375"/>
      <c r="AB93" s="375"/>
      <c r="AC93" s="375"/>
    </row>
    <row r="94" spans="1:29" ht="13.2">
      <c r="A94" s="461"/>
      <c r="B94" s="395"/>
      <c r="C94" s="395"/>
      <c r="D94" s="395"/>
      <c r="E94" s="395"/>
      <c r="F94" s="395"/>
      <c r="G94" s="395"/>
      <c r="H94" s="395"/>
      <c r="I94" s="395"/>
      <c r="J94" s="395"/>
      <c r="K94" s="395"/>
      <c r="L94" s="395"/>
      <c r="M94" s="395"/>
      <c r="N94" s="395"/>
      <c r="O94" s="395"/>
      <c r="P94" s="395"/>
      <c r="Q94" s="395"/>
      <c r="R94" s="395"/>
      <c r="S94" s="395"/>
      <c r="T94" s="395"/>
      <c r="U94" s="395"/>
      <c r="V94" s="395"/>
      <c r="W94" s="395"/>
      <c r="X94" s="488"/>
      <c r="Y94" s="375"/>
      <c r="Z94" s="375"/>
      <c r="AA94" s="375"/>
      <c r="AB94" s="375"/>
      <c r="AC94" s="375"/>
    </row>
    <row r="95" spans="1:29" ht="13.2">
      <c r="A95" s="461"/>
      <c r="B95" s="395"/>
      <c r="C95" s="395"/>
      <c r="D95" s="489"/>
      <c r="E95" s="490"/>
      <c r="F95" s="490"/>
      <c r="G95" s="490"/>
      <c r="H95" s="490" t="s">
        <v>19</v>
      </c>
      <c r="I95" s="490"/>
      <c r="J95" s="490"/>
      <c r="K95" s="490"/>
      <c r="L95" s="490"/>
      <c r="M95" s="490"/>
      <c r="N95" s="490"/>
      <c r="O95" s="490"/>
      <c r="P95" s="490"/>
      <c r="Q95" s="490"/>
      <c r="R95" s="490"/>
      <c r="S95" s="490"/>
      <c r="T95" s="491"/>
      <c r="U95" s="395"/>
      <c r="V95" s="395"/>
      <c r="W95" s="395"/>
      <c r="X95" s="488"/>
      <c r="Y95" s="375"/>
      <c r="Z95" s="375"/>
      <c r="AA95" s="375"/>
      <c r="AB95" s="375"/>
      <c r="AC95" s="375"/>
    </row>
    <row r="96" spans="1:29" ht="13.2">
      <c r="A96" s="461"/>
      <c r="B96" s="395"/>
      <c r="C96" s="395"/>
      <c r="D96" s="495"/>
      <c r="E96" s="395"/>
      <c r="F96" s="395"/>
      <c r="G96" s="395"/>
      <c r="H96" s="395"/>
      <c r="I96" s="395"/>
      <c r="J96" s="395"/>
      <c r="K96" s="395"/>
      <c r="L96" s="395"/>
      <c r="M96" s="395"/>
      <c r="N96" s="395"/>
      <c r="O96" s="395"/>
      <c r="P96" s="395"/>
      <c r="Q96" s="395"/>
      <c r="R96" s="395"/>
      <c r="S96" s="395"/>
      <c r="T96" s="497"/>
      <c r="U96" s="395"/>
      <c r="V96" s="395"/>
      <c r="W96" s="395"/>
      <c r="X96" s="488"/>
      <c r="Y96" s="375"/>
      <c r="Z96" s="375"/>
      <c r="AA96" s="375"/>
      <c r="AB96" s="375"/>
      <c r="AC96" s="375"/>
    </row>
    <row r="97" spans="1:29" ht="13.2">
      <c r="A97" s="461"/>
      <c r="B97" s="395"/>
      <c r="C97" s="395"/>
      <c r="D97" s="495"/>
      <c r="E97" s="395"/>
      <c r="F97" s="395"/>
      <c r="G97" s="395"/>
      <c r="H97" s="395"/>
      <c r="I97" s="395"/>
      <c r="J97" s="395"/>
      <c r="K97" s="395"/>
      <c r="L97" s="395"/>
      <c r="M97" s="395"/>
      <c r="N97" s="395"/>
      <c r="O97" s="395"/>
      <c r="P97" s="395"/>
      <c r="Q97" s="395"/>
      <c r="R97" s="395"/>
      <c r="S97" s="395"/>
      <c r="T97" s="497"/>
      <c r="U97" s="395"/>
      <c r="V97" s="395"/>
      <c r="W97" s="395"/>
      <c r="X97" s="488"/>
      <c r="Y97" s="375"/>
      <c r="Z97" s="375"/>
      <c r="AA97" s="375"/>
      <c r="AB97" s="375"/>
      <c r="AC97" s="375"/>
    </row>
    <row r="98" spans="1:29" ht="13.2">
      <c r="A98" s="461"/>
      <c r="B98" s="395"/>
      <c r="C98" s="395"/>
      <c r="D98" s="495"/>
      <c r="E98" s="395"/>
      <c r="F98" s="395"/>
      <c r="G98" s="395"/>
      <c r="H98" s="395"/>
      <c r="I98" s="395"/>
      <c r="J98" s="395"/>
      <c r="K98" s="395"/>
      <c r="L98" s="395"/>
      <c r="M98" s="395"/>
      <c r="N98" s="395"/>
      <c r="O98" s="395"/>
      <c r="P98" s="395"/>
      <c r="Q98" s="395"/>
      <c r="R98" s="395"/>
      <c r="S98" s="395"/>
      <c r="T98" s="497"/>
      <c r="U98" s="395"/>
      <c r="V98" s="395"/>
      <c r="W98" s="395"/>
      <c r="X98" s="488"/>
      <c r="Y98" s="375"/>
      <c r="Z98" s="375"/>
      <c r="AA98" s="375"/>
      <c r="AB98" s="375"/>
      <c r="AC98" s="375"/>
    </row>
    <row r="99" spans="1:29" ht="13.2">
      <c r="A99" s="461"/>
      <c r="B99" s="395"/>
      <c r="C99" s="395"/>
      <c r="D99" s="495"/>
      <c r="E99" s="395"/>
      <c r="F99" s="395"/>
      <c r="G99" s="395"/>
      <c r="H99" s="395"/>
      <c r="I99" s="395"/>
      <c r="J99" s="395"/>
      <c r="K99" s="395"/>
      <c r="L99" s="395"/>
      <c r="M99" s="395"/>
      <c r="N99" s="395"/>
      <c r="O99" s="395"/>
      <c r="P99" s="395"/>
      <c r="Q99" s="395"/>
      <c r="R99" s="395"/>
      <c r="S99" s="395"/>
      <c r="T99" s="497"/>
      <c r="U99" s="395"/>
      <c r="V99" s="395"/>
      <c r="W99" s="395"/>
      <c r="X99" s="488"/>
      <c r="Y99" s="375"/>
      <c r="Z99" s="375"/>
      <c r="AA99" s="375"/>
      <c r="AB99" s="375"/>
      <c r="AC99" s="375"/>
    </row>
    <row r="100" spans="1:29" ht="13.2">
      <c r="A100" s="461"/>
      <c r="B100" s="395"/>
      <c r="C100" s="395"/>
      <c r="D100" s="495"/>
      <c r="E100" s="395"/>
      <c r="F100" s="395"/>
      <c r="G100" s="395"/>
      <c r="H100" s="395"/>
      <c r="I100" s="395"/>
      <c r="J100" s="395"/>
      <c r="K100" s="395"/>
      <c r="L100" s="395"/>
      <c r="M100" s="395"/>
      <c r="N100" s="395"/>
      <c r="O100" s="395"/>
      <c r="P100" s="395"/>
      <c r="Q100" s="395"/>
      <c r="R100" s="395"/>
      <c r="S100" s="395"/>
      <c r="T100" s="497"/>
      <c r="U100" s="395"/>
      <c r="V100" s="395"/>
      <c r="W100" s="395"/>
      <c r="X100" s="488"/>
      <c r="Y100" s="375"/>
      <c r="Z100" s="375"/>
      <c r="AA100" s="375"/>
      <c r="AB100" s="375"/>
      <c r="AC100" s="375"/>
    </row>
    <row r="101" spans="1:29" ht="13.2">
      <c r="A101" s="461"/>
      <c r="B101" s="395"/>
      <c r="C101" s="395"/>
      <c r="D101" s="495"/>
      <c r="E101" s="395"/>
      <c r="F101" s="395"/>
      <c r="G101" s="395"/>
      <c r="H101" s="395"/>
      <c r="I101" s="395"/>
      <c r="J101" s="395"/>
      <c r="K101" s="395"/>
      <c r="L101" s="395"/>
      <c r="M101" s="395"/>
      <c r="N101" s="395"/>
      <c r="O101" s="395"/>
      <c r="P101" s="395"/>
      <c r="Q101" s="395"/>
      <c r="R101" s="395"/>
      <c r="S101" s="395"/>
      <c r="T101" s="497"/>
      <c r="U101" s="395"/>
      <c r="V101" s="395"/>
      <c r="W101" s="395"/>
      <c r="X101" s="488"/>
      <c r="Y101" s="375"/>
      <c r="Z101" s="375"/>
      <c r="AA101" s="375"/>
      <c r="AB101" s="375"/>
      <c r="AC101" s="375"/>
    </row>
    <row r="102" spans="1:29" ht="13.2">
      <c r="A102" s="461"/>
      <c r="B102" s="395"/>
      <c r="C102" s="395"/>
      <c r="D102" s="495"/>
      <c r="E102" s="395"/>
      <c r="F102" s="395"/>
      <c r="G102" s="395"/>
      <c r="H102" s="395"/>
      <c r="I102" s="395"/>
      <c r="J102" s="395"/>
      <c r="K102" s="395"/>
      <c r="L102" s="395"/>
      <c r="M102" s="395"/>
      <c r="N102" s="395"/>
      <c r="O102" s="395"/>
      <c r="P102" s="395"/>
      <c r="Q102" s="395"/>
      <c r="R102" s="395"/>
      <c r="S102" s="395"/>
      <c r="T102" s="497"/>
      <c r="U102" s="395"/>
      <c r="V102" s="395"/>
      <c r="W102" s="395"/>
      <c r="X102" s="488"/>
      <c r="Y102" s="375"/>
      <c r="Z102" s="375"/>
      <c r="AA102" s="375"/>
      <c r="AB102" s="375"/>
      <c r="AC102" s="375"/>
    </row>
    <row r="103" spans="1:29" ht="13.2">
      <c r="A103" s="461"/>
      <c r="B103" s="395"/>
      <c r="C103" s="395"/>
      <c r="D103" s="495"/>
      <c r="E103" s="395"/>
      <c r="F103" s="395"/>
      <c r="G103" s="395"/>
      <c r="H103" s="395"/>
      <c r="I103" s="395"/>
      <c r="J103" s="395"/>
      <c r="K103" s="395"/>
      <c r="L103" s="395"/>
      <c r="M103" s="395"/>
      <c r="N103" s="395"/>
      <c r="O103" s="395"/>
      <c r="P103" s="395"/>
      <c r="Q103" s="395"/>
      <c r="R103" s="395"/>
      <c r="S103" s="395"/>
      <c r="T103" s="497"/>
      <c r="U103" s="395"/>
      <c r="V103" s="395"/>
      <c r="W103" s="395"/>
      <c r="X103" s="488"/>
      <c r="Y103" s="375"/>
      <c r="Z103" s="375"/>
      <c r="AA103" s="375"/>
      <c r="AB103" s="375"/>
      <c r="AC103" s="375"/>
    </row>
    <row r="104" spans="1:29" ht="13.2">
      <c r="A104" s="461"/>
      <c r="B104" s="395"/>
      <c r="C104" s="395"/>
      <c r="D104" s="495"/>
      <c r="E104" s="395"/>
      <c r="F104" s="395"/>
      <c r="G104" s="395"/>
      <c r="H104" s="395"/>
      <c r="I104" s="395"/>
      <c r="J104" s="395"/>
      <c r="K104" s="395"/>
      <c r="L104" s="395"/>
      <c r="M104" s="395"/>
      <c r="N104" s="395"/>
      <c r="O104" s="395"/>
      <c r="P104" s="395"/>
      <c r="Q104" s="395"/>
      <c r="R104" s="395"/>
      <c r="S104" s="395"/>
      <c r="T104" s="497"/>
      <c r="U104" s="395"/>
      <c r="V104" s="395"/>
      <c r="W104" s="395"/>
      <c r="X104" s="488"/>
      <c r="Y104" s="375"/>
      <c r="Z104" s="375"/>
      <c r="AA104" s="375"/>
      <c r="AB104" s="375"/>
      <c r="AC104" s="375"/>
    </row>
    <row r="105" spans="1:29" ht="13.2">
      <c r="A105" s="461"/>
      <c r="B105" s="395"/>
      <c r="C105" s="395"/>
      <c r="D105" s="495"/>
      <c r="E105" s="395"/>
      <c r="F105" s="395"/>
      <c r="G105" s="395"/>
      <c r="H105" s="395"/>
      <c r="I105" s="395"/>
      <c r="J105" s="395"/>
      <c r="K105" s="395"/>
      <c r="L105" s="395"/>
      <c r="M105" s="395"/>
      <c r="N105" s="395"/>
      <c r="O105" s="395"/>
      <c r="P105" s="395"/>
      <c r="Q105" s="395"/>
      <c r="R105" s="395"/>
      <c r="S105" s="395"/>
      <c r="T105" s="497"/>
      <c r="U105" s="395"/>
      <c r="V105" s="395"/>
      <c r="W105" s="395"/>
      <c r="X105" s="488"/>
      <c r="Y105" s="375"/>
      <c r="Z105" s="375"/>
      <c r="AA105" s="375"/>
      <c r="AB105" s="375"/>
      <c r="AC105" s="375"/>
    </row>
    <row r="106" spans="1:29" ht="13.2">
      <c r="A106" s="461"/>
      <c r="B106" s="395"/>
      <c r="C106" s="395"/>
      <c r="D106" s="495"/>
      <c r="E106" s="395"/>
      <c r="F106" s="395"/>
      <c r="G106" s="395"/>
      <c r="H106" s="395"/>
      <c r="I106" s="395"/>
      <c r="J106" s="395"/>
      <c r="K106" s="395"/>
      <c r="L106" s="395"/>
      <c r="M106" s="395"/>
      <c r="N106" s="395"/>
      <c r="O106" s="395"/>
      <c r="P106" s="395"/>
      <c r="Q106" s="395"/>
      <c r="R106" s="395"/>
      <c r="S106" s="395"/>
      <c r="T106" s="497"/>
      <c r="U106" s="395"/>
      <c r="V106" s="395"/>
      <c r="W106" s="395"/>
      <c r="X106" s="488"/>
      <c r="Y106" s="375"/>
      <c r="Z106" s="375"/>
      <c r="AA106" s="375"/>
      <c r="AB106" s="375"/>
      <c r="AC106" s="375"/>
    </row>
    <row r="107" spans="1:29" ht="13.2">
      <c r="A107" s="461"/>
      <c r="B107" s="395"/>
      <c r="C107" s="395"/>
      <c r="D107" s="495"/>
      <c r="E107" s="395"/>
      <c r="F107" s="395"/>
      <c r="G107" s="395"/>
      <c r="H107" s="395"/>
      <c r="I107" s="395"/>
      <c r="J107" s="395"/>
      <c r="K107" s="395"/>
      <c r="L107" s="395"/>
      <c r="M107" s="395"/>
      <c r="N107" s="395"/>
      <c r="O107" s="395"/>
      <c r="P107" s="395"/>
      <c r="Q107" s="395"/>
      <c r="R107" s="395"/>
      <c r="S107" s="395"/>
      <c r="T107" s="497"/>
      <c r="U107" s="395"/>
      <c r="V107" s="395"/>
      <c r="W107" s="395"/>
      <c r="X107" s="488"/>
      <c r="Y107" s="375"/>
      <c r="Z107" s="375"/>
      <c r="AA107" s="375"/>
      <c r="AB107" s="375"/>
      <c r="AC107" s="375"/>
    </row>
    <row r="108" spans="1:29" ht="13.2">
      <c r="A108" s="461"/>
      <c r="B108" s="395"/>
      <c r="C108" s="395"/>
      <c r="D108" s="495"/>
      <c r="E108" s="395"/>
      <c r="F108" s="395"/>
      <c r="G108" s="395"/>
      <c r="H108" s="395"/>
      <c r="I108" s="395"/>
      <c r="J108" s="395"/>
      <c r="K108" s="395"/>
      <c r="L108" s="395"/>
      <c r="M108" s="395"/>
      <c r="N108" s="395"/>
      <c r="O108" s="395"/>
      <c r="P108" s="395"/>
      <c r="Q108" s="395"/>
      <c r="R108" s="395"/>
      <c r="S108" s="395"/>
      <c r="T108" s="497"/>
      <c r="U108" s="395"/>
      <c r="V108" s="395"/>
      <c r="W108" s="395"/>
      <c r="X108" s="488"/>
      <c r="Y108" s="375"/>
      <c r="Z108" s="375"/>
      <c r="AA108" s="375"/>
      <c r="AB108" s="375"/>
      <c r="AC108" s="375"/>
    </row>
    <row r="109" spans="1:29" ht="13.2">
      <c r="A109" s="461"/>
      <c r="B109" s="395"/>
      <c r="C109" s="395"/>
      <c r="D109" s="495"/>
      <c r="E109" s="395"/>
      <c r="F109" s="395"/>
      <c r="G109" s="395"/>
      <c r="H109" s="395"/>
      <c r="I109" s="395"/>
      <c r="J109" s="395"/>
      <c r="K109" s="395"/>
      <c r="L109" s="395"/>
      <c r="M109" s="395"/>
      <c r="N109" s="395"/>
      <c r="O109" s="395"/>
      <c r="P109" s="395"/>
      <c r="Q109" s="395"/>
      <c r="R109" s="395"/>
      <c r="S109" s="395"/>
      <c r="T109" s="497"/>
      <c r="U109" s="395"/>
      <c r="V109" s="395"/>
      <c r="W109" s="395"/>
      <c r="X109" s="488"/>
      <c r="Y109" s="375"/>
      <c r="Z109" s="375"/>
      <c r="AA109" s="375"/>
      <c r="AB109" s="375"/>
      <c r="AC109" s="375"/>
    </row>
    <row r="110" spans="1:29" ht="13.2">
      <c r="A110" s="461"/>
      <c r="B110" s="395"/>
      <c r="C110" s="395"/>
      <c r="D110" s="495"/>
      <c r="E110" s="395"/>
      <c r="F110" s="395"/>
      <c r="G110" s="395"/>
      <c r="H110" s="395"/>
      <c r="I110" s="395"/>
      <c r="J110" s="395"/>
      <c r="K110" s="395"/>
      <c r="L110" s="395"/>
      <c r="M110" s="395"/>
      <c r="N110" s="395"/>
      <c r="O110" s="395"/>
      <c r="P110" s="395"/>
      <c r="Q110" s="395"/>
      <c r="R110" s="395"/>
      <c r="S110" s="395"/>
      <c r="T110" s="497"/>
      <c r="U110" s="395"/>
      <c r="V110" s="395"/>
      <c r="W110" s="395"/>
      <c r="X110" s="488"/>
      <c r="Y110" s="375"/>
      <c r="Z110" s="375"/>
      <c r="AA110" s="375"/>
      <c r="AB110" s="375"/>
      <c r="AC110" s="375"/>
    </row>
    <row r="111" spans="1:29" ht="13.2" hidden="1">
      <c r="A111" s="461"/>
      <c r="B111" s="395"/>
      <c r="C111" s="395"/>
      <c r="D111" s="495"/>
      <c r="E111" s="395">
        <f t="shared" ref="E111:E113" ca="1" si="1">E58</f>
        <v>831</v>
      </c>
      <c r="F111" s="395"/>
      <c r="G111" s="395"/>
      <c r="H111" s="395"/>
      <c r="I111" s="395"/>
      <c r="J111" s="395"/>
      <c r="K111" s="395"/>
      <c r="L111" s="395"/>
      <c r="M111" s="395"/>
      <c r="N111" s="395"/>
      <c r="O111" s="395"/>
      <c r="P111" s="395"/>
      <c r="Q111" s="395"/>
      <c r="R111" s="395"/>
      <c r="S111" s="395"/>
      <c r="T111" s="497"/>
      <c r="U111" s="395"/>
      <c r="V111" s="395"/>
      <c r="W111" s="395"/>
      <c r="X111" s="488"/>
      <c r="Y111" s="375"/>
      <c r="Z111" s="375"/>
      <c r="AA111" s="375"/>
      <c r="AB111" s="375"/>
      <c r="AC111" s="375"/>
    </row>
    <row r="112" spans="1:29" ht="13.2" hidden="1">
      <c r="A112" s="461"/>
      <c r="B112" s="395"/>
      <c r="C112" s="395"/>
      <c r="D112" s="495"/>
      <c r="E112" s="395">
        <f t="shared" ca="1" si="1"/>
        <v>676</v>
      </c>
      <c r="F112" s="395"/>
      <c r="G112" s="395"/>
      <c r="H112" s="395"/>
      <c r="I112" s="395"/>
      <c r="J112" s="395"/>
      <c r="K112" s="395"/>
      <c r="L112" s="395"/>
      <c r="M112" s="395"/>
      <c r="N112" s="395"/>
      <c r="O112" s="395"/>
      <c r="P112" s="395"/>
      <c r="Q112" s="395"/>
      <c r="R112" s="395"/>
      <c r="S112" s="395"/>
      <c r="T112" s="497"/>
      <c r="U112" s="395"/>
      <c r="V112" s="395"/>
      <c r="W112" s="395"/>
      <c r="X112" s="488"/>
      <c r="Y112" s="375"/>
      <c r="Z112" s="375"/>
      <c r="AA112" s="375"/>
      <c r="AB112" s="375"/>
      <c r="AC112" s="375"/>
    </row>
    <row r="113" spans="1:29" ht="13.2" hidden="1">
      <c r="A113" s="461"/>
      <c r="B113" s="395"/>
      <c r="C113" s="395"/>
      <c r="D113" s="495"/>
      <c r="E113" s="395">
        <f t="shared" ca="1" si="1"/>
        <v>350</v>
      </c>
      <c r="F113" s="395"/>
      <c r="G113" s="395"/>
      <c r="H113" s="395"/>
      <c r="I113" s="395"/>
      <c r="J113" s="395"/>
      <c r="K113" s="395"/>
      <c r="L113" s="395"/>
      <c r="M113" s="395"/>
      <c r="N113" s="395"/>
      <c r="O113" s="395"/>
      <c r="P113" s="395"/>
      <c r="Q113" s="395"/>
      <c r="R113" s="395"/>
      <c r="S113" s="395"/>
      <c r="T113" s="497"/>
      <c r="U113" s="395"/>
      <c r="V113" s="395"/>
      <c r="W113" s="395"/>
      <c r="X113" s="488"/>
      <c r="Y113" s="375"/>
      <c r="Z113" s="375"/>
      <c r="AA113" s="375"/>
      <c r="AB113" s="375"/>
      <c r="AC113" s="375"/>
    </row>
    <row r="114" spans="1:29" ht="13.2" hidden="1">
      <c r="A114" s="461"/>
      <c r="B114" s="395"/>
      <c r="C114" s="395"/>
      <c r="D114" s="495"/>
      <c r="E114" s="512">
        <f t="shared" ref="E114:E116" ca="1" si="2">K58</f>
        <v>405</v>
      </c>
      <c r="F114" s="395"/>
      <c r="G114" s="395"/>
      <c r="H114" s="395"/>
      <c r="I114" s="395"/>
      <c r="J114" s="395"/>
      <c r="K114" s="395"/>
      <c r="L114" s="395"/>
      <c r="M114" s="395"/>
      <c r="N114" s="395"/>
      <c r="O114" s="395"/>
      <c r="P114" s="395"/>
      <c r="Q114" s="395"/>
      <c r="R114" s="395"/>
      <c r="S114" s="395"/>
      <c r="T114" s="497"/>
      <c r="U114" s="395"/>
      <c r="V114" s="395"/>
      <c r="W114" s="395"/>
      <c r="X114" s="488"/>
      <c r="Y114" s="375"/>
      <c r="Z114" s="375"/>
      <c r="AA114" s="375"/>
      <c r="AB114" s="375"/>
      <c r="AC114" s="375"/>
    </row>
    <row r="115" spans="1:29" ht="13.2" hidden="1">
      <c r="A115" s="461"/>
      <c r="B115" s="395"/>
      <c r="C115" s="395"/>
      <c r="D115" s="495"/>
      <c r="E115" s="512">
        <f t="shared" ca="1" si="2"/>
        <v>127</v>
      </c>
      <c r="F115" s="395"/>
      <c r="G115" s="395"/>
      <c r="H115" s="395"/>
      <c r="I115" s="395"/>
      <c r="J115" s="395"/>
      <c r="K115" s="395"/>
      <c r="L115" s="395"/>
      <c r="M115" s="395"/>
      <c r="N115" s="395"/>
      <c r="O115" s="395"/>
      <c r="P115" s="395"/>
      <c r="Q115" s="395"/>
      <c r="R115" s="395"/>
      <c r="S115" s="395"/>
      <c r="T115" s="497"/>
      <c r="U115" s="395"/>
      <c r="V115" s="395"/>
      <c r="W115" s="395"/>
      <c r="X115" s="488"/>
      <c r="Y115" s="375"/>
      <c r="Z115" s="375"/>
      <c r="AA115" s="375"/>
      <c r="AB115" s="375"/>
      <c r="AC115" s="375"/>
    </row>
    <row r="116" spans="1:29" ht="13.2" hidden="1">
      <c r="A116" s="461"/>
      <c r="B116" s="395"/>
      <c r="C116" s="395"/>
      <c r="D116" s="495"/>
      <c r="E116" s="512">
        <f t="shared" ca="1" si="2"/>
        <v>56</v>
      </c>
      <c r="F116" s="395"/>
      <c r="G116" s="395"/>
      <c r="H116" s="395"/>
      <c r="I116" s="395"/>
      <c r="J116" s="395"/>
      <c r="K116" s="395"/>
      <c r="L116" s="395"/>
      <c r="M116" s="395"/>
      <c r="N116" s="395"/>
      <c r="O116" s="395"/>
      <c r="P116" s="395"/>
      <c r="Q116" s="395"/>
      <c r="R116" s="395"/>
      <c r="S116" s="395"/>
      <c r="T116" s="497"/>
      <c r="U116" s="395"/>
      <c r="V116" s="395"/>
      <c r="W116" s="395"/>
      <c r="X116" s="488"/>
      <c r="Y116" s="375"/>
      <c r="Z116" s="375"/>
      <c r="AA116" s="375"/>
      <c r="AB116" s="375"/>
      <c r="AC116" s="375"/>
    </row>
    <row r="117" spans="1:29" ht="13.2" hidden="1">
      <c r="A117" s="461"/>
      <c r="B117" s="395"/>
      <c r="C117" s="395"/>
      <c r="D117" s="495"/>
      <c r="E117" s="512">
        <f t="shared" ref="E117:E119" ca="1" si="3">Q58</f>
        <v>585</v>
      </c>
      <c r="F117" s="395"/>
      <c r="G117" s="395"/>
      <c r="H117" s="395"/>
      <c r="I117" s="395"/>
      <c r="J117" s="395"/>
      <c r="K117" s="395"/>
      <c r="L117" s="395"/>
      <c r="M117" s="395"/>
      <c r="N117" s="395"/>
      <c r="O117" s="395"/>
      <c r="P117" s="395"/>
      <c r="Q117" s="395"/>
      <c r="R117" s="395"/>
      <c r="S117" s="395"/>
      <c r="T117" s="497"/>
      <c r="U117" s="395"/>
      <c r="V117" s="395"/>
      <c r="W117" s="395"/>
      <c r="X117" s="488"/>
      <c r="Y117" s="375"/>
      <c r="Z117" s="375"/>
      <c r="AA117" s="375"/>
      <c r="AB117" s="375"/>
      <c r="AC117" s="375"/>
    </row>
    <row r="118" spans="1:29" ht="13.2" hidden="1">
      <c r="A118" s="461"/>
      <c r="B118" s="395"/>
      <c r="C118" s="395"/>
      <c r="D118" s="495"/>
      <c r="E118" s="512">
        <f t="shared" ca="1" si="3"/>
        <v>348</v>
      </c>
      <c r="F118" s="395"/>
      <c r="G118" s="395"/>
      <c r="H118" s="395"/>
      <c r="I118" s="395"/>
      <c r="J118" s="395"/>
      <c r="K118" s="395"/>
      <c r="L118" s="395"/>
      <c r="M118" s="395"/>
      <c r="N118" s="395"/>
      <c r="O118" s="395"/>
      <c r="P118" s="395"/>
      <c r="Q118" s="395"/>
      <c r="R118" s="395"/>
      <c r="S118" s="395"/>
      <c r="T118" s="497"/>
      <c r="U118" s="395"/>
      <c r="V118" s="395"/>
      <c r="W118" s="395"/>
      <c r="X118" s="488"/>
      <c r="Y118" s="375"/>
      <c r="Z118" s="375"/>
      <c r="AA118" s="375"/>
      <c r="AB118" s="375"/>
      <c r="AC118" s="375"/>
    </row>
    <row r="119" spans="1:29" ht="13.2" hidden="1">
      <c r="A119" s="461"/>
      <c r="B119" s="395"/>
      <c r="C119" s="395"/>
      <c r="D119" s="495"/>
      <c r="E119" s="512">
        <f t="shared" ca="1" si="3"/>
        <v>312</v>
      </c>
      <c r="F119" s="395"/>
      <c r="G119" s="395"/>
      <c r="H119" s="395"/>
      <c r="I119" s="395"/>
      <c r="J119" s="395"/>
      <c r="K119" s="395"/>
      <c r="L119" s="395"/>
      <c r="M119" s="395"/>
      <c r="N119" s="395"/>
      <c r="O119" s="395"/>
      <c r="P119" s="395"/>
      <c r="Q119" s="395"/>
      <c r="R119" s="395"/>
      <c r="S119" s="395"/>
      <c r="T119" s="497"/>
      <c r="U119" s="395"/>
      <c r="V119" s="395"/>
      <c r="W119" s="395"/>
      <c r="X119" s="488"/>
      <c r="Y119" s="375"/>
      <c r="Z119" s="375"/>
      <c r="AA119" s="375"/>
      <c r="AB119" s="375"/>
      <c r="AC119" s="375"/>
    </row>
    <row r="120" spans="1:29" ht="13.2" hidden="1">
      <c r="A120" s="461"/>
      <c r="B120" s="395"/>
      <c r="C120" s="395"/>
      <c r="D120" s="495"/>
      <c r="E120" s="513">
        <f t="shared" ref="E120:E122" ca="1" si="4">W58</f>
        <v>1211</v>
      </c>
      <c r="F120" s="395"/>
      <c r="G120" s="395"/>
      <c r="H120" s="395"/>
      <c r="I120" s="395"/>
      <c r="J120" s="395"/>
      <c r="K120" s="395"/>
      <c r="L120" s="395"/>
      <c r="M120" s="395"/>
      <c r="N120" s="395"/>
      <c r="O120" s="395"/>
      <c r="P120" s="395"/>
      <c r="Q120" s="395"/>
      <c r="R120" s="395"/>
      <c r="S120" s="395"/>
      <c r="T120" s="497"/>
      <c r="U120" s="395"/>
      <c r="V120" s="395"/>
      <c r="W120" s="395"/>
      <c r="X120" s="488"/>
      <c r="Y120" s="375"/>
      <c r="Z120" s="375"/>
      <c r="AA120" s="375"/>
      <c r="AB120" s="375"/>
      <c r="AC120" s="375"/>
    </row>
    <row r="121" spans="1:29" ht="13.2" hidden="1">
      <c r="A121" s="461"/>
      <c r="B121" s="395"/>
      <c r="C121" s="395"/>
      <c r="D121" s="495"/>
      <c r="E121" s="513">
        <f t="shared" ca="1" si="4"/>
        <v>604</v>
      </c>
      <c r="F121" s="395"/>
      <c r="G121" s="395"/>
      <c r="H121" s="395"/>
      <c r="I121" s="395"/>
      <c r="J121" s="395"/>
      <c r="K121" s="395"/>
      <c r="L121" s="395"/>
      <c r="M121" s="395"/>
      <c r="N121" s="395"/>
      <c r="O121" s="395"/>
      <c r="P121" s="395"/>
      <c r="Q121" s="395"/>
      <c r="R121" s="395"/>
      <c r="S121" s="395"/>
      <c r="T121" s="497"/>
      <c r="U121" s="395"/>
      <c r="V121" s="395"/>
      <c r="W121" s="395"/>
      <c r="X121" s="488"/>
      <c r="Y121" s="375"/>
      <c r="Z121" s="375"/>
      <c r="AA121" s="375"/>
      <c r="AB121" s="375"/>
      <c r="AC121" s="375"/>
    </row>
    <row r="122" spans="1:29" ht="13.2" hidden="1">
      <c r="A122" s="461"/>
      <c r="B122" s="395"/>
      <c r="C122" s="395"/>
      <c r="D122" s="495"/>
      <c r="E122" s="513">
        <f t="shared" ca="1" si="4"/>
        <v>444</v>
      </c>
      <c r="F122" s="395"/>
      <c r="G122" s="395"/>
      <c r="H122" s="395"/>
      <c r="I122" s="395"/>
      <c r="J122" s="395"/>
      <c r="K122" s="395"/>
      <c r="L122" s="395"/>
      <c r="M122" s="395"/>
      <c r="N122" s="395"/>
      <c r="O122" s="395"/>
      <c r="P122" s="395"/>
      <c r="Q122" s="395"/>
      <c r="R122" s="395"/>
      <c r="S122" s="395"/>
      <c r="T122" s="497"/>
      <c r="U122" s="395"/>
      <c r="V122" s="395"/>
      <c r="W122" s="395"/>
      <c r="X122" s="488"/>
      <c r="Y122" s="375"/>
      <c r="Z122" s="375"/>
      <c r="AA122" s="375"/>
      <c r="AB122" s="375"/>
      <c r="AC122" s="375"/>
    </row>
    <row r="123" spans="1:29" ht="13.2" hidden="1">
      <c r="A123" s="461"/>
      <c r="B123" s="395"/>
      <c r="C123" s="395"/>
      <c r="D123" s="495"/>
      <c r="E123" s="395">
        <f t="shared" ref="E123:E125" ca="1" si="5">E64</f>
        <v>245</v>
      </c>
      <c r="F123" s="395"/>
      <c r="G123" s="395"/>
      <c r="H123" s="395"/>
      <c r="I123" s="395"/>
      <c r="J123" s="395"/>
      <c r="K123" s="395"/>
      <c r="L123" s="395"/>
      <c r="M123" s="395"/>
      <c r="N123" s="395"/>
      <c r="O123" s="395"/>
      <c r="P123" s="395"/>
      <c r="Q123" s="395"/>
      <c r="R123" s="395"/>
      <c r="S123" s="395"/>
      <c r="T123" s="497"/>
      <c r="U123" s="395"/>
      <c r="V123" s="395"/>
      <c r="W123" s="395"/>
      <c r="X123" s="488"/>
      <c r="Y123" s="375"/>
      <c r="Z123" s="375"/>
      <c r="AA123" s="375"/>
      <c r="AB123" s="375"/>
      <c r="AC123" s="375"/>
    </row>
    <row r="124" spans="1:29" ht="13.2" hidden="1">
      <c r="A124" s="461"/>
      <c r="B124" s="395"/>
      <c r="C124" s="395"/>
      <c r="D124" s="495"/>
      <c r="E124" s="395">
        <f t="shared" ca="1" si="5"/>
        <v>157</v>
      </c>
      <c r="F124" s="395"/>
      <c r="G124" s="395"/>
      <c r="H124" s="395"/>
      <c r="I124" s="395"/>
      <c r="J124" s="395"/>
      <c r="K124" s="395"/>
      <c r="L124" s="395"/>
      <c r="M124" s="395"/>
      <c r="N124" s="395"/>
      <c r="O124" s="395"/>
      <c r="P124" s="395"/>
      <c r="Q124" s="395"/>
      <c r="R124" s="395"/>
      <c r="S124" s="395"/>
      <c r="T124" s="497"/>
      <c r="U124" s="395"/>
      <c r="V124" s="395"/>
      <c r="W124" s="395"/>
      <c r="X124" s="488"/>
      <c r="Y124" s="375"/>
      <c r="Z124" s="375"/>
      <c r="AA124" s="375"/>
      <c r="AB124" s="375"/>
      <c r="AC124" s="375"/>
    </row>
    <row r="125" spans="1:29" ht="13.2" hidden="1">
      <c r="A125" s="461"/>
      <c r="B125" s="395"/>
      <c r="C125" s="395"/>
      <c r="D125" s="495"/>
      <c r="E125" s="395">
        <f t="shared" ca="1" si="5"/>
        <v>139</v>
      </c>
      <c r="F125" s="395"/>
      <c r="G125" s="395"/>
      <c r="H125" s="395"/>
      <c r="I125" s="395"/>
      <c r="J125" s="395"/>
      <c r="K125" s="395"/>
      <c r="L125" s="395"/>
      <c r="M125" s="395"/>
      <c r="N125" s="395"/>
      <c r="O125" s="395"/>
      <c r="P125" s="395"/>
      <c r="Q125" s="395"/>
      <c r="R125" s="395"/>
      <c r="S125" s="395"/>
      <c r="T125" s="497"/>
      <c r="U125" s="395"/>
      <c r="V125" s="395"/>
      <c r="W125" s="395"/>
      <c r="X125" s="488"/>
      <c r="Y125" s="375"/>
      <c r="Z125" s="375"/>
      <c r="AA125" s="375"/>
      <c r="AB125" s="375"/>
      <c r="AC125" s="375"/>
    </row>
    <row r="126" spans="1:29" ht="13.2" hidden="1">
      <c r="A126" s="461"/>
      <c r="B126" s="395"/>
      <c r="C126" s="395"/>
      <c r="D126" s="495"/>
      <c r="E126" s="395">
        <f ca="1">SUM(LARGE(E111:E125, 1),LARGE(E111:E125,2),LARGE(E111:E125,3),LARGE(E111:E125,4),LARGE(E111:E125,5),LARGE(E111:E125, 6),LARGE(E111:E125,7),LARGE(E111:E125,8),LARGE(E111:E125,9),LARGE(E111:E125,10),LARGE(E111:E125,11),LARGE(E111:E125,12))</f>
        <v>6168</v>
      </c>
      <c r="F126" s="395"/>
      <c r="G126" s="395"/>
      <c r="H126" s="395"/>
      <c r="I126" s="395"/>
      <c r="J126" s="395"/>
      <c r="K126" s="395"/>
      <c r="L126" s="395"/>
      <c r="M126" s="395"/>
      <c r="N126" s="395"/>
      <c r="O126" s="395"/>
      <c r="P126" s="395"/>
      <c r="Q126" s="395"/>
      <c r="R126" s="395"/>
      <c r="S126" s="395"/>
      <c r="T126" s="497"/>
      <c r="U126" s="395"/>
      <c r="V126" s="395"/>
      <c r="W126" s="395"/>
      <c r="X126" s="488"/>
      <c r="Y126" s="375"/>
      <c r="Z126" s="375"/>
      <c r="AA126" s="375"/>
      <c r="AB126" s="375"/>
      <c r="AC126" s="375"/>
    </row>
    <row r="127" spans="1:29" ht="13.2">
      <c r="A127" s="461"/>
      <c r="B127" s="395"/>
      <c r="C127" s="395"/>
      <c r="D127" s="495"/>
      <c r="E127" s="395"/>
      <c r="F127" s="395"/>
      <c r="G127" s="395"/>
      <c r="H127" s="395"/>
      <c r="I127" s="395"/>
      <c r="J127" s="395"/>
      <c r="K127" s="395"/>
      <c r="L127" s="395"/>
      <c r="M127" s="395"/>
      <c r="N127" s="395"/>
      <c r="O127" s="395"/>
      <c r="P127" s="395"/>
      <c r="Q127" s="395"/>
      <c r="R127" s="395"/>
      <c r="S127" s="395"/>
      <c r="T127" s="497"/>
      <c r="U127" s="395"/>
      <c r="V127" s="395"/>
      <c r="W127" s="395"/>
      <c r="X127" s="488"/>
      <c r="Y127" s="375"/>
      <c r="Z127" s="375"/>
      <c r="AA127" s="375"/>
      <c r="AB127" s="375"/>
      <c r="AC127" s="375"/>
    </row>
    <row r="128" spans="1:29" ht="13.2">
      <c r="A128" s="461"/>
      <c r="B128" s="395"/>
      <c r="C128" s="395"/>
      <c r="D128" s="495"/>
      <c r="E128" s="395"/>
      <c r="F128" s="395"/>
      <c r="G128" s="395"/>
      <c r="H128" s="395"/>
      <c r="I128" s="395"/>
      <c r="J128" s="395"/>
      <c r="K128" s="395"/>
      <c r="L128" s="395"/>
      <c r="M128" s="395"/>
      <c r="N128" s="395"/>
      <c r="O128" s="395"/>
      <c r="P128" s="395"/>
      <c r="Q128" s="395"/>
      <c r="R128" s="395"/>
      <c r="S128" s="395"/>
      <c r="T128" s="497"/>
      <c r="U128" s="395"/>
      <c r="V128" s="395"/>
      <c r="W128" s="395"/>
      <c r="X128" s="488"/>
      <c r="Y128" s="375"/>
      <c r="Z128" s="375"/>
      <c r="AA128" s="375"/>
      <c r="AB128" s="375"/>
      <c r="AC128" s="375"/>
    </row>
    <row r="129" spans="1:29" ht="13.2">
      <c r="A129" s="461"/>
      <c r="B129" s="395"/>
      <c r="C129" s="395"/>
      <c r="D129" s="495"/>
      <c r="E129" s="395"/>
      <c r="F129" s="395"/>
      <c r="G129" s="395"/>
      <c r="H129" s="395"/>
      <c r="I129" s="395"/>
      <c r="J129" s="395"/>
      <c r="K129" s="395"/>
      <c r="L129" s="395"/>
      <c r="M129" s="395"/>
      <c r="N129" s="395"/>
      <c r="O129" s="395"/>
      <c r="P129" s="395"/>
      <c r="Q129" s="395"/>
      <c r="R129" s="395"/>
      <c r="S129" s="395"/>
      <c r="T129" s="497"/>
      <c r="U129" s="395"/>
      <c r="V129" s="395"/>
      <c r="W129" s="395"/>
      <c r="X129" s="488"/>
      <c r="Y129" s="375"/>
      <c r="Z129" s="375"/>
      <c r="AA129" s="375"/>
      <c r="AB129" s="375"/>
      <c r="AC129" s="375"/>
    </row>
    <row r="130" spans="1:29" ht="13.2">
      <c r="A130" s="461"/>
      <c r="B130" s="395"/>
      <c r="C130" s="395"/>
      <c r="D130" s="495"/>
      <c r="E130" s="395"/>
      <c r="F130" s="395"/>
      <c r="G130" s="395"/>
      <c r="H130" s="395"/>
      <c r="I130" s="395"/>
      <c r="J130" s="395"/>
      <c r="K130" s="395"/>
      <c r="L130" s="395"/>
      <c r="M130" s="395"/>
      <c r="N130" s="395"/>
      <c r="O130" s="395"/>
      <c r="P130" s="395"/>
      <c r="Q130" s="395"/>
      <c r="R130" s="395"/>
      <c r="S130" s="395"/>
      <c r="T130" s="497"/>
      <c r="U130" s="395"/>
      <c r="V130" s="395"/>
      <c r="W130" s="395"/>
      <c r="X130" s="488"/>
      <c r="Y130" s="375"/>
      <c r="Z130" s="375"/>
      <c r="AA130" s="375"/>
      <c r="AB130" s="375"/>
      <c r="AC130" s="375"/>
    </row>
    <row r="131" spans="1:29" ht="13.2">
      <c r="A131" s="461"/>
      <c r="B131" s="395"/>
      <c r="C131" s="395"/>
      <c r="D131" s="495"/>
      <c r="E131" s="395"/>
      <c r="F131" s="395"/>
      <c r="G131" s="395"/>
      <c r="H131" s="395"/>
      <c r="I131" s="395"/>
      <c r="J131" s="395"/>
      <c r="K131" s="395"/>
      <c r="L131" s="395"/>
      <c r="M131" s="395"/>
      <c r="N131" s="395"/>
      <c r="O131" s="395"/>
      <c r="P131" s="395"/>
      <c r="Q131" s="395"/>
      <c r="R131" s="395"/>
      <c r="S131" s="395"/>
      <c r="T131" s="497"/>
      <c r="U131" s="395"/>
      <c r="V131" s="395"/>
      <c r="W131" s="395"/>
      <c r="X131" s="488"/>
      <c r="Y131" s="375"/>
      <c r="Z131" s="375"/>
      <c r="AA131" s="375"/>
      <c r="AB131" s="375"/>
      <c r="AC131" s="375"/>
    </row>
    <row r="132" spans="1:29" ht="13.2">
      <c r="A132" s="461"/>
      <c r="B132" s="395"/>
      <c r="C132" s="395"/>
      <c r="D132" s="495"/>
      <c r="E132" s="395"/>
      <c r="F132" s="395"/>
      <c r="G132" s="395"/>
      <c r="H132" s="395"/>
      <c r="I132" s="395"/>
      <c r="J132" s="395"/>
      <c r="K132" s="395"/>
      <c r="L132" s="395"/>
      <c r="M132" s="395"/>
      <c r="N132" s="395"/>
      <c r="O132" s="395"/>
      <c r="P132" s="395"/>
      <c r="Q132" s="395"/>
      <c r="R132" s="395"/>
      <c r="S132" s="395"/>
      <c r="T132" s="497"/>
      <c r="U132" s="395"/>
      <c r="V132" s="395"/>
      <c r="W132" s="395"/>
      <c r="X132" s="488"/>
      <c r="Y132" s="375"/>
      <c r="Z132" s="375"/>
      <c r="AA132" s="375"/>
      <c r="AB132" s="375"/>
      <c r="AC132" s="375"/>
    </row>
    <row r="133" spans="1:29" ht="13.2">
      <c r="A133" s="461"/>
      <c r="B133" s="395"/>
      <c r="C133" s="395"/>
      <c r="D133" s="495"/>
      <c r="E133" s="395"/>
      <c r="F133" s="395"/>
      <c r="G133" s="395"/>
      <c r="H133" s="395"/>
      <c r="I133" s="395"/>
      <c r="J133" s="395"/>
      <c r="K133" s="395"/>
      <c r="L133" s="395"/>
      <c r="M133" s="395"/>
      <c r="N133" s="395"/>
      <c r="O133" s="395"/>
      <c r="P133" s="395"/>
      <c r="Q133" s="395"/>
      <c r="R133" s="395"/>
      <c r="S133" s="395"/>
      <c r="T133" s="497"/>
      <c r="U133" s="395"/>
      <c r="V133" s="395"/>
      <c r="W133" s="395"/>
      <c r="X133" s="488"/>
      <c r="Y133" s="375"/>
      <c r="Z133" s="375"/>
      <c r="AA133" s="375"/>
      <c r="AB133" s="375"/>
      <c r="AC133" s="375"/>
    </row>
    <row r="134" spans="1:29" ht="13.2">
      <c r="A134" s="461"/>
      <c r="B134" s="395"/>
      <c r="C134" s="395"/>
      <c r="D134" s="495"/>
      <c r="E134" s="395"/>
      <c r="F134" s="395"/>
      <c r="G134" s="395"/>
      <c r="H134" s="395"/>
      <c r="I134" s="395"/>
      <c r="J134" s="395"/>
      <c r="K134" s="395"/>
      <c r="L134" s="395"/>
      <c r="M134" s="395"/>
      <c r="N134" s="395"/>
      <c r="O134" s="395"/>
      <c r="P134" s="395"/>
      <c r="Q134" s="395"/>
      <c r="R134" s="395"/>
      <c r="S134" s="395"/>
      <c r="T134" s="497"/>
      <c r="U134" s="395"/>
      <c r="V134" s="395"/>
      <c r="W134" s="395"/>
      <c r="X134" s="488"/>
      <c r="Y134" s="375"/>
      <c r="Z134" s="375"/>
      <c r="AA134" s="375"/>
      <c r="AB134" s="375"/>
      <c r="AC134" s="375"/>
    </row>
    <row r="135" spans="1:29" ht="13.2">
      <c r="A135" s="461"/>
      <c r="B135" s="395"/>
      <c r="C135" s="395"/>
      <c r="D135" s="495"/>
      <c r="E135" s="395"/>
      <c r="F135" s="395"/>
      <c r="G135" s="395"/>
      <c r="H135" s="395"/>
      <c r="I135" s="395"/>
      <c r="J135" s="395"/>
      <c r="K135" s="395"/>
      <c r="L135" s="395"/>
      <c r="M135" s="395"/>
      <c r="N135" s="395"/>
      <c r="O135" s="395"/>
      <c r="P135" s="395"/>
      <c r="Q135" s="395"/>
      <c r="R135" s="395"/>
      <c r="S135" s="395"/>
      <c r="T135" s="497"/>
      <c r="U135" s="395"/>
      <c r="V135" s="395"/>
      <c r="W135" s="395"/>
      <c r="X135" s="488"/>
      <c r="Y135" s="375"/>
      <c r="Z135" s="375"/>
      <c r="AA135" s="375"/>
      <c r="AB135" s="375"/>
      <c r="AC135" s="375"/>
    </row>
    <row r="136" spans="1:29" ht="13.2">
      <c r="A136" s="461"/>
      <c r="B136" s="395"/>
      <c r="C136" s="395"/>
      <c r="D136" s="495"/>
      <c r="E136" s="395"/>
      <c r="F136" s="395"/>
      <c r="G136" s="395"/>
      <c r="H136" s="395"/>
      <c r="I136" s="395"/>
      <c r="J136" s="395"/>
      <c r="K136" s="395"/>
      <c r="L136" s="395"/>
      <c r="M136" s="395"/>
      <c r="N136" s="395"/>
      <c r="O136" s="395"/>
      <c r="P136" s="395"/>
      <c r="Q136" s="395"/>
      <c r="R136" s="395"/>
      <c r="S136" s="395"/>
      <c r="T136" s="497"/>
      <c r="U136" s="395"/>
      <c r="V136" s="395"/>
      <c r="W136" s="395"/>
      <c r="X136" s="488"/>
      <c r="Y136" s="375"/>
      <c r="Z136" s="375"/>
      <c r="AA136" s="375"/>
      <c r="AB136" s="375"/>
      <c r="AC136" s="375"/>
    </row>
    <row r="137" spans="1:29" ht="13.2">
      <c r="A137" s="461"/>
      <c r="B137" s="395"/>
      <c r="C137" s="395"/>
      <c r="D137" s="495"/>
      <c r="E137" s="395"/>
      <c r="F137" s="395"/>
      <c r="G137" s="395"/>
      <c r="H137" s="395"/>
      <c r="I137" s="395"/>
      <c r="J137" s="395"/>
      <c r="K137" s="395"/>
      <c r="L137" s="395"/>
      <c r="M137" s="395"/>
      <c r="N137" s="395"/>
      <c r="O137" s="395"/>
      <c r="P137" s="395"/>
      <c r="Q137" s="395"/>
      <c r="R137" s="395"/>
      <c r="S137" s="395"/>
      <c r="T137" s="497"/>
      <c r="U137" s="395"/>
      <c r="V137" s="395"/>
      <c r="W137" s="395"/>
      <c r="X137" s="488"/>
      <c r="Y137" s="375"/>
      <c r="Z137" s="375"/>
      <c r="AA137" s="375"/>
      <c r="AB137" s="375"/>
      <c r="AC137" s="375"/>
    </row>
    <row r="138" spans="1:29" ht="13.2">
      <c r="A138" s="461"/>
      <c r="B138" s="395"/>
      <c r="C138" s="395"/>
      <c r="D138" s="495"/>
      <c r="E138" s="395"/>
      <c r="F138" s="395"/>
      <c r="G138" s="395"/>
      <c r="H138" s="395"/>
      <c r="I138" s="395"/>
      <c r="J138" s="395"/>
      <c r="K138" s="395"/>
      <c r="L138" s="395"/>
      <c r="M138" s="395"/>
      <c r="N138" s="395"/>
      <c r="O138" s="395"/>
      <c r="P138" s="395"/>
      <c r="Q138" s="395"/>
      <c r="R138" s="395"/>
      <c r="S138" s="395"/>
      <c r="T138" s="497"/>
      <c r="U138" s="395"/>
      <c r="V138" s="395"/>
      <c r="W138" s="395"/>
      <c r="X138" s="488"/>
      <c r="Y138" s="375"/>
      <c r="Z138" s="375"/>
      <c r="AA138" s="375"/>
      <c r="AB138" s="375"/>
      <c r="AC138" s="375"/>
    </row>
    <row r="139" spans="1:29" ht="13.2">
      <c r="A139" s="461"/>
      <c r="B139" s="395"/>
      <c r="C139" s="395"/>
      <c r="D139" s="495"/>
      <c r="E139" s="395"/>
      <c r="F139" s="395"/>
      <c r="G139" s="395"/>
      <c r="H139" s="395"/>
      <c r="I139" s="395"/>
      <c r="J139" s="395"/>
      <c r="K139" s="395"/>
      <c r="L139" s="395"/>
      <c r="M139" s="395"/>
      <c r="N139" s="395"/>
      <c r="O139" s="395"/>
      <c r="P139" s="395"/>
      <c r="Q139" s="395"/>
      <c r="R139" s="395"/>
      <c r="S139" s="395"/>
      <c r="T139" s="497"/>
      <c r="U139" s="395"/>
      <c r="V139" s="395"/>
      <c r="W139" s="395"/>
      <c r="X139" s="488"/>
      <c r="Y139" s="375"/>
      <c r="Z139" s="375"/>
      <c r="AA139" s="375"/>
      <c r="AB139" s="375"/>
      <c r="AC139" s="375"/>
    </row>
    <row r="140" spans="1:29" ht="13.2">
      <c r="A140" s="461"/>
      <c r="B140" s="395"/>
      <c r="C140" s="395"/>
      <c r="D140" s="495"/>
      <c r="E140" s="395"/>
      <c r="F140" s="395"/>
      <c r="G140" s="395"/>
      <c r="H140" s="395"/>
      <c r="I140" s="395"/>
      <c r="J140" s="395"/>
      <c r="K140" s="395"/>
      <c r="L140" s="395"/>
      <c r="M140" s="395"/>
      <c r="N140" s="395"/>
      <c r="O140" s="395"/>
      <c r="P140" s="395"/>
      <c r="Q140" s="395"/>
      <c r="R140" s="395"/>
      <c r="S140" s="395"/>
      <c r="T140" s="497"/>
      <c r="U140" s="395"/>
      <c r="V140" s="395"/>
      <c r="W140" s="395"/>
      <c r="X140" s="488"/>
      <c r="Y140" s="375"/>
      <c r="Z140" s="375"/>
      <c r="AA140" s="375"/>
      <c r="AB140" s="375"/>
      <c r="AC140" s="375"/>
    </row>
    <row r="141" spans="1:29" ht="13.2">
      <c r="A141" s="461"/>
      <c r="B141" s="395"/>
      <c r="C141" s="395"/>
      <c r="D141" s="495"/>
      <c r="E141" s="395"/>
      <c r="F141" s="395"/>
      <c r="G141" s="395"/>
      <c r="H141" s="395"/>
      <c r="I141" s="395"/>
      <c r="J141" s="395"/>
      <c r="K141" s="395"/>
      <c r="L141" s="395"/>
      <c r="M141" s="395"/>
      <c r="N141" s="395"/>
      <c r="O141" s="395"/>
      <c r="P141" s="395"/>
      <c r="Q141" s="395"/>
      <c r="R141" s="395"/>
      <c r="S141" s="395"/>
      <c r="T141" s="497"/>
      <c r="U141" s="395"/>
      <c r="V141" s="395"/>
      <c r="W141" s="395"/>
      <c r="X141" s="488"/>
      <c r="Y141" s="375"/>
      <c r="Z141" s="375"/>
      <c r="AA141" s="375"/>
      <c r="AB141" s="375"/>
      <c r="AC141" s="375"/>
    </row>
    <row r="142" spans="1:29" ht="13.2">
      <c r="A142" s="461"/>
      <c r="B142" s="395"/>
      <c r="C142" s="395"/>
      <c r="D142" s="495"/>
      <c r="E142" s="395"/>
      <c r="F142" s="395"/>
      <c r="G142" s="395"/>
      <c r="H142" s="395"/>
      <c r="I142" s="395"/>
      <c r="J142" s="395"/>
      <c r="K142" s="395"/>
      <c r="L142" s="395"/>
      <c r="M142" s="395"/>
      <c r="N142" s="395"/>
      <c r="O142" s="395"/>
      <c r="P142" s="395"/>
      <c r="Q142" s="395"/>
      <c r="R142" s="395"/>
      <c r="S142" s="395"/>
      <c r="T142" s="497"/>
      <c r="U142" s="395"/>
      <c r="V142" s="395"/>
      <c r="W142" s="395"/>
      <c r="X142" s="488"/>
      <c r="Y142" s="375"/>
      <c r="Z142" s="375"/>
      <c r="AA142" s="375"/>
      <c r="AB142" s="375"/>
      <c r="AC142" s="375"/>
    </row>
    <row r="143" spans="1:29" ht="13.2">
      <c r="A143" s="461"/>
      <c r="B143" s="395"/>
      <c r="C143" s="395"/>
      <c r="D143" s="495"/>
      <c r="E143" s="395"/>
      <c r="F143" s="395"/>
      <c r="G143" s="395"/>
      <c r="H143" s="395"/>
      <c r="I143" s="395"/>
      <c r="J143" s="395"/>
      <c r="K143" s="395"/>
      <c r="L143" s="395"/>
      <c r="M143" s="395"/>
      <c r="N143" s="395"/>
      <c r="O143" s="395"/>
      <c r="P143" s="395"/>
      <c r="Q143" s="395"/>
      <c r="R143" s="395"/>
      <c r="S143" s="395"/>
      <c r="T143" s="497"/>
      <c r="U143" s="395"/>
      <c r="V143" s="395"/>
      <c r="W143" s="395"/>
      <c r="X143" s="488"/>
      <c r="Y143" s="375"/>
      <c r="Z143" s="375"/>
      <c r="AA143" s="375"/>
      <c r="AB143" s="375"/>
      <c r="AC143" s="375"/>
    </row>
    <row r="144" spans="1:29" ht="13.2">
      <c r="A144" s="461"/>
      <c r="B144" s="395"/>
      <c r="C144" s="395"/>
      <c r="D144" s="495"/>
      <c r="E144" s="395"/>
      <c r="F144" s="395"/>
      <c r="G144" s="395"/>
      <c r="H144" s="395"/>
      <c r="I144" s="395"/>
      <c r="J144" s="395"/>
      <c r="K144" s="395"/>
      <c r="L144" s="395"/>
      <c r="M144" s="395"/>
      <c r="N144" s="395"/>
      <c r="O144" s="395"/>
      <c r="P144" s="395"/>
      <c r="Q144" s="395"/>
      <c r="R144" s="395"/>
      <c r="S144" s="395"/>
      <c r="T144" s="497"/>
      <c r="U144" s="395"/>
      <c r="V144" s="395"/>
      <c r="W144" s="395"/>
      <c r="X144" s="488"/>
      <c r="Y144" s="375"/>
      <c r="Z144" s="375"/>
      <c r="AA144" s="375"/>
      <c r="AB144" s="375"/>
      <c r="AC144" s="375"/>
    </row>
    <row r="145" spans="1:29" ht="13.2">
      <c r="A145" s="461"/>
      <c r="B145" s="395"/>
      <c r="C145" s="395"/>
      <c r="D145" s="495"/>
      <c r="E145" s="395"/>
      <c r="F145" s="395"/>
      <c r="G145" s="395"/>
      <c r="H145" s="395"/>
      <c r="I145" s="395"/>
      <c r="J145" s="395"/>
      <c r="K145" s="395"/>
      <c r="L145" s="395"/>
      <c r="M145" s="395"/>
      <c r="N145" s="395"/>
      <c r="O145" s="395"/>
      <c r="P145" s="395"/>
      <c r="Q145" s="395"/>
      <c r="R145" s="395"/>
      <c r="S145" s="395"/>
      <c r="T145" s="497"/>
      <c r="U145" s="395"/>
      <c r="V145" s="395"/>
      <c r="W145" s="395"/>
      <c r="X145" s="488"/>
      <c r="Y145" s="375"/>
      <c r="Z145" s="375"/>
      <c r="AA145" s="375"/>
      <c r="AB145" s="375"/>
      <c r="AC145" s="375"/>
    </row>
    <row r="146" spans="1:29" ht="13.2">
      <c r="A146" s="461"/>
      <c r="B146" s="395"/>
      <c r="C146" s="395"/>
      <c r="D146" s="495"/>
      <c r="E146" s="395"/>
      <c r="F146" s="395"/>
      <c r="G146" s="395"/>
      <c r="H146" s="395"/>
      <c r="I146" s="395"/>
      <c r="J146" s="395"/>
      <c r="K146" s="395"/>
      <c r="L146" s="395"/>
      <c r="M146" s="395"/>
      <c r="N146" s="395"/>
      <c r="O146" s="395"/>
      <c r="P146" s="395"/>
      <c r="Q146" s="395"/>
      <c r="R146" s="395"/>
      <c r="S146" s="395"/>
      <c r="T146" s="497"/>
      <c r="U146" s="395"/>
      <c r="V146" s="395"/>
      <c r="W146" s="395"/>
      <c r="X146" s="488"/>
      <c r="Y146" s="375"/>
      <c r="Z146" s="375"/>
      <c r="AA146" s="375"/>
      <c r="AB146" s="375"/>
      <c r="AC146" s="375"/>
    </row>
    <row r="147" spans="1:29" ht="13.2">
      <c r="A147" s="461"/>
      <c r="B147" s="395"/>
      <c r="C147" s="395"/>
      <c r="D147" s="495"/>
      <c r="E147" s="395"/>
      <c r="F147" s="395"/>
      <c r="G147" s="395"/>
      <c r="H147" s="395"/>
      <c r="I147" s="395"/>
      <c r="J147" s="395"/>
      <c r="K147" s="395"/>
      <c r="L147" s="395"/>
      <c r="M147" s="395"/>
      <c r="N147" s="395"/>
      <c r="O147" s="395"/>
      <c r="P147" s="395"/>
      <c r="Q147" s="395"/>
      <c r="R147" s="395"/>
      <c r="S147" s="395"/>
      <c r="T147" s="497"/>
      <c r="U147" s="395"/>
      <c r="V147" s="395"/>
      <c r="W147" s="395"/>
      <c r="X147" s="488"/>
      <c r="Y147" s="375"/>
      <c r="Z147" s="375"/>
      <c r="AA147" s="375"/>
      <c r="AB147" s="375"/>
      <c r="AC147" s="375"/>
    </row>
    <row r="148" spans="1:29" ht="13.2">
      <c r="A148" s="461"/>
      <c r="B148" s="395"/>
      <c r="C148" s="395"/>
      <c r="D148" s="495"/>
      <c r="E148" s="395"/>
      <c r="F148" s="395"/>
      <c r="G148" s="395"/>
      <c r="H148" s="395"/>
      <c r="I148" s="395"/>
      <c r="J148" s="395"/>
      <c r="K148" s="395"/>
      <c r="L148" s="395"/>
      <c r="M148" s="395"/>
      <c r="N148" s="395"/>
      <c r="O148" s="395"/>
      <c r="P148" s="395"/>
      <c r="Q148" s="395"/>
      <c r="R148" s="395"/>
      <c r="S148" s="395"/>
      <c r="T148" s="497"/>
      <c r="U148" s="395"/>
      <c r="V148" s="395"/>
      <c r="W148" s="395"/>
      <c r="X148" s="488"/>
      <c r="Y148" s="375"/>
      <c r="Z148" s="375"/>
      <c r="AA148" s="375"/>
      <c r="AB148" s="375"/>
      <c r="AC148" s="375"/>
    </row>
    <row r="149" spans="1:29" ht="13.2">
      <c r="A149" s="461"/>
      <c r="B149" s="395"/>
      <c r="C149" s="395"/>
      <c r="D149" s="495"/>
      <c r="E149" s="395"/>
      <c r="F149" s="395"/>
      <c r="G149" s="395"/>
      <c r="H149" s="395"/>
      <c r="I149" s="395"/>
      <c r="J149" s="395"/>
      <c r="K149" s="395"/>
      <c r="L149" s="395"/>
      <c r="M149" s="395"/>
      <c r="N149" s="395"/>
      <c r="O149" s="395"/>
      <c r="P149" s="395"/>
      <c r="Q149" s="395"/>
      <c r="R149" s="395"/>
      <c r="S149" s="395"/>
      <c r="T149" s="497"/>
      <c r="U149" s="395"/>
      <c r="V149" s="395"/>
      <c r="W149" s="395"/>
      <c r="X149" s="488"/>
      <c r="Y149" s="375"/>
      <c r="Z149" s="375"/>
      <c r="AA149" s="375"/>
      <c r="AB149" s="375"/>
      <c r="AC149" s="375"/>
    </row>
    <row r="150" spans="1:29" ht="13.2">
      <c r="A150" s="461"/>
      <c r="B150" s="395"/>
      <c r="C150" s="395"/>
      <c r="D150" s="495"/>
      <c r="E150" s="395"/>
      <c r="F150" s="395"/>
      <c r="G150" s="395"/>
      <c r="H150" s="395"/>
      <c r="I150" s="395"/>
      <c r="J150" s="395"/>
      <c r="K150" s="395"/>
      <c r="L150" s="395"/>
      <c r="M150" s="395"/>
      <c r="N150" s="395"/>
      <c r="O150" s="395"/>
      <c r="P150" s="395"/>
      <c r="Q150" s="395"/>
      <c r="R150" s="395"/>
      <c r="S150" s="395"/>
      <c r="T150" s="497"/>
      <c r="U150" s="395"/>
      <c r="V150" s="395"/>
      <c r="W150" s="395"/>
      <c r="X150" s="488"/>
      <c r="Y150" s="375"/>
      <c r="Z150" s="375"/>
      <c r="AA150" s="375"/>
      <c r="AB150" s="375"/>
      <c r="AC150" s="375"/>
    </row>
    <row r="151" spans="1:29" ht="13.2">
      <c r="A151" s="461"/>
      <c r="B151" s="395"/>
      <c r="C151" s="395"/>
      <c r="D151" s="495"/>
      <c r="E151" s="395"/>
      <c r="F151" s="395"/>
      <c r="G151" s="395"/>
      <c r="H151" s="395"/>
      <c r="I151" s="395"/>
      <c r="J151" s="395"/>
      <c r="K151" s="395"/>
      <c r="L151" s="395"/>
      <c r="M151" s="395"/>
      <c r="N151" s="395"/>
      <c r="O151" s="395"/>
      <c r="P151" s="395"/>
      <c r="Q151" s="395"/>
      <c r="R151" s="395"/>
      <c r="S151" s="395"/>
      <c r="T151" s="497"/>
      <c r="U151" s="395"/>
      <c r="V151" s="395"/>
      <c r="W151" s="395"/>
      <c r="X151" s="488"/>
      <c r="Y151" s="375"/>
      <c r="Z151" s="375"/>
      <c r="AA151" s="375"/>
      <c r="AB151" s="375"/>
      <c r="AC151" s="375"/>
    </row>
    <row r="152" spans="1:29" ht="13.2">
      <c r="A152" s="461"/>
      <c r="B152" s="395"/>
      <c r="C152" s="395"/>
      <c r="D152" s="495"/>
      <c r="E152" s="395"/>
      <c r="F152" s="395"/>
      <c r="G152" s="395"/>
      <c r="H152" s="395"/>
      <c r="I152" s="395"/>
      <c r="J152" s="395"/>
      <c r="K152" s="395"/>
      <c r="L152" s="395"/>
      <c r="M152" s="395"/>
      <c r="N152" s="395"/>
      <c r="O152" s="395"/>
      <c r="P152" s="395"/>
      <c r="Q152" s="395"/>
      <c r="R152" s="395"/>
      <c r="S152" s="395"/>
      <c r="T152" s="497"/>
      <c r="U152" s="395"/>
      <c r="V152" s="395"/>
      <c r="W152" s="395"/>
      <c r="X152" s="488"/>
      <c r="Y152" s="375"/>
      <c r="Z152" s="375"/>
      <c r="AA152" s="375"/>
      <c r="AB152" s="375"/>
      <c r="AC152" s="375"/>
    </row>
    <row r="153" spans="1:29" ht="13.2">
      <c r="A153" s="461"/>
      <c r="B153" s="395"/>
      <c r="C153" s="395"/>
      <c r="D153" s="495"/>
      <c r="E153" s="395"/>
      <c r="F153" s="395"/>
      <c r="G153" s="395"/>
      <c r="H153" s="395"/>
      <c r="I153" s="395"/>
      <c r="J153" s="395"/>
      <c r="K153" s="395"/>
      <c r="L153" s="395"/>
      <c r="M153" s="395"/>
      <c r="N153" s="395"/>
      <c r="O153" s="395"/>
      <c r="P153" s="395"/>
      <c r="Q153" s="395"/>
      <c r="R153" s="395"/>
      <c r="S153" s="395"/>
      <c r="T153" s="497"/>
      <c r="U153" s="395"/>
      <c r="V153" s="395"/>
      <c r="W153" s="395"/>
      <c r="X153" s="488"/>
      <c r="Y153" s="375"/>
      <c r="Z153" s="375"/>
      <c r="AA153" s="375"/>
      <c r="AB153" s="375"/>
      <c r="AC153" s="375"/>
    </row>
    <row r="154" spans="1:29" ht="13.2">
      <c r="A154" s="461"/>
      <c r="B154" s="395"/>
      <c r="C154" s="395"/>
      <c r="D154" s="495"/>
      <c r="E154" s="395"/>
      <c r="F154" s="395"/>
      <c r="G154" s="395"/>
      <c r="H154" s="395"/>
      <c r="I154" s="395"/>
      <c r="J154" s="395"/>
      <c r="K154" s="395"/>
      <c r="L154" s="395"/>
      <c r="M154" s="395"/>
      <c r="N154" s="395"/>
      <c r="O154" s="395"/>
      <c r="P154" s="395"/>
      <c r="Q154" s="395"/>
      <c r="R154" s="395"/>
      <c r="S154" s="395"/>
      <c r="T154" s="497"/>
      <c r="U154" s="395"/>
      <c r="V154" s="395"/>
      <c r="W154" s="395"/>
      <c r="X154" s="488"/>
      <c r="Y154" s="375"/>
      <c r="Z154" s="375"/>
      <c r="AA154" s="375"/>
      <c r="AB154" s="375"/>
      <c r="AC154" s="375"/>
    </row>
    <row r="155" spans="1:29" ht="13.2">
      <c r="A155" s="461"/>
      <c r="B155" s="395"/>
      <c r="C155" s="395"/>
      <c r="D155" s="495"/>
      <c r="E155" s="395"/>
      <c r="F155" s="395"/>
      <c r="G155" s="395"/>
      <c r="H155" s="395"/>
      <c r="I155" s="395"/>
      <c r="J155" s="395"/>
      <c r="K155" s="395"/>
      <c r="L155" s="395"/>
      <c r="M155" s="395"/>
      <c r="N155" s="395"/>
      <c r="O155" s="395"/>
      <c r="P155" s="395"/>
      <c r="Q155" s="395"/>
      <c r="R155" s="395"/>
      <c r="S155" s="395"/>
      <c r="T155" s="497"/>
      <c r="U155" s="395"/>
      <c r="V155" s="395"/>
      <c r="W155" s="395"/>
      <c r="X155" s="488"/>
      <c r="Y155" s="375"/>
      <c r="Z155" s="375"/>
      <c r="AA155" s="375"/>
      <c r="AB155" s="375"/>
      <c r="AC155" s="375"/>
    </row>
    <row r="156" spans="1:29" ht="13.2">
      <c r="A156" s="461"/>
      <c r="B156" s="395"/>
      <c r="C156" s="395"/>
      <c r="D156" s="495"/>
      <c r="E156" s="395"/>
      <c r="F156" s="395"/>
      <c r="G156" s="395"/>
      <c r="H156" s="395"/>
      <c r="I156" s="395"/>
      <c r="J156" s="395"/>
      <c r="K156" s="395"/>
      <c r="L156" s="395"/>
      <c r="M156" s="395"/>
      <c r="N156" s="395"/>
      <c r="O156" s="395"/>
      <c r="P156" s="395"/>
      <c r="Q156" s="395"/>
      <c r="R156" s="395"/>
      <c r="S156" s="395"/>
      <c r="T156" s="497"/>
      <c r="U156" s="395"/>
      <c r="V156" s="395"/>
      <c r="W156" s="395"/>
      <c r="X156" s="488"/>
      <c r="Y156" s="375"/>
      <c r="Z156" s="375"/>
      <c r="AA156" s="375"/>
      <c r="AB156" s="375"/>
      <c r="AC156" s="375"/>
    </row>
    <row r="157" spans="1:29" ht="13.2">
      <c r="A157" s="461"/>
      <c r="B157" s="395"/>
      <c r="C157" s="395"/>
      <c r="D157" s="495"/>
      <c r="E157" s="395"/>
      <c r="F157" s="395"/>
      <c r="G157" s="395"/>
      <c r="H157" s="395"/>
      <c r="I157" s="395"/>
      <c r="J157" s="395"/>
      <c r="K157" s="395"/>
      <c r="L157" s="395"/>
      <c r="M157" s="395"/>
      <c r="N157" s="395"/>
      <c r="O157" s="395"/>
      <c r="P157" s="395"/>
      <c r="Q157" s="395"/>
      <c r="R157" s="395"/>
      <c r="S157" s="395"/>
      <c r="T157" s="497"/>
      <c r="U157" s="395"/>
      <c r="V157" s="395"/>
      <c r="W157" s="395"/>
      <c r="X157" s="488"/>
      <c r="Y157" s="375"/>
      <c r="Z157" s="375"/>
      <c r="AA157" s="375"/>
      <c r="AB157" s="375"/>
      <c r="AC157" s="375"/>
    </row>
    <row r="158" spans="1:29" ht="13.2">
      <c r="A158" s="461"/>
      <c r="B158" s="395"/>
      <c r="C158" s="395"/>
      <c r="D158" s="495"/>
      <c r="E158" s="395"/>
      <c r="F158" s="395"/>
      <c r="G158" s="395"/>
      <c r="H158" s="395"/>
      <c r="I158" s="395"/>
      <c r="J158" s="395"/>
      <c r="K158" s="395"/>
      <c r="L158" s="395"/>
      <c r="M158" s="395"/>
      <c r="N158" s="395"/>
      <c r="O158" s="395"/>
      <c r="P158" s="395"/>
      <c r="Q158" s="395"/>
      <c r="R158" s="395"/>
      <c r="S158" s="395"/>
      <c r="T158" s="497"/>
      <c r="U158" s="395"/>
      <c r="V158" s="395"/>
      <c r="W158" s="395"/>
      <c r="X158" s="488"/>
      <c r="Y158" s="375"/>
      <c r="Z158" s="375"/>
      <c r="AA158" s="375"/>
      <c r="AB158" s="375"/>
      <c r="AC158" s="375"/>
    </row>
    <row r="159" spans="1:29" ht="13.2">
      <c r="A159" s="461"/>
      <c r="B159" s="395"/>
      <c r="C159" s="395"/>
      <c r="D159" s="495"/>
      <c r="E159" s="395"/>
      <c r="F159" s="395"/>
      <c r="G159" s="395"/>
      <c r="H159" s="395"/>
      <c r="I159" s="395"/>
      <c r="J159" s="395"/>
      <c r="K159" s="395"/>
      <c r="L159" s="395"/>
      <c r="M159" s="395"/>
      <c r="N159" s="395"/>
      <c r="O159" s="395"/>
      <c r="P159" s="395"/>
      <c r="Q159" s="395"/>
      <c r="R159" s="395"/>
      <c r="S159" s="395"/>
      <c r="T159" s="497"/>
      <c r="U159" s="395"/>
      <c r="V159" s="395"/>
      <c r="W159" s="395"/>
      <c r="X159" s="488"/>
      <c r="Y159" s="375"/>
      <c r="Z159" s="375"/>
      <c r="AA159" s="375"/>
      <c r="AB159" s="375"/>
      <c r="AC159" s="375"/>
    </row>
    <row r="160" spans="1:29" ht="13.2">
      <c r="A160" s="461"/>
      <c r="B160" s="395"/>
      <c r="C160" s="395"/>
      <c r="D160" s="495"/>
      <c r="E160" s="395"/>
      <c r="F160" s="395"/>
      <c r="G160" s="395"/>
      <c r="H160" s="395"/>
      <c r="I160" s="395"/>
      <c r="J160" s="395"/>
      <c r="K160" s="395"/>
      <c r="L160" s="395"/>
      <c r="M160" s="395"/>
      <c r="N160" s="395"/>
      <c r="O160" s="395"/>
      <c r="P160" s="395"/>
      <c r="Q160" s="395"/>
      <c r="R160" s="395"/>
      <c r="S160" s="395"/>
      <c r="T160" s="497"/>
      <c r="U160" s="395"/>
      <c r="V160" s="395"/>
      <c r="W160" s="395"/>
      <c r="X160" s="488"/>
      <c r="Y160" s="375"/>
      <c r="Z160" s="375"/>
      <c r="AA160" s="375"/>
      <c r="AB160" s="375"/>
      <c r="AC160" s="375"/>
    </row>
    <row r="161" spans="1:29" ht="13.2">
      <c r="A161" s="461"/>
      <c r="B161" s="395"/>
      <c r="C161" s="395"/>
      <c r="D161" s="495"/>
      <c r="E161" s="395"/>
      <c r="F161" s="395"/>
      <c r="G161" s="395"/>
      <c r="H161" s="395"/>
      <c r="I161" s="395"/>
      <c r="J161" s="395"/>
      <c r="K161" s="395"/>
      <c r="L161" s="395"/>
      <c r="M161" s="395"/>
      <c r="N161" s="395"/>
      <c r="O161" s="395"/>
      <c r="P161" s="395"/>
      <c r="Q161" s="395"/>
      <c r="R161" s="395"/>
      <c r="S161" s="395"/>
      <c r="T161" s="497"/>
      <c r="U161" s="395"/>
      <c r="V161" s="395"/>
      <c r="W161" s="395"/>
      <c r="X161" s="488"/>
      <c r="Y161" s="375"/>
      <c r="Z161" s="375"/>
      <c r="AA161" s="375"/>
      <c r="AB161" s="375"/>
      <c r="AC161" s="375"/>
    </row>
    <row r="162" spans="1:29" ht="13.2">
      <c r="A162" s="461"/>
      <c r="B162" s="395"/>
      <c r="C162" s="395"/>
      <c r="D162" s="495"/>
      <c r="E162" s="395"/>
      <c r="F162" s="395"/>
      <c r="G162" s="395"/>
      <c r="H162" s="395"/>
      <c r="I162" s="395"/>
      <c r="J162" s="395"/>
      <c r="K162" s="395"/>
      <c r="L162" s="395"/>
      <c r="M162" s="395"/>
      <c r="N162" s="395"/>
      <c r="O162" s="395"/>
      <c r="P162" s="395"/>
      <c r="Q162" s="395"/>
      <c r="R162" s="395"/>
      <c r="S162" s="395"/>
      <c r="T162" s="497"/>
      <c r="U162" s="395"/>
      <c r="V162" s="395"/>
      <c r="W162" s="395"/>
      <c r="X162" s="488"/>
      <c r="Y162" s="375"/>
      <c r="Z162" s="375"/>
      <c r="AA162" s="375"/>
      <c r="AB162" s="375"/>
      <c r="AC162" s="375"/>
    </row>
    <row r="163" spans="1:29" ht="13.2">
      <c r="A163" s="461"/>
      <c r="B163" s="395"/>
      <c r="C163" s="395"/>
      <c r="D163" s="495"/>
      <c r="E163" s="395"/>
      <c r="F163" s="395"/>
      <c r="G163" s="395"/>
      <c r="H163" s="395"/>
      <c r="I163" s="395"/>
      <c r="J163" s="395"/>
      <c r="K163" s="395"/>
      <c r="L163" s="395"/>
      <c r="M163" s="395"/>
      <c r="N163" s="395"/>
      <c r="O163" s="395"/>
      <c r="P163" s="395"/>
      <c r="Q163" s="395"/>
      <c r="R163" s="395"/>
      <c r="S163" s="395"/>
      <c r="T163" s="497"/>
      <c r="U163" s="395"/>
      <c r="V163" s="395"/>
      <c r="W163" s="395"/>
      <c r="X163" s="488"/>
      <c r="Y163" s="375"/>
      <c r="Z163" s="375"/>
      <c r="AA163" s="375"/>
      <c r="AB163" s="375"/>
      <c r="AC163" s="375"/>
    </row>
    <row r="164" spans="1:29" ht="13.2">
      <c r="A164" s="461"/>
      <c r="B164" s="395"/>
      <c r="C164" s="395"/>
      <c r="D164" s="495"/>
      <c r="E164" s="395"/>
      <c r="F164" s="395"/>
      <c r="G164" s="395"/>
      <c r="H164" s="395"/>
      <c r="I164" s="395"/>
      <c r="J164" s="395"/>
      <c r="K164" s="395"/>
      <c r="L164" s="395"/>
      <c r="M164" s="395"/>
      <c r="N164" s="395"/>
      <c r="O164" s="395"/>
      <c r="P164" s="395"/>
      <c r="Q164" s="395"/>
      <c r="R164" s="395"/>
      <c r="S164" s="395"/>
      <c r="T164" s="497"/>
      <c r="U164" s="395"/>
      <c r="V164" s="395"/>
      <c r="W164" s="395"/>
      <c r="X164" s="488"/>
      <c r="Y164" s="375"/>
      <c r="Z164" s="375"/>
      <c r="AA164" s="375"/>
      <c r="AB164" s="375"/>
      <c r="AC164" s="375"/>
    </row>
    <row r="165" spans="1:29" ht="13.2">
      <c r="A165" s="461"/>
      <c r="B165" s="395"/>
      <c r="C165" s="395"/>
      <c r="D165" s="495"/>
      <c r="E165" s="395"/>
      <c r="F165" s="395"/>
      <c r="G165" s="395"/>
      <c r="H165" s="395"/>
      <c r="I165" s="395"/>
      <c r="J165" s="395"/>
      <c r="K165" s="395"/>
      <c r="L165" s="395"/>
      <c r="M165" s="395"/>
      <c r="N165" s="395"/>
      <c r="O165" s="395"/>
      <c r="P165" s="395"/>
      <c r="Q165" s="395"/>
      <c r="R165" s="395"/>
      <c r="S165" s="395"/>
      <c r="T165" s="497"/>
      <c r="U165" s="395"/>
      <c r="V165" s="395"/>
      <c r="W165" s="395"/>
      <c r="X165" s="488"/>
      <c r="Y165" s="375"/>
      <c r="Z165" s="375"/>
      <c r="AA165" s="375"/>
      <c r="AB165" s="375"/>
      <c r="AC165" s="375"/>
    </row>
    <row r="166" spans="1:29" ht="13.2">
      <c r="A166" s="461"/>
      <c r="B166" s="395"/>
      <c r="C166" s="395"/>
      <c r="D166" s="495"/>
      <c r="E166" s="395"/>
      <c r="F166" s="395"/>
      <c r="G166" s="395"/>
      <c r="H166" s="395"/>
      <c r="I166" s="395"/>
      <c r="J166" s="395"/>
      <c r="K166" s="395"/>
      <c r="L166" s="395"/>
      <c r="M166" s="395"/>
      <c r="N166" s="395"/>
      <c r="O166" s="395"/>
      <c r="P166" s="395"/>
      <c r="Q166" s="395"/>
      <c r="R166" s="395"/>
      <c r="S166" s="395"/>
      <c r="T166" s="497"/>
      <c r="U166" s="395"/>
      <c r="V166" s="395"/>
      <c r="W166" s="395"/>
      <c r="X166" s="488"/>
      <c r="Y166" s="375"/>
      <c r="Z166" s="375"/>
      <c r="AA166" s="375"/>
      <c r="AB166" s="375"/>
      <c r="AC166" s="375"/>
    </row>
    <row r="167" spans="1:29" ht="13.2">
      <c r="A167" s="461"/>
      <c r="B167" s="395"/>
      <c r="C167" s="395"/>
      <c r="D167" s="495"/>
      <c r="E167" s="395"/>
      <c r="F167" s="395"/>
      <c r="G167" s="395"/>
      <c r="H167" s="395"/>
      <c r="I167" s="395"/>
      <c r="J167" s="395"/>
      <c r="K167" s="395"/>
      <c r="L167" s="395"/>
      <c r="M167" s="395"/>
      <c r="N167" s="395"/>
      <c r="O167" s="395"/>
      <c r="P167" s="395"/>
      <c r="Q167" s="395"/>
      <c r="R167" s="395"/>
      <c r="S167" s="395"/>
      <c r="T167" s="497"/>
      <c r="U167" s="395"/>
      <c r="V167" s="395"/>
      <c r="W167" s="395"/>
      <c r="X167" s="488"/>
      <c r="Y167" s="375"/>
      <c r="Z167" s="375"/>
      <c r="AA167" s="375"/>
      <c r="AB167" s="375"/>
      <c r="AC167" s="375"/>
    </row>
    <row r="168" spans="1:29" ht="13.2">
      <c r="A168" s="461"/>
      <c r="B168" s="395"/>
      <c r="C168" s="395"/>
      <c r="D168" s="495"/>
      <c r="E168" s="395"/>
      <c r="F168" s="395"/>
      <c r="G168" s="395"/>
      <c r="H168" s="395"/>
      <c r="I168" s="395"/>
      <c r="J168" s="395"/>
      <c r="K168" s="395"/>
      <c r="L168" s="395"/>
      <c r="M168" s="395"/>
      <c r="N168" s="395"/>
      <c r="O168" s="395"/>
      <c r="P168" s="395"/>
      <c r="Q168" s="395"/>
      <c r="R168" s="395"/>
      <c r="S168" s="395"/>
      <c r="T168" s="497"/>
      <c r="U168" s="395"/>
      <c r="V168" s="395"/>
      <c r="W168" s="395"/>
      <c r="X168" s="488"/>
      <c r="Y168" s="375"/>
      <c r="Z168" s="375"/>
      <c r="AA168" s="375"/>
      <c r="AB168" s="375"/>
      <c r="AC168" s="375"/>
    </row>
    <row r="169" spans="1:29" ht="13.2">
      <c r="A169" s="461"/>
      <c r="B169" s="395"/>
      <c r="C169" s="395"/>
      <c r="D169" s="495"/>
      <c r="E169" s="395"/>
      <c r="F169" s="395"/>
      <c r="G169" s="395"/>
      <c r="H169" s="395"/>
      <c r="I169" s="395"/>
      <c r="J169" s="395"/>
      <c r="K169" s="395"/>
      <c r="L169" s="395"/>
      <c r="M169" s="395"/>
      <c r="N169" s="395"/>
      <c r="O169" s="395"/>
      <c r="P169" s="395"/>
      <c r="Q169" s="395"/>
      <c r="R169" s="395"/>
      <c r="S169" s="395"/>
      <c r="T169" s="497"/>
      <c r="U169" s="395"/>
      <c r="V169" s="395"/>
      <c r="W169" s="395"/>
      <c r="X169" s="488"/>
      <c r="Y169" s="375"/>
      <c r="Z169" s="375"/>
      <c r="AA169" s="375"/>
      <c r="AB169" s="375"/>
      <c r="AC169" s="375"/>
    </row>
    <row r="170" spans="1:29" ht="13.2">
      <c r="A170" s="461"/>
      <c r="B170" s="395"/>
      <c r="C170" s="395"/>
      <c r="D170" s="495"/>
      <c r="E170" s="395"/>
      <c r="F170" s="395"/>
      <c r="G170" s="395"/>
      <c r="H170" s="395"/>
      <c r="I170" s="395"/>
      <c r="J170" s="395"/>
      <c r="K170" s="395"/>
      <c r="L170" s="395"/>
      <c r="M170" s="395"/>
      <c r="N170" s="395"/>
      <c r="O170" s="395"/>
      <c r="P170" s="395"/>
      <c r="Q170" s="395"/>
      <c r="R170" s="395"/>
      <c r="S170" s="395"/>
      <c r="T170" s="497"/>
      <c r="U170" s="395"/>
      <c r="V170" s="395"/>
      <c r="W170" s="395"/>
      <c r="X170" s="488"/>
      <c r="Y170" s="375"/>
      <c r="Z170" s="375"/>
      <c r="AA170" s="375"/>
      <c r="AB170" s="375"/>
      <c r="AC170" s="375"/>
    </row>
    <row r="171" spans="1:29" ht="13.2">
      <c r="A171" s="461"/>
      <c r="B171" s="395"/>
      <c r="C171" s="395"/>
      <c r="D171" s="495"/>
      <c r="E171" s="395"/>
      <c r="F171" s="395"/>
      <c r="G171" s="395"/>
      <c r="H171" s="395"/>
      <c r="I171" s="395"/>
      <c r="J171" s="395"/>
      <c r="K171" s="395"/>
      <c r="L171" s="395"/>
      <c r="M171" s="395"/>
      <c r="N171" s="395"/>
      <c r="O171" s="395"/>
      <c r="P171" s="395"/>
      <c r="Q171" s="395"/>
      <c r="R171" s="395"/>
      <c r="S171" s="395"/>
      <c r="T171" s="497"/>
      <c r="U171" s="395"/>
      <c r="V171" s="395"/>
      <c r="W171" s="395"/>
      <c r="X171" s="488"/>
      <c r="Y171" s="375"/>
      <c r="Z171" s="375"/>
      <c r="AA171" s="375"/>
      <c r="AB171" s="375"/>
      <c r="AC171" s="375"/>
    </row>
    <row r="172" spans="1:29" ht="13.2">
      <c r="A172" s="461"/>
      <c r="B172" s="395"/>
      <c r="C172" s="395"/>
      <c r="D172" s="495"/>
      <c r="E172" s="395"/>
      <c r="F172" s="395"/>
      <c r="G172" s="395"/>
      <c r="H172" s="395"/>
      <c r="I172" s="395"/>
      <c r="J172" s="395"/>
      <c r="K172" s="395"/>
      <c r="L172" s="395"/>
      <c r="M172" s="395"/>
      <c r="N172" s="395"/>
      <c r="O172" s="395"/>
      <c r="P172" s="395"/>
      <c r="Q172" s="395"/>
      <c r="R172" s="395"/>
      <c r="S172" s="395"/>
      <c r="T172" s="497"/>
      <c r="U172" s="395"/>
      <c r="V172" s="395"/>
      <c r="W172" s="395"/>
      <c r="X172" s="488"/>
      <c r="Y172" s="375"/>
      <c r="Z172" s="375"/>
      <c r="AA172" s="375"/>
      <c r="AB172" s="375"/>
      <c r="AC172" s="375"/>
    </row>
    <row r="173" spans="1:29" ht="13.2">
      <c r="A173" s="461"/>
      <c r="B173" s="395"/>
      <c r="C173" s="395"/>
      <c r="D173" s="495"/>
      <c r="E173" s="395"/>
      <c r="F173" s="395"/>
      <c r="G173" s="395"/>
      <c r="H173" s="395"/>
      <c r="I173" s="395"/>
      <c r="J173" s="395"/>
      <c r="K173" s="395"/>
      <c r="L173" s="395"/>
      <c r="M173" s="395"/>
      <c r="N173" s="395"/>
      <c r="O173" s="395"/>
      <c r="P173" s="395"/>
      <c r="Q173" s="395"/>
      <c r="R173" s="395"/>
      <c r="S173" s="395"/>
      <c r="T173" s="497"/>
      <c r="U173" s="395"/>
      <c r="V173" s="395"/>
      <c r="W173" s="395"/>
      <c r="X173" s="488"/>
      <c r="Y173" s="375"/>
      <c r="Z173" s="375"/>
      <c r="AA173" s="375"/>
      <c r="AB173" s="375"/>
      <c r="AC173" s="375"/>
    </row>
    <row r="174" spans="1:29" ht="13.2">
      <c r="A174" s="461"/>
      <c r="B174" s="395"/>
      <c r="C174" s="395"/>
      <c r="D174" s="495"/>
      <c r="E174" s="395"/>
      <c r="F174" s="395"/>
      <c r="G174" s="395"/>
      <c r="H174" s="395"/>
      <c r="I174" s="395"/>
      <c r="J174" s="395"/>
      <c r="K174" s="395"/>
      <c r="L174" s="395"/>
      <c r="M174" s="395"/>
      <c r="N174" s="395"/>
      <c r="O174" s="395"/>
      <c r="P174" s="395"/>
      <c r="Q174" s="395"/>
      <c r="R174" s="395"/>
      <c r="S174" s="395"/>
      <c r="T174" s="497"/>
      <c r="U174" s="395"/>
      <c r="V174" s="395"/>
      <c r="W174" s="395"/>
      <c r="X174" s="488"/>
      <c r="Y174" s="375"/>
      <c r="Z174" s="375"/>
      <c r="AA174" s="375"/>
      <c r="AB174" s="375"/>
      <c r="AC174" s="375"/>
    </row>
    <row r="175" spans="1:29" ht="13.2">
      <c r="A175" s="461"/>
      <c r="B175" s="395"/>
      <c r="C175" s="395"/>
      <c r="D175" s="495"/>
      <c r="E175" s="395"/>
      <c r="F175" s="395"/>
      <c r="G175" s="395"/>
      <c r="H175" s="395"/>
      <c r="I175" s="395"/>
      <c r="J175" s="395"/>
      <c r="K175" s="395"/>
      <c r="L175" s="395"/>
      <c r="M175" s="395"/>
      <c r="N175" s="395"/>
      <c r="O175" s="395"/>
      <c r="P175" s="395"/>
      <c r="Q175" s="395"/>
      <c r="R175" s="395"/>
      <c r="S175" s="395"/>
      <c r="T175" s="497"/>
      <c r="U175" s="395"/>
      <c r="V175" s="395"/>
      <c r="W175" s="395"/>
      <c r="X175" s="488"/>
      <c r="Y175" s="375"/>
      <c r="Z175" s="375"/>
      <c r="AA175" s="375"/>
      <c r="AB175" s="375"/>
      <c r="AC175" s="375"/>
    </row>
    <row r="176" spans="1:29" ht="13.2">
      <c r="A176" s="461"/>
      <c r="B176" s="395"/>
      <c r="C176" s="395"/>
      <c r="D176" s="495"/>
      <c r="E176" s="395"/>
      <c r="F176" s="395"/>
      <c r="G176" s="395"/>
      <c r="H176" s="395"/>
      <c r="I176" s="395"/>
      <c r="J176" s="395"/>
      <c r="K176" s="395"/>
      <c r="L176" s="395"/>
      <c r="M176" s="395"/>
      <c r="N176" s="395"/>
      <c r="O176" s="395"/>
      <c r="P176" s="395"/>
      <c r="Q176" s="395"/>
      <c r="R176" s="395"/>
      <c r="S176" s="395"/>
      <c r="T176" s="497"/>
      <c r="U176" s="395"/>
      <c r="V176" s="395"/>
      <c r="W176" s="395"/>
      <c r="X176" s="488"/>
      <c r="Y176" s="375"/>
      <c r="Z176" s="375"/>
      <c r="AA176" s="375"/>
      <c r="AB176" s="375"/>
      <c r="AC176" s="375"/>
    </row>
    <row r="177" spans="1:29" ht="13.2">
      <c r="A177" s="461"/>
      <c r="B177" s="395"/>
      <c r="C177" s="395"/>
      <c r="D177" s="495"/>
      <c r="E177" s="395"/>
      <c r="F177" s="395"/>
      <c r="G177" s="395"/>
      <c r="H177" s="395"/>
      <c r="I177" s="395"/>
      <c r="J177" s="395"/>
      <c r="K177" s="395"/>
      <c r="L177" s="395"/>
      <c r="M177" s="395"/>
      <c r="N177" s="395"/>
      <c r="O177" s="395"/>
      <c r="P177" s="395"/>
      <c r="Q177" s="395"/>
      <c r="R177" s="395"/>
      <c r="S177" s="395"/>
      <c r="T177" s="497"/>
      <c r="U177" s="395"/>
      <c r="V177" s="395"/>
      <c r="W177" s="395"/>
      <c r="X177" s="488"/>
      <c r="Y177" s="375"/>
      <c r="Z177" s="375"/>
      <c r="AA177" s="375"/>
      <c r="AB177" s="375"/>
      <c r="AC177" s="375"/>
    </row>
    <row r="178" spans="1:29" ht="13.2">
      <c r="A178" s="461"/>
      <c r="B178" s="395"/>
      <c r="C178" s="395"/>
      <c r="D178" s="495"/>
      <c r="E178" s="395"/>
      <c r="F178" s="395"/>
      <c r="G178" s="395"/>
      <c r="H178" s="395"/>
      <c r="I178" s="395"/>
      <c r="J178" s="395"/>
      <c r="K178" s="395"/>
      <c r="L178" s="395"/>
      <c r="M178" s="395"/>
      <c r="N178" s="395"/>
      <c r="O178" s="395"/>
      <c r="P178" s="395"/>
      <c r="Q178" s="395"/>
      <c r="R178" s="395"/>
      <c r="S178" s="395"/>
      <c r="T178" s="497"/>
      <c r="U178" s="395"/>
      <c r="V178" s="395"/>
      <c r="W178" s="395"/>
      <c r="X178" s="488"/>
      <c r="Y178" s="375"/>
      <c r="Z178" s="375"/>
      <c r="AA178" s="375"/>
      <c r="AB178" s="375"/>
      <c r="AC178" s="375"/>
    </row>
    <row r="179" spans="1:29" ht="13.2">
      <c r="A179" s="461"/>
      <c r="B179" s="395"/>
      <c r="C179" s="395"/>
      <c r="D179" s="495"/>
      <c r="E179" s="395"/>
      <c r="F179" s="395"/>
      <c r="G179" s="395"/>
      <c r="H179" s="395"/>
      <c r="I179" s="395"/>
      <c r="J179" s="395"/>
      <c r="K179" s="395"/>
      <c r="L179" s="395"/>
      <c r="M179" s="395"/>
      <c r="N179" s="395"/>
      <c r="O179" s="395"/>
      <c r="P179" s="395"/>
      <c r="Q179" s="395"/>
      <c r="R179" s="395"/>
      <c r="S179" s="395"/>
      <c r="T179" s="497"/>
      <c r="U179" s="395"/>
      <c r="V179" s="395"/>
      <c r="W179" s="395"/>
      <c r="X179" s="488"/>
      <c r="Y179" s="375"/>
      <c r="Z179" s="375"/>
      <c r="AA179" s="375"/>
      <c r="AB179" s="375"/>
      <c r="AC179" s="375"/>
    </row>
    <row r="180" spans="1:29" ht="13.2">
      <c r="A180" s="461"/>
      <c r="B180" s="395"/>
      <c r="C180" s="395"/>
      <c r="D180" s="495"/>
      <c r="E180" s="395"/>
      <c r="F180" s="395"/>
      <c r="G180" s="395"/>
      <c r="H180" s="395"/>
      <c r="I180" s="395"/>
      <c r="J180" s="395"/>
      <c r="K180" s="395"/>
      <c r="L180" s="395"/>
      <c r="M180" s="395"/>
      <c r="N180" s="395"/>
      <c r="O180" s="395"/>
      <c r="P180" s="395"/>
      <c r="Q180" s="395"/>
      <c r="R180" s="395"/>
      <c r="S180" s="395"/>
      <c r="T180" s="497"/>
      <c r="U180" s="395"/>
      <c r="V180" s="395"/>
      <c r="W180" s="395"/>
      <c r="X180" s="488"/>
      <c r="Y180" s="375"/>
      <c r="Z180" s="375"/>
      <c r="AA180" s="375"/>
      <c r="AB180" s="375"/>
      <c r="AC180" s="375"/>
    </row>
    <row r="181" spans="1:29" ht="13.2">
      <c r="A181" s="461"/>
      <c r="B181" s="395"/>
      <c r="C181" s="395"/>
      <c r="D181" s="495"/>
      <c r="E181" s="395"/>
      <c r="F181" s="395"/>
      <c r="G181" s="395"/>
      <c r="H181" s="395"/>
      <c r="I181" s="395"/>
      <c r="J181" s="395"/>
      <c r="K181" s="395"/>
      <c r="L181" s="395"/>
      <c r="M181" s="395"/>
      <c r="N181" s="395"/>
      <c r="O181" s="395"/>
      <c r="P181" s="395"/>
      <c r="Q181" s="395"/>
      <c r="R181" s="395"/>
      <c r="S181" s="395"/>
      <c r="T181" s="497"/>
      <c r="U181" s="395"/>
      <c r="V181" s="395"/>
      <c r="W181" s="395"/>
      <c r="X181" s="488"/>
      <c r="Y181" s="375"/>
      <c r="Z181" s="375"/>
      <c r="AA181" s="375"/>
      <c r="AB181" s="375"/>
      <c r="AC181" s="375"/>
    </row>
    <row r="182" spans="1:29" ht="13.2">
      <c r="A182" s="461"/>
      <c r="B182" s="395"/>
      <c r="C182" s="395"/>
      <c r="D182" s="495"/>
      <c r="E182" s="395"/>
      <c r="F182" s="395"/>
      <c r="G182" s="395"/>
      <c r="H182" s="395"/>
      <c r="I182" s="395"/>
      <c r="J182" s="395"/>
      <c r="K182" s="395"/>
      <c r="L182" s="395"/>
      <c r="M182" s="395"/>
      <c r="N182" s="395"/>
      <c r="O182" s="395"/>
      <c r="P182" s="395"/>
      <c r="Q182" s="395"/>
      <c r="R182" s="395"/>
      <c r="S182" s="395"/>
      <c r="T182" s="497"/>
      <c r="U182" s="395"/>
      <c r="V182" s="395"/>
      <c r="W182" s="395"/>
      <c r="X182" s="488"/>
      <c r="Y182" s="375"/>
      <c r="Z182" s="375"/>
      <c r="AA182" s="375"/>
      <c r="AB182" s="375"/>
      <c r="AC182" s="375"/>
    </row>
    <row r="183" spans="1:29" ht="13.2">
      <c r="A183" s="461"/>
      <c r="B183" s="395"/>
      <c r="C183" s="395"/>
      <c r="D183" s="495"/>
      <c r="E183" s="395"/>
      <c r="F183" s="395"/>
      <c r="G183" s="395"/>
      <c r="H183" s="395"/>
      <c r="I183" s="395"/>
      <c r="J183" s="395"/>
      <c r="K183" s="395"/>
      <c r="L183" s="395"/>
      <c r="M183" s="395"/>
      <c r="N183" s="395"/>
      <c r="O183" s="395"/>
      <c r="P183" s="395"/>
      <c r="Q183" s="395"/>
      <c r="R183" s="395"/>
      <c r="S183" s="395"/>
      <c r="T183" s="497"/>
      <c r="U183" s="395"/>
      <c r="V183" s="395"/>
      <c r="W183" s="395"/>
      <c r="X183" s="488"/>
      <c r="Y183" s="375"/>
      <c r="Z183" s="375"/>
      <c r="AA183" s="375"/>
      <c r="AB183" s="375"/>
      <c r="AC183" s="375"/>
    </row>
    <row r="184" spans="1:29" ht="13.2">
      <c r="A184" s="461"/>
      <c r="B184" s="395"/>
      <c r="C184" s="395"/>
      <c r="D184" s="495"/>
      <c r="E184" s="395"/>
      <c r="F184" s="395"/>
      <c r="G184" s="395"/>
      <c r="H184" s="395"/>
      <c r="I184" s="395"/>
      <c r="J184" s="395"/>
      <c r="K184" s="395"/>
      <c r="L184" s="395"/>
      <c r="M184" s="395"/>
      <c r="N184" s="395"/>
      <c r="O184" s="395"/>
      <c r="P184" s="395"/>
      <c r="Q184" s="395"/>
      <c r="R184" s="395"/>
      <c r="S184" s="395"/>
      <c r="T184" s="497"/>
      <c r="U184" s="395"/>
      <c r="V184" s="395"/>
      <c r="W184" s="395"/>
      <c r="X184" s="488"/>
      <c r="Y184" s="375"/>
      <c r="Z184" s="375"/>
      <c r="AA184" s="375"/>
      <c r="AB184" s="375"/>
      <c r="AC184" s="375"/>
    </row>
    <row r="185" spans="1:29" ht="13.2">
      <c r="A185" s="461"/>
      <c r="B185" s="395"/>
      <c r="C185" s="395"/>
      <c r="D185" s="495"/>
      <c r="E185" s="395"/>
      <c r="F185" s="395"/>
      <c r="G185" s="395"/>
      <c r="H185" s="395"/>
      <c r="I185" s="395"/>
      <c r="J185" s="395"/>
      <c r="K185" s="395"/>
      <c r="L185" s="395"/>
      <c r="M185" s="395"/>
      <c r="N185" s="395"/>
      <c r="O185" s="395"/>
      <c r="P185" s="395"/>
      <c r="Q185" s="395"/>
      <c r="R185" s="395"/>
      <c r="S185" s="395"/>
      <c r="T185" s="497"/>
      <c r="U185" s="395"/>
      <c r="V185" s="395"/>
      <c r="W185" s="395"/>
      <c r="X185" s="488"/>
      <c r="Y185" s="375"/>
      <c r="Z185" s="375"/>
      <c r="AA185" s="375"/>
      <c r="AB185" s="375"/>
      <c r="AC185" s="375"/>
    </row>
    <row r="186" spans="1:29" ht="13.2">
      <c r="A186" s="461"/>
      <c r="B186" s="395"/>
      <c r="C186" s="395"/>
      <c r="D186" s="495"/>
      <c r="E186" s="395"/>
      <c r="F186" s="395"/>
      <c r="G186" s="395"/>
      <c r="H186" s="395"/>
      <c r="I186" s="395"/>
      <c r="J186" s="395"/>
      <c r="K186" s="395"/>
      <c r="L186" s="395"/>
      <c r="M186" s="395"/>
      <c r="N186" s="395"/>
      <c r="O186" s="395"/>
      <c r="P186" s="395"/>
      <c r="Q186" s="395"/>
      <c r="R186" s="395"/>
      <c r="S186" s="395"/>
      <c r="T186" s="497"/>
      <c r="U186" s="395"/>
      <c r="V186" s="395"/>
      <c r="W186" s="395"/>
      <c r="X186" s="488"/>
      <c r="Y186" s="375"/>
      <c r="Z186" s="375"/>
      <c r="AA186" s="375"/>
      <c r="AB186" s="375"/>
      <c r="AC186" s="375"/>
    </row>
    <row r="187" spans="1:29" ht="13.2">
      <c r="A187" s="461"/>
      <c r="B187" s="395"/>
      <c r="C187" s="395"/>
      <c r="D187" s="495"/>
      <c r="E187" s="395"/>
      <c r="F187" s="395"/>
      <c r="G187" s="395"/>
      <c r="H187" s="395"/>
      <c r="I187" s="395"/>
      <c r="J187" s="395"/>
      <c r="K187" s="395"/>
      <c r="L187" s="395"/>
      <c r="M187" s="395"/>
      <c r="N187" s="395"/>
      <c r="O187" s="395"/>
      <c r="P187" s="395"/>
      <c r="Q187" s="395"/>
      <c r="R187" s="395"/>
      <c r="S187" s="395"/>
      <c r="T187" s="497"/>
      <c r="U187" s="395"/>
      <c r="V187" s="395"/>
      <c r="W187" s="395"/>
      <c r="X187" s="488"/>
      <c r="Y187" s="375"/>
      <c r="Z187" s="375"/>
      <c r="AA187" s="375"/>
      <c r="AB187" s="375"/>
      <c r="AC187" s="375"/>
    </row>
    <row r="188" spans="1:29" ht="13.2">
      <c r="A188" s="461"/>
      <c r="B188" s="395"/>
      <c r="C188" s="395"/>
      <c r="D188" s="495"/>
      <c r="E188" s="395"/>
      <c r="F188" s="395"/>
      <c r="G188" s="395"/>
      <c r="H188" s="395"/>
      <c r="I188" s="395"/>
      <c r="J188" s="395"/>
      <c r="K188" s="395"/>
      <c r="L188" s="395"/>
      <c r="M188" s="395"/>
      <c r="N188" s="395"/>
      <c r="O188" s="395"/>
      <c r="P188" s="395"/>
      <c r="Q188" s="395"/>
      <c r="R188" s="395"/>
      <c r="S188" s="395"/>
      <c r="T188" s="497"/>
      <c r="U188" s="395"/>
      <c r="V188" s="395"/>
      <c r="W188" s="395"/>
      <c r="X188" s="488"/>
      <c r="Y188" s="375"/>
      <c r="Z188" s="375"/>
      <c r="AA188" s="375"/>
      <c r="AB188" s="375"/>
      <c r="AC188" s="375"/>
    </row>
    <row r="189" spans="1:29" ht="13.2">
      <c r="A189" s="461"/>
      <c r="B189" s="395"/>
      <c r="C189" s="395"/>
      <c r="D189" s="495"/>
      <c r="E189" s="395"/>
      <c r="F189" s="395"/>
      <c r="G189" s="395"/>
      <c r="H189" s="395"/>
      <c r="I189" s="395"/>
      <c r="J189" s="395"/>
      <c r="K189" s="395"/>
      <c r="L189" s="395"/>
      <c r="M189" s="395"/>
      <c r="N189" s="395"/>
      <c r="O189" s="395"/>
      <c r="P189" s="395"/>
      <c r="Q189" s="395"/>
      <c r="R189" s="395"/>
      <c r="S189" s="395"/>
      <c r="T189" s="497"/>
      <c r="U189" s="395"/>
      <c r="V189" s="395"/>
      <c r="W189" s="395"/>
      <c r="X189" s="488"/>
      <c r="Y189" s="375"/>
      <c r="Z189" s="375"/>
      <c r="AA189" s="375"/>
      <c r="AB189" s="375"/>
      <c r="AC189" s="375"/>
    </row>
    <row r="190" spans="1:29" ht="13.2">
      <c r="A190" s="461"/>
      <c r="B190" s="395"/>
      <c r="C190" s="395"/>
      <c r="D190" s="495"/>
      <c r="E190" s="395"/>
      <c r="F190" s="395"/>
      <c r="G190" s="395"/>
      <c r="H190" s="395"/>
      <c r="I190" s="395"/>
      <c r="J190" s="395"/>
      <c r="K190" s="395"/>
      <c r="L190" s="395"/>
      <c r="M190" s="395"/>
      <c r="N190" s="395"/>
      <c r="O190" s="395"/>
      <c r="P190" s="395"/>
      <c r="Q190" s="395"/>
      <c r="R190" s="395"/>
      <c r="S190" s="395"/>
      <c r="T190" s="497"/>
      <c r="U190" s="395"/>
      <c r="V190" s="395"/>
      <c r="W190" s="395"/>
      <c r="X190" s="488"/>
      <c r="Y190" s="375"/>
      <c r="Z190" s="375"/>
      <c r="AA190" s="375"/>
      <c r="AB190" s="375"/>
      <c r="AC190" s="375"/>
    </row>
    <row r="191" spans="1:29" ht="13.2">
      <c r="A191" s="461"/>
      <c r="B191" s="395"/>
      <c r="C191" s="395"/>
      <c r="D191" s="495"/>
      <c r="E191" s="395"/>
      <c r="F191" s="395"/>
      <c r="G191" s="395"/>
      <c r="H191" s="395"/>
      <c r="I191" s="395"/>
      <c r="J191" s="395"/>
      <c r="K191" s="395"/>
      <c r="L191" s="395"/>
      <c r="M191" s="395"/>
      <c r="N191" s="395"/>
      <c r="O191" s="395"/>
      <c r="P191" s="395"/>
      <c r="Q191" s="395"/>
      <c r="R191" s="395"/>
      <c r="S191" s="395"/>
      <c r="T191" s="497"/>
      <c r="U191" s="395"/>
      <c r="V191" s="395"/>
      <c r="W191" s="395"/>
      <c r="X191" s="488"/>
      <c r="Y191" s="375"/>
      <c r="Z191" s="375"/>
      <c r="AA191" s="375"/>
      <c r="AB191" s="375"/>
      <c r="AC191" s="375"/>
    </row>
    <row r="192" spans="1:29" ht="13.2">
      <c r="A192" s="461"/>
      <c r="B192" s="395"/>
      <c r="C192" s="395"/>
      <c r="D192" s="495"/>
      <c r="E192" s="395"/>
      <c r="F192" s="395"/>
      <c r="G192" s="395"/>
      <c r="H192" s="395"/>
      <c r="I192" s="395"/>
      <c r="J192" s="395"/>
      <c r="K192" s="395"/>
      <c r="L192" s="395"/>
      <c r="M192" s="395"/>
      <c r="N192" s="395"/>
      <c r="O192" s="395"/>
      <c r="P192" s="395"/>
      <c r="Q192" s="395"/>
      <c r="R192" s="395"/>
      <c r="S192" s="395"/>
      <c r="T192" s="497"/>
      <c r="U192" s="395"/>
      <c r="V192" s="395"/>
      <c r="W192" s="395"/>
      <c r="X192" s="488"/>
      <c r="Y192" s="375"/>
      <c r="Z192" s="375"/>
      <c r="AA192" s="375"/>
      <c r="AB192" s="375"/>
      <c r="AC192" s="375"/>
    </row>
    <row r="193" spans="1:29" ht="13.2">
      <c r="A193" s="461"/>
      <c r="B193" s="395"/>
      <c r="C193" s="395"/>
      <c r="D193" s="495"/>
      <c r="E193" s="395"/>
      <c r="F193" s="395"/>
      <c r="G193" s="395"/>
      <c r="H193" s="395"/>
      <c r="I193" s="395"/>
      <c r="J193" s="395"/>
      <c r="K193" s="395"/>
      <c r="L193" s="395"/>
      <c r="M193" s="395"/>
      <c r="N193" s="395"/>
      <c r="O193" s="395"/>
      <c r="P193" s="395"/>
      <c r="Q193" s="395"/>
      <c r="R193" s="395"/>
      <c r="S193" s="395"/>
      <c r="T193" s="497"/>
      <c r="U193" s="395"/>
      <c r="V193" s="395"/>
      <c r="W193" s="395"/>
      <c r="X193" s="488"/>
      <c r="Y193" s="375"/>
      <c r="Z193" s="375"/>
      <c r="AA193" s="375"/>
      <c r="AB193" s="375"/>
      <c r="AC193" s="375"/>
    </row>
    <row r="194" spans="1:29" ht="13.2">
      <c r="A194" s="461"/>
      <c r="B194" s="395"/>
      <c r="C194" s="395"/>
      <c r="D194" s="495"/>
      <c r="E194" s="395"/>
      <c r="F194" s="395"/>
      <c r="G194" s="395"/>
      <c r="H194" s="395"/>
      <c r="I194" s="395"/>
      <c r="J194" s="395"/>
      <c r="K194" s="395"/>
      <c r="L194" s="395"/>
      <c r="M194" s="395"/>
      <c r="N194" s="395"/>
      <c r="O194" s="395"/>
      <c r="P194" s="395"/>
      <c r="Q194" s="395"/>
      <c r="R194" s="395"/>
      <c r="S194" s="395"/>
      <c r="T194" s="497"/>
      <c r="U194" s="395"/>
      <c r="V194" s="395"/>
      <c r="W194" s="395"/>
      <c r="X194" s="488"/>
      <c r="Y194" s="375"/>
      <c r="Z194" s="375"/>
      <c r="AA194" s="375"/>
      <c r="AB194" s="375"/>
      <c r="AC194" s="375"/>
    </row>
    <row r="195" spans="1:29" ht="13.2">
      <c r="A195" s="461"/>
      <c r="B195" s="395"/>
      <c r="C195" s="395"/>
      <c r="D195" s="495"/>
      <c r="E195" s="395"/>
      <c r="F195" s="395"/>
      <c r="G195" s="395"/>
      <c r="H195" s="395"/>
      <c r="I195" s="395"/>
      <c r="J195" s="395"/>
      <c r="K195" s="395"/>
      <c r="L195" s="395"/>
      <c r="M195" s="395"/>
      <c r="N195" s="395"/>
      <c r="O195" s="395"/>
      <c r="P195" s="395"/>
      <c r="Q195" s="395"/>
      <c r="R195" s="395"/>
      <c r="S195" s="395"/>
      <c r="T195" s="497"/>
      <c r="U195" s="395"/>
      <c r="V195" s="395"/>
      <c r="W195" s="395"/>
      <c r="X195" s="488"/>
      <c r="Y195" s="375"/>
      <c r="Z195" s="375"/>
      <c r="AA195" s="375"/>
      <c r="AB195" s="375"/>
      <c r="AC195" s="375"/>
    </row>
    <row r="196" spans="1:29" ht="13.2">
      <c r="A196" s="461"/>
      <c r="B196" s="395"/>
      <c r="C196" s="395"/>
      <c r="D196" s="495"/>
      <c r="E196" s="395"/>
      <c r="F196" s="395"/>
      <c r="G196" s="395"/>
      <c r="H196" s="395"/>
      <c r="I196" s="395"/>
      <c r="J196" s="395"/>
      <c r="K196" s="395"/>
      <c r="L196" s="395"/>
      <c r="M196" s="395"/>
      <c r="N196" s="395"/>
      <c r="O196" s="395"/>
      <c r="P196" s="395"/>
      <c r="Q196" s="395"/>
      <c r="R196" s="395"/>
      <c r="S196" s="395"/>
      <c r="T196" s="497"/>
      <c r="U196" s="395"/>
      <c r="V196" s="395"/>
      <c r="W196" s="395"/>
      <c r="X196" s="488"/>
      <c r="Y196" s="375"/>
      <c r="Z196" s="375"/>
      <c r="AA196" s="375"/>
      <c r="AB196" s="375"/>
      <c r="AC196" s="375"/>
    </row>
    <row r="197" spans="1:29" ht="13.2">
      <c r="A197" s="461"/>
      <c r="B197" s="395"/>
      <c r="C197" s="395"/>
      <c r="D197" s="495"/>
      <c r="E197" s="395"/>
      <c r="F197" s="395"/>
      <c r="G197" s="395"/>
      <c r="H197" s="395"/>
      <c r="I197" s="395"/>
      <c r="J197" s="395"/>
      <c r="K197" s="395"/>
      <c r="L197" s="395"/>
      <c r="M197" s="395"/>
      <c r="N197" s="395"/>
      <c r="O197" s="395"/>
      <c r="P197" s="395"/>
      <c r="Q197" s="395"/>
      <c r="R197" s="395"/>
      <c r="S197" s="395"/>
      <c r="T197" s="497"/>
      <c r="U197" s="395"/>
      <c r="V197" s="395"/>
      <c r="W197" s="395"/>
      <c r="X197" s="488"/>
      <c r="Y197" s="375"/>
      <c r="Z197" s="375"/>
      <c r="AA197" s="375"/>
      <c r="AB197" s="375"/>
      <c r="AC197" s="375"/>
    </row>
    <row r="198" spans="1:29" ht="13.2">
      <c r="A198" s="461"/>
      <c r="B198" s="395"/>
      <c r="C198" s="395"/>
      <c r="D198" s="495"/>
      <c r="E198" s="395"/>
      <c r="F198" s="395"/>
      <c r="G198" s="395"/>
      <c r="H198" s="395"/>
      <c r="I198" s="395"/>
      <c r="J198" s="395"/>
      <c r="K198" s="395"/>
      <c r="L198" s="395"/>
      <c r="M198" s="395"/>
      <c r="N198" s="395"/>
      <c r="O198" s="395"/>
      <c r="P198" s="395"/>
      <c r="Q198" s="395"/>
      <c r="R198" s="395"/>
      <c r="S198" s="395"/>
      <c r="T198" s="497"/>
      <c r="U198" s="395"/>
      <c r="V198" s="395"/>
      <c r="W198" s="395"/>
      <c r="X198" s="488"/>
      <c r="Y198" s="375"/>
      <c r="Z198" s="375"/>
      <c r="AA198" s="375"/>
      <c r="AB198" s="375"/>
      <c r="AC198" s="375"/>
    </row>
    <row r="199" spans="1:29" ht="13.2">
      <c r="A199" s="461"/>
      <c r="B199" s="395"/>
      <c r="C199" s="395"/>
      <c r="D199" s="495"/>
      <c r="E199" s="395"/>
      <c r="F199" s="395"/>
      <c r="G199" s="395"/>
      <c r="H199" s="395"/>
      <c r="I199" s="395"/>
      <c r="J199" s="395"/>
      <c r="K199" s="395"/>
      <c r="L199" s="395"/>
      <c r="M199" s="395"/>
      <c r="N199" s="395"/>
      <c r="O199" s="395"/>
      <c r="P199" s="395"/>
      <c r="Q199" s="395"/>
      <c r="R199" s="395"/>
      <c r="S199" s="395"/>
      <c r="T199" s="497"/>
      <c r="U199" s="395"/>
      <c r="V199" s="395"/>
      <c r="W199" s="395"/>
      <c r="X199" s="488"/>
      <c r="Y199" s="375"/>
      <c r="Z199" s="375"/>
      <c r="AA199" s="375"/>
      <c r="AB199" s="375"/>
      <c r="AC199" s="375"/>
    </row>
    <row r="200" spans="1:29" ht="13.2">
      <c r="A200" s="461"/>
      <c r="B200" s="395"/>
      <c r="C200" s="395"/>
      <c r="D200" s="495"/>
      <c r="E200" s="395"/>
      <c r="F200" s="395"/>
      <c r="G200" s="395"/>
      <c r="H200" s="395"/>
      <c r="I200" s="395"/>
      <c r="J200" s="395"/>
      <c r="K200" s="395"/>
      <c r="L200" s="395"/>
      <c r="M200" s="395"/>
      <c r="N200" s="395"/>
      <c r="O200" s="395"/>
      <c r="P200" s="395"/>
      <c r="Q200" s="395"/>
      <c r="R200" s="395"/>
      <c r="S200" s="395"/>
      <c r="T200" s="497"/>
      <c r="U200" s="395"/>
      <c r="V200" s="395"/>
      <c r="W200" s="395"/>
      <c r="X200" s="488"/>
      <c r="Y200" s="375"/>
      <c r="Z200" s="375"/>
      <c r="AA200" s="375"/>
      <c r="AB200" s="375"/>
      <c r="AC200" s="375"/>
    </row>
    <row r="201" spans="1:29" ht="13.2">
      <c r="A201" s="461"/>
      <c r="B201" s="395"/>
      <c r="C201" s="395"/>
      <c r="D201" s="495"/>
      <c r="E201" s="395"/>
      <c r="F201" s="395"/>
      <c r="G201" s="395"/>
      <c r="H201" s="395"/>
      <c r="I201" s="395"/>
      <c r="J201" s="395"/>
      <c r="K201" s="395"/>
      <c r="L201" s="395"/>
      <c r="M201" s="395"/>
      <c r="N201" s="395"/>
      <c r="O201" s="395"/>
      <c r="P201" s="395"/>
      <c r="Q201" s="395"/>
      <c r="R201" s="395"/>
      <c r="S201" s="395"/>
      <c r="T201" s="497"/>
      <c r="U201" s="395"/>
      <c r="V201" s="395"/>
      <c r="W201" s="395"/>
      <c r="X201" s="488"/>
      <c r="Y201" s="375"/>
      <c r="Z201" s="375"/>
      <c r="AA201" s="375"/>
      <c r="AB201" s="375"/>
      <c r="AC201" s="375"/>
    </row>
    <row r="202" spans="1:29" ht="13.2">
      <c r="A202" s="461"/>
      <c r="B202" s="395"/>
      <c r="C202" s="395"/>
      <c r="D202" s="495"/>
      <c r="E202" s="395"/>
      <c r="F202" s="395"/>
      <c r="G202" s="395"/>
      <c r="H202" s="395"/>
      <c r="I202" s="395"/>
      <c r="J202" s="395"/>
      <c r="K202" s="395"/>
      <c r="L202" s="395"/>
      <c r="M202" s="395"/>
      <c r="N202" s="395"/>
      <c r="O202" s="395"/>
      <c r="P202" s="395"/>
      <c r="Q202" s="395"/>
      <c r="R202" s="395"/>
      <c r="S202" s="395"/>
      <c r="T202" s="497"/>
      <c r="U202" s="395"/>
      <c r="V202" s="395"/>
      <c r="W202" s="395"/>
      <c r="X202" s="488"/>
      <c r="Y202" s="375"/>
      <c r="Z202" s="375"/>
      <c r="AA202" s="375"/>
      <c r="AB202" s="375"/>
      <c r="AC202" s="375"/>
    </row>
    <row r="203" spans="1:29" ht="13.2">
      <c r="A203" s="461"/>
      <c r="B203" s="395"/>
      <c r="C203" s="395"/>
      <c r="D203" s="495"/>
      <c r="E203" s="395"/>
      <c r="F203" s="395"/>
      <c r="G203" s="395"/>
      <c r="H203" s="395"/>
      <c r="I203" s="395"/>
      <c r="J203" s="395"/>
      <c r="K203" s="395"/>
      <c r="L203" s="395"/>
      <c r="M203" s="395"/>
      <c r="N203" s="395"/>
      <c r="O203" s="395"/>
      <c r="P203" s="395"/>
      <c r="Q203" s="395"/>
      <c r="R203" s="395"/>
      <c r="S203" s="395"/>
      <c r="T203" s="497"/>
      <c r="U203" s="395"/>
      <c r="V203" s="395"/>
      <c r="W203" s="395"/>
      <c r="X203" s="488"/>
      <c r="Y203" s="375"/>
      <c r="Z203" s="375"/>
      <c r="AA203" s="375"/>
      <c r="AB203" s="375"/>
      <c r="AC203" s="375"/>
    </row>
    <row r="204" spans="1:29" ht="13.2">
      <c r="A204" s="461"/>
      <c r="B204" s="395"/>
      <c r="C204" s="395"/>
      <c r="D204" s="495"/>
      <c r="E204" s="395"/>
      <c r="F204" s="395"/>
      <c r="G204" s="395"/>
      <c r="H204" s="395"/>
      <c r="I204" s="395"/>
      <c r="J204" s="395"/>
      <c r="K204" s="395"/>
      <c r="L204" s="395"/>
      <c r="M204" s="395"/>
      <c r="N204" s="395"/>
      <c r="O204" s="395"/>
      <c r="P204" s="395"/>
      <c r="Q204" s="395"/>
      <c r="R204" s="395"/>
      <c r="S204" s="395"/>
      <c r="T204" s="497"/>
      <c r="U204" s="395"/>
      <c r="V204" s="395"/>
      <c r="W204" s="395"/>
      <c r="X204" s="488"/>
      <c r="Y204" s="375"/>
      <c r="Z204" s="375"/>
      <c r="AA204" s="375"/>
      <c r="AB204" s="375"/>
      <c r="AC204" s="375"/>
    </row>
    <row r="205" spans="1:29" ht="13.2">
      <c r="A205" s="461"/>
      <c r="B205" s="395"/>
      <c r="C205" s="395"/>
      <c r="D205" s="495"/>
      <c r="E205" s="395"/>
      <c r="F205" s="395"/>
      <c r="G205" s="395"/>
      <c r="H205" s="395"/>
      <c r="I205" s="395"/>
      <c r="J205" s="395"/>
      <c r="K205" s="395"/>
      <c r="L205" s="395"/>
      <c r="M205" s="395"/>
      <c r="N205" s="395"/>
      <c r="O205" s="395"/>
      <c r="P205" s="395"/>
      <c r="Q205" s="395"/>
      <c r="R205" s="395"/>
      <c r="S205" s="395"/>
      <c r="T205" s="497"/>
      <c r="U205" s="395"/>
      <c r="V205" s="395"/>
      <c r="W205" s="395"/>
      <c r="X205" s="488"/>
      <c r="Y205" s="375"/>
      <c r="Z205" s="375"/>
      <c r="AA205" s="375"/>
      <c r="AB205" s="375"/>
      <c r="AC205" s="375"/>
    </row>
    <row r="206" spans="1:29" ht="13.2">
      <c r="A206" s="461"/>
      <c r="B206" s="395"/>
      <c r="C206" s="395"/>
      <c r="D206" s="495"/>
      <c r="E206" s="395"/>
      <c r="F206" s="395"/>
      <c r="G206" s="395"/>
      <c r="H206" s="395"/>
      <c r="I206" s="395"/>
      <c r="J206" s="395"/>
      <c r="K206" s="395"/>
      <c r="L206" s="395"/>
      <c r="M206" s="395"/>
      <c r="N206" s="395"/>
      <c r="O206" s="395"/>
      <c r="P206" s="395"/>
      <c r="Q206" s="395"/>
      <c r="R206" s="395"/>
      <c r="S206" s="395"/>
      <c r="T206" s="497"/>
      <c r="U206" s="395"/>
      <c r="V206" s="395"/>
      <c r="W206" s="395"/>
      <c r="X206" s="488"/>
      <c r="Y206" s="375"/>
      <c r="Z206" s="375"/>
      <c r="AA206" s="375"/>
      <c r="AB206" s="375"/>
      <c r="AC206" s="375"/>
    </row>
    <row r="207" spans="1:29" ht="13.2">
      <c r="A207" s="461"/>
      <c r="B207" s="395"/>
      <c r="C207" s="395"/>
      <c r="D207" s="495"/>
      <c r="E207" s="395"/>
      <c r="F207" s="395"/>
      <c r="G207" s="395"/>
      <c r="H207" s="395"/>
      <c r="I207" s="395"/>
      <c r="J207" s="395"/>
      <c r="K207" s="395"/>
      <c r="L207" s="395"/>
      <c r="M207" s="395"/>
      <c r="N207" s="395"/>
      <c r="O207" s="395"/>
      <c r="P207" s="395"/>
      <c r="Q207" s="395"/>
      <c r="R207" s="395"/>
      <c r="S207" s="395"/>
      <c r="T207" s="497"/>
      <c r="U207" s="395"/>
      <c r="V207" s="395"/>
      <c r="W207" s="395"/>
      <c r="X207" s="488"/>
      <c r="Y207" s="375"/>
      <c r="Z207" s="375"/>
      <c r="AA207" s="375"/>
      <c r="AB207" s="375"/>
      <c r="AC207" s="375"/>
    </row>
    <row r="208" spans="1:29" ht="13.2">
      <c r="A208" s="461"/>
      <c r="B208" s="395"/>
      <c r="C208" s="395"/>
      <c r="D208" s="495"/>
      <c r="E208" s="395"/>
      <c r="F208" s="395"/>
      <c r="G208" s="395"/>
      <c r="H208" s="395"/>
      <c r="I208" s="395"/>
      <c r="J208" s="395"/>
      <c r="K208" s="395"/>
      <c r="L208" s="395"/>
      <c r="M208" s="395"/>
      <c r="N208" s="395"/>
      <c r="O208" s="395"/>
      <c r="P208" s="395"/>
      <c r="Q208" s="395"/>
      <c r="R208" s="395"/>
      <c r="S208" s="395"/>
      <c r="T208" s="497"/>
      <c r="U208" s="395"/>
      <c r="V208" s="395"/>
      <c r="W208" s="395"/>
      <c r="X208" s="488"/>
      <c r="Y208" s="375"/>
      <c r="Z208" s="375"/>
      <c r="AA208" s="375"/>
      <c r="AB208" s="375"/>
      <c r="AC208" s="375"/>
    </row>
    <row r="209" spans="1:29" ht="13.2">
      <c r="A209" s="461"/>
      <c r="B209" s="395"/>
      <c r="C209" s="395"/>
      <c r="D209" s="495"/>
      <c r="E209" s="395"/>
      <c r="F209" s="395"/>
      <c r="G209" s="395"/>
      <c r="H209" s="395"/>
      <c r="I209" s="395"/>
      <c r="J209" s="395"/>
      <c r="K209" s="395"/>
      <c r="L209" s="395"/>
      <c r="M209" s="395"/>
      <c r="N209" s="395"/>
      <c r="O209" s="395"/>
      <c r="P209" s="395"/>
      <c r="Q209" s="395"/>
      <c r="R209" s="395"/>
      <c r="S209" s="395"/>
      <c r="T209" s="497"/>
      <c r="U209" s="395"/>
      <c r="V209" s="395"/>
      <c r="W209" s="395"/>
      <c r="X209" s="488"/>
      <c r="Y209" s="375"/>
      <c r="Z209" s="375"/>
      <c r="AA209" s="375"/>
      <c r="AB209" s="375"/>
      <c r="AC209" s="375"/>
    </row>
    <row r="210" spans="1:29" ht="13.2">
      <c r="A210" s="461"/>
      <c r="B210" s="395"/>
      <c r="C210" s="395"/>
      <c r="D210" s="495"/>
      <c r="E210" s="395"/>
      <c r="F210" s="395"/>
      <c r="G210" s="395"/>
      <c r="H210" s="395"/>
      <c r="I210" s="395"/>
      <c r="J210" s="395"/>
      <c r="K210" s="395"/>
      <c r="L210" s="395"/>
      <c r="M210" s="395"/>
      <c r="N210" s="395"/>
      <c r="O210" s="395"/>
      <c r="P210" s="395"/>
      <c r="Q210" s="395"/>
      <c r="R210" s="395"/>
      <c r="S210" s="395"/>
      <c r="T210" s="497"/>
      <c r="U210" s="395"/>
      <c r="V210" s="395"/>
      <c r="W210" s="395"/>
      <c r="X210" s="488"/>
      <c r="Y210" s="375"/>
      <c r="Z210" s="375"/>
      <c r="AA210" s="375"/>
      <c r="AB210" s="375"/>
      <c r="AC210" s="375"/>
    </row>
    <row r="211" spans="1:29" ht="13.2">
      <c r="A211" s="461"/>
      <c r="B211" s="395"/>
      <c r="C211" s="395"/>
      <c r="D211" s="495"/>
      <c r="E211" s="395"/>
      <c r="F211" s="395"/>
      <c r="G211" s="395"/>
      <c r="H211" s="395"/>
      <c r="I211" s="395"/>
      <c r="J211" s="395"/>
      <c r="K211" s="395"/>
      <c r="L211" s="395"/>
      <c r="M211" s="395"/>
      <c r="N211" s="395"/>
      <c r="O211" s="395"/>
      <c r="P211" s="395"/>
      <c r="Q211" s="395"/>
      <c r="R211" s="395"/>
      <c r="S211" s="395"/>
      <c r="T211" s="497"/>
      <c r="U211" s="395"/>
      <c r="V211" s="395"/>
      <c r="W211" s="395"/>
      <c r="X211" s="488"/>
      <c r="Y211" s="375"/>
      <c r="Z211" s="375"/>
      <c r="AA211" s="375"/>
      <c r="AB211" s="375"/>
      <c r="AC211" s="375"/>
    </row>
    <row r="212" spans="1:29" ht="13.2">
      <c r="A212" s="461"/>
      <c r="B212" s="395"/>
      <c r="C212" s="395"/>
      <c r="D212" s="495"/>
      <c r="E212" s="395"/>
      <c r="F212" s="395"/>
      <c r="G212" s="395"/>
      <c r="H212" s="395"/>
      <c r="I212" s="395"/>
      <c r="J212" s="395"/>
      <c r="K212" s="395"/>
      <c r="L212" s="395"/>
      <c r="M212" s="395"/>
      <c r="N212" s="395"/>
      <c r="O212" s="395"/>
      <c r="P212" s="395"/>
      <c r="Q212" s="395"/>
      <c r="R212" s="395"/>
      <c r="S212" s="395"/>
      <c r="T212" s="497"/>
      <c r="U212" s="395"/>
      <c r="V212" s="395"/>
      <c r="W212" s="395"/>
      <c r="X212" s="488"/>
      <c r="Y212" s="375"/>
      <c r="Z212" s="375"/>
      <c r="AA212" s="375"/>
      <c r="AB212" s="375"/>
      <c r="AC212" s="375"/>
    </row>
    <row r="213" spans="1:29" ht="13.2">
      <c r="A213" s="461"/>
      <c r="B213" s="395"/>
      <c r="C213" s="395"/>
      <c r="D213" s="495"/>
      <c r="E213" s="395"/>
      <c r="F213" s="395"/>
      <c r="G213" s="395"/>
      <c r="H213" s="395"/>
      <c r="I213" s="395"/>
      <c r="J213" s="395"/>
      <c r="K213" s="395"/>
      <c r="L213" s="395"/>
      <c r="M213" s="395"/>
      <c r="N213" s="395"/>
      <c r="O213" s="395"/>
      <c r="P213" s="395"/>
      <c r="Q213" s="395"/>
      <c r="R213" s="395"/>
      <c r="S213" s="395"/>
      <c r="T213" s="497"/>
      <c r="U213" s="395"/>
      <c r="V213" s="395"/>
      <c r="W213" s="395"/>
      <c r="X213" s="488"/>
      <c r="Y213" s="375"/>
      <c r="Z213" s="375"/>
      <c r="AA213" s="375"/>
      <c r="AB213" s="375"/>
      <c r="AC213" s="375"/>
    </row>
    <row r="214" spans="1:29" ht="13.2">
      <c r="A214" s="461"/>
      <c r="B214" s="395"/>
      <c r="C214" s="395"/>
      <c r="D214" s="495"/>
      <c r="E214" s="395"/>
      <c r="F214" s="395"/>
      <c r="G214" s="395"/>
      <c r="H214" s="395"/>
      <c r="I214" s="395"/>
      <c r="J214" s="395"/>
      <c r="K214" s="395"/>
      <c r="L214" s="395"/>
      <c r="M214" s="395"/>
      <c r="N214" s="395"/>
      <c r="O214" s="395"/>
      <c r="P214" s="395"/>
      <c r="Q214" s="395"/>
      <c r="R214" s="395"/>
      <c r="S214" s="395"/>
      <c r="T214" s="497"/>
      <c r="U214" s="395"/>
      <c r="V214" s="395"/>
      <c r="W214" s="395"/>
      <c r="X214" s="488"/>
      <c r="Y214" s="375"/>
      <c r="Z214" s="375"/>
      <c r="AA214" s="375"/>
      <c r="AB214" s="375"/>
      <c r="AC214" s="375"/>
    </row>
    <row r="215" spans="1:29" ht="13.2">
      <c r="A215" s="461"/>
      <c r="B215" s="395"/>
      <c r="C215" s="395"/>
      <c r="D215" s="495"/>
      <c r="E215" s="395"/>
      <c r="F215" s="395"/>
      <c r="G215" s="395"/>
      <c r="H215" s="395"/>
      <c r="I215" s="395"/>
      <c r="J215" s="395"/>
      <c r="K215" s="395"/>
      <c r="L215" s="395"/>
      <c r="M215" s="395"/>
      <c r="N215" s="395"/>
      <c r="O215" s="395"/>
      <c r="P215" s="395"/>
      <c r="Q215" s="395"/>
      <c r="R215" s="395"/>
      <c r="S215" s="395"/>
      <c r="T215" s="497"/>
      <c r="U215" s="395"/>
      <c r="V215" s="395"/>
      <c r="W215" s="395"/>
      <c r="X215" s="488"/>
      <c r="Y215" s="375"/>
      <c r="Z215" s="375"/>
      <c r="AA215" s="375"/>
      <c r="AB215" s="375"/>
      <c r="AC215" s="375"/>
    </row>
    <row r="216" spans="1:29" ht="13.2">
      <c r="A216" s="461"/>
      <c r="B216" s="395"/>
      <c r="C216" s="395"/>
      <c r="D216" s="495"/>
      <c r="E216" s="395"/>
      <c r="F216" s="395"/>
      <c r="G216" s="395"/>
      <c r="H216" s="395"/>
      <c r="I216" s="395"/>
      <c r="J216" s="395"/>
      <c r="K216" s="395"/>
      <c r="L216" s="395"/>
      <c r="M216" s="395"/>
      <c r="N216" s="395"/>
      <c r="O216" s="395"/>
      <c r="P216" s="395"/>
      <c r="Q216" s="395"/>
      <c r="R216" s="395"/>
      <c r="S216" s="395"/>
      <c r="T216" s="497"/>
      <c r="U216" s="395"/>
      <c r="V216" s="395"/>
      <c r="W216" s="395"/>
      <c r="X216" s="488"/>
      <c r="Y216" s="375"/>
      <c r="Z216" s="375"/>
      <c r="AA216" s="375"/>
      <c r="AB216" s="375"/>
      <c r="AC216" s="375"/>
    </row>
    <row r="217" spans="1:29" ht="13.2">
      <c r="A217" s="461"/>
      <c r="B217" s="395"/>
      <c r="C217" s="395"/>
      <c r="D217" s="495"/>
      <c r="E217" s="395"/>
      <c r="F217" s="395"/>
      <c r="G217" s="395"/>
      <c r="H217" s="395"/>
      <c r="I217" s="395"/>
      <c r="J217" s="395"/>
      <c r="K217" s="395"/>
      <c r="L217" s="395"/>
      <c r="M217" s="395"/>
      <c r="N217" s="395"/>
      <c r="O217" s="395"/>
      <c r="P217" s="395"/>
      <c r="Q217" s="395"/>
      <c r="R217" s="395"/>
      <c r="S217" s="395"/>
      <c r="T217" s="497"/>
      <c r="U217" s="395"/>
      <c r="V217" s="395"/>
      <c r="W217" s="395"/>
      <c r="X217" s="488"/>
      <c r="Y217" s="375"/>
      <c r="Z217" s="375"/>
      <c r="AA217" s="375"/>
      <c r="AB217" s="375"/>
      <c r="AC217" s="375"/>
    </row>
    <row r="218" spans="1:29" ht="13.2">
      <c r="A218" s="461"/>
      <c r="B218" s="395"/>
      <c r="C218" s="395"/>
      <c r="D218" s="509"/>
      <c r="E218" s="510"/>
      <c r="F218" s="510"/>
      <c r="G218" s="510"/>
      <c r="H218" s="510"/>
      <c r="I218" s="510"/>
      <c r="J218" s="510"/>
      <c r="K218" s="510"/>
      <c r="L218" s="510"/>
      <c r="M218" s="510"/>
      <c r="N218" s="510"/>
      <c r="O218" s="510"/>
      <c r="P218" s="510"/>
      <c r="Q218" s="510"/>
      <c r="R218" s="510"/>
      <c r="S218" s="510"/>
      <c r="T218" s="511"/>
      <c r="U218" s="395"/>
      <c r="V218" s="395"/>
      <c r="W218" s="395"/>
      <c r="X218" s="488"/>
      <c r="Y218" s="375"/>
      <c r="Z218" s="375"/>
      <c r="AA218" s="375"/>
      <c r="AB218" s="375"/>
      <c r="AC218" s="375"/>
    </row>
    <row r="219" spans="1:29" ht="13.2">
      <c r="A219" s="461"/>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488"/>
      <c r="Y219" s="375"/>
      <c r="Z219" s="375"/>
      <c r="AA219" s="375"/>
      <c r="AB219" s="375"/>
      <c r="AC219" s="375"/>
    </row>
    <row r="220" spans="1:29" ht="35.25" customHeight="1">
      <c r="A220" s="514"/>
      <c r="B220" s="515"/>
      <c r="C220" s="515"/>
      <c r="D220" s="515"/>
      <c r="E220" s="515"/>
      <c r="F220" s="515"/>
      <c r="G220" s="515"/>
      <c r="H220" s="515"/>
      <c r="I220" s="516" t="s">
        <v>276</v>
      </c>
      <c r="J220" s="515"/>
      <c r="K220" s="515"/>
      <c r="L220" s="515"/>
      <c r="M220" s="515"/>
      <c r="N220" s="515"/>
      <c r="O220" s="515"/>
      <c r="P220" s="515"/>
      <c r="Q220" s="515"/>
      <c r="R220" s="515"/>
      <c r="S220" s="515"/>
      <c r="T220" s="515"/>
      <c r="U220" s="515"/>
      <c r="V220" s="515"/>
      <c r="W220" s="515"/>
      <c r="X220" s="517"/>
      <c r="Y220" s="375"/>
      <c r="Z220" s="375"/>
      <c r="AA220" s="375"/>
      <c r="AB220" s="375"/>
      <c r="AC220" s="375"/>
    </row>
    <row r="221" spans="1:29" ht="13.2">
      <c r="A221" s="375"/>
      <c r="B221" s="375"/>
      <c r="C221" s="375"/>
      <c r="D221" s="375"/>
      <c r="E221" s="375"/>
      <c r="F221" s="375"/>
      <c r="G221" s="375"/>
      <c r="H221" s="375"/>
      <c r="I221" s="375"/>
      <c r="J221" s="375"/>
      <c r="K221" s="375"/>
      <c r="L221" s="375"/>
      <c r="M221" s="375"/>
      <c r="N221" s="375"/>
      <c r="O221" s="375"/>
      <c r="P221" s="375"/>
      <c r="Q221" s="375"/>
      <c r="R221" s="375"/>
      <c r="S221" s="375"/>
      <c r="T221" s="375"/>
      <c r="U221" s="375"/>
      <c r="V221" s="375"/>
      <c r="W221" s="375"/>
      <c r="X221" s="375"/>
      <c r="Y221" s="375"/>
      <c r="Z221" s="375"/>
      <c r="AA221" s="375"/>
      <c r="AB221" s="375"/>
      <c r="AC221" s="375"/>
    </row>
    <row r="222" spans="1:29" ht="13.2">
      <c r="A222" s="375"/>
      <c r="B222" s="375"/>
      <c r="C222" s="375"/>
      <c r="D222" s="375"/>
      <c r="E222" s="375"/>
      <c r="F222" s="375"/>
      <c r="G222" s="375"/>
      <c r="H222" s="375"/>
      <c r="I222" s="375"/>
      <c r="J222" s="375"/>
      <c r="K222" s="375"/>
      <c r="L222" s="375"/>
      <c r="M222" s="375"/>
      <c r="N222" s="375"/>
      <c r="O222" s="375"/>
      <c r="P222" s="375"/>
      <c r="Q222" s="375"/>
      <c r="R222" s="375"/>
      <c r="S222" s="375"/>
      <c r="T222" s="375"/>
      <c r="U222" s="375"/>
      <c r="V222" s="375"/>
      <c r="W222" s="375"/>
      <c r="X222" s="375"/>
      <c r="Y222" s="375"/>
      <c r="Z222" s="375"/>
      <c r="AA222" s="375"/>
      <c r="AB222" s="375"/>
      <c r="AC222" s="375"/>
    </row>
    <row r="223" spans="1:29" ht="13.2">
      <c r="A223" s="375"/>
      <c r="B223" s="375"/>
      <c r="C223" s="375"/>
      <c r="D223" s="375"/>
      <c r="E223" s="375"/>
      <c r="F223" s="375"/>
      <c r="G223" s="375"/>
      <c r="H223" s="375"/>
      <c r="I223" s="375"/>
      <c r="J223" s="375"/>
      <c r="K223" s="375"/>
      <c r="L223" s="375"/>
      <c r="M223" s="375"/>
      <c r="N223" s="375"/>
      <c r="O223" s="375"/>
      <c r="P223" s="375"/>
      <c r="Q223" s="375"/>
      <c r="R223" s="375"/>
      <c r="S223" s="375"/>
      <c r="T223" s="375"/>
      <c r="U223" s="375"/>
      <c r="V223" s="375"/>
      <c r="W223" s="375"/>
      <c r="X223" s="375"/>
      <c r="Y223" s="375"/>
      <c r="Z223" s="375"/>
      <c r="AA223" s="375"/>
      <c r="AB223" s="375"/>
      <c r="AC223" s="375"/>
    </row>
    <row r="224" spans="1:29" ht="13.2">
      <c r="A224" s="375"/>
      <c r="B224" s="375"/>
      <c r="C224" s="375"/>
      <c r="D224" s="375"/>
      <c r="E224" s="375"/>
      <c r="F224" s="375"/>
      <c r="G224" s="375"/>
      <c r="H224" s="375"/>
      <c r="I224" s="375"/>
      <c r="J224" s="375"/>
      <c r="K224" s="375"/>
      <c r="L224" s="375"/>
      <c r="M224" s="375"/>
      <c r="N224" s="375"/>
      <c r="O224" s="375"/>
      <c r="P224" s="375"/>
      <c r="Q224" s="375"/>
      <c r="R224" s="375"/>
      <c r="S224" s="375"/>
      <c r="T224" s="375"/>
      <c r="U224" s="375"/>
      <c r="V224" s="375"/>
      <c r="W224" s="375"/>
      <c r="X224" s="375"/>
      <c r="Y224" s="375"/>
      <c r="Z224" s="375"/>
      <c r="AA224" s="375"/>
      <c r="AB224" s="375"/>
      <c r="AC224" s="375"/>
    </row>
    <row r="225" spans="1:29" ht="13.2">
      <c r="A225" s="375"/>
      <c r="B225" s="375"/>
      <c r="C225" s="375"/>
      <c r="D225" s="375"/>
      <c r="E225" s="375"/>
      <c r="F225" s="375"/>
      <c r="G225" s="375"/>
      <c r="H225" s="375"/>
      <c r="I225" s="375"/>
      <c r="J225" s="375"/>
      <c r="K225" s="375"/>
      <c r="L225" s="375"/>
      <c r="M225" s="375"/>
      <c r="N225" s="375"/>
      <c r="O225" s="375"/>
      <c r="P225" s="375"/>
      <c r="Q225" s="375"/>
      <c r="R225" s="375"/>
      <c r="S225" s="375"/>
      <c r="T225" s="375"/>
      <c r="U225" s="375"/>
      <c r="V225" s="375"/>
      <c r="W225" s="375"/>
      <c r="X225" s="375"/>
      <c r="Y225" s="375"/>
      <c r="Z225" s="375"/>
      <c r="AA225" s="375"/>
      <c r="AB225" s="375"/>
      <c r="AC225" s="375"/>
    </row>
    <row r="226" spans="1:29" ht="13.2">
      <c r="A226" s="375"/>
      <c r="B226" s="375"/>
      <c r="C226" s="375"/>
      <c r="D226" s="375"/>
      <c r="E226" s="375"/>
      <c r="F226" s="375"/>
      <c r="G226" s="375"/>
      <c r="H226" s="375"/>
      <c r="I226" s="375"/>
      <c r="J226" s="375"/>
      <c r="K226" s="375"/>
      <c r="L226" s="375"/>
      <c r="M226" s="375"/>
      <c r="N226" s="375"/>
      <c r="O226" s="375"/>
      <c r="P226" s="375"/>
      <c r="Q226" s="375"/>
      <c r="R226" s="375"/>
      <c r="S226" s="375"/>
      <c r="T226" s="375"/>
      <c r="U226" s="375"/>
      <c r="V226" s="375"/>
      <c r="W226" s="375"/>
      <c r="X226" s="375"/>
      <c r="Y226" s="375"/>
      <c r="Z226" s="375"/>
      <c r="AA226" s="375"/>
      <c r="AB226" s="375"/>
      <c r="AC226" s="375"/>
    </row>
    <row r="227" spans="1:29" ht="13.2">
      <c r="A227" s="375"/>
      <c r="B227" s="375"/>
      <c r="C227" s="375"/>
      <c r="D227" s="375"/>
      <c r="E227" s="375"/>
      <c r="F227" s="375"/>
      <c r="G227" s="375"/>
      <c r="H227" s="375"/>
      <c r="I227" s="375"/>
      <c r="J227" s="375"/>
      <c r="K227" s="375"/>
      <c r="L227" s="375"/>
      <c r="M227" s="375"/>
      <c r="N227" s="375"/>
      <c r="O227" s="375"/>
      <c r="P227" s="375"/>
      <c r="Q227" s="375"/>
      <c r="R227" s="375"/>
      <c r="S227" s="375"/>
      <c r="T227" s="375"/>
      <c r="U227" s="375"/>
      <c r="V227" s="375"/>
      <c r="W227" s="375"/>
      <c r="X227" s="375"/>
      <c r="Y227" s="375"/>
      <c r="Z227" s="375"/>
      <c r="AA227" s="375"/>
      <c r="AB227" s="375"/>
      <c r="AC227" s="375"/>
    </row>
    <row r="228" spans="1:29" ht="13.2">
      <c r="A228" s="375"/>
      <c r="B228" s="375"/>
      <c r="C228" s="375"/>
      <c r="D228" s="375"/>
      <c r="E228" s="375"/>
      <c r="F228" s="375"/>
      <c r="G228" s="375"/>
      <c r="H228" s="375"/>
      <c r="I228" s="375"/>
      <c r="J228" s="375"/>
      <c r="K228" s="375"/>
      <c r="L228" s="375"/>
      <c r="M228" s="375"/>
      <c r="N228" s="375"/>
      <c r="O228" s="375"/>
      <c r="P228" s="375"/>
      <c r="Q228" s="375"/>
      <c r="R228" s="375"/>
      <c r="S228" s="375"/>
      <c r="T228" s="375"/>
      <c r="U228" s="375"/>
      <c r="V228" s="375"/>
      <c r="W228" s="375"/>
      <c r="X228" s="375"/>
      <c r="Y228" s="375"/>
      <c r="Z228" s="375"/>
      <c r="AA228" s="375"/>
      <c r="AB228" s="375"/>
      <c r="AC228" s="375"/>
    </row>
    <row r="229" spans="1:29" ht="13.2">
      <c r="A229" s="375"/>
      <c r="B229" s="375"/>
      <c r="C229" s="375"/>
      <c r="D229" s="375"/>
      <c r="E229" s="375"/>
      <c r="F229" s="375"/>
      <c r="G229" s="375"/>
      <c r="H229" s="375"/>
      <c r="I229" s="375"/>
      <c r="J229" s="375"/>
      <c r="K229" s="375"/>
      <c r="L229" s="375"/>
      <c r="M229" s="375"/>
      <c r="N229" s="375"/>
      <c r="O229" s="375"/>
      <c r="P229" s="375"/>
      <c r="Q229" s="375"/>
      <c r="R229" s="375"/>
      <c r="S229" s="375"/>
      <c r="T229" s="375"/>
      <c r="U229" s="375"/>
      <c r="V229" s="375"/>
      <c r="W229" s="375"/>
      <c r="X229" s="375"/>
      <c r="Y229" s="375"/>
      <c r="Z229" s="375"/>
      <c r="AA229" s="375"/>
      <c r="AB229" s="375"/>
      <c r="AC229" s="375"/>
    </row>
    <row r="230" spans="1:29" ht="13.2">
      <c r="A230" s="375"/>
      <c r="B230" s="375"/>
      <c r="C230" s="375"/>
      <c r="D230" s="375"/>
      <c r="E230" s="375"/>
      <c r="F230" s="375"/>
      <c r="G230" s="375"/>
      <c r="H230" s="375"/>
      <c r="I230" s="375"/>
      <c r="J230" s="375"/>
      <c r="K230" s="375"/>
      <c r="L230" s="375"/>
      <c r="M230" s="375"/>
      <c r="N230" s="375"/>
      <c r="O230" s="375"/>
      <c r="P230" s="375"/>
      <c r="Q230" s="375"/>
      <c r="R230" s="375"/>
      <c r="S230" s="375"/>
      <c r="T230" s="375"/>
      <c r="U230" s="375"/>
      <c r="V230" s="375"/>
      <c r="W230" s="375"/>
      <c r="X230" s="375"/>
      <c r="Y230" s="375"/>
      <c r="Z230" s="375"/>
      <c r="AA230" s="375"/>
      <c r="AB230" s="375"/>
      <c r="AC230" s="375"/>
    </row>
    <row r="231" spans="1:29" ht="13.2">
      <c r="A231" s="375"/>
      <c r="B231" s="375"/>
      <c r="C231" s="375"/>
      <c r="D231" s="375"/>
      <c r="E231" s="375"/>
      <c r="F231" s="375"/>
      <c r="G231" s="375"/>
      <c r="H231" s="375"/>
      <c r="I231" s="375"/>
      <c r="J231" s="375"/>
      <c r="K231" s="375"/>
      <c r="L231" s="375"/>
      <c r="M231" s="375"/>
      <c r="N231" s="375"/>
      <c r="O231" s="375"/>
      <c r="P231" s="375"/>
      <c r="Q231" s="375"/>
      <c r="R231" s="375"/>
      <c r="S231" s="375"/>
      <c r="T231" s="375"/>
      <c r="U231" s="375"/>
      <c r="V231" s="375"/>
      <c r="W231" s="375"/>
      <c r="X231" s="375"/>
      <c r="Y231" s="375"/>
      <c r="Z231" s="375"/>
      <c r="AA231" s="375"/>
      <c r="AB231" s="375"/>
      <c r="AC231" s="375"/>
    </row>
    <row r="232" spans="1:29" ht="13.2">
      <c r="A232" s="375"/>
      <c r="B232" s="375"/>
      <c r="C232" s="375"/>
      <c r="D232" s="375"/>
      <c r="E232" s="375"/>
      <c r="F232" s="375"/>
      <c r="G232" s="375"/>
      <c r="H232" s="375"/>
      <c r="I232" s="375"/>
      <c r="J232" s="375"/>
      <c r="K232" s="375"/>
      <c r="L232" s="375"/>
      <c r="M232" s="375"/>
      <c r="N232" s="375"/>
      <c r="O232" s="375"/>
      <c r="P232" s="375"/>
      <c r="Q232" s="375"/>
      <c r="R232" s="375"/>
      <c r="S232" s="375"/>
      <c r="T232" s="375"/>
      <c r="U232" s="375"/>
      <c r="V232" s="375"/>
      <c r="W232" s="375"/>
      <c r="X232" s="375"/>
      <c r="Y232" s="375"/>
      <c r="Z232" s="375"/>
      <c r="AA232" s="375"/>
      <c r="AB232" s="375"/>
      <c r="AC232" s="375"/>
    </row>
    <row r="233" spans="1:29" ht="13.2">
      <c r="A233" s="375"/>
      <c r="B233" s="375"/>
      <c r="C233" s="375"/>
      <c r="D233" s="375"/>
      <c r="E233" s="375"/>
      <c r="F233" s="375"/>
      <c r="G233" s="375"/>
      <c r="H233" s="375"/>
      <c r="I233" s="375"/>
      <c r="J233" s="375"/>
      <c r="K233" s="375"/>
      <c r="L233" s="375"/>
      <c r="M233" s="375"/>
      <c r="N233" s="375"/>
      <c r="O233" s="375"/>
      <c r="P233" s="375"/>
      <c r="Q233" s="375"/>
      <c r="R233" s="375"/>
      <c r="S233" s="375"/>
      <c r="T233" s="375"/>
      <c r="U233" s="375"/>
      <c r="V233" s="375"/>
      <c r="W233" s="375"/>
      <c r="X233" s="375"/>
      <c r="Y233" s="375"/>
      <c r="Z233" s="375"/>
      <c r="AA233" s="375"/>
      <c r="AB233" s="375"/>
      <c r="AC233" s="375"/>
    </row>
    <row r="234" spans="1:29" ht="13.2">
      <c r="A234" s="375"/>
      <c r="B234" s="375"/>
      <c r="C234" s="375"/>
      <c r="D234" s="375"/>
      <c r="E234" s="375"/>
      <c r="F234" s="375"/>
      <c r="G234" s="375"/>
      <c r="H234" s="375"/>
      <c r="I234" s="375"/>
      <c r="J234" s="375"/>
      <c r="K234" s="375"/>
      <c r="L234" s="375"/>
      <c r="M234" s="375"/>
      <c r="N234" s="375"/>
      <c r="O234" s="375"/>
      <c r="P234" s="375"/>
      <c r="Q234" s="375"/>
      <c r="R234" s="375"/>
      <c r="S234" s="375"/>
      <c r="T234" s="375"/>
      <c r="U234" s="375"/>
      <c r="V234" s="375"/>
      <c r="W234" s="375"/>
      <c r="X234" s="375"/>
      <c r="Y234" s="375"/>
      <c r="Z234" s="375"/>
      <c r="AA234" s="375"/>
      <c r="AB234" s="375"/>
      <c r="AC234" s="375"/>
    </row>
    <row r="235" spans="1:29" ht="13.2">
      <c r="A235" s="375"/>
      <c r="B235" s="375"/>
      <c r="C235" s="375"/>
      <c r="D235" s="375"/>
      <c r="E235" s="375"/>
      <c r="F235" s="375"/>
      <c r="G235" s="375"/>
      <c r="H235" s="375"/>
      <c r="I235" s="375"/>
      <c r="J235" s="375"/>
      <c r="K235" s="375"/>
      <c r="L235" s="375"/>
      <c r="M235" s="375"/>
      <c r="N235" s="375"/>
      <c r="O235" s="375"/>
      <c r="P235" s="375"/>
      <c r="Q235" s="375"/>
      <c r="R235" s="375"/>
      <c r="S235" s="375"/>
      <c r="T235" s="375"/>
      <c r="U235" s="375"/>
      <c r="V235" s="375"/>
      <c r="W235" s="375"/>
      <c r="X235" s="375"/>
      <c r="Y235" s="375"/>
      <c r="Z235" s="375"/>
      <c r="AA235" s="375"/>
      <c r="AB235" s="375"/>
      <c r="AC235" s="375"/>
    </row>
    <row r="236" spans="1:29" ht="13.2">
      <c r="A236" s="375"/>
      <c r="B236" s="375"/>
      <c r="C236" s="375"/>
      <c r="D236" s="375"/>
      <c r="E236" s="375"/>
      <c r="F236" s="375"/>
      <c r="G236" s="375"/>
      <c r="H236" s="375"/>
      <c r="I236" s="375"/>
      <c r="J236" s="375"/>
      <c r="K236" s="375"/>
      <c r="L236" s="375"/>
      <c r="M236" s="375"/>
      <c r="N236" s="375"/>
      <c r="O236" s="375"/>
      <c r="P236" s="375"/>
      <c r="Q236" s="375"/>
      <c r="R236" s="375"/>
      <c r="S236" s="375"/>
      <c r="T236" s="375"/>
      <c r="U236" s="375"/>
      <c r="V236" s="375"/>
      <c r="W236" s="375"/>
      <c r="X236" s="375"/>
      <c r="Y236" s="375"/>
      <c r="Z236" s="375"/>
      <c r="AA236" s="375"/>
      <c r="AB236" s="375"/>
      <c r="AC236" s="375"/>
    </row>
    <row r="237" spans="1:29" ht="13.2">
      <c r="A237" s="375"/>
      <c r="B237" s="375"/>
      <c r="C237" s="375"/>
      <c r="D237" s="375"/>
      <c r="E237" s="375"/>
      <c r="F237" s="375"/>
      <c r="G237" s="375"/>
      <c r="H237" s="375"/>
      <c r="I237" s="375"/>
      <c r="J237" s="375"/>
      <c r="K237" s="375"/>
      <c r="L237" s="375"/>
      <c r="M237" s="375"/>
      <c r="N237" s="375"/>
      <c r="O237" s="375"/>
      <c r="P237" s="375"/>
      <c r="Q237" s="375"/>
      <c r="R237" s="375"/>
      <c r="S237" s="375"/>
      <c r="T237" s="375"/>
      <c r="U237" s="375"/>
      <c r="V237" s="375"/>
      <c r="W237" s="375"/>
      <c r="X237" s="375"/>
      <c r="Y237" s="375"/>
      <c r="Z237" s="375"/>
      <c r="AA237" s="375"/>
      <c r="AB237" s="375"/>
      <c r="AC237" s="375"/>
    </row>
    <row r="238" spans="1:29" ht="13.2">
      <c r="A238" s="375"/>
      <c r="B238" s="375"/>
      <c r="C238" s="375"/>
      <c r="D238" s="375"/>
      <c r="E238" s="375"/>
      <c r="F238" s="375"/>
      <c r="G238" s="375"/>
      <c r="H238" s="375"/>
      <c r="I238" s="375"/>
      <c r="J238" s="375"/>
      <c r="K238" s="375"/>
      <c r="L238" s="375"/>
      <c r="M238" s="375"/>
      <c r="N238" s="375"/>
      <c r="O238" s="375"/>
      <c r="P238" s="375"/>
      <c r="Q238" s="375"/>
      <c r="R238" s="375"/>
      <c r="S238" s="375"/>
      <c r="T238" s="375"/>
      <c r="U238" s="375"/>
      <c r="V238" s="375"/>
      <c r="W238" s="375"/>
      <c r="X238" s="375"/>
      <c r="Y238" s="375"/>
      <c r="Z238" s="375"/>
      <c r="AA238" s="375"/>
      <c r="AB238" s="375"/>
      <c r="AC238" s="375"/>
    </row>
    <row r="239" spans="1:29" ht="13.2">
      <c r="A239" s="375"/>
      <c r="B239" s="375"/>
      <c r="C239" s="375"/>
      <c r="D239" s="375"/>
      <c r="E239" s="375"/>
      <c r="F239" s="375"/>
      <c r="G239" s="375"/>
      <c r="H239" s="375"/>
      <c r="I239" s="375"/>
      <c r="J239" s="375"/>
      <c r="K239" s="375"/>
      <c r="L239" s="375"/>
      <c r="M239" s="375"/>
      <c r="N239" s="375"/>
      <c r="O239" s="375"/>
      <c r="P239" s="375"/>
      <c r="Q239" s="375"/>
      <c r="R239" s="375"/>
      <c r="S239" s="375"/>
      <c r="T239" s="375"/>
      <c r="U239" s="375"/>
      <c r="V239" s="375"/>
      <c r="W239" s="375"/>
      <c r="X239" s="375"/>
      <c r="Y239" s="375"/>
      <c r="Z239" s="375"/>
      <c r="AA239" s="375"/>
      <c r="AB239" s="375"/>
      <c r="AC239" s="375"/>
    </row>
    <row r="240" spans="1:29" ht="13.2">
      <c r="A240" s="375"/>
      <c r="B240" s="375"/>
      <c r="C240" s="375"/>
      <c r="D240" s="375"/>
      <c r="E240" s="375"/>
      <c r="F240" s="375"/>
      <c r="G240" s="375"/>
      <c r="H240" s="375"/>
      <c r="I240" s="375"/>
      <c r="J240" s="375"/>
      <c r="K240" s="375"/>
      <c r="L240" s="375"/>
      <c r="M240" s="375"/>
      <c r="N240" s="375"/>
      <c r="O240" s="375"/>
      <c r="P240" s="375"/>
      <c r="Q240" s="375"/>
      <c r="R240" s="375"/>
      <c r="S240" s="375"/>
      <c r="T240" s="375"/>
      <c r="U240" s="375"/>
      <c r="V240" s="375"/>
      <c r="W240" s="375"/>
      <c r="X240" s="375"/>
      <c r="Y240" s="375"/>
      <c r="Z240" s="375"/>
      <c r="AA240" s="375"/>
      <c r="AB240" s="375"/>
      <c r="AC240" s="375"/>
    </row>
    <row r="241" spans="1:29" ht="13.2">
      <c r="A241" s="375"/>
      <c r="B241" s="375"/>
      <c r="C241" s="375"/>
      <c r="D241" s="375"/>
      <c r="E241" s="375"/>
      <c r="F241" s="375"/>
      <c r="G241" s="375"/>
      <c r="H241" s="375"/>
      <c r="I241" s="375"/>
      <c r="J241" s="375"/>
      <c r="K241" s="375"/>
      <c r="L241" s="375"/>
      <c r="M241" s="375"/>
      <c r="N241" s="375"/>
      <c r="O241" s="375"/>
      <c r="P241" s="375"/>
      <c r="Q241" s="375"/>
      <c r="R241" s="375"/>
      <c r="S241" s="375"/>
      <c r="T241" s="375"/>
      <c r="U241" s="375"/>
      <c r="V241" s="375"/>
      <c r="W241" s="375"/>
      <c r="X241" s="375"/>
      <c r="Y241" s="375"/>
      <c r="Z241" s="375"/>
      <c r="AA241" s="375"/>
      <c r="AB241" s="375"/>
      <c r="AC241" s="375"/>
    </row>
    <row r="242" spans="1:29" ht="13.2">
      <c r="A242" s="375"/>
      <c r="B242" s="375"/>
      <c r="C242" s="375"/>
      <c r="D242" s="375"/>
      <c r="E242" s="375"/>
      <c r="F242" s="375"/>
      <c r="G242" s="375"/>
      <c r="H242" s="375"/>
      <c r="I242" s="375"/>
      <c r="J242" s="375"/>
      <c r="K242" s="375"/>
      <c r="L242" s="375"/>
      <c r="M242" s="375"/>
      <c r="N242" s="375"/>
      <c r="O242" s="375"/>
      <c r="P242" s="375"/>
      <c r="Q242" s="375"/>
      <c r="R242" s="375"/>
      <c r="S242" s="375"/>
      <c r="T242" s="375"/>
      <c r="U242" s="375"/>
      <c r="V242" s="375"/>
      <c r="W242" s="375"/>
      <c r="X242" s="375"/>
      <c r="Y242" s="375"/>
      <c r="Z242" s="375"/>
      <c r="AA242" s="375"/>
      <c r="AB242" s="375"/>
      <c r="AC242" s="375"/>
    </row>
    <row r="243" spans="1:29" ht="13.2">
      <c r="A243" s="375"/>
      <c r="B243" s="375"/>
      <c r="C243" s="375"/>
      <c r="D243" s="375"/>
      <c r="E243" s="375"/>
      <c r="F243" s="375"/>
      <c r="G243" s="375"/>
      <c r="H243" s="375"/>
      <c r="I243" s="375"/>
      <c r="J243" s="375"/>
      <c r="K243" s="375"/>
      <c r="L243" s="375"/>
      <c r="M243" s="375"/>
      <c r="N243" s="375"/>
      <c r="O243" s="375"/>
      <c r="P243" s="375"/>
      <c r="Q243" s="375"/>
      <c r="R243" s="375"/>
      <c r="S243" s="375"/>
      <c r="T243" s="375"/>
      <c r="U243" s="375"/>
      <c r="V243" s="375"/>
      <c r="W243" s="375"/>
      <c r="X243" s="375"/>
      <c r="Y243" s="375"/>
      <c r="Z243" s="375"/>
      <c r="AA243" s="375"/>
      <c r="AB243" s="375"/>
      <c r="AC243" s="375"/>
    </row>
    <row r="244" spans="1:29" ht="13.2">
      <c r="A244" s="375"/>
      <c r="B244" s="375"/>
      <c r="C244" s="375"/>
      <c r="D244" s="375"/>
      <c r="E244" s="375"/>
      <c r="F244" s="375"/>
      <c r="G244" s="375"/>
      <c r="H244" s="375"/>
      <c r="I244" s="375"/>
      <c r="J244" s="375"/>
      <c r="K244" s="375"/>
      <c r="L244" s="375"/>
      <c r="M244" s="375"/>
      <c r="N244" s="375"/>
      <c r="O244" s="375"/>
      <c r="P244" s="375"/>
      <c r="Q244" s="375"/>
      <c r="R244" s="375"/>
      <c r="S244" s="375"/>
      <c r="T244" s="375"/>
      <c r="U244" s="375"/>
      <c r="V244" s="375"/>
      <c r="W244" s="375"/>
      <c r="X244" s="375"/>
      <c r="Y244" s="375"/>
      <c r="Z244" s="375"/>
      <c r="AA244" s="375"/>
      <c r="AB244" s="375"/>
      <c r="AC244" s="375"/>
    </row>
    <row r="245" spans="1:29" ht="13.2">
      <c r="A245" s="375"/>
      <c r="B245" s="375"/>
      <c r="C245" s="375"/>
      <c r="D245" s="375"/>
      <c r="E245" s="375"/>
      <c r="F245" s="375"/>
      <c r="G245" s="375"/>
      <c r="H245" s="375"/>
      <c r="I245" s="375"/>
      <c r="J245" s="375"/>
      <c r="K245" s="375"/>
      <c r="L245" s="375"/>
      <c r="M245" s="375"/>
      <c r="N245" s="375"/>
      <c r="O245" s="375"/>
      <c r="P245" s="375"/>
      <c r="Q245" s="375"/>
      <c r="R245" s="375"/>
      <c r="S245" s="375"/>
      <c r="T245" s="375"/>
      <c r="U245" s="375"/>
      <c r="V245" s="375"/>
      <c r="W245" s="375"/>
      <c r="X245" s="375"/>
      <c r="Y245" s="375"/>
      <c r="Z245" s="375"/>
      <c r="AA245" s="375"/>
      <c r="AB245" s="375"/>
      <c r="AC245" s="375"/>
    </row>
    <row r="246" spans="1:29" ht="13.2">
      <c r="A246" s="375"/>
      <c r="B246" s="375"/>
      <c r="C246" s="375"/>
      <c r="D246" s="375"/>
      <c r="E246" s="375"/>
      <c r="F246" s="375"/>
      <c r="G246" s="375"/>
      <c r="H246" s="375"/>
      <c r="I246" s="375"/>
      <c r="J246" s="375"/>
      <c r="K246" s="375"/>
      <c r="L246" s="375"/>
      <c r="M246" s="375"/>
      <c r="N246" s="375"/>
      <c r="O246" s="375"/>
      <c r="P246" s="375"/>
      <c r="Q246" s="375"/>
      <c r="R246" s="375"/>
      <c r="S246" s="375"/>
      <c r="T246" s="375"/>
      <c r="U246" s="375"/>
      <c r="V246" s="375"/>
      <c r="W246" s="375"/>
      <c r="X246" s="375"/>
      <c r="Y246" s="375"/>
      <c r="Z246" s="375"/>
      <c r="AA246" s="375"/>
      <c r="AB246" s="375"/>
      <c r="AC246" s="375"/>
    </row>
    <row r="247" spans="1:29" ht="13.2">
      <c r="A247" s="375"/>
      <c r="B247" s="375"/>
      <c r="C247" s="375"/>
      <c r="D247" s="375"/>
      <c r="E247" s="375"/>
      <c r="F247" s="375"/>
      <c r="G247" s="375"/>
      <c r="H247" s="375"/>
      <c r="I247" s="375"/>
      <c r="J247" s="375"/>
      <c r="K247" s="375"/>
      <c r="L247" s="375"/>
      <c r="M247" s="375"/>
      <c r="N247" s="375"/>
      <c r="O247" s="375"/>
      <c r="P247" s="375"/>
      <c r="Q247" s="375"/>
      <c r="R247" s="375"/>
      <c r="S247" s="375"/>
      <c r="T247" s="375"/>
      <c r="U247" s="375"/>
      <c r="V247" s="375"/>
      <c r="W247" s="375"/>
      <c r="X247" s="375"/>
      <c r="Y247" s="375"/>
      <c r="Z247" s="375"/>
      <c r="AA247" s="375"/>
      <c r="AB247" s="375"/>
      <c r="AC247" s="375"/>
    </row>
    <row r="248" spans="1:29" ht="13.2">
      <c r="A248" s="375"/>
      <c r="B248" s="375"/>
      <c r="C248" s="375"/>
      <c r="D248" s="375"/>
      <c r="E248" s="375"/>
      <c r="F248" s="375"/>
      <c r="G248" s="375"/>
      <c r="H248" s="375"/>
      <c r="I248" s="375"/>
      <c r="J248" s="375"/>
      <c r="K248" s="375"/>
      <c r="L248" s="375"/>
      <c r="M248" s="375"/>
      <c r="N248" s="375"/>
      <c r="O248" s="375"/>
      <c r="P248" s="375"/>
      <c r="Q248" s="375"/>
      <c r="R248" s="375"/>
      <c r="S248" s="375"/>
      <c r="T248" s="375"/>
      <c r="U248" s="375"/>
      <c r="V248" s="375"/>
      <c r="W248" s="375"/>
      <c r="X248" s="375"/>
      <c r="Y248" s="375"/>
      <c r="Z248" s="375"/>
      <c r="AA248" s="375"/>
      <c r="AB248" s="375"/>
      <c r="AC248" s="375"/>
    </row>
    <row r="249" spans="1:29" ht="13.2">
      <c r="A249" s="375"/>
      <c r="B249" s="375"/>
      <c r="C249" s="375"/>
      <c r="D249" s="375"/>
      <c r="E249" s="375"/>
      <c r="F249" s="375"/>
      <c r="G249" s="375"/>
      <c r="H249" s="375"/>
      <c r="I249" s="375"/>
      <c r="J249" s="375"/>
      <c r="K249" s="375"/>
      <c r="L249" s="375"/>
      <c r="M249" s="375"/>
      <c r="N249" s="375"/>
      <c r="O249" s="375"/>
      <c r="P249" s="375"/>
      <c r="Q249" s="375"/>
      <c r="R249" s="375"/>
      <c r="S249" s="375"/>
      <c r="T249" s="375"/>
      <c r="U249" s="375"/>
      <c r="V249" s="375"/>
      <c r="W249" s="375"/>
      <c r="X249" s="375"/>
      <c r="Y249" s="375"/>
      <c r="Z249" s="375"/>
      <c r="AA249" s="375"/>
      <c r="AB249" s="375"/>
      <c r="AC249" s="375"/>
    </row>
    <row r="250" spans="1:29" ht="13.2">
      <c r="A250" s="375"/>
      <c r="B250" s="375"/>
      <c r="C250" s="375"/>
      <c r="D250" s="375"/>
      <c r="E250" s="375"/>
      <c r="F250" s="375"/>
      <c r="G250" s="375"/>
      <c r="H250" s="375"/>
      <c r="I250" s="375"/>
      <c r="J250" s="375"/>
      <c r="K250" s="375"/>
      <c r="L250" s="375"/>
      <c r="M250" s="375"/>
      <c r="N250" s="375"/>
      <c r="O250" s="375"/>
      <c r="P250" s="375"/>
      <c r="Q250" s="375"/>
      <c r="R250" s="375"/>
      <c r="S250" s="375"/>
      <c r="T250" s="375"/>
      <c r="U250" s="375"/>
      <c r="V250" s="375"/>
      <c r="W250" s="375"/>
      <c r="X250" s="375"/>
      <c r="Y250" s="375"/>
      <c r="Z250" s="375"/>
      <c r="AA250" s="375"/>
      <c r="AB250" s="375"/>
      <c r="AC250" s="375"/>
    </row>
    <row r="251" spans="1:29" ht="13.2">
      <c r="A251" s="375"/>
      <c r="B251" s="375"/>
      <c r="C251" s="375"/>
      <c r="D251" s="375"/>
      <c r="E251" s="375"/>
      <c r="F251" s="375"/>
      <c r="G251" s="375"/>
      <c r="H251" s="375"/>
      <c r="I251" s="375"/>
      <c r="J251" s="375"/>
      <c r="K251" s="375"/>
      <c r="L251" s="375"/>
      <c r="M251" s="375"/>
      <c r="N251" s="375"/>
      <c r="O251" s="375"/>
      <c r="P251" s="375"/>
      <c r="Q251" s="375"/>
      <c r="R251" s="375"/>
      <c r="S251" s="375"/>
      <c r="T251" s="375"/>
      <c r="U251" s="375"/>
      <c r="V251" s="375"/>
      <c r="W251" s="375"/>
      <c r="X251" s="375"/>
      <c r="Y251" s="375"/>
      <c r="Z251" s="375"/>
      <c r="AA251" s="375"/>
      <c r="AB251" s="375"/>
      <c r="AC251" s="375"/>
    </row>
    <row r="252" spans="1:29" ht="13.2">
      <c r="A252" s="375"/>
      <c r="B252" s="375"/>
      <c r="C252" s="375"/>
      <c r="D252" s="375"/>
      <c r="E252" s="375"/>
      <c r="F252" s="375"/>
      <c r="G252" s="375"/>
      <c r="H252" s="375"/>
      <c r="I252" s="375"/>
      <c r="J252" s="375"/>
      <c r="K252" s="375"/>
      <c r="L252" s="375"/>
      <c r="M252" s="375"/>
      <c r="N252" s="375"/>
      <c r="O252" s="375"/>
      <c r="P252" s="375"/>
      <c r="Q252" s="375"/>
      <c r="R252" s="375"/>
      <c r="S252" s="375"/>
      <c r="T252" s="375"/>
      <c r="U252" s="375"/>
      <c r="V252" s="375"/>
      <c r="W252" s="375"/>
      <c r="X252" s="375"/>
      <c r="Y252" s="375"/>
      <c r="Z252" s="375"/>
      <c r="AA252" s="375"/>
      <c r="AB252" s="375"/>
      <c r="AC252" s="375"/>
    </row>
    <row r="253" spans="1:29" ht="13.2">
      <c r="A253" s="375"/>
      <c r="B253" s="375"/>
      <c r="C253" s="375"/>
      <c r="D253" s="375"/>
      <c r="E253" s="375"/>
      <c r="F253" s="375"/>
      <c r="G253" s="375"/>
      <c r="H253" s="375"/>
      <c r="I253" s="375"/>
      <c r="J253" s="375"/>
      <c r="K253" s="375"/>
      <c r="L253" s="375"/>
      <c r="M253" s="375"/>
      <c r="N253" s="375"/>
      <c r="O253" s="375"/>
      <c r="P253" s="375"/>
      <c r="Q253" s="375"/>
      <c r="R253" s="375"/>
      <c r="S253" s="375"/>
      <c r="T253" s="375"/>
      <c r="U253" s="375"/>
      <c r="V253" s="375"/>
      <c r="W253" s="375"/>
      <c r="X253" s="375"/>
      <c r="Y253" s="375"/>
      <c r="Z253" s="375"/>
      <c r="AA253" s="375"/>
      <c r="AB253" s="375"/>
      <c r="AC253" s="375"/>
    </row>
    <row r="254" spans="1:29" ht="13.2">
      <c r="A254" s="375"/>
      <c r="B254" s="375"/>
      <c r="C254" s="375"/>
      <c r="D254" s="375"/>
      <c r="E254" s="375"/>
      <c r="F254" s="375"/>
      <c r="G254" s="375"/>
      <c r="H254" s="375"/>
      <c r="I254" s="375"/>
      <c r="J254" s="375"/>
      <c r="K254" s="375"/>
      <c r="L254" s="375"/>
      <c r="M254" s="375"/>
      <c r="N254" s="375"/>
      <c r="O254" s="375"/>
      <c r="P254" s="375"/>
      <c r="Q254" s="375"/>
      <c r="R254" s="375"/>
      <c r="S254" s="375"/>
      <c r="T254" s="375"/>
      <c r="U254" s="375"/>
      <c r="V254" s="375"/>
      <c r="W254" s="375"/>
      <c r="X254" s="375"/>
      <c r="Y254" s="375"/>
      <c r="Z254" s="375"/>
      <c r="AA254" s="375"/>
      <c r="AB254" s="375"/>
      <c r="AC254" s="375"/>
    </row>
    <row r="255" spans="1:29" ht="13.2">
      <c r="A255" s="375"/>
      <c r="B255" s="375"/>
      <c r="C255" s="375"/>
      <c r="D255" s="375"/>
      <c r="E255" s="375"/>
      <c r="F255" s="375"/>
      <c r="G255" s="375"/>
      <c r="H255" s="375"/>
      <c r="I255" s="375"/>
      <c r="J255" s="375"/>
      <c r="K255" s="375"/>
      <c r="L255" s="375"/>
      <c r="M255" s="375"/>
      <c r="N255" s="375"/>
      <c r="O255" s="375"/>
      <c r="P255" s="375"/>
      <c r="Q255" s="375"/>
      <c r="R255" s="375"/>
      <c r="S255" s="375"/>
      <c r="T255" s="375"/>
      <c r="U255" s="375"/>
      <c r="V255" s="375"/>
      <c r="W255" s="375"/>
      <c r="X255" s="375"/>
      <c r="Y255" s="375"/>
      <c r="Z255" s="375"/>
      <c r="AA255" s="375"/>
      <c r="AB255" s="375"/>
      <c r="AC255" s="375"/>
    </row>
    <row r="256" spans="1:29" ht="13.2">
      <c r="A256" s="375"/>
      <c r="B256" s="375"/>
      <c r="C256" s="375"/>
      <c r="D256" s="375"/>
      <c r="E256" s="375"/>
      <c r="F256" s="375"/>
      <c r="G256" s="375"/>
      <c r="H256" s="375"/>
      <c r="I256" s="375"/>
      <c r="J256" s="375"/>
      <c r="K256" s="375"/>
      <c r="L256" s="375"/>
      <c r="M256" s="375"/>
      <c r="N256" s="375"/>
      <c r="O256" s="375"/>
      <c r="P256" s="375"/>
      <c r="Q256" s="375"/>
      <c r="R256" s="375"/>
      <c r="S256" s="375"/>
      <c r="T256" s="375"/>
      <c r="U256" s="375"/>
      <c r="V256" s="375"/>
      <c r="W256" s="375"/>
      <c r="X256" s="375"/>
      <c r="Y256" s="375"/>
      <c r="Z256" s="375"/>
      <c r="AA256" s="375"/>
      <c r="AB256" s="375"/>
      <c r="AC256" s="375"/>
    </row>
    <row r="257" spans="1:29" ht="13.2">
      <c r="A257" s="375"/>
      <c r="B257" s="375"/>
      <c r="C257" s="375"/>
      <c r="D257" s="375"/>
      <c r="E257" s="375"/>
      <c r="F257" s="375"/>
      <c r="G257" s="375"/>
      <c r="H257" s="375"/>
      <c r="I257" s="375"/>
      <c r="J257" s="375"/>
      <c r="K257" s="375"/>
      <c r="L257" s="375"/>
      <c r="M257" s="375"/>
      <c r="N257" s="375"/>
      <c r="O257" s="375"/>
      <c r="P257" s="375"/>
      <c r="Q257" s="375"/>
      <c r="R257" s="375"/>
      <c r="S257" s="375"/>
      <c r="T257" s="375"/>
      <c r="U257" s="375"/>
      <c r="V257" s="375"/>
      <c r="W257" s="375"/>
      <c r="X257" s="375"/>
      <c r="Y257" s="375"/>
      <c r="Z257" s="375"/>
      <c r="AA257" s="375"/>
      <c r="AB257" s="375"/>
      <c r="AC257" s="375"/>
    </row>
    <row r="258" spans="1:29" ht="13.2">
      <c r="A258" s="375"/>
      <c r="B258" s="375"/>
      <c r="C258" s="375"/>
      <c r="D258" s="375"/>
      <c r="E258" s="375"/>
      <c r="F258" s="375"/>
      <c r="G258" s="375"/>
      <c r="H258" s="375"/>
      <c r="I258" s="375"/>
      <c r="J258" s="375"/>
      <c r="K258" s="375"/>
      <c r="L258" s="375"/>
      <c r="M258" s="375"/>
      <c r="N258" s="375"/>
      <c r="O258" s="375"/>
      <c r="P258" s="375"/>
      <c r="Q258" s="375"/>
      <c r="R258" s="375"/>
      <c r="S258" s="375"/>
      <c r="T258" s="375"/>
      <c r="U258" s="375"/>
      <c r="V258" s="375"/>
      <c r="W258" s="375"/>
      <c r="X258" s="375"/>
      <c r="Y258" s="375"/>
      <c r="Z258" s="375"/>
      <c r="AA258" s="375"/>
      <c r="AB258" s="375"/>
      <c r="AC258" s="375"/>
    </row>
    <row r="259" spans="1:29" ht="13.2">
      <c r="A259" s="375"/>
      <c r="B259" s="375"/>
      <c r="C259" s="375"/>
      <c r="D259" s="375"/>
      <c r="E259" s="375"/>
      <c r="F259" s="375"/>
      <c r="G259" s="375"/>
      <c r="H259" s="375"/>
      <c r="I259" s="375"/>
      <c r="J259" s="375"/>
      <c r="K259" s="375"/>
      <c r="L259" s="375"/>
      <c r="M259" s="375"/>
      <c r="N259" s="375"/>
      <c r="O259" s="375"/>
      <c r="P259" s="375"/>
      <c r="Q259" s="375"/>
      <c r="R259" s="375"/>
      <c r="S259" s="375"/>
      <c r="T259" s="375"/>
      <c r="U259" s="375"/>
      <c r="V259" s="375"/>
      <c r="W259" s="375"/>
      <c r="X259" s="375"/>
      <c r="Y259" s="375"/>
      <c r="Z259" s="375"/>
      <c r="AA259" s="375"/>
      <c r="AB259" s="375"/>
      <c r="AC259" s="375"/>
    </row>
    <row r="260" spans="1:29" ht="13.2">
      <c r="A260" s="375"/>
      <c r="B260" s="375"/>
      <c r="C260" s="375"/>
      <c r="D260" s="375"/>
      <c r="E260" s="375"/>
      <c r="F260" s="375"/>
      <c r="G260" s="375"/>
      <c r="H260" s="375"/>
      <c r="I260" s="375"/>
      <c r="J260" s="375"/>
      <c r="K260" s="375"/>
      <c r="L260" s="375"/>
      <c r="M260" s="375"/>
      <c r="N260" s="375"/>
      <c r="O260" s="375"/>
      <c r="P260" s="375"/>
      <c r="Q260" s="375"/>
      <c r="R260" s="375"/>
      <c r="S260" s="375"/>
      <c r="T260" s="375"/>
      <c r="U260" s="375"/>
      <c r="V260" s="375"/>
      <c r="W260" s="375"/>
      <c r="X260" s="375"/>
      <c r="Y260" s="375"/>
      <c r="Z260" s="375"/>
      <c r="AA260" s="375"/>
      <c r="AB260" s="375"/>
      <c r="AC260" s="375"/>
    </row>
    <row r="261" spans="1:29" ht="13.2">
      <c r="A261" s="375"/>
      <c r="B261" s="375"/>
      <c r="C261" s="375"/>
      <c r="D261" s="375"/>
      <c r="E261" s="375"/>
      <c r="F261" s="375"/>
      <c r="G261" s="375"/>
      <c r="H261" s="375"/>
      <c r="I261" s="375"/>
      <c r="J261" s="375"/>
      <c r="K261" s="375"/>
      <c r="L261" s="375"/>
      <c r="M261" s="375"/>
      <c r="N261" s="375"/>
      <c r="O261" s="375"/>
      <c r="P261" s="375"/>
      <c r="Q261" s="375"/>
      <c r="R261" s="375"/>
      <c r="S261" s="375"/>
      <c r="T261" s="375"/>
      <c r="U261" s="375"/>
      <c r="V261" s="375"/>
      <c r="W261" s="375"/>
      <c r="X261" s="375"/>
      <c r="Y261" s="375"/>
      <c r="Z261" s="375"/>
      <c r="AA261" s="375"/>
      <c r="AB261" s="375"/>
      <c r="AC261" s="375"/>
    </row>
    <row r="262" spans="1:29" ht="13.2">
      <c r="A262" s="375"/>
      <c r="B262" s="375"/>
      <c r="C262" s="375"/>
      <c r="D262" s="375"/>
      <c r="E262" s="375"/>
      <c r="F262" s="375"/>
      <c r="G262" s="375"/>
      <c r="H262" s="375"/>
      <c r="I262" s="375"/>
      <c r="J262" s="375"/>
      <c r="K262" s="375"/>
      <c r="L262" s="375"/>
      <c r="M262" s="375"/>
      <c r="N262" s="375"/>
      <c r="O262" s="375"/>
      <c r="P262" s="375"/>
      <c r="Q262" s="375"/>
      <c r="R262" s="375"/>
      <c r="S262" s="375"/>
      <c r="T262" s="375"/>
      <c r="U262" s="375"/>
      <c r="V262" s="375"/>
      <c r="W262" s="375"/>
      <c r="X262" s="375"/>
      <c r="Y262" s="375"/>
      <c r="Z262" s="375"/>
      <c r="AA262" s="375"/>
      <c r="AB262" s="375"/>
      <c r="AC262" s="375"/>
    </row>
    <row r="263" spans="1:29" ht="13.2">
      <c r="A263" s="375"/>
      <c r="B263" s="375"/>
      <c r="C263" s="375"/>
      <c r="D263" s="375"/>
      <c r="E263" s="375"/>
      <c r="F263" s="375"/>
      <c r="G263" s="375"/>
      <c r="H263" s="375"/>
      <c r="I263" s="375"/>
      <c r="J263" s="375"/>
      <c r="K263" s="375"/>
      <c r="L263" s="375"/>
      <c r="M263" s="375"/>
      <c r="N263" s="375"/>
      <c r="O263" s="375"/>
      <c r="P263" s="375"/>
      <c r="Q263" s="375"/>
      <c r="R263" s="375"/>
      <c r="S263" s="375"/>
      <c r="T263" s="375"/>
      <c r="U263" s="375"/>
      <c r="V263" s="375"/>
      <c r="W263" s="375"/>
      <c r="X263" s="375"/>
      <c r="Y263" s="375"/>
      <c r="Z263" s="375"/>
      <c r="AA263" s="375"/>
      <c r="AB263" s="375"/>
      <c r="AC263" s="375"/>
    </row>
    <row r="264" spans="1:29" ht="13.2">
      <c r="A264" s="375"/>
      <c r="B264" s="375"/>
      <c r="C264" s="375"/>
      <c r="D264" s="375"/>
      <c r="E264" s="375"/>
      <c r="F264" s="375"/>
      <c r="G264" s="375"/>
      <c r="H264" s="375"/>
      <c r="I264" s="375"/>
      <c r="J264" s="375"/>
      <c r="K264" s="375"/>
      <c r="L264" s="375"/>
      <c r="M264" s="375"/>
      <c r="N264" s="375"/>
      <c r="O264" s="375"/>
      <c r="P264" s="375"/>
      <c r="Q264" s="375"/>
      <c r="R264" s="375"/>
      <c r="S264" s="375"/>
      <c r="T264" s="375"/>
      <c r="U264" s="375"/>
      <c r="V264" s="375"/>
      <c r="W264" s="375"/>
      <c r="X264" s="375"/>
      <c r="Y264" s="375"/>
      <c r="Z264" s="375"/>
      <c r="AA264" s="375"/>
      <c r="AB264" s="375"/>
      <c r="AC264" s="375"/>
    </row>
    <row r="265" spans="1:29" ht="13.2">
      <c r="A265" s="375"/>
      <c r="B265" s="375"/>
      <c r="C265" s="375"/>
      <c r="D265" s="375"/>
      <c r="E265" s="375"/>
      <c r="F265" s="375"/>
      <c r="G265" s="375"/>
      <c r="H265" s="375"/>
      <c r="I265" s="375"/>
      <c r="J265" s="375"/>
      <c r="K265" s="375"/>
      <c r="L265" s="375"/>
      <c r="M265" s="375"/>
      <c r="N265" s="375"/>
      <c r="O265" s="375"/>
      <c r="P265" s="375"/>
      <c r="Q265" s="375"/>
      <c r="R265" s="375"/>
      <c r="S265" s="375"/>
      <c r="T265" s="375"/>
      <c r="U265" s="375"/>
      <c r="V265" s="375"/>
      <c r="W265" s="375"/>
      <c r="X265" s="375"/>
      <c r="Y265" s="375"/>
      <c r="Z265" s="375"/>
      <c r="AA265" s="375"/>
      <c r="AB265" s="375"/>
      <c r="AC265" s="375"/>
    </row>
    <row r="266" spans="1:29" ht="13.2">
      <c r="A266" s="375"/>
      <c r="B266" s="375"/>
      <c r="C266" s="375"/>
      <c r="D266" s="375"/>
      <c r="E266" s="375"/>
      <c r="F266" s="375"/>
      <c r="G266" s="375"/>
      <c r="H266" s="375"/>
      <c r="I266" s="375"/>
      <c r="J266" s="375"/>
      <c r="K266" s="375"/>
      <c r="L266" s="375"/>
      <c r="M266" s="375"/>
      <c r="N266" s="375"/>
      <c r="O266" s="375"/>
      <c r="P266" s="375"/>
      <c r="Q266" s="375"/>
      <c r="R266" s="375"/>
      <c r="S266" s="375"/>
      <c r="T266" s="375"/>
      <c r="U266" s="375"/>
      <c r="V266" s="375"/>
      <c r="W266" s="375"/>
      <c r="X266" s="375"/>
      <c r="Y266" s="375"/>
      <c r="Z266" s="375"/>
      <c r="AA266" s="375"/>
      <c r="AB266" s="375"/>
      <c r="AC266" s="375"/>
    </row>
    <row r="267" spans="1:29" ht="13.2">
      <c r="A267" s="375"/>
      <c r="B267" s="375"/>
      <c r="C267" s="375"/>
      <c r="D267" s="375"/>
      <c r="E267" s="375"/>
      <c r="F267" s="375"/>
      <c r="G267" s="375"/>
      <c r="H267" s="375"/>
      <c r="I267" s="375"/>
      <c r="J267" s="375"/>
      <c r="K267" s="375"/>
      <c r="L267" s="375"/>
      <c r="M267" s="375"/>
      <c r="N267" s="375"/>
      <c r="O267" s="375"/>
      <c r="P267" s="375"/>
      <c r="Q267" s="375"/>
      <c r="R267" s="375"/>
      <c r="S267" s="375"/>
      <c r="T267" s="375"/>
      <c r="U267" s="375"/>
      <c r="V267" s="375"/>
      <c r="W267" s="375"/>
      <c r="X267" s="375"/>
      <c r="Y267" s="375"/>
      <c r="Z267" s="375"/>
      <c r="AA267" s="375"/>
      <c r="AB267" s="375"/>
      <c r="AC267" s="375"/>
    </row>
    <row r="268" spans="1:29" ht="13.2">
      <c r="A268" s="375"/>
      <c r="B268" s="375"/>
      <c r="C268" s="375"/>
      <c r="D268" s="375"/>
      <c r="E268" s="375"/>
      <c r="F268" s="375"/>
      <c r="G268" s="375"/>
      <c r="H268" s="375"/>
      <c r="I268" s="375"/>
      <c r="J268" s="375"/>
      <c r="K268" s="375"/>
      <c r="L268" s="375"/>
      <c r="M268" s="375"/>
      <c r="N268" s="375"/>
      <c r="O268" s="375"/>
      <c r="P268" s="375"/>
      <c r="Q268" s="375"/>
      <c r="R268" s="375"/>
      <c r="S268" s="375"/>
      <c r="T268" s="375"/>
      <c r="U268" s="375"/>
      <c r="V268" s="375"/>
      <c r="W268" s="375"/>
      <c r="X268" s="375"/>
      <c r="Y268" s="375"/>
      <c r="Z268" s="375"/>
      <c r="AA268" s="375"/>
      <c r="AB268" s="375"/>
      <c r="AC268" s="375"/>
    </row>
    <row r="269" spans="1:29" ht="13.2">
      <c r="A269" s="375"/>
      <c r="B269" s="375"/>
      <c r="C269" s="375"/>
      <c r="D269" s="375"/>
      <c r="E269" s="375"/>
      <c r="F269" s="375"/>
      <c r="G269" s="375"/>
      <c r="H269" s="375"/>
      <c r="I269" s="375"/>
      <c r="J269" s="375"/>
      <c r="K269" s="375"/>
      <c r="L269" s="375"/>
      <c r="M269" s="375"/>
      <c r="N269" s="375"/>
      <c r="O269" s="375"/>
      <c r="P269" s="375"/>
      <c r="Q269" s="375"/>
      <c r="R269" s="375"/>
      <c r="S269" s="375"/>
      <c r="T269" s="375"/>
      <c r="U269" s="375"/>
      <c r="V269" s="375"/>
      <c r="W269" s="375"/>
      <c r="X269" s="375"/>
      <c r="Y269" s="375"/>
      <c r="Z269" s="375"/>
      <c r="AA269" s="375"/>
      <c r="AB269" s="375"/>
      <c r="AC269" s="375"/>
    </row>
    <row r="270" spans="1:29" ht="13.2">
      <c r="A270" s="375"/>
      <c r="B270" s="375"/>
      <c r="C270" s="375"/>
      <c r="D270" s="375"/>
      <c r="E270" s="375"/>
      <c r="F270" s="375"/>
      <c r="G270" s="375"/>
      <c r="H270" s="375"/>
      <c r="I270" s="375"/>
      <c r="J270" s="375"/>
      <c r="K270" s="375"/>
      <c r="L270" s="375"/>
      <c r="M270" s="375"/>
      <c r="N270" s="375"/>
      <c r="O270" s="375"/>
      <c r="P270" s="375"/>
      <c r="Q270" s="375"/>
      <c r="R270" s="375"/>
      <c r="S270" s="375"/>
      <c r="T270" s="375"/>
      <c r="U270" s="375"/>
      <c r="V270" s="375"/>
      <c r="W270" s="375"/>
      <c r="X270" s="375"/>
      <c r="Y270" s="375"/>
      <c r="Z270" s="375"/>
      <c r="AA270" s="375"/>
      <c r="AB270" s="375"/>
      <c r="AC270" s="375"/>
    </row>
    <row r="271" spans="1:29" ht="13.2">
      <c r="A271" s="375"/>
      <c r="B271" s="375"/>
      <c r="C271" s="375"/>
      <c r="D271" s="375"/>
      <c r="E271" s="375"/>
      <c r="F271" s="375"/>
      <c r="G271" s="375"/>
      <c r="H271" s="375"/>
      <c r="I271" s="375"/>
      <c r="J271" s="375"/>
      <c r="K271" s="375"/>
      <c r="L271" s="375"/>
      <c r="M271" s="375"/>
      <c r="N271" s="375"/>
      <c r="O271" s="375"/>
      <c r="P271" s="375"/>
      <c r="Q271" s="375"/>
      <c r="R271" s="375"/>
      <c r="S271" s="375"/>
      <c r="T271" s="375"/>
      <c r="U271" s="375"/>
      <c r="V271" s="375"/>
      <c r="W271" s="375"/>
      <c r="X271" s="375"/>
      <c r="Y271" s="375"/>
      <c r="Z271" s="375"/>
      <c r="AA271" s="375"/>
      <c r="AB271" s="375"/>
      <c r="AC271" s="375"/>
    </row>
    <row r="272" spans="1:29" ht="13.2">
      <c r="A272" s="375"/>
      <c r="B272" s="375"/>
      <c r="C272" s="375"/>
      <c r="D272" s="375"/>
      <c r="E272" s="375"/>
      <c r="F272" s="375"/>
      <c r="G272" s="375"/>
      <c r="H272" s="375"/>
      <c r="I272" s="375"/>
      <c r="J272" s="375"/>
      <c r="K272" s="375"/>
      <c r="L272" s="375"/>
      <c r="M272" s="375"/>
      <c r="N272" s="375"/>
      <c r="O272" s="375"/>
      <c r="P272" s="375"/>
      <c r="Q272" s="375"/>
      <c r="R272" s="375"/>
      <c r="S272" s="375"/>
      <c r="T272" s="375"/>
      <c r="U272" s="375"/>
      <c r="V272" s="375"/>
      <c r="W272" s="375"/>
      <c r="X272" s="375"/>
      <c r="Y272" s="375"/>
      <c r="Z272" s="375"/>
      <c r="AA272" s="375"/>
      <c r="AB272" s="375"/>
      <c r="AC272" s="375"/>
    </row>
    <row r="273" spans="1:29" ht="13.2">
      <c r="A273" s="375"/>
      <c r="B273" s="375"/>
      <c r="C273" s="375"/>
      <c r="D273" s="375"/>
      <c r="E273" s="375"/>
      <c r="F273" s="375"/>
      <c r="G273" s="375"/>
      <c r="H273" s="375"/>
      <c r="I273" s="375"/>
      <c r="J273" s="375"/>
      <c r="K273" s="375"/>
      <c r="L273" s="375"/>
      <c r="M273" s="375"/>
      <c r="N273" s="375"/>
      <c r="O273" s="375"/>
      <c r="P273" s="375"/>
      <c r="Q273" s="375"/>
      <c r="R273" s="375"/>
      <c r="S273" s="375"/>
      <c r="T273" s="375"/>
      <c r="U273" s="375"/>
      <c r="V273" s="375"/>
      <c r="W273" s="375"/>
      <c r="X273" s="375"/>
      <c r="Y273" s="375"/>
      <c r="Z273" s="375"/>
      <c r="AA273" s="375"/>
      <c r="AB273" s="375"/>
      <c r="AC273" s="375"/>
    </row>
    <row r="274" spans="1:29" ht="13.2">
      <c r="A274" s="375"/>
      <c r="B274" s="375"/>
      <c r="C274" s="375"/>
      <c r="D274" s="375"/>
      <c r="E274" s="375"/>
      <c r="F274" s="375"/>
      <c r="G274" s="375"/>
      <c r="H274" s="375"/>
      <c r="I274" s="375"/>
      <c r="J274" s="375"/>
      <c r="K274" s="375"/>
      <c r="L274" s="375"/>
      <c r="M274" s="375"/>
      <c r="N274" s="375"/>
      <c r="O274" s="375"/>
      <c r="P274" s="375"/>
      <c r="Q274" s="375"/>
      <c r="R274" s="375"/>
      <c r="S274" s="375"/>
      <c r="T274" s="375"/>
      <c r="U274" s="375"/>
      <c r="V274" s="375"/>
      <c r="W274" s="375"/>
      <c r="X274" s="375"/>
      <c r="Y274" s="375"/>
      <c r="Z274" s="375"/>
      <c r="AA274" s="375"/>
      <c r="AB274" s="375"/>
      <c r="AC274" s="375"/>
    </row>
    <row r="275" spans="1:29" ht="13.2">
      <c r="A275" s="375"/>
      <c r="B275" s="375"/>
      <c r="C275" s="375"/>
      <c r="D275" s="375"/>
      <c r="E275" s="375"/>
      <c r="F275" s="375"/>
      <c r="G275" s="375"/>
      <c r="H275" s="375"/>
      <c r="I275" s="375"/>
      <c r="J275" s="375"/>
      <c r="K275" s="375"/>
      <c r="L275" s="375"/>
      <c r="M275" s="375"/>
      <c r="N275" s="375"/>
      <c r="O275" s="375"/>
      <c r="P275" s="375"/>
      <c r="Q275" s="375"/>
      <c r="R275" s="375"/>
      <c r="S275" s="375"/>
      <c r="T275" s="375"/>
      <c r="U275" s="375"/>
      <c r="V275" s="375"/>
      <c r="W275" s="375"/>
      <c r="X275" s="375"/>
      <c r="Y275" s="375"/>
      <c r="Z275" s="375"/>
      <c r="AA275" s="375"/>
      <c r="AB275" s="375"/>
      <c r="AC275" s="375"/>
    </row>
    <row r="276" spans="1:29" ht="13.2">
      <c r="A276" s="375"/>
      <c r="B276" s="375"/>
      <c r="C276" s="375"/>
      <c r="D276" s="375"/>
      <c r="E276" s="375"/>
      <c r="F276" s="375"/>
      <c r="G276" s="375"/>
      <c r="H276" s="375"/>
      <c r="I276" s="375"/>
      <c r="J276" s="375"/>
      <c r="K276" s="375"/>
      <c r="L276" s="375"/>
      <c r="M276" s="375"/>
      <c r="N276" s="375"/>
      <c r="O276" s="375"/>
      <c r="P276" s="375"/>
      <c r="Q276" s="375"/>
      <c r="R276" s="375"/>
      <c r="S276" s="375"/>
      <c r="T276" s="375"/>
      <c r="U276" s="375"/>
      <c r="V276" s="375"/>
      <c r="W276" s="375"/>
      <c r="X276" s="375"/>
      <c r="Y276" s="375"/>
      <c r="Z276" s="375"/>
      <c r="AA276" s="375"/>
      <c r="AB276" s="375"/>
      <c r="AC276" s="375"/>
    </row>
    <row r="277" spans="1:29" ht="13.2">
      <c r="A277" s="375"/>
      <c r="B277" s="375"/>
      <c r="C277" s="375"/>
      <c r="D277" s="375"/>
      <c r="E277" s="375"/>
      <c r="F277" s="375"/>
      <c r="G277" s="375"/>
      <c r="H277" s="375"/>
      <c r="I277" s="375"/>
      <c r="J277" s="375"/>
      <c r="K277" s="375"/>
      <c r="L277" s="375"/>
      <c r="M277" s="375"/>
      <c r="N277" s="375"/>
      <c r="O277" s="375"/>
      <c r="P277" s="375"/>
      <c r="Q277" s="375"/>
      <c r="R277" s="375"/>
      <c r="S277" s="375"/>
      <c r="T277" s="375"/>
      <c r="U277" s="375"/>
      <c r="V277" s="375"/>
      <c r="W277" s="375"/>
      <c r="X277" s="375"/>
      <c r="Y277" s="375"/>
      <c r="Z277" s="375"/>
      <c r="AA277" s="375"/>
      <c r="AB277" s="375"/>
      <c r="AC277" s="375"/>
    </row>
    <row r="278" spans="1:29" ht="13.2">
      <c r="A278" s="375"/>
      <c r="B278" s="375"/>
      <c r="C278" s="375"/>
      <c r="D278" s="375"/>
      <c r="E278" s="375"/>
      <c r="F278" s="375"/>
      <c r="G278" s="375"/>
      <c r="H278" s="375"/>
      <c r="I278" s="375"/>
      <c r="J278" s="375"/>
      <c r="K278" s="375"/>
      <c r="L278" s="375"/>
      <c r="M278" s="375"/>
      <c r="N278" s="375"/>
      <c r="O278" s="375"/>
      <c r="P278" s="375"/>
      <c r="Q278" s="375"/>
      <c r="R278" s="375"/>
      <c r="S278" s="375"/>
      <c r="T278" s="375"/>
      <c r="U278" s="375"/>
      <c r="V278" s="375"/>
      <c r="W278" s="375"/>
      <c r="X278" s="375"/>
      <c r="Y278" s="375"/>
      <c r="Z278" s="375"/>
      <c r="AA278" s="375"/>
      <c r="AB278" s="375"/>
      <c r="AC278" s="375"/>
    </row>
    <row r="279" spans="1:29" ht="13.2">
      <c r="A279" s="375"/>
      <c r="B279" s="375"/>
      <c r="C279" s="375"/>
      <c r="D279" s="375"/>
      <c r="E279" s="375"/>
      <c r="F279" s="375"/>
      <c r="G279" s="375"/>
      <c r="H279" s="375"/>
      <c r="I279" s="375"/>
      <c r="J279" s="375"/>
      <c r="K279" s="375"/>
      <c r="L279" s="375"/>
      <c r="M279" s="375"/>
      <c r="N279" s="375"/>
      <c r="O279" s="375"/>
      <c r="P279" s="375"/>
      <c r="Q279" s="375"/>
      <c r="R279" s="375"/>
      <c r="S279" s="375"/>
      <c r="T279" s="375"/>
      <c r="U279" s="375"/>
      <c r="V279" s="375"/>
      <c r="W279" s="375"/>
      <c r="X279" s="375"/>
      <c r="Y279" s="375"/>
      <c r="Z279" s="375"/>
      <c r="AA279" s="375"/>
      <c r="AB279" s="375"/>
      <c r="AC279" s="375"/>
    </row>
    <row r="280" spans="1:29" ht="13.2">
      <c r="A280" s="375"/>
      <c r="B280" s="375"/>
      <c r="C280" s="375"/>
      <c r="D280" s="375"/>
      <c r="E280" s="375"/>
      <c r="F280" s="375"/>
      <c r="G280" s="375"/>
      <c r="H280" s="375"/>
      <c r="I280" s="375"/>
      <c r="J280" s="375"/>
      <c r="K280" s="375"/>
      <c r="L280" s="375"/>
      <c r="M280" s="375"/>
      <c r="N280" s="375"/>
      <c r="O280" s="375"/>
      <c r="P280" s="375"/>
      <c r="Q280" s="375"/>
      <c r="R280" s="375"/>
      <c r="S280" s="375"/>
      <c r="T280" s="375"/>
      <c r="U280" s="375"/>
      <c r="V280" s="375"/>
      <c r="W280" s="375"/>
      <c r="X280" s="375"/>
      <c r="Y280" s="375"/>
      <c r="Z280" s="375"/>
      <c r="AA280" s="375"/>
      <c r="AB280" s="375"/>
      <c r="AC280" s="375"/>
    </row>
    <row r="281" spans="1:29" ht="13.2">
      <c r="A281" s="375"/>
      <c r="B281" s="375"/>
      <c r="C281" s="375"/>
      <c r="D281" s="375"/>
      <c r="E281" s="375"/>
      <c r="F281" s="375"/>
      <c r="G281" s="375"/>
      <c r="H281" s="375"/>
      <c r="I281" s="375"/>
      <c r="J281" s="375"/>
      <c r="K281" s="375"/>
      <c r="L281" s="375"/>
      <c r="M281" s="375"/>
      <c r="N281" s="375"/>
      <c r="O281" s="375"/>
      <c r="P281" s="375"/>
      <c r="Q281" s="375"/>
      <c r="R281" s="375"/>
      <c r="S281" s="375"/>
      <c r="T281" s="375"/>
      <c r="U281" s="375"/>
      <c r="V281" s="375"/>
      <c r="W281" s="375"/>
      <c r="X281" s="375"/>
      <c r="Y281" s="375"/>
      <c r="Z281" s="375"/>
      <c r="AA281" s="375"/>
      <c r="AB281" s="375"/>
      <c r="AC281" s="375"/>
    </row>
    <row r="282" spans="1:29" ht="13.2">
      <c r="A282" s="375"/>
      <c r="B282" s="375"/>
      <c r="C282" s="375"/>
      <c r="D282" s="375"/>
      <c r="E282" s="375"/>
      <c r="F282" s="375"/>
      <c r="G282" s="375"/>
      <c r="H282" s="375"/>
      <c r="I282" s="375"/>
      <c r="J282" s="375"/>
      <c r="K282" s="375"/>
      <c r="L282" s="375"/>
      <c r="M282" s="375"/>
      <c r="N282" s="375"/>
      <c r="O282" s="375"/>
      <c r="P282" s="375"/>
      <c r="Q282" s="375"/>
      <c r="R282" s="375"/>
      <c r="S282" s="375"/>
      <c r="T282" s="375"/>
      <c r="U282" s="375"/>
      <c r="V282" s="375"/>
      <c r="W282" s="375"/>
      <c r="X282" s="375"/>
      <c r="Y282" s="375"/>
      <c r="Z282" s="375"/>
      <c r="AA282" s="375"/>
      <c r="AB282" s="375"/>
      <c r="AC282" s="375"/>
    </row>
    <row r="283" spans="1:29" ht="13.2">
      <c r="A283" s="375"/>
      <c r="B283" s="375"/>
      <c r="C283" s="375"/>
      <c r="D283" s="375"/>
      <c r="E283" s="375"/>
      <c r="F283" s="375"/>
      <c r="G283" s="375"/>
      <c r="H283" s="375"/>
      <c r="I283" s="375"/>
      <c r="J283" s="375"/>
      <c r="K283" s="375"/>
      <c r="L283" s="375"/>
      <c r="M283" s="375"/>
      <c r="N283" s="375"/>
      <c r="O283" s="375"/>
      <c r="P283" s="375"/>
      <c r="Q283" s="375"/>
      <c r="R283" s="375"/>
      <c r="S283" s="375"/>
      <c r="T283" s="375"/>
      <c r="U283" s="375"/>
      <c r="V283" s="375"/>
      <c r="W283" s="375"/>
      <c r="X283" s="375"/>
      <c r="Y283" s="375"/>
      <c r="Z283" s="375"/>
      <c r="AA283" s="375"/>
      <c r="AB283" s="375"/>
      <c r="AC283" s="375"/>
    </row>
    <row r="284" spans="1:29" ht="13.2">
      <c r="A284" s="375"/>
      <c r="B284" s="375"/>
      <c r="C284" s="375"/>
      <c r="D284" s="375"/>
      <c r="E284" s="375"/>
      <c r="F284" s="375"/>
      <c r="G284" s="375"/>
      <c r="H284" s="375"/>
      <c r="I284" s="375"/>
      <c r="J284" s="375"/>
      <c r="K284" s="375"/>
      <c r="L284" s="375"/>
      <c r="M284" s="375"/>
      <c r="N284" s="375"/>
      <c r="O284" s="375"/>
      <c r="P284" s="375"/>
      <c r="Q284" s="375"/>
      <c r="R284" s="375"/>
      <c r="S284" s="375"/>
      <c r="T284" s="375"/>
      <c r="U284" s="375"/>
      <c r="V284" s="375"/>
      <c r="W284" s="375"/>
      <c r="X284" s="375"/>
      <c r="Y284" s="375"/>
      <c r="Z284" s="375"/>
      <c r="AA284" s="375"/>
      <c r="AB284" s="375"/>
      <c r="AC284" s="375"/>
    </row>
    <row r="285" spans="1:29" ht="13.2">
      <c r="A285" s="375"/>
      <c r="B285" s="375"/>
      <c r="C285" s="375"/>
      <c r="D285" s="375"/>
      <c r="E285" s="375"/>
      <c r="F285" s="375"/>
      <c r="G285" s="375"/>
      <c r="H285" s="375"/>
      <c r="I285" s="375"/>
      <c r="J285" s="375"/>
      <c r="K285" s="375"/>
      <c r="L285" s="375"/>
      <c r="M285" s="375"/>
      <c r="N285" s="375"/>
      <c r="O285" s="375"/>
      <c r="P285" s="375"/>
      <c r="Q285" s="375"/>
      <c r="R285" s="375"/>
      <c r="S285" s="375"/>
      <c r="T285" s="375"/>
      <c r="U285" s="375"/>
      <c r="V285" s="375"/>
      <c r="W285" s="375"/>
      <c r="X285" s="375"/>
      <c r="Y285" s="375"/>
      <c r="Z285" s="375"/>
      <c r="AA285" s="375"/>
      <c r="AB285" s="375"/>
      <c r="AC285" s="375"/>
    </row>
    <row r="286" spans="1:29" ht="13.2">
      <c r="A286" s="375"/>
      <c r="B286" s="375"/>
      <c r="C286" s="375"/>
      <c r="D286" s="375"/>
      <c r="E286" s="375"/>
      <c r="F286" s="375"/>
      <c r="G286" s="375"/>
      <c r="H286" s="375"/>
      <c r="I286" s="375"/>
      <c r="J286" s="375"/>
      <c r="K286" s="375"/>
      <c r="L286" s="375"/>
      <c r="M286" s="375"/>
      <c r="N286" s="375"/>
      <c r="O286" s="375"/>
      <c r="P286" s="375"/>
      <c r="Q286" s="375"/>
      <c r="R286" s="375"/>
      <c r="S286" s="375"/>
      <c r="T286" s="375"/>
      <c r="U286" s="375"/>
      <c r="V286" s="375"/>
      <c r="W286" s="375"/>
      <c r="X286" s="375"/>
      <c r="Y286" s="375"/>
      <c r="Z286" s="375"/>
      <c r="AA286" s="375"/>
      <c r="AB286" s="375"/>
      <c r="AC286" s="375"/>
    </row>
    <row r="287" spans="1:29" ht="13.2">
      <c r="A287" s="375"/>
      <c r="B287" s="375"/>
      <c r="C287" s="375"/>
      <c r="D287" s="375"/>
      <c r="E287" s="375"/>
      <c r="F287" s="375"/>
      <c r="G287" s="375"/>
      <c r="H287" s="375"/>
      <c r="I287" s="375"/>
      <c r="J287" s="375"/>
      <c r="K287" s="375"/>
      <c r="L287" s="375"/>
      <c r="M287" s="375"/>
      <c r="N287" s="375"/>
      <c r="O287" s="375"/>
      <c r="P287" s="375"/>
      <c r="Q287" s="375"/>
      <c r="R287" s="375"/>
      <c r="S287" s="375"/>
      <c r="T287" s="375"/>
      <c r="U287" s="375"/>
      <c r="V287" s="375"/>
      <c r="W287" s="375"/>
      <c r="X287" s="375"/>
      <c r="Y287" s="375"/>
      <c r="Z287" s="375"/>
      <c r="AA287" s="375"/>
      <c r="AB287" s="375"/>
      <c r="AC287" s="375"/>
    </row>
    <row r="288" spans="1:29" ht="13.2">
      <c r="A288" s="375"/>
      <c r="B288" s="375"/>
      <c r="C288" s="375"/>
      <c r="D288" s="375"/>
      <c r="E288" s="375"/>
      <c r="F288" s="375"/>
      <c r="G288" s="375"/>
      <c r="H288" s="375"/>
      <c r="I288" s="375"/>
      <c r="J288" s="375"/>
      <c r="K288" s="375"/>
      <c r="L288" s="375"/>
      <c r="M288" s="375"/>
      <c r="N288" s="375"/>
      <c r="O288" s="375"/>
      <c r="P288" s="375"/>
      <c r="Q288" s="375"/>
      <c r="R288" s="375"/>
      <c r="S288" s="375"/>
      <c r="T288" s="375"/>
      <c r="U288" s="375"/>
      <c r="V288" s="375"/>
      <c r="W288" s="375"/>
      <c r="X288" s="375"/>
      <c r="Y288" s="375"/>
      <c r="Z288" s="375"/>
      <c r="AA288" s="375"/>
      <c r="AB288" s="375"/>
      <c r="AC288" s="375"/>
    </row>
    <row r="289" spans="1:29" ht="13.2">
      <c r="A289" s="375"/>
      <c r="B289" s="375"/>
      <c r="C289" s="375"/>
      <c r="D289" s="375"/>
      <c r="E289" s="375"/>
      <c r="F289" s="375"/>
      <c r="G289" s="375"/>
      <c r="H289" s="375"/>
      <c r="I289" s="375"/>
      <c r="J289" s="375"/>
      <c r="K289" s="375"/>
      <c r="L289" s="375"/>
      <c r="M289" s="375"/>
      <c r="N289" s="375"/>
      <c r="O289" s="375"/>
      <c r="P289" s="375"/>
      <c r="Q289" s="375"/>
      <c r="R289" s="375"/>
      <c r="S289" s="375"/>
      <c r="T289" s="375"/>
      <c r="U289" s="375"/>
      <c r="V289" s="375"/>
      <c r="W289" s="375"/>
      <c r="X289" s="375"/>
      <c r="Y289" s="375"/>
      <c r="Z289" s="375"/>
      <c r="AA289" s="375"/>
      <c r="AB289" s="375"/>
      <c r="AC289" s="375"/>
    </row>
    <row r="290" spans="1:29" ht="13.2">
      <c r="A290" s="375"/>
      <c r="B290" s="375"/>
      <c r="C290" s="375"/>
      <c r="D290" s="375"/>
      <c r="E290" s="375"/>
      <c r="F290" s="375"/>
      <c r="G290" s="375"/>
      <c r="H290" s="375"/>
      <c r="I290" s="375"/>
      <c r="J290" s="375"/>
      <c r="K290" s="375"/>
      <c r="L290" s="375"/>
      <c r="M290" s="375"/>
      <c r="N290" s="375"/>
      <c r="O290" s="375"/>
      <c r="P290" s="375"/>
      <c r="Q290" s="375"/>
      <c r="R290" s="375"/>
      <c r="S290" s="375"/>
      <c r="T290" s="375"/>
      <c r="U290" s="375"/>
      <c r="V290" s="375"/>
      <c r="W290" s="375"/>
      <c r="X290" s="375"/>
      <c r="Y290" s="375"/>
      <c r="Z290" s="375"/>
      <c r="AA290" s="375"/>
      <c r="AB290" s="375"/>
      <c r="AC290" s="375"/>
    </row>
    <row r="291" spans="1:29" ht="13.2">
      <c r="A291" s="375"/>
      <c r="B291" s="375"/>
      <c r="C291" s="375"/>
      <c r="D291" s="375"/>
      <c r="E291" s="375"/>
      <c r="F291" s="375"/>
      <c r="G291" s="375"/>
      <c r="H291" s="375"/>
      <c r="I291" s="375"/>
      <c r="J291" s="375"/>
      <c r="K291" s="375"/>
      <c r="L291" s="375"/>
      <c r="M291" s="375"/>
      <c r="N291" s="375"/>
      <c r="O291" s="375"/>
      <c r="P291" s="375"/>
      <c r="Q291" s="375"/>
      <c r="R291" s="375"/>
      <c r="S291" s="375"/>
      <c r="T291" s="375"/>
      <c r="U291" s="375"/>
      <c r="V291" s="375"/>
      <c r="W291" s="375"/>
      <c r="X291" s="375"/>
      <c r="Y291" s="375"/>
      <c r="Z291" s="375"/>
      <c r="AA291" s="375"/>
      <c r="AB291" s="375"/>
      <c r="AC291" s="375"/>
    </row>
    <row r="292" spans="1:29" ht="13.2">
      <c r="A292" s="375"/>
      <c r="B292" s="375"/>
      <c r="C292" s="375"/>
      <c r="D292" s="375"/>
      <c r="E292" s="375"/>
      <c r="F292" s="375"/>
      <c r="G292" s="375"/>
      <c r="H292" s="375"/>
      <c r="I292" s="375"/>
      <c r="J292" s="375"/>
      <c r="K292" s="375"/>
      <c r="L292" s="375"/>
      <c r="M292" s="375"/>
      <c r="N292" s="375"/>
      <c r="O292" s="375"/>
      <c r="P292" s="375"/>
      <c r="Q292" s="375"/>
      <c r="R292" s="375"/>
      <c r="S292" s="375"/>
      <c r="T292" s="375"/>
      <c r="U292" s="375"/>
      <c r="V292" s="375"/>
      <c r="W292" s="375"/>
      <c r="X292" s="375"/>
      <c r="Y292" s="375"/>
      <c r="Z292" s="375"/>
      <c r="AA292" s="375"/>
      <c r="AB292" s="375"/>
      <c r="AC292" s="375"/>
    </row>
    <row r="293" spans="1:29" ht="13.2">
      <c r="A293" s="375"/>
      <c r="B293" s="375"/>
      <c r="C293" s="375"/>
      <c r="D293" s="375"/>
      <c r="E293" s="375"/>
      <c r="F293" s="375"/>
      <c r="G293" s="375"/>
      <c r="H293" s="375"/>
      <c r="I293" s="375"/>
      <c r="J293" s="375"/>
      <c r="K293" s="375"/>
      <c r="L293" s="375"/>
      <c r="M293" s="375"/>
      <c r="N293" s="375"/>
      <c r="O293" s="375"/>
      <c r="P293" s="375"/>
      <c r="Q293" s="375"/>
      <c r="R293" s="375"/>
      <c r="S293" s="375"/>
      <c r="T293" s="375"/>
      <c r="U293" s="375"/>
      <c r="V293" s="375"/>
      <c r="W293" s="375"/>
      <c r="X293" s="375"/>
      <c r="Y293" s="375"/>
      <c r="Z293" s="375"/>
      <c r="AA293" s="375"/>
      <c r="AB293" s="375"/>
      <c r="AC293" s="375"/>
    </row>
    <row r="294" spans="1:29" ht="13.2">
      <c r="A294" s="375"/>
      <c r="B294" s="375"/>
      <c r="C294" s="375"/>
      <c r="D294" s="375"/>
      <c r="E294" s="375"/>
      <c r="F294" s="375"/>
      <c r="G294" s="375"/>
      <c r="H294" s="375"/>
      <c r="I294" s="375"/>
      <c r="J294" s="375"/>
      <c r="K294" s="375"/>
      <c r="L294" s="375"/>
      <c r="M294" s="375"/>
      <c r="N294" s="375"/>
      <c r="O294" s="375"/>
      <c r="P294" s="375"/>
      <c r="Q294" s="375"/>
      <c r="R294" s="375"/>
      <c r="S294" s="375"/>
      <c r="T294" s="375"/>
      <c r="U294" s="375"/>
      <c r="V294" s="375"/>
      <c r="W294" s="375"/>
      <c r="X294" s="375"/>
      <c r="Y294" s="375"/>
      <c r="Z294" s="375"/>
      <c r="AA294" s="375"/>
      <c r="AB294" s="375"/>
      <c r="AC294" s="375"/>
    </row>
    <row r="295" spans="1:29" ht="13.2">
      <c r="A295" s="375"/>
      <c r="B295" s="375"/>
      <c r="C295" s="375"/>
      <c r="D295" s="375"/>
      <c r="E295" s="375"/>
      <c r="F295" s="375"/>
      <c r="G295" s="375"/>
      <c r="H295" s="375"/>
      <c r="I295" s="375"/>
      <c r="J295" s="375"/>
      <c r="K295" s="375"/>
      <c r="L295" s="375"/>
      <c r="M295" s="375"/>
      <c r="N295" s="375"/>
      <c r="O295" s="375"/>
      <c r="P295" s="375"/>
      <c r="Q295" s="375"/>
      <c r="R295" s="375"/>
      <c r="S295" s="375"/>
      <c r="T295" s="375"/>
      <c r="U295" s="375"/>
      <c r="V295" s="375"/>
      <c r="W295" s="375"/>
      <c r="X295" s="375"/>
      <c r="Y295" s="375"/>
      <c r="Z295" s="375"/>
      <c r="AA295" s="375"/>
      <c r="AB295" s="375"/>
      <c r="AC295" s="375"/>
    </row>
    <row r="296" spans="1:29" ht="13.2">
      <c r="A296" s="375"/>
      <c r="B296" s="375"/>
      <c r="C296" s="375"/>
      <c r="D296" s="375"/>
      <c r="E296" s="375"/>
      <c r="F296" s="375"/>
      <c r="G296" s="375"/>
      <c r="H296" s="375"/>
      <c r="I296" s="375"/>
      <c r="J296" s="375"/>
      <c r="K296" s="375"/>
      <c r="L296" s="375"/>
      <c r="M296" s="375"/>
      <c r="N296" s="375"/>
      <c r="O296" s="375"/>
      <c r="P296" s="375"/>
      <c r="Q296" s="375"/>
      <c r="R296" s="375"/>
      <c r="S296" s="375"/>
      <c r="T296" s="375"/>
      <c r="U296" s="375"/>
      <c r="V296" s="375"/>
      <c r="W296" s="375"/>
      <c r="X296" s="375"/>
      <c r="Y296" s="375"/>
      <c r="Z296" s="375"/>
      <c r="AA296" s="375"/>
      <c r="AB296" s="375"/>
      <c r="AC296" s="375"/>
    </row>
    <row r="297" spans="1:29" ht="13.2">
      <c r="A297" s="375"/>
      <c r="B297" s="375"/>
      <c r="C297" s="375"/>
      <c r="D297" s="375"/>
      <c r="E297" s="375"/>
      <c r="F297" s="375"/>
      <c r="G297" s="375"/>
      <c r="H297" s="375"/>
      <c r="I297" s="375"/>
      <c r="J297" s="375"/>
      <c r="K297" s="375"/>
      <c r="L297" s="375"/>
      <c r="M297" s="375"/>
      <c r="N297" s="375"/>
      <c r="O297" s="375"/>
      <c r="P297" s="375"/>
      <c r="Q297" s="375"/>
      <c r="R297" s="375"/>
      <c r="S297" s="375"/>
      <c r="T297" s="375"/>
      <c r="U297" s="375"/>
      <c r="V297" s="375"/>
      <c r="W297" s="375"/>
      <c r="X297" s="375"/>
      <c r="Y297" s="375"/>
      <c r="Z297" s="375"/>
      <c r="AA297" s="375"/>
      <c r="AB297" s="375"/>
      <c r="AC297" s="375"/>
    </row>
    <row r="298" spans="1:29" ht="13.2">
      <c r="A298" s="375"/>
      <c r="B298" s="375"/>
      <c r="C298" s="375"/>
      <c r="D298" s="375"/>
      <c r="E298" s="375"/>
      <c r="F298" s="375"/>
      <c r="G298" s="375"/>
      <c r="H298" s="375"/>
      <c r="I298" s="375"/>
      <c r="J298" s="375"/>
      <c r="K298" s="375"/>
      <c r="L298" s="375"/>
      <c r="M298" s="375"/>
      <c r="N298" s="375"/>
      <c r="O298" s="375"/>
      <c r="P298" s="375"/>
      <c r="Q298" s="375"/>
      <c r="R298" s="375"/>
      <c r="S298" s="375"/>
      <c r="T298" s="375"/>
      <c r="U298" s="375"/>
      <c r="V298" s="375"/>
      <c r="W298" s="375"/>
      <c r="X298" s="375"/>
      <c r="Y298" s="375"/>
      <c r="Z298" s="375"/>
      <c r="AA298" s="375"/>
      <c r="AB298" s="375"/>
      <c r="AC298" s="375"/>
    </row>
    <row r="299" spans="1:29" ht="13.2">
      <c r="A299" s="375"/>
      <c r="B299" s="375"/>
      <c r="C299" s="375"/>
      <c r="D299" s="375"/>
      <c r="E299" s="375"/>
      <c r="F299" s="375"/>
      <c r="G299" s="375"/>
      <c r="H299" s="375"/>
      <c r="I299" s="375"/>
      <c r="J299" s="375"/>
      <c r="K299" s="375"/>
      <c r="L299" s="375"/>
      <c r="M299" s="375"/>
      <c r="N299" s="375"/>
      <c r="O299" s="375"/>
      <c r="P299" s="375"/>
      <c r="Q299" s="375"/>
      <c r="R299" s="375"/>
      <c r="S299" s="375"/>
      <c r="T299" s="375"/>
      <c r="U299" s="375"/>
      <c r="V299" s="375"/>
      <c r="W299" s="375"/>
      <c r="X299" s="375"/>
      <c r="Y299" s="375"/>
      <c r="Z299" s="375"/>
      <c r="AA299" s="375"/>
      <c r="AB299" s="375"/>
      <c r="AC299" s="375"/>
    </row>
    <row r="300" spans="1:29" ht="13.2">
      <c r="A300" s="375"/>
      <c r="B300" s="375"/>
      <c r="C300" s="375"/>
      <c r="D300" s="375"/>
      <c r="E300" s="375"/>
      <c r="F300" s="375"/>
      <c r="G300" s="375"/>
      <c r="H300" s="375"/>
      <c r="I300" s="375"/>
      <c r="J300" s="375"/>
      <c r="K300" s="375"/>
      <c r="L300" s="375"/>
      <c r="M300" s="375"/>
      <c r="N300" s="375"/>
      <c r="O300" s="375"/>
      <c r="P300" s="375"/>
      <c r="Q300" s="375"/>
      <c r="R300" s="375"/>
      <c r="S300" s="375"/>
      <c r="T300" s="375"/>
      <c r="U300" s="375"/>
      <c r="V300" s="375"/>
      <c r="W300" s="375"/>
      <c r="X300" s="375"/>
      <c r="Y300" s="375"/>
      <c r="Z300" s="375"/>
      <c r="AA300" s="375"/>
      <c r="AB300" s="375"/>
      <c r="AC300" s="375"/>
    </row>
    <row r="301" spans="1:29" ht="13.2">
      <c r="A301" s="375"/>
      <c r="B301" s="375"/>
      <c r="C301" s="375"/>
      <c r="D301" s="375"/>
      <c r="E301" s="375"/>
      <c r="F301" s="375"/>
      <c r="G301" s="375"/>
      <c r="H301" s="375"/>
      <c r="I301" s="375"/>
      <c r="J301" s="375"/>
      <c r="K301" s="375"/>
      <c r="L301" s="375"/>
      <c r="M301" s="375"/>
      <c r="N301" s="375"/>
      <c r="O301" s="375"/>
      <c r="P301" s="375"/>
      <c r="Q301" s="375"/>
      <c r="R301" s="375"/>
      <c r="S301" s="375"/>
      <c r="T301" s="375"/>
      <c r="U301" s="375"/>
      <c r="V301" s="375"/>
      <c r="W301" s="375"/>
      <c r="X301" s="375"/>
      <c r="Y301" s="375"/>
      <c r="Z301" s="375"/>
      <c r="AA301" s="375"/>
      <c r="AB301" s="375"/>
      <c r="AC301" s="375"/>
    </row>
    <row r="302" spans="1:29" ht="13.2">
      <c r="A302" s="375"/>
      <c r="B302" s="375"/>
      <c r="C302" s="375"/>
      <c r="D302" s="375"/>
      <c r="E302" s="375"/>
      <c r="F302" s="375"/>
      <c r="G302" s="375"/>
      <c r="H302" s="375"/>
      <c r="I302" s="375"/>
      <c r="J302" s="375"/>
      <c r="K302" s="375"/>
      <c r="L302" s="375"/>
      <c r="M302" s="375"/>
      <c r="N302" s="375"/>
      <c r="O302" s="375"/>
      <c r="P302" s="375"/>
      <c r="Q302" s="375"/>
      <c r="R302" s="375"/>
      <c r="S302" s="375"/>
      <c r="T302" s="375"/>
      <c r="U302" s="375"/>
      <c r="V302" s="375"/>
      <c r="W302" s="375"/>
      <c r="X302" s="375"/>
      <c r="Y302" s="375"/>
      <c r="Z302" s="375"/>
      <c r="AA302" s="375"/>
      <c r="AB302" s="375"/>
      <c r="AC302" s="375"/>
    </row>
    <row r="303" spans="1:29" ht="13.2">
      <c r="A303" s="375"/>
      <c r="B303" s="375"/>
      <c r="C303" s="375"/>
      <c r="D303" s="375"/>
      <c r="E303" s="375"/>
      <c r="F303" s="375"/>
      <c r="G303" s="375"/>
      <c r="H303" s="375"/>
      <c r="I303" s="375"/>
      <c r="J303" s="375"/>
      <c r="K303" s="375"/>
      <c r="L303" s="375"/>
      <c r="M303" s="375"/>
      <c r="N303" s="375"/>
      <c r="O303" s="375"/>
      <c r="P303" s="375"/>
      <c r="Q303" s="375"/>
      <c r="R303" s="375"/>
      <c r="S303" s="375"/>
      <c r="T303" s="375"/>
      <c r="U303" s="375"/>
      <c r="V303" s="375"/>
      <c r="W303" s="375"/>
      <c r="X303" s="375"/>
      <c r="Y303" s="375"/>
      <c r="Z303" s="375"/>
      <c r="AA303" s="375"/>
      <c r="AB303" s="375"/>
      <c r="AC303" s="375"/>
    </row>
    <row r="304" spans="1:29" ht="13.2">
      <c r="A304" s="375"/>
      <c r="B304" s="375"/>
      <c r="C304" s="375"/>
      <c r="D304" s="375"/>
      <c r="E304" s="375"/>
      <c r="F304" s="375"/>
      <c r="G304" s="375"/>
      <c r="H304" s="375"/>
      <c r="I304" s="375"/>
      <c r="J304" s="375"/>
      <c r="K304" s="375"/>
      <c r="L304" s="375"/>
      <c r="M304" s="375"/>
      <c r="N304" s="375"/>
      <c r="O304" s="375"/>
      <c r="P304" s="375"/>
      <c r="Q304" s="375"/>
      <c r="R304" s="375"/>
      <c r="S304" s="375"/>
      <c r="T304" s="375"/>
      <c r="U304" s="375"/>
      <c r="V304" s="375"/>
      <c r="W304" s="375"/>
      <c r="X304" s="375"/>
      <c r="Y304" s="375"/>
      <c r="Z304" s="375"/>
      <c r="AA304" s="375"/>
      <c r="AB304" s="375"/>
      <c r="AC304" s="375"/>
    </row>
    <row r="305" spans="1:29" ht="13.2">
      <c r="A305" s="375"/>
      <c r="B305" s="375"/>
      <c r="C305" s="375"/>
      <c r="D305" s="375"/>
      <c r="E305" s="375"/>
      <c r="F305" s="375"/>
      <c r="G305" s="375"/>
      <c r="H305" s="375"/>
      <c r="I305" s="375"/>
      <c r="J305" s="375"/>
      <c r="K305" s="375"/>
      <c r="L305" s="375"/>
      <c r="M305" s="375"/>
      <c r="N305" s="375"/>
      <c r="O305" s="375"/>
      <c r="P305" s="375"/>
      <c r="Q305" s="375"/>
      <c r="R305" s="375"/>
      <c r="S305" s="375"/>
      <c r="T305" s="375"/>
      <c r="U305" s="375"/>
      <c r="V305" s="375"/>
      <c r="W305" s="375"/>
      <c r="X305" s="375"/>
      <c r="Y305" s="375"/>
      <c r="Z305" s="375"/>
      <c r="AA305" s="375"/>
      <c r="AB305" s="375"/>
      <c r="AC305" s="375"/>
    </row>
    <row r="306" spans="1:29" ht="13.2">
      <c r="A306" s="375"/>
      <c r="B306" s="375"/>
      <c r="C306" s="375"/>
      <c r="D306" s="375"/>
      <c r="E306" s="375"/>
      <c r="F306" s="375"/>
      <c r="G306" s="375"/>
      <c r="H306" s="375"/>
      <c r="I306" s="375"/>
      <c r="J306" s="375"/>
      <c r="K306" s="375"/>
      <c r="L306" s="375"/>
      <c r="M306" s="375"/>
      <c r="N306" s="375"/>
      <c r="O306" s="375"/>
      <c r="P306" s="375"/>
      <c r="Q306" s="375"/>
      <c r="R306" s="375"/>
      <c r="S306" s="375"/>
      <c r="T306" s="375"/>
      <c r="U306" s="375"/>
      <c r="V306" s="375"/>
      <c r="W306" s="375"/>
      <c r="X306" s="375"/>
      <c r="Y306" s="375"/>
      <c r="Z306" s="375"/>
      <c r="AA306" s="375"/>
      <c r="AB306" s="375"/>
      <c r="AC306" s="375"/>
    </row>
    <row r="307" spans="1:29" ht="13.2">
      <c r="A307" s="375"/>
      <c r="B307" s="375"/>
      <c r="C307" s="375"/>
      <c r="D307" s="375"/>
      <c r="E307" s="375"/>
      <c r="F307" s="375"/>
      <c r="G307" s="375"/>
      <c r="H307" s="375"/>
      <c r="I307" s="375"/>
      <c r="J307" s="375"/>
      <c r="K307" s="375"/>
      <c r="L307" s="375"/>
      <c r="M307" s="375"/>
      <c r="N307" s="375"/>
      <c r="O307" s="375"/>
      <c r="P307" s="375"/>
      <c r="Q307" s="375"/>
      <c r="R307" s="375"/>
      <c r="S307" s="375"/>
      <c r="T307" s="375"/>
      <c r="U307" s="375"/>
      <c r="V307" s="375"/>
      <c r="W307" s="375"/>
      <c r="X307" s="375"/>
      <c r="Y307" s="375"/>
      <c r="Z307" s="375"/>
      <c r="AA307" s="375"/>
      <c r="AB307" s="375"/>
      <c r="AC307" s="375"/>
    </row>
    <row r="308" spans="1:29" ht="13.2">
      <c r="A308" s="375"/>
      <c r="B308" s="375"/>
      <c r="C308" s="375"/>
      <c r="D308" s="375"/>
      <c r="E308" s="375"/>
      <c r="F308" s="375"/>
      <c r="G308" s="375"/>
      <c r="H308" s="375"/>
      <c r="I308" s="375"/>
      <c r="J308" s="375"/>
      <c r="K308" s="375"/>
      <c r="L308" s="375"/>
      <c r="M308" s="375"/>
      <c r="N308" s="375"/>
      <c r="O308" s="375"/>
      <c r="P308" s="375"/>
      <c r="Q308" s="375"/>
      <c r="R308" s="375"/>
      <c r="S308" s="375"/>
      <c r="T308" s="375"/>
      <c r="U308" s="375"/>
      <c r="V308" s="375"/>
      <c r="W308" s="375"/>
      <c r="X308" s="375"/>
      <c r="Y308" s="375"/>
      <c r="Z308" s="375"/>
      <c r="AA308" s="375"/>
      <c r="AB308" s="375"/>
      <c r="AC308" s="375"/>
    </row>
    <row r="309" spans="1:29" ht="13.2">
      <c r="A309" s="375"/>
      <c r="B309" s="375"/>
      <c r="C309" s="375"/>
      <c r="D309" s="375"/>
      <c r="E309" s="375"/>
      <c r="F309" s="375"/>
      <c r="G309" s="375"/>
      <c r="H309" s="375"/>
      <c r="I309" s="375"/>
      <c r="J309" s="375"/>
      <c r="K309" s="375"/>
      <c r="L309" s="375"/>
      <c r="M309" s="375"/>
      <c r="N309" s="375"/>
      <c r="O309" s="375"/>
      <c r="P309" s="375"/>
      <c r="Q309" s="375"/>
      <c r="R309" s="375"/>
      <c r="S309" s="375"/>
      <c r="T309" s="375"/>
      <c r="U309" s="375"/>
      <c r="V309" s="375"/>
      <c r="W309" s="375"/>
      <c r="X309" s="375"/>
      <c r="Y309" s="375"/>
      <c r="Z309" s="375"/>
      <c r="AA309" s="375"/>
      <c r="AB309" s="375"/>
      <c r="AC309" s="375"/>
    </row>
    <row r="310" spans="1:29" ht="13.2">
      <c r="A310" s="375"/>
      <c r="B310" s="375"/>
      <c r="C310" s="375"/>
      <c r="D310" s="375"/>
      <c r="E310" s="375"/>
      <c r="F310" s="375"/>
      <c r="G310" s="375"/>
      <c r="H310" s="375"/>
      <c r="I310" s="375"/>
      <c r="J310" s="375"/>
      <c r="K310" s="375"/>
      <c r="L310" s="375"/>
      <c r="M310" s="375"/>
      <c r="N310" s="375"/>
      <c r="O310" s="375"/>
      <c r="P310" s="375"/>
      <c r="Q310" s="375"/>
      <c r="R310" s="375"/>
      <c r="S310" s="375"/>
      <c r="T310" s="375"/>
      <c r="U310" s="375"/>
      <c r="V310" s="375"/>
      <c r="W310" s="375"/>
      <c r="X310" s="375"/>
      <c r="Y310" s="375"/>
      <c r="Z310" s="375"/>
      <c r="AA310" s="375"/>
      <c r="AB310" s="375"/>
      <c r="AC310" s="375"/>
    </row>
    <row r="311" spans="1:29" ht="13.2">
      <c r="A311" s="375"/>
      <c r="B311" s="375"/>
      <c r="C311" s="375"/>
      <c r="D311" s="375"/>
      <c r="E311" s="375"/>
      <c r="F311" s="375"/>
      <c r="G311" s="375"/>
      <c r="H311" s="375"/>
      <c r="I311" s="375"/>
      <c r="J311" s="375"/>
      <c r="K311" s="375"/>
      <c r="L311" s="375"/>
      <c r="M311" s="375"/>
      <c r="N311" s="375"/>
      <c r="O311" s="375"/>
      <c r="P311" s="375"/>
      <c r="Q311" s="375"/>
      <c r="R311" s="375"/>
      <c r="S311" s="375"/>
      <c r="T311" s="375"/>
      <c r="U311" s="375"/>
      <c r="V311" s="375"/>
      <c r="W311" s="375"/>
      <c r="X311" s="375"/>
      <c r="Y311" s="375"/>
      <c r="Z311" s="375"/>
      <c r="AA311" s="375"/>
      <c r="AB311" s="375"/>
      <c r="AC311" s="375"/>
    </row>
    <row r="312" spans="1:29" ht="13.2">
      <c r="A312" s="375"/>
      <c r="B312" s="375"/>
      <c r="C312" s="375"/>
      <c r="D312" s="375"/>
      <c r="E312" s="375"/>
      <c r="F312" s="375"/>
      <c r="G312" s="375"/>
      <c r="H312" s="375"/>
      <c r="I312" s="375"/>
      <c r="J312" s="375"/>
      <c r="K312" s="375"/>
      <c r="L312" s="375"/>
      <c r="M312" s="375"/>
      <c r="N312" s="375"/>
      <c r="O312" s="375"/>
      <c r="P312" s="375"/>
      <c r="Q312" s="375"/>
      <c r="R312" s="375"/>
      <c r="S312" s="375"/>
      <c r="T312" s="375"/>
      <c r="U312" s="375"/>
      <c r="V312" s="375"/>
      <c r="W312" s="375"/>
      <c r="X312" s="375"/>
      <c r="Y312" s="375"/>
      <c r="Z312" s="375"/>
      <c r="AA312" s="375"/>
      <c r="AB312" s="375"/>
      <c r="AC312" s="375"/>
    </row>
    <row r="313" spans="1:29" ht="13.2">
      <c r="A313" s="375"/>
      <c r="B313" s="375"/>
      <c r="C313" s="375"/>
      <c r="D313" s="375"/>
      <c r="E313" s="375"/>
      <c r="F313" s="375"/>
      <c r="G313" s="375"/>
      <c r="H313" s="375"/>
      <c r="I313" s="375"/>
      <c r="J313" s="375"/>
      <c r="K313" s="375"/>
      <c r="L313" s="375"/>
      <c r="M313" s="375"/>
      <c r="N313" s="375"/>
      <c r="O313" s="375"/>
      <c r="P313" s="375"/>
      <c r="Q313" s="375"/>
      <c r="R313" s="375"/>
      <c r="S313" s="375"/>
      <c r="T313" s="375"/>
      <c r="U313" s="375"/>
      <c r="V313" s="375"/>
      <c r="W313" s="375"/>
      <c r="X313" s="375"/>
      <c r="Y313" s="375"/>
      <c r="Z313" s="375"/>
      <c r="AA313" s="375"/>
      <c r="AB313" s="375"/>
      <c r="AC313" s="375"/>
    </row>
    <row r="314" spans="1:29" ht="13.2">
      <c r="A314" s="375"/>
      <c r="B314" s="375"/>
      <c r="C314" s="375"/>
      <c r="D314" s="375"/>
      <c r="E314" s="375"/>
      <c r="F314" s="375"/>
      <c r="G314" s="375"/>
      <c r="H314" s="375"/>
      <c r="I314" s="375"/>
      <c r="J314" s="375"/>
      <c r="K314" s="375"/>
      <c r="L314" s="375"/>
      <c r="M314" s="375"/>
      <c r="N314" s="375"/>
      <c r="O314" s="375"/>
      <c r="P314" s="375"/>
      <c r="Q314" s="375"/>
      <c r="R314" s="375"/>
      <c r="S314" s="375"/>
      <c r="T314" s="375"/>
      <c r="U314" s="375"/>
      <c r="V314" s="375"/>
      <c r="W314" s="375"/>
      <c r="X314" s="375"/>
      <c r="Y314" s="375"/>
      <c r="Z314" s="375"/>
      <c r="AA314" s="375"/>
      <c r="AB314" s="375"/>
      <c r="AC314" s="375"/>
    </row>
    <row r="315" spans="1:29" ht="13.2">
      <c r="A315" s="375"/>
      <c r="B315" s="375"/>
      <c r="C315" s="375"/>
      <c r="D315" s="375"/>
      <c r="E315" s="375"/>
      <c r="F315" s="375"/>
      <c r="G315" s="375"/>
      <c r="H315" s="375"/>
      <c r="I315" s="375"/>
      <c r="J315" s="375"/>
      <c r="K315" s="375"/>
      <c r="L315" s="375"/>
      <c r="M315" s="375"/>
      <c r="N315" s="375"/>
      <c r="O315" s="375"/>
      <c r="P315" s="375"/>
      <c r="Q315" s="375"/>
      <c r="R315" s="375"/>
      <c r="S315" s="375"/>
      <c r="T315" s="375"/>
      <c r="U315" s="375"/>
      <c r="V315" s="375"/>
      <c r="W315" s="375"/>
      <c r="X315" s="375"/>
      <c r="Y315" s="375"/>
      <c r="Z315" s="375"/>
      <c r="AA315" s="375"/>
      <c r="AB315" s="375"/>
      <c r="AC315" s="375"/>
    </row>
    <row r="316" spans="1:29" ht="13.2">
      <c r="A316" s="375"/>
      <c r="B316" s="375"/>
      <c r="C316" s="375"/>
      <c r="D316" s="375"/>
      <c r="E316" s="375"/>
      <c r="F316" s="375"/>
      <c r="G316" s="375"/>
      <c r="H316" s="375"/>
      <c r="I316" s="375"/>
      <c r="J316" s="375"/>
      <c r="K316" s="375"/>
      <c r="L316" s="375"/>
      <c r="M316" s="375"/>
      <c r="N316" s="375"/>
      <c r="O316" s="375"/>
      <c r="P316" s="375"/>
      <c r="Q316" s="375"/>
      <c r="R316" s="375"/>
      <c r="S316" s="375"/>
      <c r="T316" s="375"/>
      <c r="U316" s="375"/>
      <c r="V316" s="375"/>
      <c r="W316" s="375"/>
      <c r="X316" s="375"/>
      <c r="Y316" s="375"/>
      <c r="Z316" s="375"/>
      <c r="AA316" s="375"/>
      <c r="AB316" s="375"/>
      <c r="AC316" s="375"/>
    </row>
    <row r="317" spans="1:29" ht="13.2">
      <c r="A317" s="375"/>
      <c r="B317" s="375"/>
      <c r="C317" s="375"/>
      <c r="D317" s="375"/>
      <c r="E317" s="375"/>
      <c r="F317" s="375"/>
      <c r="G317" s="375"/>
      <c r="H317" s="375"/>
      <c r="I317" s="375"/>
      <c r="J317" s="375"/>
      <c r="K317" s="375"/>
      <c r="L317" s="375"/>
      <c r="M317" s="375"/>
      <c r="N317" s="375"/>
      <c r="O317" s="375"/>
      <c r="P317" s="375"/>
      <c r="Q317" s="375"/>
      <c r="R317" s="375"/>
      <c r="S317" s="375"/>
      <c r="T317" s="375"/>
      <c r="U317" s="375"/>
      <c r="V317" s="375"/>
      <c r="W317" s="375"/>
      <c r="X317" s="375"/>
      <c r="Y317" s="375"/>
      <c r="Z317" s="375"/>
      <c r="AA317" s="375"/>
      <c r="AB317" s="375"/>
      <c r="AC317" s="375"/>
    </row>
    <row r="318" spans="1:29" ht="13.2">
      <c r="A318" s="375"/>
      <c r="B318" s="375"/>
      <c r="C318" s="375"/>
      <c r="D318" s="375"/>
      <c r="E318" s="375"/>
      <c r="F318" s="375"/>
      <c r="G318" s="375"/>
      <c r="H318" s="375"/>
      <c r="I318" s="375"/>
      <c r="J318" s="375"/>
      <c r="K318" s="375"/>
      <c r="L318" s="375"/>
      <c r="M318" s="375"/>
      <c r="N318" s="375"/>
      <c r="O318" s="375"/>
      <c r="P318" s="375"/>
      <c r="Q318" s="375"/>
      <c r="R318" s="375"/>
      <c r="S318" s="375"/>
      <c r="T318" s="375"/>
      <c r="U318" s="375"/>
      <c r="V318" s="375"/>
      <c r="W318" s="375"/>
      <c r="X318" s="375"/>
      <c r="Y318" s="375"/>
      <c r="Z318" s="375"/>
      <c r="AA318" s="375"/>
      <c r="AB318" s="375"/>
      <c r="AC318" s="375"/>
    </row>
    <row r="319" spans="1:29" ht="13.2">
      <c r="A319" s="375"/>
      <c r="B319" s="375"/>
      <c r="C319" s="375"/>
      <c r="D319" s="375"/>
      <c r="E319" s="375"/>
      <c r="F319" s="375"/>
      <c r="G319" s="375"/>
      <c r="H319" s="375"/>
      <c r="I319" s="375"/>
      <c r="J319" s="375"/>
      <c r="K319" s="375"/>
      <c r="L319" s="375"/>
      <c r="M319" s="375"/>
      <c r="N319" s="375"/>
      <c r="O319" s="375"/>
      <c r="P319" s="375"/>
      <c r="Q319" s="375"/>
      <c r="R319" s="375"/>
      <c r="S319" s="375"/>
      <c r="T319" s="375"/>
      <c r="U319" s="375"/>
      <c r="V319" s="375"/>
      <c r="W319" s="375"/>
      <c r="X319" s="375"/>
      <c r="Y319" s="375"/>
      <c r="Z319" s="375"/>
      <c r="AA319" s="375"/>
      <c r="AB319" s="375"/>
      <c r="AC319" s="375"/>
    </row>
    <row r="320" spans="1:29" ht="13.2">
      <c r="A320" s="375"/>
      <c r="B320" s="375"/>
      <c r="C320" s="375"/>
      <c r="D320" s="375"/>
      <c r="E320" s="375"/>
      <c r="F320" s="375"/>
      <c r="G320" s="375"/>
      <c r="H320" s="375"/>
      <c r="I320" s="375"/>
      <c r="J320" s="375"/>
      <c r="K320" s="375"/>
      <c r="L320" s="375"/>
      <c r="M320" s="375"/>
      <c r="N320" s="375"/>
      <c r="O320" s="375"/>
      <c r="P320" s="375"/>
      <c r="Q320" s="375"/>
      <c r="R320" s="375"/>
      <c r="S320" s="375"/>
      <c r="T320" s="375"/>
      <c r="U320" s="375"/>
      <c r="V320" s="375"/>
      <c r="W320" s="375"/>
      <c r="X320" s="375"/>
      <c r="Y320" s="375"/>
      <c r="Z320" s="375"/>
      <c r="AA320" s="375"/>
      <c r="AB320" s="375"/>
      <c r="AC320" s="375"/>
    </row>
    <row r="321" spans="1:29" ht="13.2">
      <c r="A321" s="375"/>
      <c r="B321" s="375"/>
      <c r="C321" s="375"/>
      <c r="D321" s="375"/>
      <c r="E321" s="375"/>
      <c r="F321" s="375"/>
      <c r="G321" s="375"/>
      <c r="H321" s="375"/>
      <c r="I321" s="375"/>
      <c r="J321" s="375"/>
      <c r="K321" s="375"/>
      <c r="L321" s="375"/>
      <c r="M321" s="375"/>
      <c r="N321" s="375"/>
      <c r="O321" s="375"/>
      <c r="P321" s="375"/>
      <c r="Q321" s="375"/>
      <c r="R321" s="375"/>
      <c r="S321" s="375"/>
      <c r="T321" s="375"/>
      <c r="U321" s="375"/>
      <c r="V321" s="375"/>
      <c r="W321" s="375"/>
      <c r="X321" s="375"/>
      <c r="Y321" s="375"/>
      <c r="Z321" s="375"/>
      <c r="AA321" s="375"/>
      <c r="AB321" s="375"/>
      <c r="AC321" s="375"/>
    </row>
    <row r="322" spans="1:29" ht="13.2">
      <c r="A322" s="375"/>
      <c r="B322" s="375"/>
      <c r="C322" s="375"/>
      <c r="D322" s="375"/>
      <c r="E322" s="375"/>
      <c r="F322" s="375"/>
      <c r="G322" s="375"/>
      <c r="H322" s="375"/>
      <c r="I322" s="375"/>
      <c r="J322" s="375"/>
      <c r="K322" s="375"/>
      <c r="L322" s="375"/>
      <c r="M322" s="375"/>
      <c r="N322" s="375"/>
      <c r="O322" s="375"/>
      <c r="P322" s="375"/>
      <c r="Q322" s="375"/>
      <c r="R322" s="375"/>
      <c r="S322" s="375"/>
      <c r="T322" s="375"/>
      <c r="U322" s="375"/>
      <c r="V322" s="375"/>
      <c r="W322" s="375"/>
      <c r="X322" s="375"/>
      <c r="Y322" s="375"/>
      <c r="Z322" s="375"/>
      <c r="AA322" s="375"/>
      <c r="AB322" s="375"/>
      <c r="AC322" s="375"/>
    </row>
    <row r="323" spans="1:29" ht="13.2">
      <c r="A323" s="375"/>
      <c r="B323" s="375"/>
      <c r="C323" s="375"/>
      <c r="D323" s="375"/>
      <c r="E323" s="375"/>
      <c r="F323" s="375"/>
      <c r="G323" s="375"/>
      <c r="H323" s="375"/>
      <c r="I323" s="375"/>
      <c r="J323" s="375"/>
      <c r="K323" s="375"/>
      <c r="L323" s="375"/>
      <c r="M323" s="375"/>
      <c r="N323" s="375"/>
      <c r="O323" s="375"/>
      <c r="P323" s="375"/>
      <c r="Q323" s="375"/>
      <c r="R323" s="375"/>
      <c r="S323" s="375"/>
      <c r="T323" s="375"/>
      <c r="U323" s="375"/>
      <c r="V323" s="375"/>
      <c r="W323" s="375"/>
      <c r="X323" s="375"/>
      <c r="Y323" s="375"/>
      <c r="Z323" s="375"/>
      <c r="AA323" s="375"/>
      <c r="AB323" s="375"/>
      <c r="AC323" s="375"/>
    </row>
    <row r="324" spans="1:29" ht="13.2">
      <c r="A324" s="375"/>
      <c r="B324" s="375"/>
      <c r="C324" s="375"/>
      <c r="D324" s="375"/>
      <c r="E324" s="375"/>
      <c r="F324" s="375"/>
      <c r="G324" s="375"/>
      <c r="H324" s="375"/>
      <c r="I324" s="375"/>
      <c r="J324" s="375"/>
      <c r="K324" s="375"/>
      <c r="L324" s="375"/>
      <c r="M324" s="375"/>
      <c r="N324" s="375"/>
      <c r="O324" s="375"/>
      <c r="P324" s="375"/>
      <c r="Q324" s="375"/>
      <c r="R324" s="375"/>
      <c r="S324" s="375"/>
      <c r="T324" s="375"/>
      <c r="U324" s="375"/>
      <c r="V324" s="375"/>
      <c r="W324" s="375"/>
      <c r="X324" s="375"/>
      <c r="Y324" s="375"/>
      <c r="Z324" s="375"/>
      <c r="AA324" s="375"/>
      <c r="AB324" s="375"/>
      <c r="AC324" s="375"/>
    </row>
    <row r="325" spans="1:29" ht="13.2">
      <c r="A325" s="375"/>
      <c r="B325" s="375"/>
      <c r="C325" s="375"/>
      <c r="D325" s="375"/>
      <c r="E325" s="375"/>
      <c r="F325" s="375"/>
      <c r="G325" s="375"/>
      <c r="H325" s="375"/>
      <c r="I325" s="375"/>
      <c r="J325" s="375"/>
      <c r="K325" s="375"/>
      <c r="L325" s="375"/>
      <c r="M325" s="375"/>
      <c r="N325" s="375"/>
      <c r="O325" s="375"/>
      <c r="P325" s="375"/>
      <c r="Q325" s="375"/>
      <c r="R325" s="375"/>
      <c r="S325" s="375"/>
      <c r="T325" s="375"/>
      <c r="U325" s="375"/>
      <c r="V325" s="375"/>
      <c r="W325" s="375"/>
      <c r="X325" s="375"/>
      <c r="Y325" s="375"/>
      <c r="Z325" s="375"/>
      <c r="AA325" s="375"/>
      <c r="AB325" s="375"/>
      <c r="AC325" s="375"/>
    </row>
    <row r="326" spans="1:29" ht="13.2">
      <c r="A326" s="375"/>
      <c r="B326" s="375"/>
      <c r="C326" s="375"/>
      <c r="D326" s="375"/>
      <c r="E326" s="375"/>
      <c r="F326" s="375"/>
      <c r="G326" s="375"/>
      <c r="H326" s="375"/>
      <c r="I326" s="375"/>
      <c r="J326" s="375"/>
      <c r="K326" s="375"/>
      <c r="L326" s="375"/>
      <c r="M326" s="375"/>
      <c r="N326" s="375"/>
      <c r="O326" s="375"/>
      <c r="P326" s="375"/>
      <c r="Q326" s="375"/>
      <c r="R326" s="375"/>
      <c r="S326" s="375"/>
      <c r="T326" s="375"/>
      <c r="U326" s="375"/>
      <c r="V326" s="375"/>
      <c r="W326" s="375"/>
      <c r="X326" s="375"/>
      <c r="Y326" s="375"/>
      <c r="Z326" s="375"/>
      <c r="AA326" s="375"/>
      <c r="AB326" s="375"/>
      <c r="AC326" s="375"/>
    </row>
    <row r="327" spans="1:29" ht="13.2">
      <c r="A327" s="375"/>
      <c r="B327" s="375"/>
      <c r="C327" s="375"/>
      <c r="D327" s="375"/>
      <c r="E327" s="375"/>
      <c r="F327" s="375"/>
      <c r="G327" s="375"/>
      <c r="H327" s="375"/>
      <c r="I327" s="375"/>
      <c r="J327" s="375"/>
      <c r="K327" s="375"/>
      <c r="L327" s="375"/>
      <c r="M327" s="375"/>
      <c r="N327" s="375"/>
      <c r="O327" s="375"/>
      <c r="P327" s="375"/>
      <c r="Q327" s="375"/>
      <c r="R327" s="375"/>
      <c r="S327" s="375"/>
      <c r="T327" s="375"/>
      <c r="U327" s="375"/>
      <c r="V327" s="375"/>
      <c r="W327" s="375"/>
      <c r="X327" s="375"/>
      <c r="Y327" s="375"/>
      <c r="Z327" s="375"/>
      <c r="AA327" s="375"/>
      <c r="AB327" s="375"/>
      <c r="AC327" s="375"/>
    </row>
    <row r="328" spans="1:29" ht="13.2">
      <c r="A328" s="375"/>
      <c r="B328" s="375"/>
      <c r="C328" s="375"/>
      <c r="D328" s="375"/>
      <c r="E328" s="375"/>
      <c r="F328" s="375"/>
      <c r="G328" s="375"/>
      <c r="H328" s="375"/>
      <c r="I328" s="375"/>
      <c r="J328" s="375"/>
      <c r="K328" s="375"/>
      <c r="L328" s="375"/>
      <c r="M328" s="375"/>
      <c r="N328" s="375"/>
      <c r="O328" s="375"/>
      <c r="P328" s="375"/>
      <c r="Q328" s="375"/>
      <c r="R328" s="375"/>
      <c r="S328" s="375"/>
      <c r="T328" s="375"/>
      <c r="U328" s="375"/>
      <c r="V328" s="375"/>
      <c r="W328" s="375"/>
      <c r="X328" s="375"/>
      <c r="Y328" s="375"/>
      <c r="Z328" s="375"/>
      <c r="AA328" s="375"/>
      <c r="AB328" s="375"/>
      <c r="AC328" s="375"/>
    </row>
    <row r="329" spans="1:29" ht="13.2">
      <c r="A329" s="375"/>
      <c r="B329" s="375"/>
      <c r="C329" s="375"/>
      <c r="D329" s="375"/>
      <c r="E329" s="375"/>
      <c r="F329" s="375"/>
      <c r="G329" s="375"/>
      <c r="H329" s="375"/>
      <c r="I329" s="375"/>
      <c r="J329" s="375"/>
      <c r="K329" s="375"/>
      <c r="L329" s="375"/>
      <c r="M329" s="375"/>
      <c r="N329" s="375"/>
      <c r="O329" s="375"/>
      <c r="P329" s="375"/>
      <c r="Q329" s="375"/>
      <c r="R329" s="375"/>
      <c r="S329" s="375"/>
      <c r="T329" s="375"/>
      <c r="U329" s="375"/>
      <c r="V329" s="375"/>
      <c r="W329" s="375"/>
      <c r="X329" s="375"/>
      <c r="Y329" s="375"/>
      <c r="Z329" s="375"/>
      <c r="AA329" s="375"/>
      <c r="AB329" s="375"/>
      <c r="AC329" s="375"/>
    </row>
    <row r="330" spans="1:29" ht="13.2">
      <c r="A330" s="375"/>
      <c r="B330" s="375"/>
      <c r="C330" s="375"/>
      <c r="D330" s="375"/>
      <c r="E330" s="375"/>
      <c r="F330" s="375"/>
      <c r="G330" s="375"/>
      <c r="H330" s="375"/>
      <c r="I330" s="375"/>
      <c r="J330" s="375"/>
      <c r="K330" s="375"/>
      <c r="L330" s="375"/>
      <c r="M330" s="375"/>
      <c r="N330" s="375"/>
      <c r="O330" s="375"/>
      <c r="P330" s="375"/>
      <c r="Q330" s="375"/>
      <c r="R330" s="375"/>
      <c r="S330" s="375"/>
      <c r="T330" s="375"/>
      <c r="U330" s="375"/>
      <c r="V330" s="375"/>
      <c r="W330" s="375"/>
      <c r="X330" s="375"/>
      <c r="Y330" s="375"/>
      <c r="Z330" s="375"/>
      <c r="AA330" s="375"/>
      <c r="AB330" s="375"/>
      <c r="AC330" s="375"/>
    </row>
    <row r="331" spans="1:29" ht="13.2">
      <c r="A331" s="375"/>
      <c r="B331" s="375"/>
      <c r="C331" s="375"/>
      <c r="D331" s="375"/>
      <c r="E331" s="375"/>
      <c r="F331" s="375"/>
      <c r="G331" s="375"/>
      <c r="H331" s="375"/>
      <c r="I331" s="375"/>
      <c r="J331" s="375"/>
      <c r="K331" s="375"/>
      <c r="L331" s="375"/>
      <c r="M331" s="375"/>
      <c r="N331" s="375"/>
      <c r="O331" s="375"/>
      <c r="P331" s="375"/>
      <c r="Q331" s="375"/>
      <c r="R331" s="375"/>
      <c r="S331" s="375"/>
      <c r="T331" s="375"/>
      <c r="U331" s="375"/>
      <c r="V331" s="375"/>
      <c r="W331" s="375"/>
      <c r="X331" s="375"/>
      <c r="Y331" s="375"/>
      <c r="Z331" s="375"/>
      <c r="AA331" s="375"/>
      <c r="AB331" s="375"/>
      <c r="AC331" s="375"/>
    </row>
    <row r="332" spans="1:29" ht="13.2">
      <c r="A332" s="375"/>
      <c r="B332" s="375"/>
      <c r="C332" s="375"/>
      <c r="D332" s="375"/>
      <c r="E332" s="375"/>
      <c r="F332" s="375"/>
      <c r="G332" s="375"/>
      <c r="H332" s="375"/>
      <c r="I332" s="375"/>
      <c r="J332" s="375"/>
      <c r="K332" s="375"/>
      <c r="L332" s="375"/>
      <c r="M332" s="375"/>
      <c r="N332" s="375"/>
      <c r="O332" s="375"/>
      <c r="P332" s="375"/>
      <c r="Q332" s="375"/>
      <c r="R332" s="375"/>
      <c r="S332" s="375"/>
      <c r="T332" s="375"/>
      <c r="U332" s="375"/>
      <c r="V332" s="375"/>
      <c r="W332" s="375"/>
      <c r="X332" s="375"/>
      <c r="Y332" s="375"/>
      <c r="Z332" s="375"/>
      <c r="AA332" s="375"/>
      <c r="AB332" s="375"/>
      <c r="AC332" s="375"/>
    </row>
    <row r="333" spans="1:29" ht="13.2">
      <c r="A333" s="375"/>
      <c r="B333" s="375"/>
      <c r="C333" s="375"/>
      <c r="D333" s="375"/>
      <c r="E333" s="375"/>
      <c r="F333" s="375"/>
      <c r="G333" s="375"/>
      <c r="H333" s="375"/>
      <c r="I333" s="375"/>
      <c r="J333" s="375"/>
      <c r="K333" s="375"/>
      <c r="L333" s="375"/>
      <c r="M333" s="375"/>
      <c r="N333" s="375"/>
      <c r="O333" s="375"/>
      <c r="P333" s="375"/>
      <c r="Q333" s="375"/>
      <c r="R333" s="375"/>
      <c r="S333" s="375"/>
      <c r="T333" s="375"/>
      <c r="U333" s="375"/>
      <c r="V333" s="375"/>
      <c r="W333" s="375"/>
      <c r="X333" s="375"/>
      <c r="Y333" s="375"/>
      <c r="Z333" s="375"/>
      <c r="AA333" s="375"/>
      <c r="AB333" s="375"/>
      <c r="AC333" s="375"/>
    </row>
    <row r="334" spans="1:29" ht="13.2">
      <c r="A334" s="375"/>
      <c r="B334" s="375"/>
      <c r="C334" s="375"/>
      <c r="D334" s="375"/>
      <c r="E334" s="375"/>
      <c r="F334" s="375"/>
      <c r="G334" s="375"/>
      <c r="H334" s="375"/>
      <c r="I334" s="375"/>
      <c r="J334" s="375"/>
      <c r="K334" s="375"/>
      <c r="L334" s="375"/>
      <c r="M334" s="375"/>
      <c r="N334" s="375"/>
      <c r="O334" s="375"/>
      <c r="P334" s="375"/>
      <c r="Q334" s="375"/>
      <c r="R334" s="375"/>
      <c r="S334" s="375"/>
      <c r="T334" s="375"/>
      <c r="U334" s="375"/>
      <c r="V334" s="375"/>
      <c r="W334" s="375"/>
      <c r="X334" s="375"/>
      <c r="Y334" s="375"/>
      <c r="Z334" s="375"/>
      <c r="AA334" s="375"/>
      <c r="AB334" s="375"/>
      <c r="AC334" s="375"/>
    </row>
    <row r="335" spans="1:29" ht="13.2">
      <c r="A335" s="375"/>
      <c r="B335" s="375"/>
      <c r="C335" s="375"/>
      <c r="D335" s="375"/>
      <c r="E335" s="375"/>
      <c r="F335" s="375"/>
      <c r="G335" s="375"/>
      <c r="H335" s="375"/>
      <c r="I335" s="375"/>
      <c r="J335" s="375"/>
      <c r="K335" s="375"/>
      <c r="L335" s="375"/>
      <c r="M335" s="375"/>
      <c r="N335" s="375"/>
      <c r="O335" s="375"/>
      <c r="P335" s="375"/>
      <c r="Q335" s="375"/>
      <c r="R335" s="375"/>
      <c r="S335" s="375"/>
      <c r="T335" s="375"/>
      <c r="U335" s="375"/>
      <c r="V335" s="375"/>
      <c r="W335" s="375"/>
      <c r="X335" s="375"/>
      <c r="Y335" s="375"/>
      <c r="Z335" s="375"/>
      <c r="AA335" s="375"/>
      <c r="AB335" s="375"/>
      <c r="AC335" s="375"/>
    </row>
    <row r="336" spans="1:29" ht="13.2">
      <c r="A336" s="375"/>
      <c r="B336" s="375"/>
      <c r="C336" s="375"/>
      <c r="D336" s="375"/>
      <c r="E336" s="375"/>
      <c r="F336" s="375"/>
      <c r="G336" s="375"/>
      <c r="H336" s="375"/>
      <c r="I336" s="375"/>
      <c r="J336" s="375"/>
      <c r="K336" s="375"/>
      <c r="L336" s="375"/>
      <c r="M336" s="375"/>
      <c r="N336" s="375"/>
      <c r="O336" s="375"/>
      <c r="P336" s="375"/>
      <c r="Q336" s="375"/>
      <c r="R336" s="375"/>
      <c r="S336" s="375"/>
      <c r="T336" s="375"/>
      <c r="U336" s="375"/>
      <c r="V336" s="375"/>
      <c r="W336" s="375"/>
      <c r="X336" s="375"/>
      <c r="Y336" s="375"/>
      <c r="Z336" s="375"/>
      <c r="AA336" s="375"/>
      <c r="AB336" s="375"/>
      <c r="AC336" s="375"/>
    </row>
    <row r="337" spans="1:29" ht="13.2">
      <c r="A337" s="375"/>
      <c r="B337" s="375"/>
      <c r="C337" s="375"/>
      <c r="D337" s="375"/>
      <c r="E337" s="375"/>
      <c r="F337" s="375"/>
      <c r="G337" s="375"/>
      <c r="H337" s="375"/>
      <c r="I337" s="375"/>
      <c r="J337" s="375"/>
      <c r="K337" s="375"/>
      <c r="L337" s="375"/>
      <c r="M337" s="375"/>
      <c r="N337" s="375"/>
      <c r="O337" s="375"/>
      <c r="P337" s="375"/>
      <c r="Q337" s="375"/>
      <c r="R337" s="375"/>
      <c r="S337" s="375"/>
      <c r="T337" s="375"/>
      <c r="U337" s="375"/>
      <c r="V337" s="375"/>
      <c r="W337" s="375"/>
      <c r="X337" s="375"/>
      <c r="Y337" s="375"/>
      <c r="Z337" s="375"/>
      <c r="AA337" s="375"/>
      <c r="AB337" s="375"/>
      <c r="AC337" s="375"/>
    </row>
    <row r="338" spans="1:29" ht="13.2">
      <c r="A338" s="375"/>
      <c r="B338" s="375"/>
      <c r="C338" s="375"/>
      <c r="D338" s="375"/>
      <c r="E338" s="375"/>
      <c r="F338" s="375"/>
      <c r="G338" s="375"/>
      <c r="H338" s="375"/>
      <c r="I338" s="375"/>
      <c r="J338" s="375"/>
      <c r="K338" s="375"/>
      <c r="L338" s="375"/>
      <c r="M338" s="375"/>
      <c r="N338" s="375"/>
      <c r="O338" s="375"/>
      <c r="P338" s="375"/>
      <c r="Q338" s="375"/>
      <c r="R338" s="375"/>
      <c r="S338" s="375"/>
      <c r="T338" s="375"/>
      <c r="U338" s="375"/>
      <c r="V338" s="375"/>
      <c r="W338" s="375"/>
      <c r="X338" s="375"/>
      <c r="Y338" s="375"/>
      <c r="Z338" s="375"/>
      <c r="AA338" s="375"/>
      <c r="AB338" s="375"/>
      <c r="AC338" s="375"/>
    </row>
    <row r="339" spans="1:29" ht="13.2">
      <c r="A339" s="375"/>
      <c r="B339" s="375"/>
      <c r="C339" s="375"/>
      <c r="D339" s="375"/>
      <c r="E339" s="375"/>
      <c r="F339" s="375"/>
      <c r="G339" s="375"/>
      <c r="H339" s="375"/>
      <c r="I339" s="375"/>
      <c r="J339" s="375"/>
      <c r="K339" s="375"/>
      <c r="L339" s="375"/>
      <c r="M339" s="375"/>
      <c r="N339" s="375"/>
      <c r="O339" s="375"/>
      <c r="P339" s="375"/>
      <c r="Q339" s="375"/>
      <c r="R339" s="375"/>
      <c r="S339" s="375"/>
      <c r="T339" s="375"/>
      <c r="U339" s="375"/>
      <c r="V339" s="375"/>
      <c r="W339" s="375"/>
      <c r="X339" s="375"/>
      <c r="Y339" s="375"/>
      <c r="Z339" s="375"/>
      <c r="AA339" s="375"/>
      <c r="AB339" s="375"/>
      <c r="AC339" s="375"/>
    </row>
    <row r="340" spans="1:29" ht="13.2">
      <c r="A340" s="375"/>
      <c r="B340" s="375"/>
      <c r="C340" s="375"/>
      <c r="D340" s="375"/>
      <c r="E340" s="375"/>
      <c r="F340" s="375"/>
      <c r="G340" s="375"/>
      <c r="H340" s="375"/>
      <c r="I340" s="375"/>
      <c r="J340" s="375"/>
      <c r="K340" s="375"/>
      <c r="L340" s="375"/>
      <c r="M340" s="375"/>
      <c r="N340" s="375"/>
      <c r="O340" s="375"/>
      <c r="P340" s="375"/>
      <c r="Q340" s="375"/>
      <c r="R340" s="375"/>
      <c r="S340" s="375"/>
      <c r="T340" s="375"/>
      <c r="U340" s="375"/>
      <c r="V340" s="375"/>
      <c r="W340" s="375"/>
      <c r="X340" s="375"/>
      <c r="Y340" s="375"/>
      <c r="Z340" s="375"/>
      <c r="AA340" s="375"/>
      <c r="AB340" s="375"/>
      <c r="AC340" s="375"/>
    </row>
    <row r="341" spans="1:29" ht="13.2">
      <c r="A341" s="375"/>
      <c r="B341" s="375"/>
      <c r="C341" s="375"/>
      <c r="D341" s="375"/>
      <c r="E341" s="375"/>
      <c r="F341" s="375"/>
      <c r="G341" s="375"/>
      <c r="H341" s="375"/>
      <c r="I341" s="375"/>
      <c r="J341" s="375"/>
      <c r="K341" s="375"/>
      <c r="L341" s="375"/>
      <c r="M341" s="375"/>
      <c r="N341" s="375"/>
      <c r="O341" s="375"/>
      <c r="P341" s="375"/>
      <c r="Q341" s="375"/>
      <c r="R341" s="375"/>
      <c r="S341" s="375"/>
      <c r="T341" s="375"/>
      <c r="U341" s="375"/>
      <c r="V341" s="375"/>
      <c r="W341" s="375"/>
      <c r="X341" s="375"/>
      <c r="Y341" s="375"/>
      <c r="Z341" s="375"/>
      <c r="AA341" s="375"/>
      <c r="AB341" s="375"/>
      <c r="AC341" s="375"/>
    </row>
    <row r="342" spans="1:29" ht="13.2">
      <c r="A342" s="375"/>
      <c r="B342" s="375"/>
      <c r="C342" s="375"/>
      <c r="D342" s="375"/>
      <c r="E342" s="375"/>
      <c r="F342" s="375"/>
      <c r="G342" s="375"/>
      <c r="H342" s="375"/>
      <c r="I342" s="375"/>
      <c r="J342" s="375"/>
      <c r="K342" s="375"/>
      <c r="L342" s="375"/>
      <c r="M342" s="375"/>
      <c r="N342" s="375"/>
      <c r="O342" s="375"/>
      <c r="P342" s="375"/>
      <c r="Q342" s="375"/>
      <c r="R342" s="375"/>
      <c r="S342" s="375"/>
      <c r="T342" s="375"/>
      <c r="U342" s="375"/>
      <c r="V342" s="375"/>
      <c r="W342" s="375"/>
      <c r="X342" s="375"/>
      <c r="Y342" s="375"/>
      <c r="Z342" s="375"/>
      <c r="AA342" s="375"/>
      <c r="AB342" s="375"/>
      <c r="AC342" s="375"/>
    </row>
    <row r="343" spans="1:29" ht="13.2">
      <c r="A343" s="375"/>
      <c r="B343" s="375"/>
      <c r="C343" s="375"/>
      <c r="D343" s="375"/>
      <c r="E343" s="375"/>
      <c r="F343" s="375"/>
      <c r="G343" s="375"/>
      <c r="H343" s="375"/>
      <c r="I343" s="375"/>
      <c r="J343" s="375"/>
      <c r="K343" s="375"/>
      <c r="L343" s="375"/>
      <c r="M343" s="375"/>
      <c r="N343" s="375"/>
      <c r="O343" s="375"/>
      <c r="P343" s="375"/>
      <c r="Q343" s="375"/>
      <c r="R343" s="375"/>
      <c r="S343" s="375"/>
      <c r="T343" s="375"/>
      <c r="U343" s="375"/>
      <c r="V343" s="375"/>
      <c r="W343" s="375"/>
      <c r="X343" s="375"/>
      <c r="Y343" s="375"/>
      <c r="Z343" s="375"/>
      <c r="AA343" s="375"/>
      <c r="AB343" s="375"/>
      <c r="AC343" s="375"/>
    </row>
    <row r="344" spans="1:29" ht="13.2">
      <c r="A344" s="375"/>
      <c r="B344" s="375"/>
      <c r="C344" s="375"/>
      <c r="D344" s="375"/>
      <c r="E344" s="375"/>
      <c r="F344" s="375"/>
      <c r="G344" s="375"/>
      <c r="H344" s="375"/>
      <c r="I344" s="375"/>
      <c r="J344" s="375"/>
      <c r="K344" s="375"/>
      <c r="L344" s="375"/>
      <c r="M344" s="375"/>
      <c r="N344" s="375"/>
      <c r="O344" s="375"/>
      <c r="P344" s="375"/>
      <c r="Q344" s="375"/>
      <c r="R344" s="375"/>
      <c r="S344" s="375"/>
      <c r="T344" s="375"/>
      <c r="U344" s="375"/>
      <c r="V344" s="375"/>
      <c r="W344" s="375"/>
      <c r="X344" s="375"/>
      <c r="Y344" s="375"/>
      <c r="Z344" s="375"/>
      <c r="AA344" s="375"/>
      <c r="AB344" s="375"/>
      <c r="AC344" s="375"/>
    </row>
    <row r="345" spans="1:29" ht="13.2">
      <c r="A345" s="375"/>
      <c r="B345" s="375"/>
      <c r="C345" s="375"/>
      <c r="D345" s="375"/>
      <c r="E345" s="375"/>
      <c r="F345" s="375"/>
      <c r="G345" s="375"/>
      <c r="H345" s="375"/>
      <c r="I345" s="375"/>
      <c r="J345" s="375"/>
      <c r="K345" s="375"/>
      <c r="L345" s="375"/>
      <c r="M345" s="375"/>
      <c r="N345" s="375"/>
      <c r="O345" s="375"/>
      <c r="P345" s="375"/>
      <c r="Q345" s="375"/>
      <c r="R345" s="375"/>
      <c r="S345" s="375"/>
      <c r="T345" s="375"/>
      <c r="U345" s="375"/>
      <c r="V345" s="375"/>
      <c r="W345" s="375"/>
      <c r="X345" s="375"/>
      <c r="Y345" s="375"/>
      <c r="Z345" s="375"/>
      <c r="AA345" s="375"/>
      <c r="AB345" s="375"/>
      <c r="AC345" s="375"/>
    </row>
    <row r="346" spans="1:29" ht="13.2">
      <c r="A346" s="375"/>
      <c r="B346" s="375"/>
      <c r="C346" s="375"/>
      <c r="D346" s="375"/>
      <c r="E346" s="375"/>
      <c r="F346" s="375"/>
      <c r="G346" s="375"/>
      <c r="H346" s="375"/>
      <c r="I346" s="375"/>
      <c r="J346" s="375"/>
      <c r="K346" s="375"/>
      <c r="L346" s="375"/>
      <c r="M346" s="375"/>
      <c r="N346" s="375"/>
      <c r="O346" s="375"/>
      <c r="P346" s="375"/>
      <c r="Q346" s="375"/>
      <c r="R346" s="375"/>
      <c r="S346" s="375"/>
      <c r="T346" s="375"/>
      <c r="U346" s="375"/>
      <c r="V346" s="375"/>
      <c r="W346" s="375"/>
      <c r="X346" s="375"/>
      <c r="Y346" s="375"/>
      <c r="Z346" s="375"/>
      <c r="AA346" s="375"/>
      <c r="AB346" s="375"/>
      <c r="AC346" s="375"/>
    </row>
    <row r="347" spans="1:29" ht="13.2">
      <c r="A347" s="375"/>
      <c r="B347" s="375"/>
      <c r="C347" s="375"/>
      <c r="D347" s="375"/>
      <c r="E347" s="375"/>
      <c r="F347" s="375"/>
      <c r="G347" s="375"/>
      <c r="H347" s="375"/>
      <c r="I347" s="375"/>
      <c r="J347" s="375"/>
      <c r="K347" s="375"/>
      <c r="L347" s="375"/>
      <c r="M347" s="375"/>
      <c r="N347" s="375"/>
      <c r="O347" s="375"/>
      <c r="P347" s="375"/>
      <c r="Q347" s="375"/>
      <c r="R347" s="375"/>
      <c r="S347" s="375"/>
      <c r="T347" s="375"/>
      <c r="U347" s="375"/>
      <c r="V347" s="375"/>
      <c r="W347" s="375"/>
      <c r="X347" s="375"/>
      <c r="Y347" s="375"/>
      <c r="Z347" s="375"/>
      <c r="AA347" s="375"/>
      <c r="AB347" s="375"/>
      <c r="AC347" s="375"/>
    </row>
    <row r="348" spans="1:29" ht="13.2">
      <c r="A348" s="375"/>
      <c r="B348" s="375"/>
      <c r="C348" s="375"/>
      <c r="D348" s="375"/>
      <c r="E348" s="375"/>
      <c r="F348" s="375"/>
      <c r="G348" s="375"/>
      <c r="H348" s="375"/>
      <c r="I348" s="375"/>
      <c r="J348" s="375"/>
      <c r="K348" s="375"/>
      <c r="L348" s="375"/>
      <c r="M348" s="375"/>
      <c r="N348" s="375"/>
      <c r="O348" s="375"/>
      <c r="P348" s="375"/>
      <c r="Q348" s="375"/>
      <c r="R348" s="375"/>
      <c r="S348" s="375"/>
      <c r="T348" s="375"/>
      <c r="U348" s="375"/>
      <c r="V348" s="375"/>
      <c r="W348" s="375"/>
      <c r="X348" s="375"/>
      <c r="Y348" s="375"/>
      <c r="Z348" s="375"/>
      <c r="AA348" s="375"/>
      <c r="AB348" s="375"/>
      <c r="AC348" s="375"/>
    </row>
    <row r="349" spans="1:29" ht="13.2">
      <c r="A349" s="375"/>
      <c r="B349" s="375"/>
      <c r="C349" s="375"/>
      <c r="D349" s="375"/>
      <c r="E349" s="375"/>
      <c r="F349" s="375"/>
      <c r="G349" s="375"/>
      <c r="H349" s="375"/>
      <c r="I349" s="375"/>
      <c r="J349" s="375"/>
      <c r="K349" s="375"/>
      <c r="L349" s="375"/>
      <c r="M349" s="375"/>
      <c r="N349" s="375"/>
      <c r="O349" s="375"/>
      <c r="P349" s="375"/>
      <c r="Q349" s="375"/>
      <c r="R349" s="375"/>
      <c r="S349" s="375"/>
      <c r="T349" s="375"/>
      <c r="U349" s="375"/>
      <c r="V349" s="375"/>
      <c r="W349" s="375"/>
      <c r="X349" s="375"/>
      <c r="Y349" s="375"/>
      <c r="Z349" s="375"/>
      <c r="AA349" s="375"/>
      <c r="AB349" s="375"/>
      <c r="AC349" s="375"/>
    </row>
    <row r="350" spans="1:29" ht="13.2">
      <c r="A350" s="375"/>
      <c r="B350" s="375"/>
      <c r="C350" s="375"/>
      <c r="D350" s="375"/>
      <c r="E350" s="375"/>
      <c r="F350" s="375"/>
      <c r="G350" s="375"/>
      <c r="H350" s="375"/>
      <c r="I350" s="375"/>
      <c r="J350" s="375"/>
      <c r="K350" s="375"/>
      <c r="L350" s="375"/>
      <c r="M350" s="375"/>
      <c r="N350" s="375"/>
      <c r="O350" s="375"/>
      <c r="P350" s="375"/>
      <c r="Q350" s="375"/>
      <c r="R350" s="375"/>
      <c r="S350" s="375"/>
      <c r="T350" s="375"/>
      <c r="U350" s="375"/>
      <c r="V350" s="375"/>
      <c r="W350" s="375"/>
      <c r="X350" s="375"/>
      <c r="Y350" s="375"/>
      <c r="Z350" s="375"/>
      <c r="AA350" s="375"/>
      <c r="AB350" s="375"/>
      <c r="AC350" s="375"/>
    </row>
    <row r="351" spans="1:29" ht="13.2">
      <c r="A351" s="375"/>
      <c r="B351" s="375"/>
      <c r="C351" s="375"/>
      <c r="D351" s="375"/>
      <c r="E351" s="375"/>
      <c r="F351" s="375"/>
      <c r="G351" s="375"/>
      <c r="H351" s="375"/>
      <c r="I351" s="375"/>
      <c r="J351" s="375"/>
      <c r="K351" s="375"/>
      <c r="L351" s="375"/>
      <c r="M351" s="375"/>
      <c r="N351" s="375"/>
      <c r="O351" s="375"/>
      <c r="P351" s="375"/>
      <c r="Q351" s="375"/>
      <c r="R351" s="375"/>
      <c r="S351" s="375"/>
      <c r="T351" s="375"/>
      <c r="U351" s="375"/>
      <c r="V351" s="375"/>
      <c r="W351" s="375"/>
      <c r="X351" s="375"/>
      <c r="Y351" s="375"/>
      <c r="Z351" s="375"/>
      <c r="AA351" s="375"/>
      <c r="AB351" s="375"/>
      <c r="AC351" s="375"/>
    </row>
    <row r="352" spans="1:29" ht="13.2">
      <c r="A352" s="375"/>
      <c r="B352" s="375"/>
      <c r="C352" s="375"/>
      <c r="D352" s="375"/>
      <c r="E352" s="375"/>
      <c r="F352" s="375"/>
      <c r="G352" s="375"/>
      <c r="H352" s="375"/>
      <c r="I352" s="375"/>
      <c r="J352" s="375"/>
      <c r="K352" s="375"/>
      <c r="L352" s="375"/>
      <c r="M352" s="375"/>
      <c r="N352" s="375"/>
      <c r="O352" s="375"/>
      <c r="P352" s="375"/>
      <c r="Q352" s="375"/>
      <c r="R352" s="375"/>
      <c r="S352" s="375"/>
      <c r="T352" s="375"/>
      <c r="U352" s="375"/>
      <c r="V352" s="375"/>
      <c r="W352" s="375"/>
      <c r="X352" s="375"/>
      <c r="Y352" s="375"/>
      <c r="Z352" s="375"/>
      <c r="AA352" s="375"/>
      <c r="AB352" s="375"/>
      <c r="AC352" s="375"/>
    </row>
    <row r="353" spans="1:29" ht="13.2">
      <c r="A353" s="375"/>
      <c r="B353" s="375"/>
      <c r="C353" s="375"/>
      <c r="D353" s="375"/>
      <c r="E353" s="375"/>
      <c r="F353" s="375"/>
      <c r="G353" s="375"/>
      <c r="H353" s="375"/>
      <c r="I353" s="375"/>
      <c r="J353" s="375"/>
      <c r="K353" s="375"/>
      <c r="L353" s="375"/>
      <c r="M353" s="375"/>
      <c r="N353" s="375"/>
      <c r="O353" s="375"/>
      <c r="P353" s="375"/>
      <c r="Q353" s="375"/>
      <c r="R353" s="375"/>
      <c r="S353" s="375"/>
      <c r="T353" s="375"/>
      <c r="U353" s="375"/>
      <c r="V353" s="375"/>
      <c r="W353" s="375"/>
      <c r="X353" s="375"/>
      <c r="Y353" s="375"/>
      <c r="Z353" s="375"/>
      <c r="AA353" s="375"/>
      <c r="AB353" s="375"/>
      <c r="AC353" s="375"/>
    </row>
    <row r="354" spans="1:29" ht="13.2">
      <c r="A354" s="375"/>
      <c r="B354" s="375"/>
      <c r="C354" s="375"/>
      <c r="D354" s="375"/>
      <c r="E354" s="375"/>
      <c r="F354" s="375"/>
      <c r="G354" s="375"/>
      <c r="H354" s="375"/>
      <c r="I354" s="375"/>
      <c r="J354" s="375"/>
      <c r="K354" s="375"/>
      <c r="L354" s="375"/>
      <c r="M354" s="375"/>
      <c r="N354" s="375"/>
      <c r="O354" s="375"/>
      <c r="P354" s="375"/>
      <c r="Q354" s="375"/>
      <c r="R354" s="375"/>
      <c r="S354" s="375"/>
      <c r="T354" s="375"/>
      <c r="U354" s="375"/>
      <c r="V354" s="375"/>
      <c r="W354" s="375"/>
      <c r="X354" s="375"/>
      <c r="Y354" s="375"/>
      <c r="Z354" s="375"/>
      <c r="AA354" s="375"/>
      <c r="AB354" s="375"/>
      <c r="AC354" s="375"/>
    </row>
    <row r="355" spans="1:29" ht="13.2">
      <c r="A355" s="375"/>
      <c r="B355" s="375"/>
      <c r="C355" s="375"/>
      <c r="D355" s="375"/>
      <c r="E355" s="375"/>
      <c r="F355" s="375"/>
      <c r="G355" s="375"/>
      <c r="H355" s="375"/>
      <c r="I355" s="375"/>
      <c r="J355" s="375"/>
      <c r="K355" s="375"/>
      <c r="L355" s="375"/>
      <c r="M355" s="375"/>
      <c r="N355" s="375"/>
      <c r="O355" s="375"/>
      <c r="P355" s="375"/>
      <c r="Q355" s="375"/>
      <c r="R355" s="375"/>
      <c r="S355" s="375"/>
      <c r="T355" s="375"/>
      <c r="U355" s="375"/>
      <c r="V355" s="375"/>
      <c r="W355" s="375"/>
      <c r="X355" s="375"/>
      <c r="Y355" s="375"/>
      <c r="Z355" s="375"/>
      <c r="AA355" s="375"/>
      <c r="AB355" s="375"/>
      <c r="AC355" s="375"/>
    </row>
    <row r="356" spans="1:29" ht="13.2">
      <c r="A356" s="375"/>
      <c r="B356" s="375"/>
      <c r="C356" s="375"/>
      <c r="D356" s="375"/>
      <c r="E356" s="375"/>
      <c r="F356" s="375"/>
      <c r="G356" s="375"/>
      <c r="H356" s="375"/>
      <c r="I356" s="375"/>
      <c r="J356" s="375"/>
      <c r="K356" s="375"/>
      <c r="L356" s="375"/>
      <c r="M356" s="375"/>
      <c r="N356" s="375"/>
      <c r="O356" s="375"/>
      <c r="P356" s="375"/>
      <c r="Q356" s="375"/>
      <c r="R356" s="375"/>
      <c r="S356" s="375"/>
      <c r="T356" s="375"/>
      <c r="U356" s="375"/>
      <c r="V356" s="375"/>
      <c r="W356" s="375"/>
      <c r="X356" s="375"/>
      <c r="Y356" s="375"/>
      <c r="Z356" s="375"/>
      <c r="AA356" s="375"/>
      <c r="AB356" s="375"/>
      <c r="AC356" s="375"/>
    </row>
    <row r="357" spans="1:29" ht="13.2">
      <c r="A357" s="375"/>
      <c r="B357" s="375"/>
      <c r="C357" s="375"/>
      <c r="D357" s="375"/>
      <c r="E357" s="375"/>
      <c r="F357" s="375"/>
      <c r="G357" s="375"/>
      <c r="H357" s="375"/>
      <c r="I357" s="375"/>
      <c r="J357" s="375"/>
      <c r="K357" s="375"/>
      <c r="L357" s="375"/>
      <c r="M357" s="375"/>
      <c r="N357" s="375"/>
      <c r="O357" s="375"/>
      <c r="P357" s="375"/>
      <c r="Q357" s="375"/>
      <c r="R357" s="375"/>
      <c r="S357" s="375"/>
      <c r="T357" s="375"/>
      <c r="U357" s="375"/>
      <c r="V357" s="375"/>
      <c r="W357" s="375"/>
      <c r="X357" s="375"/>
      <c r="Y357" s="375"/>
      <c r="Z357" s="375"/>
      <c r="AA357" s="375"/>
      <c r="AB357" s="375"/>
      <c r="AC357" s="375"/>
    </row>
    <row r="358" spans="1:29" ht="13.2">
      <c r="A358" s="375"/>
      <c r="B358" s="375"/>
      <c r="C358" s="375"/>
      <c r="D358" s="375"/>
      <c r="E358" s="375"/>
      <c r="F358" s="375"/>
      <c r="G358" s="375"/>
      <c r="H358" s="375"/>
      <c r="I358" s="375"/>
      <c r="J358" s="375"/>
      <c r="K358" s="375"/>
      <c r="L358" s="375"/>
      <c r="M358" s="375"/>
      <c r="N358" s="375"/>
      <c r="O358" s="375"/>
      <c r="P358" s="375"/>
      <c r="Q358" s="375"/>
      <c r="R358" s="375"/>
      <c r="S358" s="375"/>
      <c r="T358" s="375"/>
      <c r="U358" s="375"/>
      <c r="V358" s="375"/>
      <c r="W358" s="375"/>
      <c r="X358" s="375"/>
      <c r="Y358" s="375"/>
      <c r="Z358" s="375"/>
      <c r="AA358" s="375"/>
      <c r="AB358" s="375"/>
      <c r="AC358" s="375"/>
    </row>
    <row r="359" spans="1:29" ht="13.2">
      <c r="A359" s="375"/>
      <c r="B359" s="375"/>
      <c r="C359" s="375"/>
      <c r="D359" s="375"/>
      <c r="E359" s="375"/>
      <c r="F359" s="375"/>
      <c r="G359" s="375"/>
      <c r="H359" s="375"/>
      <c r="I359" s="375"/>
      <c r="J359" s="375"/>
      <c r="K359" s="375"/>
      <c r="L359" s="375"/>
      <c r="M359" s="375"/>
      <c r="N359" s="375"/>
      <c r="O359" s="375"/>
      <c r="P359" s="375"/>
      <c r="Q359" s="375"/>
      <c r="R359" s="375"/>
      <c r="S359" s="375"/>
      <c r="T359" s="375"/>
      <c r="U359" s="375"/>
      <c r="V359" s="375"/>
      <c r="W359" s="375"/>
      <c r="X359" s="375"/>
      <c r="Y359" s="375"/>
      <c r="Z359" s="375"/>
      <c r="AA359" s="375"/>
      <c r="AB359" s="375"/>
      <c r="AC359" s="375"/>
    </row>
    <row r="360" spans="1:29" ht="13.2">
      <c r="A360" s="375"/>
      <c r="B360" s="375"/>
      <c r="C360" s="375"/>
      <c r="D360" s="375"/>
      <c r="E360" s="375"/>
      <c r="F360" s="375"/>
      <c r="G360" s="375"/>
      <c r="H360" s="375"/>
      <c r="I360" s="375"/>
      <c r="J360" s="375"/>
      <c r="K360" s="375"/>
      <c r="L360" s="375"/>
      <c r="M360" s="375"/>
      <c r="N360" s="375"/>
      <c r="O360" s="375"/>
      <c r="P360" s="375"/>
      <c r="Q360" s="375"/>
      <c r="R360" s="375"/>
      <c r="S360" s="375"/>
      <c r="T360" s="375"/>
      <c r="U360" s="375"/>
      <c r="V360" s="375"/>
      <c r="W360" s="375"/>
      <c r="X360" s="375"/>
      <c r="Y360" s="375"/>
      <c r="Z360" s="375"/>
      <c r="AA360" s="375"/>
      <c r="AB360" s="375"/>
      <c r="AC360" s="375"/>
    </row>
    <row r="361" spans="1:29" ht="13.2">
      <c r="A361" s="375"/>
      <c r="B361" s="375"/>
      <c r="C361" s="375"/>
      <c r="D361" s="375"/>
      <c r="E361" s="375"/>
      <c r="F361" s="375"/>
      <c r="G361" s="375"/>
      <c r="H361" s="375"/>
      <c r="I361" s="375"/>
      <c r="J361" s="375"/>
      <c r="K361" s="375"/>
      <c r="L361" s="375"/>
      <c r="M361" s="375"/>
      <c r="N361" s="375"/>
      <c r="O361" s="375"/>
      <c r="P361" s="375"/>
      <c r="Q361" s="375"/>
      <c r="R361" s="375"/>
      <c r="S361" s="375"/>
      <c r="T361" s="375"/>
      <c r="U361" s="375"/>
      <c r="V361" s="375"/>
      <c r="W361" s="375"/>
      <c r="X361" s="375"/>
      <c r="Y361" s="375"/>
      <c r="Z361" s="375"/>
      <c r="AA361" s="375"/>
      <c r="AB361" s="375"/>
      <c r="AC361" s="375"/>
    </row>
    <row r="362" spans="1:29" ht="13.2">
      <c r="A362" s="375"/>
      <c r="B362" s="375"/>
      <c r="C362" s="375"/>
      <c r="D362" s="375"/>
      <c r="E362" s="375"/>
      <c r="F362" s="375"/>
      <c r="G362" s="375"/>
      <c r="H362" s="375"/>
      <c r="I362" s="375"/>
      <c r="J362" s="375"/>
      <c r="K362" s="375"/>
      <c r="L362" s="375"/>
      <c r="M362" s="375"/>
      <c r="N362" s="375"/>
      <c r="O362" s="375"/>
      <c r="P362" s="375"/>
      <c r="Q362" s="375"/>
      <c r="R362" s="375"/>
      <c r="S362" s="375"/>
      <c r="T362" s="375"/>
      <c r="U362" s="375"/>
      <c r="V362" s="375"/>
      <c r="W362" s="375"/>
      <c r="X362" s="375"/>
      <c r="Y362" s="375"/>
      <c r="Z362" s="375"/>
      <c r="AA362" s="375"/>
      <c r="AB362" s="375"/>
      <c r="AC362" s="375"/>
    </row>
    <row r="363" spans="1:29" ht="13.2">
      <c r="A363" s="375"/>
      <c r="B363" s="375"/>
      <c r="C363" s="375"/>
      <c r="D363" s="375"/>
      <c r="E363" s="375"/>
      <c r="F363" s="375"/>
      <c r="G363" s="375"/>
      <c r="H363" s="375"/>
      <c r="I363" s="375"/>
      <c r="J363" s="375"/>
      <c r="K363" s="375"/>
      <c r="L363" s="375"/>
      <c r="M363" s="375"/>
      <c r="N363" s="375"/>
      <c r="O363" s="375"/>
      <c r="P363" s="375"/>
      <c r="Q363" s="375"/>
      <c r="R363" s="375"/>
      <c r="S363" s="375"/>
      <c r="T363" s="375"/>
      <c r="U363" s="375"/>
      <c r="V363" s="375"/>
      <c r="W363" s="375"/>
      <c r="X363" s="375"/>
      <c r="Y363" s="375"/>
      <c r="Z363" s="375"/>
      <c r="AA363" s="375"/>
      <c r="AB363" s="375"/>
      <c r="AC363" s="375"/>
    </row>
    <row r="364" spans="1:29" ht="13.2">
      <c r="A364" s="375"/>
      <c r="B364" s="375"/>
      <c r="C364" s="375"/>
      <c r="D364" s="375"/>
      <c r="E364" s="375"/>
      <c r="F364" s="375"/>
      <c r="G364" s="375"/>
      <c r="H364" s="375"/>
      <c r="I364" s="375"/>
      <c r="J364" s="375"/>
      <c r="K364" s="375"/>
      <c r="L364" s="375"/>
      <c r="M364" s="375"/>
      <c r="N364" s="375"/>
      <c r="O364" s="375"/>
      <c r="P364" s="375"/>
      <c r="Q364" s="375"/>
      <c r="R364" s="375"/>
      <c r="S364" s="375"/>
      <c r="T364" s="375"/>
      <c r="U364" s="375"/>
      <c r="V364" s="375"/>
      <c r="W364" s="375"/>
      <c r="X364" s="375"/>
      <c r="Y364" s="375"/>
      <c r="Z364" s="375"/>
      <c r="AA364" s="375"/>
      <c r="AB364" s="375"/>
      <c r="AC364" s="375"/>
    </row>
    <row r="365" spans="1:29" ht="13.2">
      <c r="A365" s="375"/>
      <c r="B365" s="375"/>
      <c r="C365" s="375"/>
      <c r="D365" s="375"/>
      <c r="E365" s="375"/>
      <c r="F365" s="375"/>
      <c r="G365" s="375"/>
      <c r="H365" s="375"/>
      <c r="I365" s="375"/>
      <c r="J365" s="375"/>
      <c r="K365" s="375"/>
      <c r="L365" s="375"/>
      <c r="M365" s="375"/>
      <c r="N365" s="375"/>
      <c r="O365" s="375"/>
      <c r="P365" s="375"/>
      <c r="Q365" s="375"/>
      <c r="R365" s="375"/>
      <c r="S365" s="375"/>
      <c r="T365" s="375"/>
      <c r="U365" s="375"/>
      <c r="V365" s="375"/>
      <c r="W365" s="375"/>
      <c r="X365" s="375"/>
      <c r="Y365" s="375"/>
      <c r="Z365" s="375"/>
      <c r="AA365" s="375"/>
      <c r="AB365" s="375"/>
      <c r="AC365" s="375"/>
    </row>
    <row r="366" spans="1:29" ht="13.2">
      <c r="A366" s="375"/>
      <c r="B366" s="375"/>
      <c r="C366" s="375"/>
      <c r="D366" s="375"/>
      <c r="E366" s="375"/>
      <c r="F366" s="375"/>
      <c r="G366" s="375"/>
      <c r="H366" s="375"/>
      <c r="I366" s="375"/>
      <c r="J366" s="375"/>
      <c r="K366" s="375"/>
      <c r="L366" s="375"/>
      <c r="M366" s="375"/>
      <c r="N366" s="375"/>
      <c r="O366" s="375"/>
      <c r="P366" s="375"/>
      <c r="Q366" s="375"/>
      <c r="R366" s="375"/>
      <c r="S366" s="375"/>
      <c r="T366" s="375"/>
      <c r="U366" s="375"/>
      <c r="V366" s="375"/>
      <c r="W366" s="375"/>
      <c r="X366" s="375"/>
      <c r="Y366" s="375"/>
      <c r="Z366" s="375"/>
      <c r="AA366" s="375"/>
      <c r="AB366" s="375"/>
      <c r="AC366" s="375"/>
    </row>
    <row r="367" spans="1:29" ht="13.2">
      <c r="A367" s="375"/>
      <c r="B367" s="375"/>
      <c r="C367" s="375"/>
      <c r="D367" s="375"/>
      <c r="E367" s="375"/>
      <c r="F367" s="375"/>
      <c r="G367" s="375"/>
      <c r="H367" s="375"/>
      <c r="I367" s="375"/>
      <c r="J367" s="375"/>
      <c r="K367" s="375"/>
      <c r="L367" s="375"/>
      <c r="M367" s="375"/>
      <c r="N367" s="375"/>
      <c r="O367" s="375"/>
      <c r="P367" s="375"/>
      <c r="Q367" s="375"/>
      <c r="R367" s="375"/>
      <c r="S367" s="375"/>
      <c r="T367" s="375"/>
      <c r="U367" s="375"/>
      <c r="V367" s="375"/>
      <c r="W367" s="375"/>
      <c r="X367" s="375"/>
      <c r="Y367" s="375"/>
      <c r="Z367" s="375"/>
      <c r="AA367" s="375"/>
      <c r="AB367" s="375"/>
      <c r="AC367" s="375"/>
    </row>
    <row r="368" spans="1:29" ht="13.2">
      <c r="A368" s="375"/>
      <c r="B368" s="375"/>
      <c r="C368" s="375"/>
      <c r="D368" s="375"/>
      <c r="E368" s="375"/>
      <c r="F368" s="375"/>
      <c r="G368" s="375"/>
      <c r="H368" s="375"/>
      <c r="I368" s="375"/>
      <c r="J368" s="375"/>
      <c r="K368" s="375"/>
      <c r="L368" s="375"/>
      <c r="M368" s="375"/>
      <c r="N368" s="375"/>
      <c r="O368" s="375"/>
      <c r="P368" s="375"/>
      <c r="Q368" s="375"/>
      <c r="R368" s="375"/>
      <c r="S368" s="375"/>
      <c r="T368" s="375"/>
      <c r="U368" s="375"/>
      <c r="V368" s="375"/>
      <c r="W368" s="375"/>
      <c r="X368" s="375"/>
      <c r="Y368" s="375"/>
      <c r="Z368" s="375"/>
      <c r="AA368" s="375"/>
      <c r="AB368" s="375"/>
      <c r="AC368" s="375"/>
    </row>
    <row r="369" spans="1:29" ht="13.2">
      <c r="A369" s="375"/>
      <c r="B369" s="375"/>
      <c r="C369" s="375"/>
      <c r="D369" s="375"/>
      <c r="E369" s="375"/>
      <c r="F369" s="375"/>
      <c r="G369" s="375"/>
      <c r="H369" s="375"/>
      <c r="I369" s="375"/>
      <c r="J369" s="375"/>
      <c r="K369" s="375"/>
      <c r="L369" s="375"/>
      <c r="M369" s="375"/>
      <c r="N369" s="375"/>
      <c r="O369" s="375"/>
      <c r="P369" s="375"/>
      <c r="Q369" s="375"/>
      <c r="R369" s="375"/>
      <c r="S369" s="375"/>
      <c r="T369" s="375"/>
      <c r="U369" s="375"/>
      <c r="V369" s="375"/>
      <c r="W369" s="375"/>
      <c r="X369" s="375"/>
      <c r="Y369" s="375"/>
      <c r="Z369" s="375"/>
      <c r="AA369" s="375"/>
      <c r="AB369" s="375"/>
      <c r="AC369" s="375"/>
    </row>
    <row r="370" spans="1:29" ht="13.2">
      <c r="A370" s="375"/>
      <c r="B370" s="375"/>
      <c r="C370" s="375"/>
      <c r="D370" s="375"/>
      <c r="E370" s="375"/>
      <c r="F370" s="375"/>
      <c r="G370" s="375"/>
      <c r="H370" s="375"/>
      <c r="I370" s="375"/>
      <c r="J370" s="375"/>
      <c r="K370" s="375"/>
      <c r="L370" s="375"/>
      <c r="M370" s="375"/>
      <c r="N370" s="375"/>
      <c r="O370" s="375"/>
      <c r="P370" s="375"/>
      <c r="Q370" s="375"/>
      <c r="R370" s="375"/>
      <c r="S370" s="375"/>
      <c r="T370" s="375"/>
      <c r="U370" s="375"/>
      <c r="V370" s="375"/>
      <c r="W370" s="375"/>
      <c r="X370" s="375"/>
      <c r="Y370" s="375"/>
      <c r="Z370" s="375"/>
      <c r="AA370" s="375"/>
      <c r="AB370" s="375"/>
      <c r="AC370" s="375"/>
    </row>
    <row r="371" spans="1:29" ht="13.2">
      <c r="A371" s="375"/>
      <c r="B371" s="375"/>
      <c r="C371" s="375"/>
      <c r="D371" s="375"/>
      <c r="E371" s="375"/>
      <c r="F371" s="375"/>
      <c r="G371" s="375"/>
      <c r="H371" s="375"/>
      <c r="I371" s="375"/>
      <c r="J371" s="375"/>
      <c r="K371" s="375"/>
      <c r="L371" s="375"/>
      <c r="M371" s="375"/>
      <c r="N371" s="375"/>
      <c r="O371" s="375"/>
      <c r="P371" s="375"/>
      <c r="Q371" s="375"/>
      <c r="R371" s="375"/>
      <c r="S371" s="375"/>
      <c r="T371" s="375"/>
      <c r="U371" s="375"/>
      <c r="V371" s="375"/>
      <c r="W371" s="375"/>
      <c r="X371" s="375"/>
      <c r="Y371" s="375"/>
      <c r="Z371" s="375"/>
      <c r="AA371" s="375"/>
      <c r="AB371" s="375"/>
      <c r="AC371" s="375"/>
    </row>
    <row r="372" spans="1:29" ht="13.2">
      <c r="A372" s="375"/>
      <c r="B372" s="375"/>
      <c r="C372" s="375"/>
      <c r="D372" s="375"/>
      <c r="E372" s="375"/>
      <c r="F372" s="375"/>
      <c r="G372" s="375"/>
      <c r="H372" s="375"/>
      <c r="I372" s="375"/>
      <c r="J372" s="375"/>
      <c r="K372" s="375"/>
      <c r="L372" s="375"/>
      <c r="M372" s="375"/>
      <c r="N372" s="375"/>
      <c r="O372" s="375"/>
      <c r="P372" s="375"/>
      <c r="Q372" s="375"/>
      <c r="R372" s="375"/>
      <c r="S372" s="375"/>
      <c r="T372" s="375"/>
      <c r="U372" s="375"/>
      <c r="V372" s="375"/>
      <c r="W372" s="375"/>
      <c r="X372" s="375"/>
      <c r="Y372" s="375"/>
      <c r="Z372" s="375"/>
      <c r="AA372" s="375"/>
      <c r="AB372" s="375"/>
      <c r="AC372" s="375"/>
    </row>
    <row r="373" spans="1:29" ht="13.2">
      <c r="A373" s="375"/>
      <c r="B373" s="375"/>
      <c r="C373" s="375"/>
      <c r="D373" s="375"/>
      <c r="E373" s="375"/>
      <c r="F373" s="375"/>
      <c r="G373" s="375"/>
      <c r="H373" s="375"/>
      <c r="I373" s="375"/>
      <c r="J373" s="375"/>
      <c r="K373" s="375"/>
      <c r="L373" s="375"/>
      <c r="M373" s="375"/>
      <c r="N373" s="375"/>
      <c r="O373" s="375"/>
      <c r="P373" s="375"/>
      <c r="Q373" s="375"/>
      <c r="R373" s="375"/>
      <c r="S373" s="375"/>
      <c r="T373" s="375"/>
      <c r="U373" s="375"/>
      <c r="V373" s="375"/>
      <c r="W373" s="375"/>
      <c r="X373" s="375"/>
      <c r="Y373" s="375"/>
      <c r="Z373" s="375"/>
      <c r="AA373" s="375"/>
      <c r="AB373" s="375"/>
      <c r="AC373" s="375"/>
    </row>
    <row r="374" spans="1:29" ht="13.2">
      <c r="A374" s="375"/>
      <c r="B374" s="375"/>
      <c r="C374" s="375"/>
      <c r="D374" s="375"/>
      <c r="E374" s="375"/>
      <c r="F374" s="375"/>
      <c r="G374" s="375"/>
      <c r="H374" s="375"/>
      <c r="I374" s="375"/>
      <c r="J374" s="375"/>
      <c r="K374" s="375"/>
      <c r="L374" s="375"/>
      <c r="M374" s="375"/>
      <c r="N374" s="375"/>
      <c r="O374" s="375"/>
      <c r="P374" s="375"/>
      <c r="Q374" s="375"/>
      <c r="R374" s="375"/>
      <c r="S374" s="375"/>
      <c r="T374" s="375"/>
      <c r="U374" s="375"/>
      <c r="V374" s="375"/>
      <c r="W374" s="375"/>
      <c r="X374" s="375"/>
      <c r="Y374" s="375"/>
      <c r="Z374" s="375"/>
      <c r="AA374" s="375"/>
      <c r="AB374" s="375"/>
      <c r="AC374" s="375"/>
    </row>
    <row r="375" spans="1:29" ht="13.2">
      <c r="A375" s="375"/>
      <c r="B375" s="375"/>
      <c r="C375" s="375"/>
      <c r="D375" s="375"/>
      <c r="E375" s="375"/>
      <c r="F375" s="375"/>
      <c r="G375" s="375"/>
      <c r="H375" s="375"/>
      <c r="I375" s="375"/>
      <c r="J375" s="375"/>
      <c r="K375" s="375"/>
      <c r="L375" s="375"/>
      <c r="M375" s="375"/>
      <c r="N375" s="375"/>
      <c r="O375" s="375"/>
      <c r="P375" s="375"/>
      <c r="Q375" s="375"/>
      <c r="R375" s="375"/>
      <c r="S375" s="375"/>
      <c r="T375" s="375"/>
      <c r="U375" s="375"/>
      <c r="V375" s="375"/>
      <c r="W375" s="375"/>
      <c r="X375" s="375"/>
      <c r="Y375" s="375"/>
      <c r="Z375" s="375"/>
      <c r="AA375" s="375"/>
      <c r="AB375" s="375"/>
      <c r="AC375" s="375"/>
    </row>
    <row r="376" spans="1:29" ht="13.2">
      <c r="A376" s="375"/>
      <c r="B376" s="375"/>
      <c r="C376" s="375"/>
      <c r="D376" s="375"/>
      <c r="E376" s="375"/>
      <c r="F376" s="375"/>
      <c r="G376" s="375"/>
      <c r="H376" s="375"/>
      <c r="I376" s="375"/>
      <c r="J376" s="375"/>
      <c r="K376" s="375"/>
      <c r="L376" s="375"/>
      <c r="M376" s="375"/>
      <c r="N376" s="375"/>
      <c r="O376" s="375"/>
      <c r="P376" s="375"/>
      <c r="Q376" s="375"/>
      <c r="R376" s="375"/>
      <c r="S376" s="375"/>
      <c r="T376" s="375"/>
      <c r="U376" s="375"/>
      <c r="V376" s="375"/>
      <c r="W376" s="375"/>
      <c r="X376" s="375"/>
      <c r="Y376" s="375"/>
      <c r="Z376" s="375"/>
      <c r="AA376" s="375"/>
      <c r="AB376" s="375"/>
      <c r="AC376" s="375"/>
    </row>
    <row r="377" spans="1:29" ht="13.2">
      <c r="A377" s="375"/>
      <c r="B377" s="375"/>
      <c r="C377" s="375"/>
      <c r="D377" s="375"/>
      <c r="E377" s="375"/>
      <c r="F377" s="375"/>
      <c r="G377" s="375"/>
      <c r="H377" s="375"/>
      <c r="I377" s="375"/>
      <c r="J377" s="375"/>
      <c r="K377" s="375"/>
      <c r="L377" s="375"/>
      <c r="M377" s="375"/>
      <c r="N377" s="375"/>
      <c r="O377" s="375"/>
      <c r="P377" s="375"/>
      <c r="Q377" s="375"/>
      <c r="R377" s="375"/>
      <c r="S377" s="375"/>
      <c r="T377" s="375"/>
      <c r="U377" s="375"/>
      <c r="V377" s="375"/>
      <c r="W377" s="375"/>
      <c r="X377" s="375"/>
      <c r="Y377" s="375"/>
      <c r="Z377" s="375"/>
      <c r="AA377" s="375"/>
      <c r="AB377" s="375"/>
      <c r="AC377" s="375"/>
    </row>
    <row r="378" spans="1:29" ht="13.2">
      <c r="A378" s="375"/>
      <c r="B378" s="375"/>
      <c r="C378" s="375"/>
      <c r="D378" s="375"/>
      <c r="E378" s="375"/>
      <c r="F378" s="375"/>
      <c r="G378" s="375"/>
      <c r="H378" s="375"/>
      <c r="I378" s="375"/>
      <c r="J378" s="375"/>
      <c r="K378" s="375"/>
      <c r="L378" s="375"/>
      <c r="M378" s="375"/>
      <c r="N378" s="375"/>
      <c r="O378" s="375"/>
      <c r="P378" s="375"/>
      <c r="Q378" s="375"/>
      <c r="R378" s="375"/>
      <c r="S378" s="375"/>
      <c r="T378" s="375"/>
      <c r="U378" s="375"/>
      <c r="V378" s="375"/>
      <c r="W378" s="375"/>
      <c r="X378" s="375"/>
      <c r="Y378" s="375"/>
      <c r="Z378" s="375"/>
      <c r="AA378" s="375"/>
      <c r="AB378" s="375"/>
      <c r="AC378" s="375"/>
    </row>
    <row r="379" spans="1:29" ht="13.2">
      <c r="A379" s="375"/>
      <c r="B379" s="375"/>
      <c r="C379" s="375"/>
      <c r="D379" s="375"/>
      <c r="E379" s="375"/>
      <c r="F379" s="375"/>
      <c r="G379" s="375"/>
      <c r="H379" s="375"/>
      <c r="I379" s="375"/>
      <c r="J379" s="375"/>
      <c r="K379" s="375"/>
      <c r="L379" s="375"/>
      <c r="M379" s="375"/>
      <c r="N379" s="375"/>
      <c r="O379" s="375"/>
      <c r="P379" s="375"/>
      <c r="Q379" s="375"/>
      <c r="R379" s="375"/>
      <c r="S379" s="375"/>
      <c r="T379" s="375"/>
      <c r="U379" s="375"/>
      <c r="V379" s="375"/>
      <c r="W379" s="375"/>
      <c r="X379" s="375"/>
      <c r="Y379" s="375"/>
      <c r="Z379" s="375"/>
      <c r="AA379" s="375"/>
      <c r="AB379" s="375"/>
      <c r="AC379" s="375"/>
    </row>
    <row r="380" spans="1:29" ht="13.2">
      <c r="A380" s="375"/>
      <c r="B380" s="375"/>
      <c r="C380" s="375"/>
      <c r="D380" s="375"/>
      <c r="E380" s="375"/>
      <c r="F380" s="375"/>
      <c r="G380" s="375"/>
      <c r="H380" s="375"/>
      <c r="I380" s="375"/>
      <c r="J380" s="375"/>
      <c r="K380" s="375"/>
      <c r="L380" s="375"/>
      <c r="M380" s="375"/>
      <c r="N380" s="375"/>
      <c r="O380" s="375"/>
      <c r="P380" s="375"/>
      <c r="Q380" s="375"/>
      <c r="R380" s="375"/>
      <c r="S380" s="375"/>
      <c r="T380" s="375"/>
      <c r="U380" s="375"/>
      <c r="V380" s="375"/>
      <c r="W380" s="375"/>
      <c r="X380" s="375"/>
      <c r="Y380" s="375"/>
      <c r="Z380" s="375"/>
      <c r="AA380" s="375"/>
      <c r="AB380" s="375"/>
      <c r="AC380" s="375"/>
    </row>
    <row r="381" spans="1:29" ht="13.2">
      <c r="A381" s="375"/>
      <c r="B381" s="375"/>
      <c r="C381" s="375"/>
      <c r="D381" s="375"/>
      <c r="E381" s="375"/>
      <c r="F381" s="375"/>
      <c r="G381" s="375"/>
      <c r="H381" s="375"/>
      <c r="I381" s="375"/>
      <c r="J381" s="375"/>
      <c r="K381" s="375"/>
      <c r="L381" s="375"/>
      <c r="M381" s="375"/>
      <c r="N381" s="375"/>
      <c r="O381" s="375"/>
      <c r="P381" s="375"/>
      <c r="Q381" s="375"/>
      <c r="R381" s="375"/>
      <c r="S381" s="375"/>
      <c r="T381" s="375"/>
      <c r="U381" s="375"/>
      <c r="V381" s="375"/>
      <c r="W381" s="375"/>
      <c r="X381" s="375"/>
      <c r="Y381" s="375"/>
      <c r="Z381" s="375"/>
      <c r="AA381" s="375"/>
      <c r="AB381" s="375"/>
      <c r="AC381" s="375"/>
    </row>
    <row r="382" spans="1:29" ht="13.2">
      <c r="A382" s="375"/>
      <c r="B382" s="375"/>
      <c r="C382" s="375"/>
      <c r="D382" s="375"/>
      <c r="E382" s="375"/>
      <c r="F382" s="375"/>
      <c r="G382" s="375"/>
      <c r="H382" s="375"/>
      <c r="I382" s="375"/>
      <c r="J382" s="375"/>
      <c r="K382" s="375"/>
      <c r="L382" s="375"/>
      <c r="M382" s="375"/>
      <c r="N382" s="375"/>
      <c r="O382" s="375"/>
      <c r="P382" s="375"/>
      <c r="Q382" s="375"/>
      <c r="R382" s="375"/>
      <c r="S382" s="375"/>
      <c r="T382" s="375"/>
      <c r="U382" s="375"/>
      <c r="V382" s="375"/>
      <c r="W382" s="375"/>
      <c r="X382" s="375"/>
      <c r="Y382" s="375"/>
      <c r="Z382" s="375"/>
      <c r="AA382" s="375"/>
      <c r="AB382" s="375"/>
      <c r="AC382" s="375"/>
    </row>
    <row r="383" spans="1:29" ht="13.2">
      <c r="A383" s="375"/>
      <c r="B383" s="375"/>
      <c r="C383" s="375"/>
      <c r="D383" s="375"/>
      <c r="E383" s="375"/>
      <c r="F383" s="375"/>
      <c r="G383" s="375"/>
      <c r="H383" s="375"/>
      <c r="I383" s="375"/>
      <c r="J383" s="375"/>
      <c r="K383" s="375"/>
      <c r="L383" s="375"/>
      <c r="M383" s="375"/>
      <c r="N383" s="375"/>
      <c r="O383" s="375"/>
      <c r="P383" s="375"/>
      <c r="Q383" s="375"/>
      <c r="R383" s="375"/>
      <c r="S383" s="375"/>
      <c r="T383" s="375"/>
      <c r="U383" s="375"/>
      <c r="V383" s="375"/>
      <c r="W383" s="375"/>
      <c r="X383" s="375"/>
      <c r="Y383" s="375"/>
      <c r="Z383" s="375"/>
      <c r="AA383" s="375"/>
      <c r="AB383" s="375"/>
      <c r="AC383" s="375"/>
    </row>
    <row r="384" spans="1:29" ht="13.2">
      <c r="A384" s="375"/>
      <c r="B384" s="375"/>
      <c r="C384" s="375"/>
      <c r="D384" s="375"/>
      <c r="E384" s="375"/>
      <c r="F384" s="375"/>
      <c r="G384" s="375"/>
      <c r="H384" s="375"/>
      <c r="I384" s="375"/>
      <c r="J384" s="375"/>
      <c r="K384" s="375"/>
      <c r="L384" s="375"/>
      <c r="M384" s="375"/>
      <c r="N384" s="375"/>
      <c r="O384" s="375"/>
      <c r="P384" s="375"/>
      <c r="Q384" s="375"/>
      <c r="R384" s="375"/>
      <c r="S384" s="375"/>
      <c r="T384" s="375"/>
      <c r="U384" s="375"/>
      <c r="V384" s="375"/>
      <c r="W384" s="375"/>
      <c r="X384" s="375"/>
      <c r="Y384" s="375"/>
      <c r="Z384" s="375"/>
      <c r="AA384" s="375"/>
      <c r="AB384" s="375"/>
      <c r="AC384" s="375"/>
    </row>
    <row r="385" spans="1:29" ht="13.2">
      <c r="A385" s="375"/>
      <c r="B385" s="375"/>
      <c r="C385" s="375"/>
      <c r="D385" s="375"/>
      <c r="E385" s="375"/>
      <c r="F385" s="375"/>
      <c r="G385" s="375"/>
      <c r="H385" s="375"/>
      <c r="I385" s="375"/>
      <c r="J385" s="375"/>
      <c r="K385" s="375"/>
      <c r="L385" s="375"/>
      <c r="M385" s="375"/>
      <c r="N385" s="375"/>
      <c r="O385" s="375"/>
      <c r="P385" s="375"/>
      <c r="Q385" s="375"/>
      <c r="R385" s="375"/>
      <c r="S385" s="375"/>
      <c r="T385" s="375"/>
      <c r="U385" s="375"/>
      <c r="V385" s="375"/>
      <c r="W385" s="375"/>
      <c r="X385" s="375"/>
      <c r="Y385" s="375"/>
      <c r="Z385" s="375"/>
      <c r="AA385" s="375"/>
      <c r="AB385" s="375"/>
      <c r="AC385" s="375"/>
    </row>
    <row r="386" spans="1:29" ht="13.2">
      <c r="A386" s="375"/>
      <c r="B386" s="375"/>
      <c r="C386" s="375"/>
      <c r="D386" s="375"/>
      <c r="E386" s="375"/>
      <c r="F386" s="375"/>
      <c r="G386" s="375"/>
      <c r="H386" s="375"/>
      <c r="I386" s="375"/>
      <c r="J386" s="375"/>
      <c r="K386" s="375"/>
      <c r="L386" s="375"/>
      <c r="M386" s="375"/>
      <c r="N386" s="375"/>
      <c r="O386" s="375"/>
      <c r="P386" s="375"/>
      <c r="Q386" s="375"/>
      <c r="R386" s="375"/>
      <c r="S386" s="375"/>
      <c r="T386" s="375"/>
      <c r="U386" s="375"/>
      <c r="V386" s="375"/>
      <c r="W386" s="375"/>
      <c r="X386" s="375"/>
      <c r="Y386" s="375"/>
      <c r="Z386" s="375"/>
      <c r="AA386" s="375"/>
      <c r="AB386" s="375"/>
      <c r="AC386" s="375"/>
    </row>
    <row r="387" spans="1:29" ht="13.2">
      <c r="A387" s="375"/>
      <c r="B387" s="375"/>
      <c r="C387" s="375"/>
      <c r="D387" s="375"/>
      <c r="E387" s="375"/>
      <c r="F387" s="375"/>
      <c r="G387" s="375"/>
      <c r="H387" s="375"/>
      <c r="I387" s="375"/>
      <c r="J387" s="375"/>
      <c r="K387" s="375"/>
      <c r="L387" s="375"/>
      <c r="M387" s="375"/>
      <c r="N387" s="375"/>
      <c r="O387" s="375"/>
      <c r="P387" s="375"/>
      <c r="Q387" s="375"/>
      <c r="R387" s="375"/>
      <c r="S387" s="375"/>
      <c r="T387" s="375"/>
      <c r="U387" s="375"/>
      <c r="V387" s="375"/>
      <c r="W387" s="375"/>
      <c r="X387" s="375"/>
      <c r="Y387" s="375"/>
      <c r="Z387" s="375"/>
      <c r="AA387" s="375"/>
      <c r="AB387" s="375"/>
      <c r="AC387" s="375"/>
    </row>
    <row r="388" spans="1:29" ht="13.2">
      <c r="A388" s="375"/>
      <c r="B388" s="375"/>
      <c r="C388" s="375"/>
      <c r="D388" s="375"/>
      <c r="E388" s="375"/>
      <c r="F388" s="375"/>
      <c r="G388" s="375"/>
      <c r="H388" s="375"/>
      <c r="I388" s="375"/>
      <c r="J388" s="375"/>
      <c r="K388" s="375"/>
      <c r="L388" s="375"/>
      <c r="M388" s="375"/>
      <c r="N388" s="375"/>
      <c r="O388" s="375"/>
      <c r="P388" s="375"/>
      <c r="Q388" s="375"/>
      <c r="R388" s="375"/>
      <c r="S388" s="375"/>
      <c r="T388" s="375"/>
      <c r="U388" s="375"/>
      <c r="V388" s="375"/>
      <c r="W388" s="375"/>
      <c r="X388" s="375"/>
      <c r="Y388" s="375"/>
      <c r="Z388" s="375"/>
      <c r="AA388" s="375"/>
      <c r="AB388" s="375"/>
      <c r="AC388" s="375"/>
    </row>
    <row r="389" spans="1:29" ht="13.2">
      <c r="A389" s="375"/>
      <c r="B389" s="375"/>
      <c r="C389" s="375"/>
      <c r="D389" s="375"/>
      <c r="E389" s="375"/>
      <c r="F389" s="375"/>
      <c r="G389" s="375"/>
      <c r="H389" s="375"/>
      <c r="I389" s="375"/>
      <c r="J389" s="375"/>
      <c r="K389" s="375"/>
      <c r="L389" s="375"/>
      <c r="M389" s="375"/>
      <c r="N389" s="375"/>
      <c r="O389" s="375"/>
      <c r="P389" s="375"/>
      <c r="Q389" s="375"/>
      <c r="R389" s="375"/>
      <c r="S389" s="375"/>
      <c r="T389" s="375"/>
      <c r="U389" s="375"/>
      <c r="V389" s="375"/>
      <c r="W389" s="375"/>
      <c r="X389" s="375"/>
      <c r="Y389" s="375"/>
      <c r="Z389" s="375"/>
      <c r="AA389" s="375"/>
      <c r="AB389" s="375"/>
      <c r="AC389" s="375"/>
    </row>
    <row r="390" spans="1:29" ht="13.2">
      <c r="A390" s="375"/>
      <c r="B390" s="375"/>
      <c r="C390" s="375"/>
      <c r="D390" s="375"/>
      <c r="E390" s="375"/>
      <c r="F390" s="375"/>
      <c r="G390" s="375"/>
      <c r="H390" s="375"/>
      <c r="I390" s="375"/>
      <c r="J390" s="375"/>
      <c r="K390" s="375"/>
      <c r="L390" s="375"/>
      <c r="M390" s="375"/>
      <c r="N390" s="375"/>
      <c r="O390" s="375"/>
      <c r="P390" s="375"/>
      <c r="Q390" s="375"/>
      <c r="R390" s="375"/>
      <c r="S390" s="375"/>
      <c r="T390" s="375"/>
      <c r="U390" s="375"/>
      <c r="V390" s="375"/>
      <c r="W390" s="375"/>
      <c r="X390" s="375"/>
      <c r="Y390" s="375"/>
      <c r="Z390" s="375"/>
      <c r="AA390" s="375"/>
      <c r="AB390" s="375"/>
      <c r="AC390" s="375"/>
    </row>
    <row r="391" spans="1:29" ht="13.2">
      <c r="A391" s="375"/>
      <c r="B391" s="375"/>
      <c r="C391" s="375"/>
      <c r="D391" s="375"/>
      <c r="E391" s="375"/>
      <c r="F391" s="375"/>
      <c r="G391" s="375"/>
      <c r="H391" s="375"/>
      <c r="I391" s="375"/>
      <c r="J391" s="375"/>
      <c r="K391" s="375"/>
      <c r="L391" s="375"/>
      <c r="M391" s="375"/>
      <c r="N391" s="375"/>
      <c r="O391" s="375"/>
      <c r="P391" s="375"/>
      <c r="Q391" s="375"/>
      <c r="R391" s="375"/>
      <c r="S391" s="375"/>
      <c r="T391" s="375"/>
      <c r="U391" s="375"/>
      <c r="V391" s="375"/>
      <c r="W391" s="375"/>
      <c r="X391" s="375"/>
      <c r="Y391" s="375"/>
      <c r="Z391" s="375"/>
      <c r="AA391" s="375"/>
      <c r="AB391" s="375"/>
      <c r="AC391" s="375"/>
    </row>
    <row r="392" spans="1:29" ht="13.2">
      <c r="A392" s="375"/>
      <c r="B392" s="375"/>
      <c r="C392" s="375"/>
      <c r="D392" s="375"/>
      <c r="E392" s="375"/>
      <c r="F392" s="375"/>
      <c r="G392" s="375"/>
      <c r="H392" s="375"/>
      <c r="I392" s="375"/>
      <c r="J392" s="375"/>
      <c r="K392" s="375"/>
      <c r="L392" s="375"/>
      <c r="M392" s="375"/>
      <c r="N392" s="375"/>
      <c r="O392" s="375"/>
      <c r="P392" s="375"/>
      <c r="Q392" s="375"/>
      <c r="R392" s="375"/>
      <c r="S392" s="375"/>
      <c r="T392" s="375"/>
      <c r="U392" s="375"/>
      <c r="V392" s="375"/>
      <c r="W392" s="375"/>
      <c r="X392" s="375"/>
      <c r="Y392" s="375"/>
      <c r="Z392" s="375"/>
      <c r="AA392" s="375"/>
      <c r="AB392" s="375"/>
      <c r="AC392" s="375"/>
    </row>
    <row r="393" spans="1:29" ht="13.2">
      <c r="A393" s="375"/>
      <c r="B393" s="375"/>
      <c r="C393" s="375"/>
      <c r="D393" s="375"/>
      <c r="E393" s="375"/>
      <c r="F393" s="375"/>
      <c r="G393" s="375"/>
      <c r="H393" s="375"/>
      <c r="I393" s="375"/>
      <c r="J393" s="375"/>
      <c r="K393" s="375"/>
      <c r="L393" s="375"/>
      <c r="M393" s="375"/>
      <c r="N393" s="375"/>
      <c r="O393" s="375"/>
      <c r="P393" s="375"/>
      <c r="Q393" s="375"/>
      <c r="R393" s="375"/>
      <c r="S393" s="375"/>
      <c r="T393" s="375"/>
      <c r="U393" s="375"/>
      <c r="V393" s="375"/>
      <c r="W393" s="375"/>
      <c r="X393" s="375"/>
      <c r="Y393" s="375"/>
      <c r="Z393" s="375"/>
      <c r="AA393" s="375"/>
      <c r="AB393" s="375"/>
      <c r="AC393" s="375"/>
    </row>
    <row r="394" spans="1:29" ht="13.2">
      <c r="A394" s="375"/>
      <c r="B394" s="375"/>
      <c r="C394" s="375"/>
      <c r="D394" s="375"/>
      <c r="E394" s="375"/>
      <c r="F394" s="375"/>
      <c r="G394" s="375"/>
      <c r="H394" s="375"/>
      <c r="I394" s="375"/>
      <c r="J394" s="375"/>
      <c r="K394" s="375"/>
      <c r="L394" s="375"/>
      <c r="M394" s="375"/>
      <c r="N394" s="375"/>
      <c r="O394" s="375"/>
      <c r="P394" s="375"/>
      <c r="Q394" s="375"/>
      <c r="R394" s="375"/>
      <c r="S394" s="375"/>
      <c r="T394" s="375"/>
      <c r="U394" s="375"/>
      <c r="V394" s="375"/>
      <c r="W394" s="375"/>
      <c r="X394" s="375"/>
      <c r="Y394" s="375"/>
      <c r="Z394" s="375"/>
      <c r="AA394" s="375"/>
      <c r="AB394" s="375"/>
      <c r="AC394" s="375"/>
    </row>
    <row r="395" spans="1:29" ht="13.2">
      <c r="A395" s="375"/>
      <c r="B395" s="375"/>
      <c r="C395" s="375"/>
      <c r="D395" s="375"/>
      <c r="E395" s="375"/>
      <c r="F395" s="375"/>
      <c r="G395" s="375"/>
      <c r="H395" s="375"/>
      <c r="I395" s="375"/>
      <c r="J395" s="375"/>
      <c r="K395" s="375"/>
      <c r="L395" s="375"/>
      <c r="M395" s="375"/>
      <c r="N395" s="375"/>
      <c r="O395" s="375"/>
      <c r="P395" s="375"/>
      <c r="Q395" s="375"/>
      <c r="R395" s="375"/>
      <c r="S395" s="375"/>
      <c r="T395" s="375"/>
      <c r="U395" s="375"/>
      <c r="V395" s="375"/>
      <c r="W395" s="375"/>
      <c r="X395" s="375"/>
      <c r="Y395" s="375"/>
      <c r="Z395" s="375"/>
      <c r="AA395" s="375"/>
      <c r="AB395" s="375"/>
      <c r="AC395" s="375"/>
    </row>
    <row r="396" spans="1:29" ht="13.2">
      <c r="A396" s="375"/>
      <c r="B396" s="375"/>
      <c r="C396" s="375"/>
      <c r="D396" s="375"/>
      <c r="E396" s="375"/>
      <c r="F396" s="375"/>
      <c r="G396" s="375"/>
      <c r="H396" s="375"/>
      <c r="I396" s="375"/>
      <c r="J396" s="375"/>
      <c r="K396" s="375"/>
      <c r="L396" s="375"/>
      <c r="M396" s="375"/>
      <c r="N396" s="375"/>
      <c r="O396" s="375"/>
      <c r="P396" s="375"/>
      <c r="Q396" s="375"/>
      <c r="R396" s="375"/>
      <c r="S396" s="375"/>
      <c r="T396" s="375"/>
      <c r="U396" s="375"/>
      <c r="V396" s="375"/>
      <c r="W396" s="375"/>
      <c r="X396" s="375"/>
      <c r="Y396" s="375"/>
      <c r="Z396" s="375"/>
      <c r="AA396" s="375"/>
      <c r="AB396" s="375"/>
      <c r="AC396" s="375"/>
    </row>
    <row r="397" spans="1:29" ht="13.2">
      <c r="A397" s="375"/>
      <c r="B397" s="375"/>
      <c r="C397" s="375"/>
      <c r="D397" s="375"/>
      <c r="E397" s="375"/>
      <c r="F397" s="375"/>
      <c r="G397" s="375"/>
      <c r="H397" s="375"/>
      <c r="I397" s="375"/>
      <c r="J397" s="375"/>
      <c r="K397" s="375"/>
      <c r="L397" s="375"/>
      <c r="M397" s="375"/>
      <c r="N397" s="375"/>
      <c r="O397" s="375"/>
      <c r="P397" s="375"/>
      <c r="Q397" s="375"/>
      <c r="R397" s="375"/>
      <c r="S397" s="375"/>
      <c r="T397" s="375"/>
      <c r="U397" s="375"/>
      <c r="V397" s="375"/>
      <c r="W397" s="375"/>
      <c r="X397" s="375"/>
      <c r="Y397" s="375"/>
      <c r="Z397" s="375"/>
      <c r="AA397" s="375"/>
      <c r="AB397" s="375"/>
      <c r="AC397" s="375"/>
    </row>
    <row r="398" spans="1:29" ht="13.2">
      <c r="A398" s="375"/>
      <c r="B398" s="375"/>
      <c r="C398" s="375"/>
      <c r="D398" s="375"/>
      <c r="E398" s="375"/>
      <c r="F398" s="375"/>
      <c r="G398" s="375"/>
      <c r="H398" s="375"/>
      <c r="I398" s="375"/>
      <c r="J398" s="375"/>
      <c r="K398" s="375"/>
      <c r="L398" s="375"/>
      <c r="M398" s="375"/>
      <c r="N398" s="375"/>
      <c r="O398" s="375"/>
      <c r="P398" s="375"/>
      <c r="Q398" s="375"/>
      <c r="R398" s="375"/>
      <c r="S398" s="375"/>
      <c r="T398" s="375"/>
      <c r="U398" s="375"/>
      <c r="V398" s="375"/>
      <c r="W398" s="375"/>
      <c r="X398" s="375"/>
      <c r="Y398" s="375"/>
      <c r="Z398" s="375"/>
      <c r="AA398" s="375"/>
      <c r="AB398" s="375"/>
      <c r="AC398" s="375"/>
    </row>
    <row r="399" spans="1:29" ht="13.2">
      <c r="A399" s="375"/>
      <c r="B399" s="375"/>
      <c r="C399" s="375"/>
      <c r="D399" s="375"/>
      <c r="E399" s="375"/>
      <c r="F399" s="375"/>
      <c r="G399" s="375"/>
      <c r="H399" s="375"/>
      <c r="I399" s="375"/>
      <c r="J399" s="375"/>
      <c r="K399" s="375"/>
      <c r="L399" s="375"/>
      <c r="M399" s="375"/>
      <c r="N399" s="375"/>
      <c r="O399" s="375"/>
      <c r="P399" s="375"/>
      <c r="Q399" s="375"/>
      <c r="R399" s="375"/>
      <c r="S399" s="375"/>
      <c r="T399" s="375"/>
      <c r="U399" s="375"/>
      <c r="V399" s="375"/>
      <c r="W399" s="375"/>
      <c r="X399" s="375"/>
      <c r="Y399" s="375"/>
      <c r="Z399" s="375"/>
      <c r="AA399" s="375"/>
      <c r="AB399" s="375"/>
      <c r="AC399" s="375"/>
    </row>
    <row r="400" spans="1:29" ht="13.2">
      <c r="A400" s="375"/>
      <c r="B400" s="375"/>
      <c r="C400" s="375"/>
      <c r="D400" s="375"/>
      <c r="E400" s="375"/>
      <c r="F400" s="375"/>
      <c r="G400" s="375"/>
      <c r="H400" s="375"/>
      <c r="I400" s="375"/>
      <c r="J400" s="375"/>
      <c r="K400" s="375"/>
      <c r="L400" s="375"/>
      <c r="M400" s="375"/>
      <c r="N400" s="375"/>
      <c r="O400" s="375"/>
      <c r="P400" s="375"/>
      <c r="Q400" s="375"/>
      <c r="R400" s="375"/>
      <c r="S400" s="375"/>
      <c r="T400" s="375"/>
      <c r="U400" s="375"/>
      <c r="V400" s="375"/>
      <c r="W400" s="375"/>
      <c r="X400" s="375"/>
      <c r="Y400" s="375"/>
      <c r="Z400" s="375"/>
      <c r="AA400" s="375"/>
      <c r="AB400" s="375"/>
      <c r="AC400" s="375"/>
    </row>
    <row r="401" spans="1:29" ht="13.2">
      <c r="A401" s="375"/>
      <c r="B401" s="375"/>
      <c r="C401" s="375"/>
      <c r="D401" s="375"/>
      <c r="E401" s="375"/>
      <c r="F401" s="375"/>
      <c r="G401" s="375"/>
      <c r="H401" s="375"/>
      <c r="I401" s="375"/>
      <c r="J401" s="375"/>
      <c r="K401" s="375"/>
      <c r="L401" s="375"/>
      <c r="M401" s="375"/>
      <c r="N401" s="375"/>
      <c r="O401" s="375"/>
      <c r="P401" s="375"/>
      <c r="Q401" s="375"/>
      <c r="R401" s="375"/>
      <c r="S401" s="375"/>
      <c r="T401" s="375"/>
      <c r="U401" s="375"/>
      <c r="V401" s="375"/>
      <c r="W401" s="375"/>
      <c r="X401" s="375"/>
      <c r="Y401" s="375"/>
      <c r="Z401" s="375"/>
      <c r="AA401" s="375"/>
      <c r="AB401" s="375"/>
      <c r="AC401" s="375"/>
    </row>
    <row r="402" spans="1:29" ht="13.2">
      <c r="A402" s="375"/>
      <c r="B402" s="375"/>
      <c r="C402" s="375"/>
      <c r="D402" s="375"/>
      <c r="E402" s="375"/>
      <c r="F402" s="375"/>
      <c r="G402" s="375"/>
      <c r="H402" s="375"/>
      <c r="I402" s="375"/>
      <c r="J402" s="375"/>
      <c r="K402" s="375"/>
      <c r="L402" s="375"/>
      <c r="M402" s="375"/>
      <c r="N402" s="375"/>
      <c r="O402" s="375"/>
      <c r="P402" s="375"/>
      <c r="Q402" s="375"/>
      <c r="R402" s="375"/>
      <c r="S402" s="375"/>
      <c r="T402" s="375"/>
      <c r="U402" s="375"/>
      <c r="V402" s="375"/>
      <c r="W402" s="375"/>
      <c r="X402" s="375"/>
      <c r="Y402" s="375"/>
      <c r="Z402" s="375"/>
      <c r="AA402" s="375"/>
      <c r="AB402" s="375"/>
      <c r="AC402" s="375"/>
    </row>
    <row r="403" spans="1:29" ht="13.2">
      <c r="A403" s="375"/>
      <c r="B403" s="375"/>
      <c r="C403" s="375"/>
      <c r="D403" s="375"/>
      <c r="E403" s="375"/>
      <c r="F403" s="375"/>
      <c r="G403" s="375"/>
      <c r="H403" s="375"/>
      <c r="I403" s="375"/>
      <c r="J403" s="375"/>
      <c r="K403" s="375"/>
      <c r="L403" s="375"/>
      <c r="M403" s="375"/>
      <c r="N403" s="375"/>
      <c r="O403" s="375"/>
      <c r="P403" s="375"/>
      <c r="Q403" s="375"/>
      <c r="R403" s="375"/>
      <c r="S403" s="375"/>
      <c r="T403" s="375"/>
      <c r="U403" s="375"/>
      <c r="V403" s="375"/>
      <c r="W403" s="375"/>
      <c r="X403" s="375"/>
      <c r="Y403" s="375"/>
      <c r="Z403" s="375"/>
      <c r="AA403" s="375"/>
      <c r="AB403" s="375"/>
      <c r="AC403" s="375"/>
    </row>
    <row r="404" spans="1:29" ht="13.2">
      <c r="A404" s="375"/>
      <c r="B404" s="375"/>
      <c r="C404" s="375"/>
      <c r="D404" s="375"/>
      <c r="E404" s="375"/>
      <c r="F404" s="375"/>
      <c r="G404" s="375"/>
      <c r="H404" s="375"/>
      <c r="I404" s="375"/>
      <c r="J404" s="375"/>
      <c r="K404" s="375"/>
      <c r="L404" s="375"/>
      <c r="M404" s="375"/>
      <c r="N404" s="375"/>
      <c r="O404" s="375"/>
      <c r="P404" s="375"/>
      <c r="Q404" s="375"/>
      <c r="R404" s="375"/>
      <c r="S404" s="375"/>
      <c r="T404" s="375"/>
      <c r="U404" s="375"/>
      <c r="V404" s="375"/>
      <c r="W404" s="375"/>
      <c r="X404" s="375"/>
      <c r="Y404" s="375"/>
      <c r="Z404" s="375"/>
      <c r="AA404" s="375"/>
      <c r="AB404" s="375"/>
      <c r="AC404" s="375"/>
    </row>
    <row r="405" spans="1:29" ht="13.2">
      <c r="A405" s="375"/>
      <c r="B405" s="375"/>
      <c r="C405" s="375"/>
      <c r="D405" s="375"/>
      <c r="E405" s="375"/>
      <c r="F405" s="375"/>
      <c r="G405" s="375"/>
      <c r="H405" s="375"/>
      <c r="I405" s="375"/>
      <c r="J405" s="375"/>
      <c r="K405" s="375"/>
      <c r="L405" s="375"/>
      <c r="M405" s="375"/>
      <c r="N405" s="375"/>
      <c r="O405" s="375"/>
      <c r="P405" s="375"/>
      <c r="Q405" s="375"/>
      <c r="R405" s="375"/>
      <c r="S405" s="375"/>
      <c r="T405" s="375"/>
      <c r="U405" s="375"/>
      <c r="V405" s="375"/>
      <c r="W405" s="375"/>
      <c r="X405" s="375"/>
      <c r="Y405" s="375"/>
      <c r="Z405" s="375"/>
      <c r="AA405" s="375"/>
      <c r="AB405" s="375"/>
      <c r="AC405" s="375"/>
    </row>
    <row r="406" spans="1:29" ht="13.2">
      <c r="A406" s="375"/>
      <c r="B406" s="375"/>
      <c r="C406" s="375"/>
      <c r="D406" s="375"/>
      <c r="E406" s="375"/>
      <c r="F406" s="375"/>
      <c r="G406" s="375"/>
      <c r="H406" s="375"/>
      <c r="I406" s="375"/>
      <c r="J406" s="375"/>
      <c r="K406" s="375"/>
      <c r="L406" s="375"/>
      <c r="M406" s="375"/>
      <c r="N406" s="375"/>
      <c r="O406" s="375"/>
      <c r="P406" s="375"/>
      <c r="Q406" s="375"/>
      <c r="R406" s="375"/>
      <c r="S406" s="375"/>
      <c r="T406" s="375"/>
      <c r="U406" s="375"/>
      <c r="V406" s="375"/>
      <c r="W406" s="375"/>
      <c r="X406" s="375"/>
      <c r="Y406" s="375"/>
      <c r="Z406" s="375"/>
      <c r="AA406" s="375"/>
      <c r="AB406" s="375"/>
      <c r="AC406" s="375"/>
    </row>
    <row r="407" spans="1:29" ht="13.2">
      <c r="A407" s="375"/>
      <c r="B407" s="375"/>
      <c r="C407" s="375"/>
      <c r="D407" s="375"/>
      <c r="E407" s="375"/>
      <c r="F407" s="375"/>
      <c r="G407" s="375"/>
      <c r="H407" s="375"/>
      <c r="I407" s="375"/>
      <c r="J407" s="375"/>
      <c r="K407" s="375"/>
      <c r="L407" s="375"/>
      <c r="M407" s="375"/>
      <c r="N407" s="375"/>
      <c r="O407" s="375"/>
      <c r="P407" s="375"/>
      <c r="Q407" s="375"/>
      <c r="R407" s="375"/>
      <c r="S407" s="375"/>
      <c r="T407" s="375"/>
      <c r="U407" s="375"/>
      <c r="V407" s="375"/>
      <c r="W407" s="375"/>
      <c r="X407" s="375"/>
      <c r="Y407" s="375"/>
      <c r="Z407" s="375"/>
      <c r="AA407" s="375"/>
      <c r="AB407" s="375"/>
      <c r="AC407" s="375"/>
    </row>
    <row r="408" spans="1:29" ht="13.2">
      <c r="A408" s="375"/>
      <c r="B408" s="375"/>
      <c r="C408" s="375"/>
      <c r="D408" s="375"/>
      <c r="E408" s="375"/>
      <c r="F408" s="375"/>
      <c r="G408" s="375"/>
      <c r="H408" s="375"/>
      <c r="I408" s="375"/>
      <c r="J408" s="375"/>
      <c r="K408" s="375"/>
      <c r="L408" s="375"/>
      <c r="M408" s="375"/>
      <c r="N408" s="375"/>
      <c r="O408" s="375"/>
      <c r="P408" s="375"/>
      <c r="Q408" s="375"/>
      <c r="R408" s="375"/>
      <c r="S408" s="375"/>
      <c r="T408" s="375"/>
      <c r="U408" s="375"/>
      <c r="V408" s="375"/>
      <c r="W408" s="375"/>
      <c r="X408" s="375"/>
      <c r="Y408" s="375"/>
      <c r="Z408" s="375"/>
      <c r="AA408" s="375"/>
      <c r="AB408" s="375"/>
      <c r="AC408" s="375"/>
    </row>
    <row r="409" spans="1:29" ht="13.2">
      <c r="A409" s="375"/>
      <c r="B409" s="375"/>
      <c r="C409" s="375"/>
      <c r="D409" s="375"/>
      <c r="E409" s="375"/>
      <c r="F409" s="375"/>
      <c r="G409" s="375"/>
      <c r="H409" s="375"/>
      <c r="I409" s="375"/>
      <c r="J409" s="375"/>
      <c r="K409" s="375"/>
      <c r="L409" s="375"/>
      <c r="M409" s="375"/>
      <c r="N409" s="375"/>
      <c r="O409" s="375"/>
      <c r="P409" s="375"/>
      <c r="Q409" s="375"/>
      <c r="R409" s="375"/>
      <c r="S409" s="375"/>
      <c r="T409" s="375"/>
      <c r="U409" s="375"/>
      <c r="V409" s="375"/>
      <c r="W409" s="375"/>
      <c r="X409" s="375"/>
      <c r="Y409" s="375"/>
      <c r="Z409" s="375"/>
      <c r="AA409" s="375"/>
      <c r="AB409" s="375"/>
      <c r="AC409" s="375"/>
    </row>
    <row r="410" spans="1:29" ht="13.2">
      <c r="A410" s="375"/>
      <c r="B410" s="375"/>
      <c r="C410" s="375"/>
      <c r="D410" s="375"/>
      <c r="E410" s="375"/>
      <c r="F410" s="375"/>
      <c r="G410" s="375"/>
      <c r="H410" s="375"/>
      <c r="I410" s="375"/>
      <c r="J410" s="375"/>
      <c r="K410" s="375"/>
      <c r="L410" s="375"/>
      <c r="M410" s="375"/>
      <c r="N410" s="375"/>
      <c r="O410" s="375"/>
      <c r="P410" s="375"/>
      <c r="Q410" s="375"/>
      <c r="R410" s="375"/>
      <c r="S410" s="375"/>
      <c r="T410" s="375"/>
      <c r="U410" s="375"/>
      <c r="V410" s="375"/>
      <c r="W410" s="375"/>
      <c r="X410" s="375"/>
      <c r="Y410" s="375"/>
      <c r="Z410" s="375"/>
      <c r="AA410" s="375"/>
      <c r="AB410" s="375"/>
      <c r="AC410" s="375"/>
    </row>
    <row r="411" spans="1:29" ht="13.2">
      <c r="A411" s="375"/>
      <c r="B411" s="375"/>
      <c r="C411" s="375"/>
      <c r="D411" s="375"/>
      <c r="E411" s="375"/>
      <c r="F411" s="375"/>
      <c r="G411" s="375"/>
      <c r="H411" s="375"/>
      <c r="I411" s="375"/>
      <c r="J411" s="375"/>
      <c r="K411" s="375"/>
      <c r="L411" s="375"/>
      <c r="M411" s="375"/>
      <c r="N411" s="375"/>
      <c r="O411" s="375"/>
      <c r="P411" s="375"/>
      <c r="Q411" s="375"/>
      <c r="R411" s="375"/>
      <c r="S411" s="375"/>
      <c r="T411" s="375"/>
      <c r="U411" s="375"/>
      <c r="V411" s="375"/>
      <c r="W411" s="375"/>
      <c r="X411" s="375"/>
      <c r="Y411" s="375"/>
      <c r="Z411" s="375"/>
      <c r="AA411" s="375"/>
      <c r="AB411" s="375"/>
      <c r="AC411" s="375"/>
    </row>
    <row r="412" spans="1:29" ht="13.2">
      <c r="A412" s="375"/>
      <c r="B412" s="375"/>
      <c r="C412" s="375"/>
      <c r="D412" s="375"/>
      <c r="E412" s="375"/>
      <c r="F412" s="375"/>
      <c r="G412" s="375"/>
      <c r="H412" s="375"/>
      <c r="I412" s="375"/>
      <c r="J412" s="375"/>
      <c r="K412" s="375"/>
      <c r="L412" s="375"/>
      <c r="M412" s="375"/>
      <c r="N412" s="375"/>
      <c r="O412" s="375"/>
      <c r="P412" s="375"/>
      <c r="Q412" s="375"/>
      <c r="R412" s="375"/>
      <c r="S412" s="375"/>
      <c r="T412" s="375"/>
      <c r="U412" s="375"/>
      <c r="V412" s="375"/>
      <c r="W412" s="375"/>
      <c r="X412" s="375"/>
      <c r="Y412" s="375"/>
      <c r="Z412" s="375"/>
      <c r="AA412" s="375"/>
      <c r="AB412" s="375"/>
      <c r="AC412" s="375"/>
    </row>
    <row r="413" spans="1:29" ht="13.2">
      <c r="A413" s="375"/>
      <c r="B413" s="375"/>
      <c r="C413" s="375"/>
      <c r="D413" s="375"/>
      <c r="E413" s="375"/>
      <c r="F413" s="375"/>
      <c r="G413" s="375"/>
      <c r="H413" s="375"/>
      <c r="I413" s="375"/>
      <c r="J413" s="375"/>
      <c r="K413" s="375"/>
      <c r="L413" s="375"/>
      <c r="M413" s="375"/>
      <c r="N413" s="375"/>
      <c r="O413" s="375"/>
      <c r="P413" s="375"/>
      <c r="Q413" s="375"/>
      <c r="R413" s="375"/>
      <c r="S413" s="375"/>
      <c r="T413" s="375"/>
      <c r="U413" s="375"/>
      <c r="V413" s="375"/>
      <c r="W413" s="375"/>
      <c r="X413" s="375"/>
      <c r="Y413" s="375"/>
      <c r="Z413" s="375"/>
      <c r="AA413" s="375"/>
      <c r="AB413" s="375"/>
      <c r="AC413" s="375"/>
    </row>
    <row r="414" spans="1:29" ht="13.2">
      <c r="A414" s="375"/>
      <c r="B414" s="375"/>
      <c r="C414" s="375"/>
      <c r="D414" s="375"/>
      <c r="E414" s="375"/>
      <c r="F414" s="375"/>
      <c r="G414" s="375"/>
      <c r="H414" s="375"/>
      <c r="I414" s="375"/>
      <c r="J414" s="375"/>
      <c r="K414" s="375"/>
      <c r="L414" s="375"/>
      <c r="M414" s="375"/>
      <c r="N414" s="375"/>
      <c r="O414" s="375"/>
      <c r="P414" s="375"/>
      <c r="Q414" s="375"/>
      <c r="R414" s="375"/>
      <c r="S414" s="375"/>
      <c r="T414" s="375"/>
      <c r="U414" s="375"/>
      <c r="V414" s="375"/>
      <c r="W414" s="375"/>
      <c r="X414" s="375"/>
      <c r="Y414" s="375"/>
      <c r="Z414" s="375"/>
      <c r="AA414" s="375"/>
      <c r="AB414" s="375"/>
      <c r="AC414" s="375"/>
    </row>
    <row r="415" spans="1:29" ht="13.2">
      <c r="A415" s="375"/>
      <c r="B415" s="375"/>
      <c r="C415" s="375"/>
      <c r="D415" s="375"/>
      <c r="E415" s="375"/>
      <c r="F415" s="375"/>
      <c r="G415" s="375"/>
      <c r="H415" s="375"/>
      <c r="I415" s="375"/>
      <c r="J415" s="375"/>
      <c r="K415" s="375"/>
      <c r="L415" s="375"/>
      <c r="M415" s="375"/>
      <c r="N415" s="375"/>
      <c r="O415" s="375"/>
      <c r="P415" s="375"/>
      <c r="Q415" s="375"/>
      <c r="R415" s="375"/>
      <c r="S415" s="375"/>
      <c r="T415" s="375"/>
      <c r="U415" s="375"/>
      <c r="V415" s="375"/>
      <c r="W415" s="375"/>
      <c r="X415" s="375"/>
      <c r="Y415" s="375"/>
      <c r="Z415" s="375"/>
      <c r="AA415" s="375"/>
      <c r="AB415" s="375"/>
      <c r="AC415" s="375"/>
    </row>
    <row r="416" spans="1:29" ht="13.2">
      <c r="A416" s="375"/>
      <c r="B416" s="375"/>
      <c r="C416" s="375"/>
      <c r="D416" s="375"/>
      <c r="E416" s="375"/>
      <c r="F416" s="375"/>
      <c r="G416" s="375"/>
      <c r="H416" s="375"/>
      <c r="I416" s="375"/>
      <c r="J416" s="375"/>
      <c r="K416" s="375"/>
      <c r="L416" s="375"/>
      <c r="M416" s="375"/>
      <c r="N416" s="375"/>
      <c r="O416" s="375"/>
      <c r="P416" s="375"/>
      <c r="Q416" s="375"/>
      <c r="R416" s="375"/>
      <c r="S416" s="375"/>
      <c r="T416" s="375"/>
      <c r="U416" s="375"/>
      <c r="V416" s="375"/>
      <c r="W416" s="375"/>
      <c r="X416" s="375"/>
      <c r="Y416" s="375"/>
      <c r="Z416" s="375"/>
      <c r="AA416" s="375"/>
      <c r="AB416" s="375"/>
      <c r="AC416" s="375"/>
    </row>
    <row r="417" spans="1:29" ht="13.2">
      <c r="A417" s="375"/>
      <c r="B417" s="375"/>
      <c r="C417" s="375"/>
      <c r="D417" s="375"/>
      <c r="E417" s="375"/>
      <c r="F417" s="375"/>
      <c r="G417" s="375"/>
      <c r="H417" s="375"/>
      <c r="I417" s="375"/>
      <c r="J417" s="375"/>
      <c r="K417" s="375"/>
      <c r="L417" s="375"/>
      <c r="M417" s="375"/>
      <c r="N417" s="375"/>
      <c r="O417" s="375"/>
      <c r="P417" s="375"/>
      <c r="Q417" s="375"/>
      <c r="R417" s="375"/>
      <c r="S417" s="375"/>
      <c r="T417" s="375"/>
      <c r="U417" s="375"/>
      <c r="V417" s="375"/>
      <c r="W417" s="375"/>
      <c r="X417" s="375"/>
      <c r="Y417" s="375"/>
      <c r="Z417" s="375"/>
      <c r="AA417" s="375"/>
      <c r="AB417" s="375"/>
      <c r="AC417" s="375"/>
    </row>
    <row r="418" spans="1:29" ht="13.2">
      <c r="A418" s="375"/>
      <c r="B418" s="375"/>
      <c r="C418" s="375"/>
      <c r="D418" s="375"/>
      <c r="E418" s="375"/>
      <c r="F418" s="375"/>
      <c r="G418" s="375"/>
      <c r="H418" s="375"/>
      <c r="I418" s="375"/>
      <c r="J418" s="375"/>
      <c r="K418" s="375"/>
      <c r="L418" s="375"/>
      <c r="M418" s="375"/>
      <c r="N418" s="375"/>
      <c r="O418" s="375"/>
      <c r="P418" s="375"/>
      <c r="Q418" s="375"/>
      <c r="R418" s="375"/>
      <c r="S418" s="375"/>
      <c r="T418" s="375"/>
      <c r="U418" s="375"/>
      <c r="V418" s="375"/>
      <c r="W418" s="375"/>
      <c r="X418" s="375"/>
      <c r="Y418" s="375"/>
      <c r="Z418" s="375"/>
      <c r="AA418" s="375"/>
      <c r="AB418" s="375"/>
      <c r="AC418" s="375"/>
    </row>
    <row r="419" spans="1:29" ht="13.2">
      <c r="A419" s="375"/>
      <c r="B419" s="375"/>
      <c r="C419" s="375"/>
      <c r="D419" s="375"/>
      <c r="E419" s="375"/>
      <c r="F419" s="375"/>
      <c r="G419" s="375"/>
      <c r="H419" s="375"/>
      <c r="I419" s="375"/>
      <c r="J419" s="375"/>
      <c r="K419" s="375"/>
      <c r="L419" s="375"/>
      <c r="M419" s="375"/>
      <c r="N419" s="375"/>
      <c r="O419" s="375"/>
      <c r="P419" s="375"/>
      <c r="Q419" s="375"/>
      <c r="R419" s="375"/>
      <c r="S419" s="375"/>
      <c r="T419" s="375"/>
      <c r="U419" s="375"/>
      <c r="V419" s="375"/>
      <c r="W419" s="375"/>
      <c r="X419" s="375"/>
      <c r="Y419" s="375"/>
      <c r="Z419" s="375"/>
      <c r="AA419" s="375"/>
      <c r="AB419" s="375"/>
      <c r="AC419" s="375"/>
    </row>
    <row r="420" spans="1:29" ht="13.2">
      <c r="A420" s="375"/>
      <c r="B420" s="375"/>
      <c r="C420" s="375"/>
      <c r="D420" s="375"/>
      <c r="E420" s="375"/>
      <c r="F420" s="375"/>
      <c r="G420" s="375"/>
      <c r="H420" s="375"/>
      <c r="I420" s="375"/>
      <c r="J420" s="375"/>
      <c r="K420" s="375"/>
      <c r="L420" s="375"/>
      <c r="M420" s="375"/>
      <c r="N420" s="375"/>
      <c r="O420" s="375"/>
      <c r="P420" s="375"/>
      <c r="Q420" s="375"/>
      <c r="R420" s="375"/>
      <c r="S420" s="375"/>
      <c r="T420" s="375"/>
      <c r="U420" s="375"/>
      <c r="V420" s="375"/>
      <c r="W420" s="375"/>
      <c r="X420" s="375"/>
      <c r="Y420" s="375"/>
      <c r="Z420" s="375"/>
      <c r="AA420" s="375"/>
      <c r="AB420" s="375"/>
      <c r="AC420" s="375"/>
    </row>
    <row r="421" spans="1:29" ht="13.2">
      <c r="A421" s="375"/>
      <c r="B421" s="375"/>
      <c r="C421" s="375"/>
      <c r="D421" s="375"/>
      <c r="E421" s="375"/>
      <c r="F421" s="375"/>
      <c r="G421" s="375"/>
      <c r="H421" s="375"/>
      <c r="I421" s="375"/>
      <c r="J421" s="375"/>
      <c r="K421" s="375"/>
      <c r="L421" s="375"/>
      <c r="M421" s="375"/>
      <c r="N421" s="375"/>
      <c r="O421" s="375"/>
      <c r="P421" s="375"/>
      <c r="Q421" s="375"/>
      <c r="R421" s="375"/>
      <c r="S421" s="375"/>
      <c r="T421" s="375"/>
      <c r="U421" s="375"/>
      <c r="V421" s="375"/>
      <c r="W421" s="375"/>
      <c r="X421" s="375"/>
      <c r="Y421" s="375"/>
      <c r="Z421" s="375"/>
      <c r="AA421" s="375"/>
      <c r="AB421" s="375"/>
      <c r="AC421" s="375"/>
    </row>
    <row r="422" spans="1:29" ht="13.2">
      <c r="A422" s="375"/>
      <c r="B422" s="375"/>
      <c r="C422" s="375"/>
      <c r="D422" s="375"/>
      <c r="E422" s="375"/>
      <c r="F422" s="375"/>
      <c r="G422" s="375"/>
      <c r="H422" s="375"/>
      <c r="I422" s="375"/>
      <c r="J422" s="375"/>
      <c r="K422" s="375"/>
      <c r="L422" s="375"/>
      <c r="M422" s="375"/>
      <c r="N422" s="375"/>
      <c r="O422" s="375"/>
      <c r="P422" s="375"/>
      <c r="Q422" s="375"/>
      <c r="R422" s="375"/>
      <c r="S422" s="375"/>
      <c r="T422" s="375"/>
      <c r="U422" s="375"/>
      <c r="V422" s="375"/>
      <c r="W422" s="375"/>
      <c r="X422" s="375"/>
      <c r="Y422" s="375"/>
      <c r="Z422" s="375"/>
      <c r="AA422" s="375"/>
      <c r="AB422" s="375"/>
      <c r="AC422" s="375"/>
    </row>
    <row r="423" spans="1:29" ht="13.2">
      <c r="A423" s="375"/>
      <c r="B423" s="375"/>
      <c r="C423" s="375"/>
      <c r="D423" s="375"/>
      <c r="E423" s="375"/>
      <c r="F423" s="375"/>
      <c r="G423" s="375"/>
      <c r="H423" s="375"/>
      <c r="I423" s="375"/>
      <c r="J423" s="375"/>
      <c r="K423" s="375"/>
      <c r="L423" s="375"/>
      <c r="M423" s="375"/>
      <c r="N423" s="375"/>
      <c r="O423" s="375"/>
      <c r="P423" s="375"/>
      <c r="Q423" s="375"/>
      <c r="R423" s="375"/>
      <c r="S423" s="375"/>
      <c r="T423" s="375"/>
      <c r="U423" s="375"/>
      <c r="V423" s="375"/>
      <c r="W423" s="375"/>
      <c r="X423" s="375"/>
      <c r="Y423" s="375"/>
      <c r="Z423" s="375"/>
      <c r="AA423" s="375"/>
      <c r="AB423" s="375"/>
      <c r="AC423" s="375"/>
    </row>
    <row r="424" spans="1:29" ht="13.2">
      <c r="A424" s="375"/>
      <c r="B424" s="375"/>
      <c r="C424" s="375"/>
      <c r="D424" s="375"/>
      <c r="E424" s="375"/>
      <c r="F424" s="375"/>
      <c r="G424" s="375"/>
      <c r="H424" s="375"/>
      <c r="I424" s="375"/>
      <c r="J424" s="375"/>
      <c r="K424" s="375"/>
      <c r="L424" s="375"/>
      <c r="M424" s="375"/>
      <c r="N424" s="375"/>
      <c r="O424" s="375"/>
      <c r="P424" s="375"/>
      <c r="Q424" s="375"/>
      <c r="R424" s="375"/>
      <c r="S424" s="375"/>
      <c r="T424" s="375"/>
      <c r="U424" s="375"/>
      <c r="V424" s="375"/>
      <c r="W424" s="375"/>
      <c r="X424" s="375"/>
      <c r="Y424" s="375"/>
      <c r="Z424" s="375"/>
      <c r="AA424" s="375"/>
      <c r="AB424" s="375"/>
      <c r="AC424" s="375"/>
    </row>
    <row r="425" spans="1:29" ht="13.2">
      <c r="A425" s="375"/>
      <c r="B425" s="375"/>
      <c r="C425" s="375"/>
      <c r="D425" s="375"/>
      <c r="E425" s="375"/>
      <c r="F425" s="375"/>
      <c r="G425" s="375"/>
      <c r="H425" s="375"/>
      <c r="I425" s="375"/>
      <c r="J425" s="375"/>
      <c r="K425" s="375"/>
      <c r="L425" s="375"/>
      <c r="M425" s="375"/>
      <c r="N425" s="375"/>
      <c r="O425" s="375"/>
      <c r="P425" s="375"/>
      <c r="Q425" s="375"/>
      <c r="R425" s="375"/>
      <c r="S425" s="375"/>
      <c r="T425" s="375"/>
      <c r="U425" s="375"/>
      <c r="V425" s="375"/>
      <c r="W425" s="375"/>
      <c r="X425" s="375"/>
      <c r="Y425" s="375"/>
      <c r="Z425" s="375"/>
      <c r="AA425" s="375"/>
      <c r="AB425" s="375"/>
      <c r="AC425" s="375"/>
    </row>
    <row r="426" spans="1:29" ht="13.2">
      <c r="A426" s="375"/>
      <c r="B426" s="375"/>
      <c r="C426" s="375"/>
      <c r="D426" s="375"/>
      <c r="E426" s="375"/>
      <c r="F426" s="375"/>
      <c r="G426" s="375"/>
      <c r="H426" s="375"/>
      <c r="I426" s="375"/>
      <c r="J426" s="375"/>
      <c r="K426" s="375"/>
      <c r="L426" s="375"/>
      <c r="M426" s="375"/>
      <c r="N426" s="375"/>
      <c r="O426" s="375"/>
      <c r="P426" s="375"/>
      <c r="Q426" s="375"/>
      <c r="R426" s="375"/>
      <c r="S426" s="375"/>
      <c r="T426" s="375"/>
      <c r="U426" s="375"/>
      <c r="V426" s="375"/>
      <c r="W426" s="375"/>
      <c r="X426" s="375"/>
      <c r="Y426" s="375"/>
      <c r="Z426" s="375"/>
      <c r="AA426" s="375"/>
      <c r="AB426" s="375"/>
      <c r="AC426" s="375"/>
    </row>
    <row r="427" spans="1:29" ht="13.2">
      <c r="A427" s="375"/>
      <c r="B427" s="375"/>
      <c r="C427" s="375"/>
      <c r="D427" s="375"/>
      <c r="E427" s="375"/>
      <c r="F427" s="375"/>
      <c r="G427" s="375"/>
      <c r="H427" s="375"/>
      <c r="I427" s="375"/>
      <c r="J427" s="375"/>
      <c r="K427" s="375"/>
      <c r="L427" s="375"/>
      <c r="M427" s="375"/>
      <c r="N427" s="375"/>
      <c r="O427" s="375"/>
      <c r="P427" s="375"/>
      <c r="Q427" s="375"/>
      <c r="R427" s="375"/>
      <c r="S427" s="375"/>
      <c r="T427" s="375"/>
      <c r="U427" s="375"/>
      <c r="V427" s="375"/>
      <c r="W427" s="375"/>
      <c r="X427" s="375"/>
      <c r="Y427" s="375"/>
      <c r="Z427" s="375"/>
      <c r="AA427" s="375"/>
      <c r="AB427" s="375"/>
      <c r="AC427" s="375"/>
    </row>
    <row r="428" spans="1:29" ht="13.2">
      <c r="A428" s="375"/>
      <c r="B428" s="375"/>
      <c r="C428" s="375"/>
      <c r="D428" s="375"/>
      <c r="E428" s="375"/>
      <c r="F428" s="375"/>
      <c r="G428" s="375"/>
      <c r="H428" s="375"/>
      <c r="I428" s="375"/>
      <c r="J428" s="375"/>
      <c r="K428" s="375"/>
      <c r="L428" s="375"/>
      <c r="M428" s="375"/>
      <c r="N428" s="375"/>
      <c r="O428" s="375"/>
      <c r="P428" s="375"/>
      <c r="Q428" s="375"/>
      <c r="R428" s="375"/>
      <c r="S428" s="375"/>
      <c r="T428" s="375"/>
      <c r="U428" s="375"/>
      <c r="V428" s="375"/>
      <c r="W428" s="375"/>
      <c r="X428" s="375"/>
      <c r="Y428" s="375"/>
      <c r="Z428" s="375"/>
      <c r="AA428" s="375"/>
      <c r="AB428" s="375"/>
      <c r="AC428" s="375"/>
    </row>
    <row r="429" spans="1:29" ht="13.2">
      <c r="A429" s="375"/>
      <c r="B429" s="375"/>
      <c r="C429" s="375"/>
      <c r="D429" s="375"/>
      <c r="E429" s="375"/>
      <c r="F429" s="375"/>
      <c r="G429" s="375"/>
      <c r="H429" s="375"/>
      <c r="I429" s="375"/>
      <c r="J429" s="375"/>
      <c r="K429" s="375"/>
      <c r="L429" s="375"/>
      <c r="M429" s="375"/>
      <c r="N429" s="375"/>
      <c r="O429" s="375"/>
      <c r="P429" s="375"/>
      <c r="Q429" s="375"/>
      <c r="R429" s="375"/>
      <c r="S429" s="375"/>
      <c r="T429" s="375"/>
      <c r="U429" s="375"/>
      <c r="V429" s="375"/>
      <c r="W429" s="375"/>
      <c r="X429" s="375"/>
      <c r="Y429" s="375"/>
      <c r="Z429" s="375"/>
      <c r="AA429" s="375"/>
      <c r="AB429" s="375"/>
      <c r="AC429" s="375"/>
    </row>
    <row r="430" spans="1:29" ht="13.2">
      <c r="A430" s="375"/>
      <c r="B430" s="375"/>
      <c r="C430" s="375"/>
      <c r="D430" s="375"/>
      <c r="E430" s="375"/>
      <c r="F430" s="375"/>
      <c r="G430" s="375"/>
      <c r="H430" s="375"/>
      <c r="I430" s="375"/>
      <c r="J430" s="375"/>
      <c r="K430" s="375"/>
      <c r="L430" s="375"/>
      <c r="M430" s="375"/>
      <c r="N430" s="375"/>
      <c r="O430" s="375"/>
      <c r="P430" s="375"/>
      <c r="Q430" s="375"/>
      <c r="R430" s="375"/>
      <c r="S430" s="375"/>
      <c r="T430" s="375"/>
      <c r="U430" s="375"/>
      <c r="V430" s="375"/>
      <c r="W430" s="375"/>
      <c r="X430" s="375"/>
      <c r="Y430" s="375"/>
      <c r="Z430" s="375"/>
      <c r="AA430" s="375"/>
      <c r="AB430" s="375"/>
      <c r="AC430" s="375"/>
    </row>
    <row r="431" spans="1:29" ht="13.2">
      <c r="A431" s="375"/>
      <c r="B431" s="375"/>
      <c r="C431" s="375"/>
      <c r="D431" s="375"/>
      <c r="E431" s="375"/>
      <c r="F431" s="375"/>
      <c r="G431" s="375"/>
      <c r="H431" s="375"/>
      <c r="I431" s="375"/>
      <c r="J431" s="375"/>
      <c r="K431" s="375"/>
      <c r="L431" s="375"/>
      <c r="M431" s="375"/>
      <c r="N431" s="375"/>
      <c r="O431" s="375"/>
      <c r="P431" s="375"/>
      <c r="Q431" s="375"/>
      <c r="R431" s="375"/>
      <c r="S431" s="375"/>
      <c r="T431" s="375"/>
      <c r="U431" s="375"/>
      <c r="V431" s="375"/>
      <c r="W431" s="375"/>
      <c r="X431" s="375"/>
      <c r="Y431" s="375"/>
      <c r="Z431" s="375"/>
      <c r="AA431" s="375"/>
      <c r="AB431" s="375"/>
      <c r="AC431" s="375"/>
    </row>
    <row r="432" spans="1:29" ht="13.2">
      <c r="A432" s="375"/>
      <c r="B432" s="375"/>
      <c r="C432" s="375"/>
      <c r="D432" s="375"/>
      <c r="E432" s="375"/>
      <c r="F432" s="375"/>
      <c r="G432" s="375"/>
      <c r="H432" s="375"/>
      <c r="I432" s="375"/>
      <c r="J432" s="375"/>
      <c r="K432" s="375"/>
      <c r="L432" s="375"/>
      <c r="M432" s="375"/>
      <c r="N432" s="375"/>
      <c r="O432" s="375"/>
      <c r="P432" s="375"/>
      <c r="Q432" s="375"/>
      <c r="R432" s="375"/>
      <c r="S432" s="375"/>
      <c r="T432" s="375"/>
      <c r="U432" s="375"/>
      <c r="V432" s="375"/>
      <c r="W432" s="375"/>
      <c r="X432" s="375"/>
      <c r="Y432" s="375"/>
      <c r="Z432" s="375"/>
      <c r="AA432" s="375"/>
      <c r="AB432" s="375"/>
      <c r="AC432" s="375"/>
    </row>
    <row r="433" spans="1:29" ht="13.2">
      <c r="A433" s="375"/>
      <c r="B433" s="375"/>
      <c r="C433" s="375"/>
      <c r="D433" s="375"/>
      <c r="E433" s="375"/>
      <c r="F433" s="375"/>
      <c r="G433" s="375"/>
      <c r="H433" s="375"/>
      <c r="I433" s="375"/>
      <c r="J433" s="375"/>
      <c r="K433" s="375"/>
      <c r="L433" s="375"/>
      <c r="M433" s="375"/>
      <c r="N433" s="375"/>
      <c r="O433" s="375"/>
      <c r="P433" s="375"/>
      <c r="Q433" s="375"/>
      <c r="R433" s="375"/>
      <c r="S433" s="375"/>
      <c r="T433" s="375"/>
      <c r="U433" s="375"/>
      <c r="V433" s="375"/>
      <c r="W433" s="375"/>
      <c r="X433" s="375"/>
      <c r="Y433" s="375"/>
      <c r="Z433" s="375"/>
      <c r="AA433" s="375"/>
      <c r="AB433" s="375"/>
      <c r="AC433" s="375"/>
    </row>
    <row r="434" spans="1:29" ht="13.2">
      <c r="A434" s="375"/>
      <c r="B434" s="375"/>
      <c r="C434" s="375"/>
      <c r="D434" s="375"/>
      <c r="E434" s="375"/>
      <c r="F434" s="375"/>
      <c r="G434" s="375"/>
      <c r="H434" s="375"/>
      <c r="I434" s="375"/>
      <c r="J434" s="375"/>
      <c r="K434" s="375"/>
      <c r="L434" s="375"/>
      <c r="M434" s="375"/>
      <c r="N434" s="375"/>
      <c r="O434" s="375"/>
      <c r="P434" s="375"/>
      <c r="Q434" s="375"/>
      <c r="R434" s="375"/>
      <c r="S434" s="375"/>
      <c r="T434" s="375"/>
      <c r="U434" s="375"/>
      <c r="V434" s="375"/>
      <c r="W434" s="375"/>
      <c r="X434" s="375"/>
      <c r="Y434" s="375"/>
      <c r="Z434" s="375"/>
      <c r="AA434" s="375"/>
      <c r="AB434" s="375"/>
      <c r="AC434" s="375"/>
    </row>
    <row r="435" spans="1:29" ht="13.2">
      <c r="A435" s="375"/>
      <c r="B435" s="375"/>
      <c r="C435" s="375"/>
      <c r="D435" s="375"/>
      <c r="E435" s="375"/>
      <c r="F435" s="375"/>
      <c r="G435" s="375"/>
      <c r="H435" s="375"/>
      <c r="I435" s="375"/>
      <c r="J435" s="375"/>
      <c r="K435" s="375"/>
      <c r="L435" s="375"/>
      <c r="M435" s="375"/>
      <c r="N435" s="375"/>
      <c r="O435" s="375"/>
      <c r="P435" s="375"/>
      <c r="Q435" s="375"/>
      <c r="R435" s="375"/>
      <c r="S435" s="375"/>
      <c r="T435" s="375"/>
      <c r="U435" s="375"/>
      <c r="V435" s="375"/>
      <c r="W435" s="375"/>
      <c r="X435" s="375"/>
      <c r="Y435" s="375"/>
      <c r="Z435" s="375"/>
      <c r="AA435" s="375"/>
      <c r="AB435" s="375"/>
      <c r="AC435" s="375"/>
    </row>
    <row r="436" spans="1:29" ht="13.2">
      <c r="A436" s="375"/>
      <c r="B436" s="375"/>
      <c r="C436" s="375"/>
      <c r="D436" s="375"/>
      <c r="E436" s="375"/>
      <c r="F436" s="375"/>
      <c r="G436" s="375"/>
      <c r="H436" s="375"/>
      <c r="I436" s="375"/>
      <c r="J436" s="375"/>
      <c r="K436" s="375"/>
      <c r="L436" s="375"/>
      <c r="M436" s="375"/>
      <c r="N436" s="375"/>
      <c r="O436" s="375"/>
      <c r="P436" s="375"/>
      <c r="Q436" s="375"/>
      <c r="R436" s="375"/>
      <c r="S436" s="375"/>
      <c r="T436" s="375"/>
      <c r="U436" s="375"/>
      <c r="V436" s="375"/>
      <c r="W436" s="375"/>
      <c r="X436" s="375"/>
      <c r="Y436" s="375"/>
      <c r="Z436" s="375"/>
      <c r="AA436" s="375"/>
      <c r="AB436" s="375"/>
      <c r="AC436" s="375"/>
    </row>
    <row r="437" spans="1:29" ht="13.2">
      <c r="A437" s="375"/>
      <c r="B437" s="375"/>
      <c r="C437" s="375"/>
      <c r="D437" s="375"/>
      <c r="E437" s="375"/>
      <c r="F437" s="375"/>
      <c r="G437" s="375"/>
      <c r="H437" s="375"/>
      <c r="I437" s="375"/>
      <c r="J437" s="375"/>
      <c r="K437" s="375"/>
      <c r="L437" s="375"/>
      <c r="M437" s="375"/>
      <c r="N437" s="375"/>
      <c r="O437" s="375"/>
      <c r="P437" s="375"/>
      <c r="Q437" s="375"/>
      <c r="R437" s="375"/>
      <c r="S437" s="375"/>
      <c r="T437" s="375"/>
      <c r="U437" s="375"/>
      <c r="V437" s="375"/>
      <c r="W437" s="375"/>
      <c r="X437" s="375"/>
      <c r="Y437" s="375"/>
      <c r="Z437" s="375"/>
      <c r="AA437" s="375"/>
      <c r="AB437" s="375"/>
      <c r="AC437" s="375"/>
    </row>
    <row r="438" spans="1:29" ht="13.2">
      <c r="A438" s="375"/>
      <c r="B438" s="375"/>
      <c r="C438" s="375"/>
      <c r="D438" s="375"/>
      <c r="E438" s="375"/>
      <c r="F438" s="375"/>
      <c r="G438" s="375"/>
      <c r="H438" s="375"/>
      <c r="I438" s="375"/>
      <c r="J438" s="375"/>
      <c r="K438" s="375"/>
      <c r="L438" s="375"/>
      <c r="M438" s="375"/>
      <c r="N438" s="375"/>
      <c r="O438" s="375"/>
      <c r="P438" s="375"/>
      <c r="Q438" s="375"/>
      <c r="R438" s="375"/>
      <c r="S438" s="375"/>
      <c r="T438" s="375"/>
      <c r="U438" s="375"/>
      <c r="V438" s="375"/>
      <c r="W438" s="375"/>
      <c r="X438" s="375"/>
      <c r="Y438" s="375"/>
      <c r="Z438" s="375"/>
      <c r="AA438" s="375"/>
      <c r="AB438" s="375"/>
      <c r="AC438" s="375"/>
    </row>
    <row r="439" spans="1:29" ht="13.2">
      <c r="A439" s="375"/>
      <c r="B439" s="375"/>
      <c r="C439" s="375"/>
      <c r="D439" s="375"/>
      <c r="E439" s="375"/>
      <c r="F439" s="375"/>
      <c r="G439" s="375"/>
      <c r="H439" s="375"/>
      <c r="I439" s="375"/>
      <c r="J439" s="375"/>
      <c r="K439" s="375"/>
      <c r="L439" s="375"/>
      <c r="M439" s="375"/>
      <c r="N439" s="375"/>
      <c r="O439" s="375"/>
      <c r="P439" s="375"/>
      <c r="Q439" s="375"/>
      <c r="R439" s="375"/>
      <c r="S439" s="375"/>
      <c r="T439" s="375"/>
      <c r="U439" s="375"/>
      <c r="V439" s="375"/>
      <c r="W439" s="375"/>
      <c r="X439" s="375"/>
      <c r="Y439" s="375"/>
      <c r="Z439" s="375"/>
      <c r="AA439" s="375"/>
      <c r="AB439" s="375"/>
      <c r="AC439" s="375"/>
    </row>
    <row r="440" spans="1:29" ht="13.2">
      <c r="A440" s="375"/>
      <c r="B440" s="375"/>
      <c r="C440" s="375"/>
      <c r="D440" s="375"/>
      <c r="E440" s="375"/>
      <c r="F440" s="375"/>
      <c r="G440" s="375"/>
      <c r="H440" s="375"/>
      <c r="I440" s="375"/>
      <c r="J440" s="375"/>
      <c r="K440" s="375"/>
      <c r="L440" s="375"/>
      <c r="M440" s="375"/>
      <c r="N440" s="375"/>
      <c r="O440" s="375"/>
      <c r="P440" s="375"/>
      <c r="Q440" s="375"/>
      <c r="R440" s="375"/>
      <c r="S440" s="375"/>
      <c r="T440" s="375"/>
      <c r="U440" s="375"/>
      <c r="V440" s="375"/>
      <c r="W440" s="375"/>
      <c r="X440" s="375"/>
      <c r="Y440" s="375"/>
      <c r="Z440" s="375"/>
      <c r="AA440" s="375"/>
      <c r="AB440" s="375"/>
      <c r="AC440" s="375"/>
    </row>
    <row r="441" spans="1:29" ht="13.2">
      <c r="A441" s="375"/>
      <c r="B441" s="375"/>
      <c r="C441" s="375"/>
      <c r="D441" s="375"/>
      <c r="E441" s="375"/>
      <c r="F441" s="375"/>
      <c r="G441" s="375"/>
      <c r="H441" s="375"/>
      <c r="I441" s="375"/>
      <c r="J441" s="375"/>
      <c r="K441" s="375"/>
      <c r="L441" s="375"/>
      <c r="M441" s="375"/>
      <c r="N441" s="375"/>
      <c r="O441" s="375"/>
      <c r="P441" s="375"/>
      <c r="Q441" s="375"/>
      <c r="R441" s="375"/>
      <c r="S441" s="375"/>
      <c r="T441" s="375"/>
      <c r="U441" s="375"/>
      <c r="V441" s="375"/>
      <c r="W441" s="375"/>
      <c r="X441" s="375"/>
      <c r="Y441" s="375"/>
      <c r="Z441" s="375"/>
      <c r="AA441" s="375"/>
      <c r="AB441" s="375"/>
      <c r="AC441" s="375"/>
    </row>
    <row r="442" spans="1:29" ht="13.2">
      <c r="A442" s="375"/>
      <c r="B442" s="375"/>
      <c r="C442" s="375"/>
      <c r="D442" s="375"/>
      <c r="E442" s="375"/>
      <c r="F442" s="375"/>
      <c r="G442" s="375"/>
      <c r="H442" s="375"/>
      <c r="I442" s="375"/>
      <c r="J442" s="375"/>
      <c r="K442" s="375"/>
      <c r="L442" s="375"/>
      <c r="M442" s="375"/>
      <c r="N442" s="375"/>
      <c r="O442" s="375"/>
      <c r="P442" s="375"/>
      <c r="Q442" s="375"/>
      <c r="R442" s="375"/>
      <c r="S442" s="375"/>
      <c r="T442" s="375"/>
      <c r="U442" s="375"/>
      <c r="V442" s="375"/>
      <c r="W442" s="375"/>
      <c r="X442" s="375"/>
      <c r="Y442" s="375"/>
      <c r="Z442" s="375"/>
      <c r="AA442" s="375"/>
      <c r="AB442" s="375"/>
      <c r="AC442" s="375"/>
    </row>
    <row r="443" spans="1:29" ht="13.2">
      <c r="A443" s="375"/>
      <c r="B443" s="375"/>
      <c r="C443" s="375"/>
      <c r="D443" s="375"/>
      <c r="E443" s="375"/>
      <c r="F443" s="375"/>
      <c r="G443" s="375"/>
      <c r="H443" s="375"/>
      <c r="I443" s="375"/>
      <c r="J443" s="375"/>
      <c r="K443" s="375"/>
      <c r="L443" s="375"/>
      <c r="M443" s="375"/>
      <c r="N443" s="375"/>
      <c r="O443" s="375"/>
      <c r="P443" s="375"/>
      <c r="Q443" s="375"/>
      <c r="R443" s="375"/>
      <c r="S443" s="375"/>
      <c r="T443" s="375"/>
      <c r="U443" s="375"/>
      <c r="V443" s="375"/>
      <c r="W443" s="375"/>
      <c r="X443" s="375"/>
      <c r="Y443" s="375"/>
      <c r="Z443" s="375"/>
      <c r="AA443" s="375"/>
      <c r="AB443" s="375"/>
      <c r="AC443" s="375"/>
    </row>
    <row r="444" spans="1:29" ht="13.2">
      <c r="A444" s="375"/>
      <c r="B444" s="375"/>
      <c r="C444" s="375"/>
      <c r="D444" s="375"/>
      <c r="E444" s="375"/>
      <c r="F444" s="375"/>
      <c r="G444" s="375"/>
      <c r="H444" s="375"/>
      <c r="I444" s="375"/>
      <c r="J444" s="375"/>
      <c r="K444" s="375"/>
      <c r="L444" s="375"/>
      <c r="M444" s="375"/>
      <c r="N444" s="375"/>
      <c r="O444" s="375"/>
      <c r="P444" s="375"/>
      <c r="Q444" s="375"/>
      <c r="R444" s="375"/>
      <c r="S444" s="375"/>
      <c r="T444" s="375"/>
      <c r="U444" s="375"/>
      <c r="V444" s="375"/>
      <c r="W444" s="375"/>
      <c r="X444" s="375"/>
      <c r="Y444" s="375"/>
      <c r="Z444" s="375"/>
      <c r="AA444" s="375"/>
      <c r="AB444" s="375"/>
      <c r="AC444" s="375"/>
    </row>
    <row r="445" spans="1:29" ht="13.2">
      <c r="A445" s="375"/>
      <c r="B445" s="375"/>
      <c r="C445" s="375"/>
      <c r="D445" s="375"/>
      <c r="E445" s="375"/>
      <c r="F445" s="375"/>
      <c r="G445" s="375"/>
      <c r="H445" s="375"/>
      <c r="I445" s="375"/>
      <c r="J445" s="375"/>
      <c r="K445" s="375"/>
      <c r="L445" s="375"/>
      <c r="M445" s="375"/>
      <c r="N445" s="375"/>
      <c r="O445" s="375"/>
      <c r="P445" s="375"/>
      <c r="Q445" s="375"/>
      <c r="R445" s="375"/>
      <c r="S445" s="375"/>
      <c r="T445" s="375"/>
      <c r="U445" s="375"/>
      <c r="V445" s="375"/>
      <c r="W445" s="375"/>
      <c r="X445" s="375"/>
      <c r="Y445" s="375"/>
      <c r="Z445" s="375"/>
      <c r="AA445" s="375"/>
      <c r="AB445" s="375"/>
      <c r="AC445" s="375"/>
    </row>
    <row r="446" spans="1:29" ht="13.2">
      <c r="A446" s="375"/>
      <c r="B446" s="375"/>
      <c r="C446" s="375"/>
      <c r="D446" s="375"/>
      <c r="E446" s="375"/>
      <c r="F446" s="375"/>
      <c r="G446" s="375"/>
      <c r="H446" s="375"/>
      <c r="I446" s="375"/>
      <c r="J446" s="375"/>
      <c r="K446" s="375"/>
      <c r="L446" s="375"/>
      <c r="M446" s="375"/>
      <c r="N446" s="375"/>
      <c r="O446" s="375"/>
      <c r="P446" s="375"/>
      <c r="Q446" s="375"/>
      <c r="R446" s="375"/>
      <c r="S446" s="375"/>
      <c r="T446" s="375"/>
      <c r="U446" s="375"/>
      <c r="V446" s="375"/>
      <c r="W446" s="375"/>
      <c r="X446" s="375"/>
      <c r="Y446" s="375"/>
      <c r="Z446" s="375"/>
      <c r="AA446" s="375"/>
      <c r="AB446" s="375"/>
      <c r="AC446" s="375"/>
    </row>
    <row r="447" spans="1:29" ht="13.2">
      <c r="A447" s="375"/>
      <c r="B447" s="375"/>
      <c r="C447" s="375"/>
      <c r="D447" s="375"/>
      <c r="E447" s="375"/>
      <c r="F447" s="375"/>
      <c r="G447" s="375"/>
      <c r="H447" s="375"/>
      <c r="I447" s="375"/>
      <c r="J447" s="375"/>
      <c r="K447" s="375"/>
      <c r="L447" s="375"/>
      <c r="M447" s="375"/>
      <c r="N447" s="375"/>
      <c r="O447" s="375"/>
      <c r="P447" s="375"/>
      <c r="Q447" s="375"/>
      <c r="R447" s="375"/>
      <c r="S447" s="375"/>
      <c r="T447" s="375"/>
      <c r="U447" s="375"/>
      <c r="V447" s="375"/>
      <c r="W447" s="375"/>
      <c r="X447" s="375"/>
      <c r="Y447" s="375"/>
      <c r="Z447" s="375"/>
      <c r="AA447" s="375"/>
      <c r="AB447" s="375"/>
      <c r="AC447" s="375"/>
    </row>
    <row r="448" spans="1:29" ht="13.2">
      <c r="A448" s="375"/>
      <c r="B448" s="375"/>
      <c r="C448" s="375"/>
      <c r="D448" s="375"/>
      <c r="E448" s="375"/>
      <c r="F448" s="375"/>
      <c r="G448" s="375"/>
      <c r="H448" s="375"/>
      <c r="I448" s="375"/>
      <c r="J448" s="375"/>
      <c r="K448" s="375"/>
      <c r="L448" s="375"/>
      <c r="M448" s="375"/>
      <c r="N448" s="375"/>
      <c r="O448" s="375"/>
      <c r="P448" s="375"/>
      <c r="Q448" s="375"/>
      <c r="R448" s="375"/>
      <c r="S448" s="375"/>
      <c r="T448" s="375"/>
      <c r="U448" s="375"/>
      <c r="V448" s="375"/>
      <c r="W448" s="375"/>
      <c r="X448" s="375"/>
      <c r="Y448" s="375"/>
      <c r="Z448" s="375"/>
      <c r="AA448" s="375"/>
      <c r="AB448" s="375"/>
      <c r="AC448" s="375"/>
    </row>
    <row r="449" spans="1:29" ht="13.2">
      <c r="A449" s="375"/>
      <c r="B449" s="375"/>
      <c r="C449" s="375"/>
      <c r="D449" s="375"/>
      <c r="E449" s="375"/>
      <c r="F449" s="375"/>
      <c r="G449" s="375"/>
      <c r="H449" s="375"/>
      <c r="I449" s="375"/>
      <c r="J449" s="375"/>
      <c r="K449" s="375"/>
      <c r="L449" s="375"/>
      <c r="M449" s="375"/>
      <c r="N449" s="375"/>
      <c r="O449" s="375"/>
      <c r="P449" s="375"/>
      <c r="Q449" s="375"/>
      <c r="R449" s="375"/>
      <c r="S449" s="375"/>
      <c r="T449" s="375"/>
      <c r="U449" s="375"/>
      <c r="V449" s="375"/>
      <c r="W449" s="375"/>
      <c r="X449" s="375"/>
      <c r="Y449" s="375"/>
      <c r="Z449" s="375"/>
      <c r="AA449" s="375"/>
      <c r="AB449" s="375"/>
      <c r="AC449" s="375"/>
    </row>
    <row r="450" spans="1:29" ht="13.2">
      <c r="A450" s="375"/>
      <c r="B450" s="375"/>
      <c r="C450" s="375"/>
      <c r="D450" s="375"/>
      <c r="E450" s="375"/>
      <c r="F450" s="375"/>
      <c r="G450" s="375"/>
      <c r="H450" s="375"/>
      <c r="I450" s="375"/>
      <c r="J450" s="375"/>
      <c r="K450" s="375"/>
      <c r="L450" s="375"/>
      <c r="M450" s="375"/>
      <c r="N450" s="375"/>
      <c r="O450" s="375"/>
      <c r="P450" s="375"/>
      <c r="Q450" s="375"/>
      <c r="R450" s="375"/>
      <c r="S450" s="375"/>
      <c r="T450" s="375"/>
      <c r="U450" s="375"/>
      <c r="V450" s="375"/>
      <c r="W450" s="375"/>
      <c r="X450" s="375"/>
      <c r="Y450" s="375"/>
      <c r="Z450" s="375"/>
      <c r="AA450" s="375"/>
      <c r="AB450" s="375"/>
      <c r="AC450" s="375"/>
    </row>
    <row r="451" spans="1:29" ht="13.2">
      <c r="A451" s="375"/>
      <c r="B451" s="375"/>
      <c r="C451" s="375"/>
      <c r="D451" s="375"/>
      <c r="E451" s="375"/>
      <c r="F451" s="375"/>
      <c r="G451" s="375"/>
      <c r="H451" s="375"/>
      <c r="I451" s="375"/>
      <c r="J451" s="375"/>
      <c r="K451" s="375"/>
      <c r="L451" s="375"/>
      <c r="M451" s="375"/>
      <c r="N451" s="375"/>
      <c r="O451" s="375"/>
      <c r="P451" s="375"/>
      <c r="Q451" s="375"/>
      <c r="R451" s="375"/>
      <c r="S451" s="375"/>
      <c r="T451" s="375"/>
      <c r="U451" s="375"/>
      <c r="V451" s="375"/>
      <c r="W451" s="375"/>
      <c r="X451" s="375"/>
      <c r="Y451" s="375"/>
      <c r="Z451" s="375"/>
      <c r="AA451" s="375"/>
      <c r="AB451" s="375"/>
      <c r="AC451" s="375"/>
    </row>
    <row r="452" spans="1:29" ht="13.2">
      <c r="A452" s="375"/>
      <c r="B452" s="375"/>
      <c r="C452" s="375"/>
      <c r="D452" s="375"/>
      <c r="E452" s="375"/>
      <c r="F452" s="375"/>
      <c r="G452" s="375"/>
      <c r="H452" s="375"/>
      <c r="I452" s="375"/>
      <c r="J452" s="375"/>
      <c r="K452" s="375"/>
      <c r="L452" s="375"/>
      <c r="M452" s="375"/>
      <c r="N452" s="375"/>
      <c r="O452" s="375"/>
      <c r="P452" s="375"/>
      <c r="Q452" s="375"/>
      <c r="R452" s="375"/>
      <c r="S452" s="375"/>
      <c r="T452" s="375"/>
      <c r="U452" s="375"/>
      <c r="V452" s="375"/>
      <c r="W452" s="375"/>
      <c r="X452" s="375"/>
      <c r="Y452" s="375"/>
      <c r="Z452" s="375"/>
      <c r="AA452" s="375"/>
      <c r="AB452" s="375"/>
      <c r="AC452" s="375"/>
    </row>
    <row r="453" spans="1:29" ht="13.2">
      <c r="A453" s="375"/>
      <c r="B453" s="375"/>
      <c r="C453" s="375"/>
      <c r="D453" s="375"/>
      <c r="E453" s="375"/>
      <c r="F453" s="375"/>
      <c r="G453" s="375"/>
      <c r="H453" s="375"/>
      <c r="I453" s="375"/>
      <c r="J453" s="375"/>
      <c r="K453" s="375"/>
      <c r="L453" s="375"/>
      <c r="M453" s="375"/>
      <c r="N453" s="375"/>
      <c r="O453" s="375"/>
      <c r="P453" s="375"/>
      <c r="Q453" s="375"/>
      <c r="R453" s="375"/>
      <c r="S453" s="375"/>
      <c r="T453" s="375"/>
      <c r="U453" s="375"/>
      <c r="V453" s="375"/>
      <c r="W453" s="375"/>
      <c r="X453" s="375"/>
      <c r="Y453" s="375"/>
      <c r="Z453" s="375"/>
      <c r="AA453" s="375"/>
      <c r="AB453" s="375"/>
      <c r="AC453" s="375"/>
    </row>
    <row r="454" spans="1:29" ht="13.2">
      <c r="A454" s="375"/>
      <c r="B454" s="375"/>
      <c r="C454" s="375"/>
      <c r="D454" s="375"/>
      <c r="E454" s="375"/>
      <c r="F454" s="375"/>
      <c r="G454" s="375"/>
      <c r="H454" s="375"/>
      <c r="I454" s="375"/>
      <c r="J454" s="375"/>
      <c r="K454" s="375"/>
      <c r="L454" s="375"/>
      <c r="M454" s="375"/>
      <c r="N454" s="375"/>
      <c r="O454" s="375"/>
      <c r="P454" s="375"/>
      <c r="Q454" s="375"/>
      <c r="R454" s="375"/>
      <c r="S454" s="375"/>
      <c r="T454" s="375"/>
      <c r="U454" s="375"/>
      <c r="V454" s="375"/>
      <c r="W454" s="375"/>
      <c r="X454" s="375"/>
      <c r="Y454" s="375"/>
      <c r="Z454" s="375"/>
      <c r="AA454" s="375"/>
      <c r="AB454" s="375"/>
      <c r="AC454" s="375"/>
    </row>
    <row r="455" spans="1:29" ht="13.2">
      <c r="A455" s="375"/>
      <c r="B455" s="375"/>
      <c r="C455" s="375"/>
      <c r="D455" s="375"/>
      <c r="E455" s="375"/>
      <c r="F455" s="375"/>
      <c r="G455" s="375"/>
      <c r="H455" s="375"/>
      <c r="I455" s="375"/>
      <c r="J455" s="375"/>
      <c r="K455" s="375"/>
      <c r="L455" s="375"/>
      <c r="M455" s="375"/>
      <c r="N455" s="375"/>
      <c r="O455" s="375"/>
      <c r="P455" s="375"/>
      <c r="Q455" s="375"/>
      <c r="R455" s="375"/>
      <c r="S455" s="375"/>
      <c r="T455" s="375"/>
      <c r="U455" s="375"/>
      <c r="V455" s="375"/>
      <c r="W455" s="375"/>
      <c r="X455" s="375"/>
      <c r="Y455" s="375"/>
      <c r="Z455" s="375"/>
      <c r="AA455" s="375"/>
      <c r="AB455" s="375"/>
      <c r="AC455" s="375"/>
    </row>
    <row r="456" spans="1:29" ht="13.2">
      <c r="A456" s="375"/>
      <c r="B456" s="375"/>
      <c r="C456" s="375"/>
      <c r="D456" s="375"/>
      <c r="E456" s="375"/>
      <c r="F456" s="375"/>
      <c r="G456" s="375"/>
      <c r="H456" s="375"/>
      <c r="I456" s="375"/>
      <c r="J456" s="375"/>
      <c r="K456" s="375"/>
      <c r="L456" s="375"/>
      <c r="M456" s="375"/>
      <c r="N456" s="375"/>
      <c r="O456" s="375"/>
      <c r="P456" s="375"/>
      <c r="Q456" s="375"/>
      <c r="R456" s="375"/>
      <c r="S456" s="375"/>
      <c r="T456" s="375"/>
      <c r="U456" s="375"/>
      <c r="V456" s="375"/>
      <c r="W456" s="375"/>
      <c r="X456" s="375"/>
      <c r="Y456" s="375"/>
      <c r="Z456" s="375"/>
      <c r="AA456" s="375"/>
      <c r="AB456" s="375"/>
      <c r="AC456" s="375"/>
    </row>
    <row r="457" spans="1:29" ht="13.2">
      <c r="A457" s="375"/>
      <c r="B457" s="375"/>
      <c r="C457" s="375"/>
      <c r="D457" s="375"/>
      <c r="E457" s="375"/>
      <c r="F457" s="375"/>
      <c r="G457" s="375"/>
      <c r="H457" s="375"/>
      <c r="I457" s="375"/>
      <c r="J457" s="375"/>
      <c r="K457" s="375"/>
      <c r="L457" s="375"/>
      <c r="M457" s="375"/>
      <c r="N457" s="375"/>
      <c r="O457" s="375"/>
      <c r="P457" s="375"/>
      <c r="Q457" s="375"/>
      <c r="R457" s="375"/>
      <c r="S457" s="375"/>
      <c r="T457" s="375"/>
      <c r="U457" s="375"/>
      <c r="V457" s="375"/>
      <c r="W457" s="375"/>
      <c r="X457" s="375"/>
      <c r="Y457" s="375"/>
      <c r="Z457" s="375"/>
      <c r="AA457" s="375"/>
      <c r="AB457" s="375"/>
      <c r="AC457" s="375"/>
    </row>
    <row r="458" spans="1:29" ht="13.2">
      <c r="A458" s="375"/>
      <c r="B458" s="375"/>
      <c r="C458" s="375"/>
      <c r="D458" s="375"/>
      <c r="E458" s="375"/>
      <c r="F458" s="375"/>
      <c r="G458" s="375"/>
      <c r="H458" s="375"/>
      <c r="I458" s="375"/>
      <c r="J458" s="375"/>
      <c r="K458" s="375"/>
      <c r="L458" s="375"/>
      <c r="M458" s="375"/>
      <c r="N458" s="375"/>
      <c r="O458" s="375"/>
      <c r="P458" s="375"/>
      <c r="Q458" s="375"/>
      <c r="R458" s="375"/>
      <c r="S458" s="375"/>
      <c r="T458" s="375"/>
      <c r="U458" s="375"/>
      <c r="V458" s="375"/>
      <c r="W458" s="375"/>
      <c r="X458" s="375"/>
      <c r="Y458" s="375"/>
      <c r="Z458" s="375"/>
      <c r="AA458" s="375"/>
      <c r="AB458" s="375"/>
      <c r="AC458" s="375"/>
    </row>
    <row r="459" spans="1:29" ht="13.2">
      <c r="A459" s="375"/>
      <c r="B459" s="375"/>
      <c r="C459" s="375"/>
      <c r="D459" s="375"/>
      <c r="E459" s="375"/>
      <c r="F459" s="375"/>
      <c r="G459" s="375"/>
      <c r="H459" s="375"/>
      <c r="I459" s="375"/>
      <c r="J459" s="375"/>
      <c r="K459" s="375"/>
      <c r="L459" s="375"/>
      <c r="M459" s="375"/>
      <c r="N459" s="375"/>
      <c r="O459" s="375"/>
      <c r="P459" s="375"/>
      <c r="Q459" s="375"/>
      <c r="R459" s="375"/>
      <c r="S459" s="375"/>
      <c r="T459" s="375"/>
      <c r="U459" s="375"/>
      <c r="V459" s="375"/>
      <c r="W459" s="375"/>
      <c r="X459" s="375"/>
      <c r="Y459" s="375"/>
      <c r="Z459" s="375"/>
      <c r="AA459" s="375"/>
      <c r="AB459" s="375"/>
      <c r="AC459" s="375"/>
    </row>
    <row r="460" spans="1:29" ht="13.2">
      <c r="F460" s="373"/>
      <c r="L460" s="373"/>
      <c r="R460" s="373"/>
      <c r="X460" s="373"/>
    </row>
    <row r="461" spans="1:29" ht="13.2">
      <c r="F461" s="373"/>
      <c r="L461" s="373"/>
      <c r="R461" s="373"/>
      <c r="X461" s="373"/>
    </row>
    <row r="462" spans="1:29" ht="13.2">
      <c r="F462" s="373"/>
      <c r="L462" s="373"/>
      <c r="R462" s="373"/>
      <c r="X462" s="373"/>
    </row>
    <row r="463" spans="1:29" ht="13.2">
      <c r="F463" s="373"/>
      <c r="L463" s="373"/>
      <c r="R463" s="373"/>
      <c r="X463" s="373"/>
    </row>
    <row r="464" spans="1:29" ht="13.2">
      <c r="F464" s="373"/>
      <c r="L464" s="373"/>
      <c r="R464" s="373"/>
      <c r="X464" s="373"/>
    </row>
    <row r="465" spans="6:24" ht="13.2">
      <c r="F465" s="373"/>
      <c r="L465" s="373"/>
      <c r="R465" s="373"/>
      <c r="X465" s="373"/>
    </row>
    <row r="466" spans="6:24" ht="13.2">
      <c r="F466" s="373"/>
      <c r="L466" s="373"/>
      <c r="R466" s="373"/>
      <c r="X466" s="373"/>
    </row>
    <row r="467" spans="6:24" ht="13.2">
      <c r="F467" s="373"/>
      <c r="L467" s="373"/>
      <c r="R467" s="373"/>
      <c r="X467" s="373"/>
    </row>
    <row r="468" spans="6:24" ht="13.2">
      <c r="F468" s="373"/>
      <c r="L468" s="373"/>
      <c r="R468" s="373"/>
      <c r="X468" s="373"/>
    </row>
    <row r="469" spans="6:24" ht="13.2">
      <c r="F469" s="373"/>
      <c r="L469" s="373"/>
      <c r="R469" s="373"/>
      <c r="X469" s="373"/>
    </row>
    <row r="470" spans="6:24" ht="13.2">
      <c r="F470" s="373"/>
      <c r="L470" s="373"/>
      <c r="R470" s="373"/>
      <c r="X470" s="373"/>
    </row>
    <row r="471" spans="6:24" ht="13.2">
      <c r="F471" s="373"/>
      <c r="L471" s="373"/>
      <c r="R471" s="373"/>
      <c r="X471" s="373"/>
    </row>
    <row r="472" spans="6:24" ht="13.2">
      <c r="F472" s="373"/>
      <c r="L472" s="373"/>
      <c r="R472" s="373"/>
      <c r="X472" s="373"/>
    </row>
    <row r="473" spans="6:24" ht="13.2">
      <c r="F473" s="373"/>
      <c r="L473" s="373"/>
      <c r="R473" s="373"/>
      <c r="X473" s="373"/>
    </row>
    <row r="474" spans="6:24" ht="13.2">
      <c r="F474" s="373"/>
      <c r="L474" s="373"/>
      <c r="R474" s="373"/>
      <c r="X474" s="373"/>
    </row>
    <row r="475" spans="6:24" ht="13.2">
      <c r="F475" s="373"/>
      <c r="L475" s="373"/>
      <c r="R475" s="373"/>
      <c r="X475" s="373"/>
    </row>
    <row r="476" spans="6:24" ht="13.2">
      <c r="F476" s="373"/>
      <c r="L476" s="373"/>
      <c r="R476" s="373"/>
      <c r="X476" s="373"/>
    </row>
    <row r="477" spans="6:24" ht="13.2">
      <c r="F477" s="373"/>
      <c r="L477" s="373"/>
      <c r="R477" s="373"/>
      <c r="X477" s="373"/>
    </row>
    <row r="478" spans="6:24" ht="13.2">
      <c r="F478" s="373"/>
      <c r="L478" s="373"/>
      <c r="R478" s="373"/>
      <c r="X478" s="373"/>
    </row>
    <row r="479" spans="6:24" ht="13.2">
      <c r="F479" s="373"/>
      <c r="L479" s="373"/>
      <c r="R479" s="373"/>
      <c r="X479" s="373"/>
    </row>
    <row r="480" spans="6:24" ht="13.2">
      <c r="F480" s="373"/>
      <c r="L480" s="373"/>
      <c r="R480" s="373"/>
      <c r="X480" s="373"/>
    </row>
    <row r="481" spans="6:24" ht="13.2">
      <c r="F481" s="373"/>
      <c r="L481" s="373"/>
      <c r="R481" s="373"/>
      <c r="X481" s="373"/>
    </row>
    <row r="482" spans="6:24" ht="13.2">
      <c r="F482" s="373"/>
      <c r="L482" s="373"/>
      <c r="R482" s="373"/>
      <c r="X482" s="373"/>
    </row>
    <row r="483" spans="6:24" ht="13.2">
      <c r="F483" s="373"/>
      <c r="L483" s="373"/>
      <c r="R483" s="373"/>
      <c r="X483" s="373"/>
    </row>
    <row r="484" spans="6:24" ht="13.2">
      <c r="F484" s="373"/>
      <c r="L484" s="373"/>
      <c r="R484" s="373"/>
      <c r="X484" s="373"/>
    </row>
    <row r="485" spans="6:24" ht="13.2">
      <c r="F485" s="373"/>
      <c r="L485" s="373"/>
      <c r="R485" s="373"/>
      <c r="X485" s="373"/>
    </row>
    <row r="486" spans="6:24" ht="13.2">
      <c r="F486" s="373"/>
      <c r="L486" s="373"/>
      <c r="R486" s="373"/>
      <c r="X486" s="373"/>
    </row>
    <row r="487" spans="6:24" ht="13.2">
      <c r="F487" s="373"/>
      <c r="L487" s="373"/>
      <c r="R487" s="373"/>
      <c r="X487" s="373"/>
    </row>
    <row r="488" spans="6:24" ht="13.2">
      <c r="F488" s="373"/>
      <c r="L488" s="373"/>
      <c r="R488" s="373"/>
      <c r="X488" s="373"/>
    </row>
    <row r="489" spans="6:24" ht="13.2">
      <c r="F489" s="373"/>
      <c r="L489" s="373"/>
      <c r="R489" s="373"/>
      <c r="X489" s="373"/>
    </row>
    <row r="490" spans="6:24" ht="13.2">
      <c r="F490" s="373"/>
      <c r="L490" s="373"/>
      <c r="R490" s="373"/>
      <c r="X490" s="373"/>
    </row>
    <row r="491" spans="6:24" ht="13.2">
      <c r="F491" s="373"/>
      <c r="L491" s="373"/>
      <c r="R491" s="373"/>
      <c r="X491" s="373"/>
    </row>
    <row r="492" spans="6:24" ht="13.2">
      <c r="F492" s="373"/>
      <c r="L492" s="373"/>
      <c r="R492" s="373"/>
      <c r="X492" s="373"/>
    </row>
    <row r="493" spans="6:24" ht="13.2">
      <c r="F493" s="373"/>
      <c r="L493" s="373"/>
      <c r="R493" s="373"/>
      <c r="X493" s="373"/>
    </row>
    <row r="494" spans="6:24" ht="13.2">
      <c r="F494" s="373"/>
      <c r="L494" s="373"/>
      <c r="R494" s="373"/>
      <c r="X494" s="373"/>
    </row>
    <row r="495" spans="6:24" ht="13.2">
      <c r="F495" s="373"/>
      <c r="L495" s="373"/>
      <c r="R495" s="373"/>
      <c r="X495" s="373"/>
    </row>
    <row r="496" spans="6:24" ht="13.2">
      <c r="F496" s="373"/>
      <c r="L496" s="373"/>
      <c r="R496" s="373"/>
      <c r="X496" s="373"/>
    </row>
    <row r="497" spans="6:24" ht="13.2">
      <c r="F497" s="373"/>
      <c r="L497" s="373"/>
      <c r="R497" s="373"/>
      <c r="X497" s="373"/>
    </row>
    <row r="498" spans="6:24" ht="13.2">
      <c r="F498" s="373"/>
      <c r="L498" s="373"/>
      <c r="R498" s="373"/>
      <c r="X498" s="373"/>
    </row>
    <row r="499" spans="6:24" ht="13.2">
      <c r="F499" s="373"/>
      <c r="L499" s="373"/>
      <c r="R499" s="373"/>
      <c r="X499" s="373"/>
    </row>
    <row r="500" spans="6:24" ht="13.2">
      <c r="F500" s="373"/>
      <c r="L500" s="373"/>
      <c r="R500" s="373"/>
      <c r="X500" s="373"/>
    </row>
    <row r="501" spans="6:24" ht="13.2">
      <c r="F501" s="373"/>
      <c r="L501" s="373"/>
      <c r="R501" s="373"/>
      <c r="X501" s="373"/>
    </row>
    <row r="502" spans="6:24" ht="13.2">
      <c r="F502" s="373"/>
      <c r="L502" s="373"/>
      <c r="R502" s="373"/>
      <c r="X502" s="373"/>
    </row>
    <row r="503" spans="6:24" ht="13.2">
      <c r="F503" s="373"/>
      <c r="L503" s="373"/>
      <c r="R503" s="373"/>
      <c r="X503" s="373"/>
    </row>
    <row r="504" spans="6:24" ht="13.2">
      <c r="F504" s="373"/>
      <c r="L504" s="373"/>
      <c r="R504" s="373"/>
      <c r="X504" s="373"/>
    </row>
    <row r="505" spans="6:24" ht="13.2">
      <c r="F505" s="373"/>
      <c r="L505" s="373"/>
      <c r="R505" s="373"/>
      <c r="X505" s="373"/>
    </row>
    <row r="506" spans="6:24" ht="13.2">
      <c r="F506" s="373"/>
      <c r="L506" s="373"/>
      <c r="R506" s="373"/>
      <c r="X506" s="373"/>
    </row>
    <row r="507" spans="6:24" ht="13.2">
      <c r="F507" s="373"/>
      <c r="L507" s="373"/>
      <c r="R507" s="373"/>
      <c r="X507" s="373"/>
    </row>
    <row r="508" spans="6:24" ht="13.2">
      <c r="F508" s="373"/>
      <c r="L508" s="373"/>
      <c r="R508" s="373"/>
      <c r="X508" s="373"/>
    </row>
    <row r="509" spans="6:24" ht="13.2">
      <c r="F509" s="373"/>
      <c r="L509" s="373"/>
      <c r="R509" s="373"/>
      <c r="X509" s="373"/>
    </row>
    <row r="510" spans="6:24" ht="13.2">
      <c r="F510" s="373"/>
      <c r="L510" s="373"/>
      <c r="R510" s="373"/>
      <c r="X510" s="373"/>
    </row>
    <row r="511" spans="6:24" ht="13.2">
      <c r="F511" s="373"/>
      <c r="L511" s="373"/>
      <c r="R511" s="373"/>
      <c r="X511" s="373"/>
    </row>
    <row r="512" spans="6:24" ht="13.2">
      <c r="F512" s="373"/>
      <c r="L512" s="373"/>
      <c r="R512" s="373"/>
      <c r="X512" s="373"/>
    </row>
    <row r="513" spans="6:24" ht="13.2">
      <c r="F513" s="373"/>
      <c r="L513" s="373"/>
      <c r="R513" s="373"/>
      <c r="X513" s="373"/>
    </row>
    <row r="514" spans="6:24" ht="13.2">
      <c r="F514" s="373"/>
      <c r="L514" s="373"/>
      <c r="R514" s="373"/>
      <c r="X514" s="373"/>
    </row>
    <row r="515" spans="6:24" ht="13.2">
      <c r="F515" s="373"/>
      <c r="L515" s="373"/>
      <c r="R515" s="373"/>
      <c r="X515" s="373"/>
    </row>
    <row r="516" spans="6:24" ht="13.2">
      <c r="F516" s="373"/>
      <c r="L516" s="373"/>
      <c r="R516" s="373"/>
      <c r="X516" s="373"/>
    </row>
    <row r="517" spans="6:24" ht="13.2">
      <c r="F517" s="373"/>
      <c r="L517" s="373"/>
      <c r="R517" s="373"/>
      <c r="X517" s="373"/>
    </row>
    <row r="518" spans="6:24" ht="13.2">
      <c r="F518" s="373"/>
      <c r="L518" s="373"/>
      <c r="R518" s="373"/>
      <c r="X518" s="373"/>
    </row>
    <row r="519" spans="6:24" ht="13.2">
      <c r="F519" s="373"/>
      <c r="L519" s="373"/>
      <c r="R519" s="373"/>
      <c r="X519" s="373"/>
    </row>
    <row r="520" spans="6:24" ht="13.2">
      <c r="F520" s="373"/>
      <c r="L520" s="373"/>
      <c r="R520" s="373"/>
      <c r="X520" s="373"/>
    </row>
    <row r="521" spans="6:24" ht="13.2">
      <c r="F521" s="373"/>
      <c r="L521" s="373"/>
      <c r="R521" s="373"/>
      <c r="X521" s="373"/>
    </row>
    <row r="522" spans="6:24" ht="13.2">
      <c r="F522" s="373"/>
      <c r="L522" s="373"/>
      <c r="R522" s="373"/>
      <c r="X522" s="373"/>
    </row>
    <row r="523" spans="6:24" ht="13.2">
      <c r="F523" s="373"/>
      <c r="L523" s="373"/>
      <c r="R523" s="373"/>
      <c r="X523" s="373"/>
    </row>
    <row r="524" spans="6:24" ht="13.2">
      <c r="F524" s="373"/>
      <c r="L524" s="373"/>
      <c r="R524" s="373"/>
      <c r="X524" s="373"/>
    </row>
    <row r="525" spans="6:24" ht="13.2">
      <c r="F525" s="373"/>
      <c r="L525" s="373"/>
      <c r="R525" s="373"/>
      <c r="X525" s="373"/>
    </row>
    <row r="526" spans="6:24" ht="13.2">
      <c r="F526" s="373"/>
      <c r="L526" s="373"/>
      <c r="R526" s="373"/>
      <c r="X526" s="373"/>
    </row>
    <row r="527" spans="6:24" ht="13.2">
      <c r="F527" s="373"/>
      <c r="L527" s="373"/>
      <c r="R527" s="373"/>
      <c r="X527" s="373"/>
    </row>
    <row r="528" spans="6:24" ht="13.2">
      <c r="F528" s="373"/>
      <c r="L528" s="373"/>
      <c r="R528" s="373"/>
      <c r="X528" s="373"/>
    </row>
    <row r="529" spans="6:24" ht="13.2">
      <c r="F529" s="373"/>
      <c r="L529" s="373"/>
      <c r="R529" s="373"/>
      <c r="X529" s="373"/>
    </row>
    <row r="530" spans="6:24" ht="13.2">
      <c r="F530" s="373"/>
      <c r="L530" s="373"/>
      <c r="R530" s="373"/>
      <c r="X530" s="373"/>
    </row>
    <row r="531" spans="6:24" ht="13.2">
      <c r="F531" s="373"/>
      <c r="L531" s="373"/>
      <c r="R531" s="373"/>
      <c r="X531" s="373"/>
    </row>
    <row r="532" spans="6:24" ht="13.2">
      <c r="F532" s="373"/>
      <c r="L532" s="373"/>
      <c r="R532" s="373"/>
      <c r="X532" s="373"/>
    </row>
    <row r="533" spans="6:24" ht="13.2">
      <c r="F533" s="373"/>
      <c r="L533" s="373"/>
      <c r="R533" s="373"/>
      <c r="X533" s="373"/>
    </row>
    <row r="534" spans="6:24" ht="13.2">
      <c r="F534" s="373"/>
      <c r="L534" s="373"/>
      <c r="R534" s="373"/>
      <c r="X534" s="373"/>
    </row>
    <row r="535" spans="6:24" ht="13.2">
      <c r="F535" s="373"/>
      <c r="L535" s="373"/>
      <c r="R535" s="373"/>
      <c r="X535" s="373"/>
    </row>
    <row r="536" spans="6:24" ht="13.2">
      <c r="F536" s="373"/>
      <c r="L536" s="373"/>
      <c r="R536" s="373"/>
      <c r="X536" s="373"/>
    </row>
    <row r="537" spans="6:24" ht="13.2">
      <c r="F537" s="373"/>
      <c r="L537" s="373"/>
      <c r="R537" s="373"/>
      <c r="X537" s="373"/>
    </row>
    <row r="538" spans="6:24" ht="13.2">
      <c r="F538" s="373"/>
      <c r="L538" s="373"/>
      <c r="R538" s="373"/>
      <c r="X538" s="373"/>
    </row>
    <row r="539" spans="6:24" ht="13.2">
      <c r="F539" s="373"/>
      <c r="L539" s="373"/>
      <c r="R539" s="373"/>
      <c r="X539" s="373"/>
    </row>
    <row r="540" spans="6:24" ht="13.2">
      <c r="F540" s="373"/>
      <c r="L540" s="373"/>
      <c r="R540" s="373"/>
      <c r="X540" s="373"/>
    </row>
    <row r="541" spans="6:24" ht="13.2">
      <c r="F541" s="373"/>
      <c r="L541" s="373"/>
      <c r="R541" s="373"/>
      <c r="X541" s="373"/>
    </row>
    <row r="542" spans="6:24" ht="13.2">
      <c r="F542" s="373"/>
      <c r="L542" s="373"/>
      <c r="R542" s="373"/>
      <c r="X542" s="373"/>
    </row>
    <row r="543" spans="6:24" ht="13.2">
      <c r="F543" s="373"/>
      <c r="L543" s="373"/>
      <c r="R543" s="373"/>
      <c r="X543" s="373"/>
    </row>
    <row r="544" spans="6:24" ht="13.2">
      <c r="F544" s="373"/>
      <c r="L544" s="373"/>
      <c r="R544" s="373"/>
      <c r="X544" s="373"/>
    </row>
    <row r="545" spans="6:24" ht="13.2">
      <c r="F545" s="373"/>
      <c r="L545" s="373"/>
      <c r="R545" s="373"/>
      <c r="X545" s="373"/>
    </row>
    <row r="546" spans="6:24" ht="13.2">
      <c r="F546" s="373"/>
      <c r="L546" s="373"/>
      <c r="R546" s="373"/>
      <c r="X546" s="373"/>
    </row>
    <row r="547" spans="6:24" ht="13.2">
      <c r="F547" s="373"/>
      <c r="L547" s="373"/>
      <c r="R547" s="373"/>
      <c r="X547" s="373"/>
    </row>
    <row r="548" spans="6:24" ht="13.2">
      <c r="F548" s="373"/>
      <c r="L548" s="373"/>
      <c r="R548" s="373"/>
      <c r="X548" s="373"/>
    </row>
    <row r="549" spans="6:24" ht="13.2">
      <c r="F549" s="373"/>
      <c r="L549" s="373"/>
      <c r="R549" s="373"/>
      <c r="X549" s="373"/>
    </row>
    <row r="550" spans="6:24" ht="13.2">
      <c r="F550" s="373"/>
      <c r="L550" s="373"/>
      <c r="R550" s="373"/>
      <c r="X550" s="373"/>
    </row>
    <row r="551" spans="6:24" ht="13.2">
      <c r="F551" s="373"/>
      <c r="L551" s="373"/>
      <c r="R551" s="373"/>
      <c r="X551" s="373"/>
    </row>
    <row r="552" spans="6:24" ht="13.2">
      <c r="F552" s="373"/>
      <c r="L552" s="373"/>
      <c r="R552" s="373"/>
      <c r="X552" s="373"/>
    </row>
    <row r="553" spans="6:24" ht="13.2">
      <c r="F553" s="373"/>
      <c r="L553" s="373"/>
      <c r="R553" s="373"/>
      <c r="X553" s="373"/>
    </row>
    <row r="554" spans="6:24" ht="13.2">
      <c r="F554" s="373"/>
      <c r="L554" s="373"/>
      <c r="R554" s="373"/>
      <c r="X554" s="373"/>
    </row>
    <row r="555" spans="6:24" ht="13.2">
      <c r="F555" s="373"/>
      <c r="L555" s="373"/>
      <c r="R555" s="373"/>
      <c r="X555" s="373"/>
    </row>
    <row r="556" spans="6:24" ht="13.2">
      <c r="F556" s="373"/>
      <c r="L556" s="373"/>
      <c r="R556" s="373"/>
      <c r="X556" s="373"/>
    </row>
    <row r="557" spans="6:24" ht="13.2">
      <c r="F557" s="373"/>
      <c r="L557" s="373"/>
      <c r="R557" s="373"/>
      <c r="X557" s="373"/>
    </row>
    <row r="558" spans="6:24" ht="13.2">
      <c r="F558" s="373"/>
      <c r="L558" s="373"/>
      <c r="R558" s="373"/>
      <c r="X558" s="373"/>
    </row>
    <row r="559" spans="6:24" ht="13.2">
      <c r="F559" s="373"/>
      <c r="L559" s="373"/>
      <c r="R559" s="373"/>
      <c r="X559" s="373"/>
    </row>
    <row r="560" spans="6:24" ht="13.2">
      <c r="F560" s="373"/>
      <c r="L560" s="373"/>
      <c r="R560" s="373"/>
      <c r="X560" s="373"/>
    </row>
    <row r="561" spans="6:24" ht="13.2">
      <c r="F561" s="373"/>
      <c r="L561" s="373"/>
      <c r="R561" s="373"/>
      <c r="X561" s="373"/>
    </row>
    <row r="562" spans="6:24" ht="13.2">
      <c r="F562" s="373"/>
      <c r="L562" s="373"/>
      <c r="R562" s="373"/>
      <c r="X562" s="373"/>
    </row>
    <row r="563" spans="6:24" ht="13.2">
      <c r="F563" s="373"/>
      <c r="L563" s="373"/>
      <c r="R563" s="373"/>
      <c r="X563" s="373"/>
    </row>
    <row r="564" spans="6:24" ht="13.2">
      <c r="F564" s="373"/>
      <c r="L564" s="373"/>
      <c r="R564" s="373"/>
      <c r="X564" s="373"/>
    </row>
    <row r="565" spans="6:24" ht="13.2">
      <c r="F565" s="373"/>
      <c r="L565" s="373"/>
      <c r="R565" s="373"/>
      <c r="X565" s="373"/>
    </row>
    <row r="566" spans="6:24" ht="13.2">
      <c r="F566" s="373"/>
      <c r="L566" s="373"/>
      <c r="R566" s="373"/>
      <c r="X566" s="373"/>
    </row>
    <row r="567" spans="6:24" ht="13.2">
      <c r="F567" s="373"/>
      <c r="L567" s="373"/>
      <c r="R567" s="373"/>
      <c r="X567" s="373"/>
    </row>
    <row r="568" spans="6:24" ht="13.2">
      <c r="F568" s="373"/>
      <c r="L568" s="373"/>
      <c r="R568" s="373"/>
      <c r="X568" s="373"/>
    </row>
    <row r="569" spans="6:24" ht="13.2">
      <c r="F569" s="373"/>
      <c r="L569" s="373"/>
      <c r="R569" s="373"/>
      <c r="X569" s="373"/>
    </row>
    <row r="570" spans="6:24" ht="13.2">
      <c r="F570" s="373"/>
      <c r="L570" s="373"/>
      <c r="R570" s="373"/>
      <c r="X570" s="373"/>
    </row>
    <row r="571" spans="6:24" ht="13.2">
      <c r="F571" s="373"/>
      <c r="L571" s="373"/>
      <c r="R571" s="373"/>
      <c r="X571" s="373"/>
    </row>
    <row r="572" spans="6:24" ht="13.2">
      <c r="F572" s="373"/>
      <c r="L572" s="373"/>
      <c r="R572" s="373"/>
      <c r="X572" s="373"/>
    </row>
    <row r="573" spans="6:24" ht="13.2">
      <c r="F573" s="373"/>
      <c r="L573" s="373"/>
      <c r="R573" s="373"/>
      <c r="X573" s="373"/>
    </row>
    <row r="574" spans="6:24" ht="13.2">
      <c r="F574" s="373"/>
      <c r="L574" s="373"/>
      <c r="R574" s="373"/>
      <c r="X574" s="373"/>
    </row>
    <row r="575" spans="6:24" ht="13.2">
      <c r="F575" s="373"/>
      <c r="L575" s="373"/>
      <c r="R575" s="373"/>
      <c r="X575" s="373"/>
    </row>
    <row r="576" spans="6:24" ht="13.2">
      <c r="F576" s="373"/>
      <c r="L576" s="373"/>
      <c r="R576" s="373"/>
      <c r="X576" s="373"/>
    </row>
    <row r="577" spans="6:24" ht="13.2">
      <c r="F577" s="373"/>
      <c r="L577" s="373"/>
      <c r="R577" s="373"/>
      <c r="X577" s="373"/>
    </row>
    <row r="578" spans="6:24" ht="13.2">
      <c r="F578" s="373"/>
      <c r="L578" s="373"/>
      <c r="R578" s="373"/>
      <c r="X578" s="373"/>
    </row>
    <row r="579" spans="6:24" ht="13.2">
      <c r="F579" s="373"/>
      <c r="L579" s="373"/>
      <c r="R579" s="373"/>
      <c r="X579" s="373"/>
    </row>
    <row r="580" spans="6:24" ht="13.2">
      <c r="F580" s="373"/>
      <c r="L580" s="373"/>
      <c r="R580" s="373"/>
      <c r="X580" s="373"/>
    </row>
    <row r="581" spans="6:24" ht="13.2">
      <c r="F581" s="373"/>
      <c r="L581" s="373"/>
      <c r="R581" s="373"/>
      <c r="X581" s="373"/>
    </row>
    <row r="582" spans="6:24" ht="13.2">
      <c r="F582" s="373"/>
      <c r="L582" s="373"/>
      <c r="R582" s="373"/>
      <c r="X582" s="373"/>
    </row>
    <row r="583" spans="6:24" ht="13.2">
      <c r="F583" s="373"/>
      <c r="L583" s="373"/>
      <c r="R583" s="373"/>
      <c r="X583" s="373"/>
    </row>
    <row r="584" spans="6:24" ht="13.2">
      <c r="F584" s="373"/>
      <c r="L584" s="373"/>
      <c r="R584" s="373"/>
      <c r="X584" s="373"/>
    </row>
    <row r="585" spans="6:24" ht="13.2">
      <c r="F585" s="373"/>
      <c r="L585" s="373"/>
      <c r="R585" s="373"/>
      <c r="X585" s="373"/>
    </row>
    <row r="586" spans="6:24" ht="13.2">
      <c r="F586" s="373"/>
      <c r="L586" s="373"/>
      <c r="R586" s="373"/>
      <c r="X586" s="373"/>
    </row>
    <row r="587" spans="6:24" ht="13.2">
      <c r="F587" s="373"/>
      <c r="L587" s="373"/>
      <c r="R587" s="373"/>
      <c r="X587" s="373"/>
    </row>
    <row r="588" spans="6:24" ht="13.2">
      <c r="F588" s="373"/>
      <c r="L588" s="373"/>
      <c r="R588" s="373"/>
      <c r="X588" s="373"/>
    </row>
    <row r="589" spans="6:24" ht="13.2">
      <c r="F589" s="373"/>
      <c r="L589" s="373"/>
      <c r="R589" s="373"/>
      <c r="X589" s="373"/>
    </row>
    <row r="590" spans="6:24" ht="13.2">
      <c r="F590" s="373"/>
      <c r="L590" s="373"/>
      <c r="R590" s="373"/>
      <c r="X590" s="373"/>
    </row>
    <row r="591" spans="6:24" ht="13.2">
      <c r="F591" s="373"/>
      <c r="L591" s="373"/>
      <c r="R591" s="373"/>
      <c r="X591" s="373"/>
    </row>
    <row r="592" spans="6:24" ht="13.2">
      <c r="F592" s="373"/>
      <c r="L592" s="373"/>
      <c r="R592" s="373"/>
      <c r="X592" s="373"/>
    </row>
    <row r="593" spans="6:24" ht="13.2">
      <c r="F593" s="373"/>
      <c r="L593" s="373"/>
      <c r="R593" s="373"/>
      <c r="X593" s="373"/>
    </row>
    <row r="594" spans="6:24" ht="13.2">
      <c r="F594" s="373"/>
      <c r="L594" s="373"/>
      <c r="R594" s="373"/>
      <c r="X594" s="373"/>
    </row>
    <row r="595" spans="6:24" ht="13.2">
      <c r="F595" s="373"/>
      <c r="L595" s="373"/>
      <c r="R595" s="373"/>
      <c r="X595" s="373"/>
    </row>
    <row r="596" spans="6:24" ht="13.2">
      <c r="F596" s="373"/>
      <c r="L596" s="373"/>
      <c r="R596" s="373"/>
      <c r="X596" s="373"/>
    </row>
    <row r="597" spans="6:24" ht="13.2">
      <c r="F597" s="373"/>
      <c r="L597" s="373"/>
      <c r="R597" s="373"/>
      <c r="X597" s="373"/>
    </row>
    <row r="598" spans="6:24" ht="13.2">
      <c r="F598" s="373"/>
      <c r="L598" s="373"/>
      <c r="R598" s="373"/>
      <c r="X598" s="373"/>
    </row>
    <row r="599" spans="6:24" ht="13.2">
      <c r="F599" s="373"/>
      <c r="L599" s="373"/>
      <c r="R599" s="373"/>
      <c r="X599" s="373"/>
    </row>
    <row r="600" spans="6:24" ht="13.2">
      <c r="F600" s="373"/>
      <c r="L600" s="373"/>
      <c r="R600" s="373"/>
      <c r="X600" s="373"/>
    </row>
    <row r="601" spans="6:24" ht="13.2">
      <c r="F601" s="373"/>
      <c r="L601" s="373"/>
      <c r="R601" s="373"/>
      <c r="X601" s="373"/>
    </row>
    <row r="602" spans="6:24" ht="13.2">
      <c r="F602" s="373"/>
      <c r="L602" s="373"/>
      <c r="R602" s="373"/>
      <c r="X602" s="373"/>
    </row>
    <row r="603" spans="6:24" ht="13.2">
      <c r="F603" s="373"/>
      <c r="L603" s="373"/>
      <c r="R603" s="373"/>
      <c r="X603" s="373"/>
    </row>
    <row r="604" spans="6:24" ht="13.2">
      <c r="F604" s="373"/>
      <c r="L604" s="373"/>
      <c r="R604" s="373"/>
      <c r="X604" s="373"/>
    </row>
    <row r="605" spans="6:24" ht="13.2">
      <c r="F605" s="373"/>
      <c r="L605" s="373"/>
      <c r="R605" s="373"/>
      <c r="X605" s="373"/>
    </row>
    <row r="606" spans="6:24" ht="13.2">
      <c r="F606" s="373"/>
      <c r="L606" s="373"/>
      <c r="R606" s="373"/>
      <c r="X606" s="373"/>
    </row>
    <row r="607" spans="6:24" ht="13.2">
      <c r="F607" s="373"/>
      <c r="L607" s="373"/>
      <c r="R607" s="373"/>
      <c r="X607" s="373"/>
    </row>
    <row r="608" spans="6:24" ht="13.2">
      <c r="F608" s="373"/>
      <c r="L608" s="373"/>
      <c r="R608" s="373"/>
      <c r="X608" s="373"/>
    </row>
    <row r="609" spans="6:24" ht="13.2">
      <c r="F609" s="373"/>
      <c r="L609" s="373"/>
      <c r="R609" s="373"/>
      <c r="X609" s="373"/>
    </row>
    <row r="610" spans="6:24" ht="13.2">
      <c r="F610" s="373"/>
      <c r="L610" s="373"/>
      <c r="R610" s="373"/>
      <c r="X610" s="373"/>
    </row>
    <row r="611" spans="6:24" ht="13.2">
      <c r="F611" s="373"/>
      <c r="L611" s="373"/>
      <c r="R611" s="373"/>
      <c r="X611" s="373"/>
    </row>
    <row r="612" spans="6:24" ht="13.2">
      <c r="F612" s="373"/>
      <c r="L612" s="373"/>
      <c r="R612" s="373"/>
      <c r="X612" s="373"/>
    </row>
    <row r="613" spans="6:24" ht="13.2">
      <c r="F613" s="373"/>
      <c r="L613" s="373"/>
      <c r="R613" s="373"/>
      <c r="X613" s="373"/>
    </row>
    <row r="614" spans="6:24" ht="13.2">
      <c r="F614" s="373"/>
      <c r="L614" s="373"/>
      <c r="R614" s="373"/>
      <c r="X614" s="373"/>
    </row>
    <row r="615" spans="6:24" ht="13.2">
      <c r="F615" s="373"/>
      <c r="L615" s="373"/>
      <c r="R615" s="373"/>
      <c r="X615" s="373"/>
    </row>
    <row r="616" spans="6:24" ht="13.2">
      <c r="F616" s="373"/>
      <c r="L616" s="373"/>
      <c r="R616" s="373"/>
      <c r="X616" s="373"/>
    </row>
    <row r="617" spans="6:24" ht="13.2">
      <c r="F617" s="373"/>
      <c r="L617" s="373"/>
      <c r="R617" s="373"/>
      <c r="X617" s="373"/>
    </row>
    <row r="618" spans="6:24" ht="13.2">
      <c r="F618" s="373"/>
      <c r="L618" s="373"/>
      <c r="R618" s="373"/>
      <c r="X618" s="373"/>
    </row>
    <row r="619" spans="6:24" ht="13.2">
      <c r="F619" s="373"/>
      <c r="L619" s="373"/>
      <c r="R619" s="373"/>
      <c r="X619" s="373"/>
    </row>
    <row r="620" spans="6:24" ht="13.2">
      <c r="F620" s="373"/>
      <c r="L620" s="373"/>
      <c r="R620" s="373"/>
      <c r="X620" s="373"/>
    </row>
    <row r="621" spans="6:24" ht="13.2">
      <c r="F621" s="373"/>
      <c r="L621" s="373"/>
      <c r="R621" s="373"/>
      <c r="X621" s="373"/>
    </row>
    <row r="622" spans="6:24" ht="13.2">
      <c r="F622" s="373"/>
      <c r="L622" s="373"/>
      <c r="R622" s="373"/>
      <c r="X622" s="373"/>
    </row>
    <row r="623" spans="6:24" ht="13.2">
      <c r="F623" s="373"/>
      <c r="L623" s="373"/>
      <c r="R623" s="373"/>
      <c r="X623" s="373"/>
    </row>
    <row r="624" spans="6:24" ht="13.2">
      <c r="F624" s="373"/>
      <c r="L624" s="373"/>
      <c r="R624" s="373"/>
      <c r="X624" s="373"/>
    </row>
    <row r="625" spans="6:24" ht="13.2">
      <c r="F625" s="373"/>
      <c r="L625" s="373"/>
      <c r="R625" s="373"/>
      <c r="X625" s="373"/>
    </row>
    <row r="626" spans="6:24" ht="13.2">
      <c r="F626" s="373"/>
      <c r="L626" s="373"/>
      <c r="R626" s="373"/>
      <c r="X626" s="373"/>
    </row>
    <row r="627" spans="6:24" ht="13.2">
      <c r="F627" s="373"/>
      <c r="L627" s="373"/>
      <c r="R627" s="373"/>
      <c r="X627" s="373"/>
    </row>
    <row r="628" spans="6:24" ht="13.2">
      <c r="F628" s="373"/>
      <c r="L628" s="373"/>
      <c r="R628" s="373"/>
      <c r="X628" s="373"/>
    </row>
    <row r="629" spans="6:24" ht="13.2">
      <c r="F629" s="373"/>
      <c r="L629" s="373"/>
      <c r="R629" s="373"/>
      <c r="X629" s="373"/>
    </row>
    <row r="630" spans="6:24" ht="13.2">
      <c r="F630" s="373"/>
      <c r="L630" s="373"/>
      <c r="R630" s="373"/>
      <c r="X630" s="373"/>
    </row>
    <row r="631" spans="6:24" ht="13.2">
      <c r="F631" s="373"/>
      <c r="L631" s="373"/>
      <c r="R631" s="373"/>
      <c r="X631" s="373"/>
    </row>
    <row r="632" spans="6:24" ht="13.2">
      <c r="F632" s="373"/>
      <c r="L632" s="373"/>
      <c r="R632" s="373"/>
      <c r="X632" s="373"/>
    </row>
    <row r="633" spans="6:24" ht="13.2">
      <c r="F633" s="373"/>
      <c r="L633" s="373"/>
      <c r="R633" s="373"/>
      <c r="X633" s="373"/>
    </row>
    <row r="634" spans="6:24" ht="13.2">
      <c r="F634" s="373"/>
      <c r="L634" s="373"/>
      <c r="R634" s="373"/>
      <c r="X634" s="373"/>
    </row>
    <row r="635" spans="6:24" ht="13.2">
      <c r="F635" s="373"/>
      <c r="L635" s="373"/>
      <c r="R635" s="373"/>
      <c r="X635" s="373"/>
    </row>
    <row r="636" spans="6:24" ht="13.2">
      <c r="F636" s="373"/>
      <c r="L636" s="373"/>
      <c r="R636" s="373"/>
      <c r="X636" s="373"/>
    </row>
    <row r="637" spans="6:24" ht="13.2">
      <c r="F637" s="373"/>
      <c r="L637" s="373"/>
      <c r="R637" s="373"/>
      <c r="X637" s="373"/>
    </row>
    <row r="638" spans="6:24" ht="13.2">
      <c r="F638" s="373"/>
      <c r="L638" s="373"/>
      <c r="R638" s="373"/>
      <c r="X638" s="373"/>
    </row>
    <row r="639" spans="6:24" ht="13.2">
      <c r="F639" s="373"/>
      <c r="L639" s="373"/>
      <c r="R639" s="373"/>
      <c r="X639" s="373"/>
    </row>
    <row r="640" spans="6:24" ht="13.2">
      <c r="F640" s="373"/>
      <c r="L640" s="373"/>
      <c r="R640" s="373"/>
      <c r="X640" s="373"/>
    </row>
    <row r="641" spans="6:24" ht="13.2">
      <c r="F641" s="373"/>
      <c r="L641" s="373"/>
      <c r="R641" s="373"/>
      <c r="X641" s="373"/>
    </row>
    <row r="642" spans="6:24" ht="13.2">
      <c r="F642" s="373"/>
      <c r="L642" s="373"/>
      <c r="R642" s="373"/>
      <c r="X642" s="373"/>
    </row>
    <row r="643" spans="6:24" ht="13.2">
      <c r="F643" s="373"/>
      <c r="L643" s="373"/>
      <c r="R643" s="373"/>
      <c r="X643" s="373"/>
    </row>
    <row r="644" spans="6:24" ht="13.2">
      <c r="F644" s="373"/>
      <c r="L644" s="373"/>
      <c r="R644" s="373"/>
      <c r="X644" s="373"/>
    </row>
    <row r="645" spans="6:24" ht="13.2">
      <c r="F645" s="373"/>
      <c r="L645" s="373"/>
      <c r="R645" s="373"/>
      <c r="X645" s="373"/>
    </row>
    <row r="646" spans="6:24" ht="13.2">
      <c r="F646" s="373"/>
      <c r="L646" s="373"/>
      <c r="R646" s="373"/>
      <c r="X646" s="373"/>
    </row>
    <row r="647" spans="6:24" ht="13.2">
      <c r="F647" s="373"/>
      <c r="L647" s="373"/>
      <c r="R647" s="373"/>
      <c r="X647" s="373"/>
    </row>
    <row r="648" spans="6:24" ht="13.2">
      <c r="F648" s="373"/>
      <c r="L648" s="373"/>
      <c r="R648" s="373"/>
      <c r="X648" s="373"/>
    </row>
    <row r="649" spans="6:24" ht="13.2">
      <c r="F649" s="373"/>
      <c r="L649" s="373"/>
      <c r="R649" s="373"/>
      <c r="X649" s="373"/>
    </row>
    <row r="650" spans="6:24" ht="13.2">
      <c r="F650" s="373"/>
      <c r="L650" s="373"/>
      <c r="R650" s="373"/>
      <c r="X650" s="373"/>
    </row>
    <row r="651" spans="6:24" ht="13.2">
      <c r="F651" s="373"/>
      <c r="L651" s="373"/>
      <c r="R651" s="373"/>
      <c r="X651" s="373"/>
    </row>
    <row r="652" spans="6:24" ht="13.2">
      <c r="F652" s="373"/>
      <c r="L652" s="373"/>
      <c r="R652" s="373"/>
      <c r="X652" s="373"/>
    </row>
    <row r="653" spans="6:24" ht="13.2">
      <c r="F653" s="373"/>
      <c r="L653" s="373"/>
      <c r="R653" s="373"/>
      <c r="X653" s="373"/>
    </row>
    <row r="654" spans="6:24" ht="13.2">
      <c r="F654" s="373"/>
      <c r="L654" s="373"/>
      <c r="R654" s="373"/>
      <c r="X654" s="373"/>
    </row>
    <row r="655" spans="6:24" ht="13.2">
      <c r="F655" s="373"/>
      <c r="L655" s="373"/>
      <c r="R655" s="373"/>
      <c r="X655" s="373"/>
    </row>
    <row r="656" spans="6:24" ht="13.2">
      <c r="F656" s="373"/>
      <c r="L656" s="373"/>
      <c r="R656" s="373"/>
      <c r="X656" s="373"/>
    </row>
    <row r="657" spans="6:24" ht="13.2">
      <c r="F657" s="373"/>
      <c r="L657" s="373"/>
      <c r="R657" s="373"/>
      <c r="X657" s="373"/>
    </row>
    <row r="658" spans="6:24" ht="13.2">
      <c r="F658" s="373"/>
      <c r="L658" s="373"/>
      <c r="R658" s="373"/>
      <c r="X658" s="373"/>
    </row>
    <row r="659" spans="6:24" ht="13.2">
      <c r="F659" s="373"/>
      <c r="L659" s="373"/>
      <c r="R659" s="373"/>
      <c r="X659" s="373"/>
    </row>
    <row r="660" spans="6:24" ht="13.2">
      <c r="F660" s="373"/>
      <c r="L660" s="373"/>
      <c r="R660" s="373"/>
      <c r="X660" s="373"/>
    </row>
    <row r="661" spans="6:24" ht="13.2">
      <c r="F661" s="373"/>
      <c r="L661" s="373"/>
      <c r="R661" s="373"/>
      <c r="X661" s="373"/>
    </row>
    <row r="662" spans="6:24" ht="13.2">
      <c r="F662" s="373"/>
      <c r="L662" s="373"/>
      <c r="R662" s="373"/>
      <c r="X662" s="373"/>
    </row>
    <row r="663" spans="6:24" ht="13.2">
      <c r="F663" s="373"/>
      <c r="L663" s="373"/>
      <c r="R663" s="373"/>
      <c r="X663" s="373"/>
    </row>
    <row r="664" spans="6:24" ht="13.2">
      <c r="F664" s="373"/>
      <c r="L664" s="373"/>
      <c r="R664" s="373"/>
      <c r="X664" s="373"/>
    </row>
    <row r="665" spans="6:24" ht="13.2">
      <c r="F665" s="373"/>
      <c r="L665" s="373"/>
      <c r="R665" s="373"/>
      <c r="X665" s="373"/>
    </row>
    <row r="666" spans="6:24" ht="13.2">
      <c r="F666" s="373"/>
      <c r="L666" s="373"/>
      <c r="R666" s="373"/>
      <c r="X666" s="373"/>
    </row>
    <row r="667" spans="6:24" ht="13.2">
      <c r="F667" s="373"/>
      <c r="L667" s="373"/>
      <c r="R667" s="373"/>
      <c r="X667" s="373"/>
    </row>
    <row r="668" spans="6:24" ht="13.2">
      <c r="F668" s="373"/>
      <c r="L668" s="373"/>
      <c r="R668" s="373"/>
      <c r="X668" s="373"/>
    </row>
    <row r="669" spans="6:24" ht="13.2">
      <c r="F669" s="373"/>
      <c r="L669" s="373"/>
      <c r="R669" s="373"/>
      <c r="X669" s="373"/>
    </row>
    <row r="670" spans="6:24" ht="13.2">
      <c r="F670" s="373"/>
      <c r="L670" s="373"/>
      <c r="R670" s="373"/>
      <c r="X670" s="373"/>
    </row>
    <row r="671" spans="6:24" ht="13.2">
      <c r="F671" s="373"/>
      <c r="L671" s="373"/>
      <c r="R671" s="373"/>
      <c r="X671" s="373"/>
    </row>
    <row r="672" spans="6:24" ht="13.2">
      <c r="F672" s="373"/>
      <c r="L672" s="373"/>
      <c r="R672" s="373"/>
      <c r="X672" s="373"/>
    </row>
    <row r="673" spans="6:24" ht="13.2">
      <c r="F673" s="373"/>
      <c r="L673" s="373"/>
      <c r="R673" s="373"/>
      <c r="X673" s="373"/>
    </row>
    <row r="674" spans="6:24" ht="13.2">
      <c r="F674" s="373"/>
      <c r="L674" s="373"/>
      <c r="R674" s="373"/>
      <c r="X674" s="373"/>
    </row>
    <row r="675" spans="6:24" ht="13.2">
      <c r="F675" s="373"/>
      <c r="L675" s="373"/>
      <c r="R675" s="373"/>
      <c r="X675" s="373"/>
    </row>
    <row r="676" spans="6:24" ht="13.2">
      <c r="F676" s="373"/>
      <c r="L676" s="373"/>
      <c r="R676" s="373"/>
      <c r="X676" s="373"/>
    </row>
    <row r="677" spans="6:24" ht="13.2">
      <c r="F677" s="373"/>
      <c r="L677" s="373"/>
      <c r="R677" s="373"/>
      <c r="X677" s="373"/>
    </row>
    <row r="678" spans="6:24" ht="13.2">
      <c r="F678" s="373"/>
      <c r="L678" s="373"/>
      <c r="R678" s="373"/>
      <c r="X678" s="373"/>
    </row>
    <row r="679" spans="6:24" ht="13.2">
      <c r="F679" s="373"/>
      <c r="L679" s="373"/>
      <c r="R679" s="373"/>
      <c r="X679" s="373"/>
    </row>
    <row r="680" spans="6:24" ht="13.2">
      <c r="F680" s="373"/>
      <c r="L680" s="373"/>
      <c r="R680" s="373"/>
      <c r="X680" s="373"/>
    </row>
    <row r="681" spans="6:24" ht="13.2">
      <c r="F681" s="373"/>
      <c r="L681" s="373"/>
      <c r="R681" s="373"/>
      <c r="X681" s="373"/>
    </row>
    <row r="682" spans="6:24" ht="13.2">
      <c r="F682" s="373"/>
      <c r="L682" s="373"/>
      <c r="R682" s="373"/>
      <c r="X682" s="373"/>
    </row>
    <row r="683" spans="6:24" ht="13.2">
      <c r="F683" s="373"/>
      <c r="L683" s="373"/>
      <c r="R683" s="373"/>
      <c r="X683" s="373"/>
    </row>
    <row r="684" spans="6:24" ht="13.2">
      <c r="F684" s="373"/>
      <c r="L684" s="373"/>
      <c r="R684" s="373"/>
      <c r="X684" s="373"/>
    </row>
    <row r="685" spans="6:24" ht="13.2">
      <c r="F685" s="373"/>
      <c r="L685" s="373"/>
      <c r="R685" s="373"/>
      <c r="X685" s="373"/>
    </row>
    <row r="686" spans="6:24" ht="13.2">
      <c r="F686" s="373"/>
      <c r="L686" s="373"/>
      <c r="R686" s="373"/>
      <c r="X686" s="373"/>
    </row>
    <row r="687" spans="6:24" ht="13.2">
      <c r="F687" s="373"/>
      <c r="L687" s="373"/>
      <c r="R687" s="373"/>
      <c r="X687" s="373"/>
    </row>
    <row r="688" spans="6:24" ht="13.2">
      <c r="F688" s="373"/>
      <c r="L688" s="373"/>
      <c r="R688" s="373"/>
      <c r="X688" s="373"/>
    </row>
    <row r="689" spans="6:24" ht="13.2">
      <c r="F689" s="373"/>
      <c r="L689" s="373"/>
      <c r="R689" s="373"/>
      <c r="X689" s="373"/>
    </row>
    <row r="690" spans="6:24" ht="13.2">
      <c r="F690" s="373"/>
      <c r="L690" s="373"/>
      <c r="R690" s="373"/>
      <c r="X690" s="373"/>
    </row>
    <row r="691" spans="6:24" ht="13.2">
      <c r="F691" s="373"/>
      <c r="L691" s="373"/>
      <c r="R691" s="373"/>
      <c r="X691" s="373"/>
    </row>
    <row r="692" spans="6:24" ht="13.2">
      <c r="F692" s="373"/>
      <c r="L692" s="373"/>
      <c r="R692" s="373"/>
      <c r="X692" s="373"/>
    </row>
    <row r="693" spans="6:24" ht="13.2">
      <c r="F693" s="373"/>
      <c r="L693" s="373"/>
      <c r="R693" s="373"/>
      <c r="X693" s="373"/>
    </row>
    <row r="694" spans="6:24" ht="13.2">
      <c r="F694" s="373"/>
      <c r="L694" s="373"/>
      <c r="R694" s="373"/>
      <c r="X694" s="373"/>
    </row>
    <row r="695" spans="6:24" ht="13.2">
      <c r="F695" s="373"/>
      <c r="L695" s="373"/>
      <c r="R695" s="373"/>
      <c r="X695" s="373"/>
    </row>
    <row r="696" spans="6:24" ht="13.2">
      <c r="F696" s="373"/>
      <c r="L696" s="373"/>
      <c r="R696" s="373"/>
      <c r="X696" s="373"/>
    </row>
    <row r="697" spans="6:24" ht="13.2">
      <c r="F697" s="373"/>
      <c r="L697" s="373"/>
      <c r="R697" s="373"/>
      <c r="X697" s="373"/>
    </row>
    <row r="698" spans="6:24" ht="13.2">
      <c r="F698" s="373"/>
      <c r="L698" s="373"/>
      <c r="R698" s="373"/>
      <c r="X698" s="373"/>
    </row>
    <row r="699" spans="6:24" ht="13.2">
      <c r="F699" s="373"/>
      <c r="L699" s="373"/>
      <c r="R699" s="373"/>
      <c r="X699" s="373"/>
    </row>
    <row r="700" spans="6:24" ht="13.2">
      <c r="F700" s="373"/>
      <c r="L700" s="373"/>
      <c r="R700" s="373"/>
      <c r="X700" s="373"/>
    </row>
    <row r="701" spans="6:24" ht="13.2">
      <c r="F701" s="373"/>
      <c r="L701" s="373"/>
      <c r="R701" s="373"/>
      <c r="X701" s="373"/>
    </row>
    <row r="702" spans="6:24" ht="13.2">
      <c r="F702" s="373"/>
      <c r="L702" s="373"/>
      <c r="R702" s="373"/>
      <c r="X702" s="373"/>
    </row>
    <row r="703" spans="6:24" ht="13.2">
      <c r="F703" s="373"/>
      <c r="L703" s="373"/>
      <c r="R703" s="373"/>
      <c r="X703" s="373"/>
    </row>
    <row r="704" spans="6:24" ht="13.2">
      <c r="F704" s="373"/>
      <c r="L704" s="373"/>
      <c r="R704" s="373"/>
      <c r="X704" s="373"/>
    </row>
    <row r="705" spans="6:24" ht="13.2">
      <c r="F705" s="373"/>
      <c r="L705" s="373"/>
      <c r="R705" s="373"/>
      <c r="X705" s="373"/>
    </row>
    <row r="706" spans="6:24" ht="13.2">
      <c r="F706" s="373"/>
      <c r="L706" s="373"/>
      <c r="R706" s="373"/>
      <c r="X706" s="373"/>
    </row>
    <row r="707" spans="6:24" ht="13.2">
      <c r="F707" s="373"/>
      <c r="L707" s="373"/>
      <c r="R707" s="373"/>
      <c r="X707" s="373"/>
    </row>
    <row r="708" spans="6:24" ht="13.2">
      <c r="F708" s="373"/>
      <c r="L708" s="373"/>
      <c r="R708" s="373"/>
      <c r="X708" s="373"/>
    </row>
    <row r="709" spans="6:24" ht="13.2">
      <c r="F709" s="373"/>
      <c r="L709" s="373"/>
      <c r="R709" s="373"/>
      <c r="X709" s="373"/>
    </row>
    <row r="710" spans="6:24" ht="13.2">
      <c r="F710" s="373"/>
      <c r="L710" s="373"/>
      <c r="R710" s="373"/>
      <c r="X710" s="373"/>
    </row>
    <row r="711" spans="6:24" ht="13.2">
      <c r="F711" s="373"/>
      <c r="L711" s="373"/>
      <c r="R711" s="373"/>
      <c r="X711" s="373"/>
    </row>
    <row r="712" spans="6:24" ht="13.2">
      <c r="F712" s="373"/>
      <c r="L712" s="373"/>
      <c r="R712" s="373"/>
      <c r="X712" s="373"/>
    </row>
    <row r="713" spans="6:24" ht="13.2">
      <c r="F713" s="373"/>
      <c r="L713" s="373"/>
      <c r="R713" s="373"/>
      <c r="X713" s="373"/>
    </row>
    <row r="714" spans="6:24" ht="13.2">
      <c r="F714" s="373"/>
      <c r="L714" s="373"/>
      <c r="R714" s="373"/>
      <c r="X714" s="373"/>
    </row>
    <row r="715" spans="6:24" ht="13.2">
      <c r="F715" s="373"/>
      <c r="L715" s="373"/>
      <c r="R715" s="373"/>
      <c r="X715" s="373"/>
    </row>
    <row r="716" spans="6:24" ht="13.2">
      <c r="F716" s="373"/>
      <c r="L716" s="373"/>
      <c r="R716" s="373"/>
      <c r="X716" s="373"/>
    </row>
    <row r="717" spans="6:24" ht="13.2">
      <c r="F717" s="373"/>
      <c r="L717" s="373"/>
      <c r="R717" s="373"/>
      <c r="X717" s="373"/>
    </row>
    <row r="718" spans="6:24" ht="13.2">
      <c r="F718" s="373"/>
      <c r="L718" s="373"/>
      <c r="R718" s="373"/>
      <c r="X718" s="373"/>
    </row>
    <row r="719" spans="6:24" ht="13.2">
      <c r="F719" s="373"/>
      <c r="L719" s="373"/>
      <c r="R719" s="373"/>
      <c r="X719" s="373"/>
    </row>
    <row r="720" spans="6:24" ht="13.2">
      <c r="F720" s="373"/>
      <c r="L720" s="373"/>
      <c r="R720" s="373"/>
      <c r="X720" s="373"/>
    </row>
    <row r="721" spans="6:24" ht="13.2">
      <c r="F721" s="373"/>
      <c r="L721" s="373"/>
      <c r="R721" s="373"/>
      <c r="X721" s="373"/>
    </row>
    <row r="722" spans="6:24" ht="13.2">
      <c r="F722" s="373"/>
      <c r="L722" s="373"/>
      <c r="R722" s="373"/>
      <c r="X722" s="373"/>
    </row>
    <row r="723" spans="6:24" ht="13.2">
      <c r="F723" s="373"/>
      <c r="L723" s="373"/>
      <c r="R723" s="373"/>
      <c r="X723" s="373"/>
    </row>
    <row r="724" spans="6:24" ht="13.2">
      <c r="F724" s="373"/>
      <c r="L724" s="373"/>
      <c r="R724" s="373"/>
      <c r="X724" s="373"/>
    </row>
    <row r="725" spans="6:24" ht="13.2">
      <c r="F725" s="373"/>
      <c r="L725" s="373"/>
      <c r="R725" s="373"/>
      <c r="X725" s="373"/>
    </row>
    <row r="726" spans="6:24" ht="13.2">
      <c r="F726" s="373"/>
      <c r="L726" s="373"/>
      <c r="R726" s="373"/>
      <c r="X726" s="373"/>
    </row>
    <row r="727" spans="6:24" ht="13.2">
      <c r="F727" s="373"/>
      <c r="L727" s="373"/>
      <c r="R727" s="373"/>
      <c r="X727" s="373"/>
    </row>
    <row r="728" spans="6:24" ht="13.2">
      <c r="F728" s="373"/>
      <c r="L728" s="373"/>
      <c r="R728" s="373"/>
      <c r="X728" s="373"/>
    </row>
    <row r="729" spans="6:24" ht="13.2">
      <c r="F729" s="373"/>
      <c r="L729" s="373"/>
      <c r="R729" s="373"/>
      <c r="X729" s="373"/>
    </row>
    <row r="730" spans="6:24" ht="13.2">
      <c r="F730" s="373"/>
      <c r="L730" s="373"/>
      <c r="R730" s="373"/>
      <c r="X730" s="373"/>
    </row>
    <row r="731" spans="6:24" ht="13.2">
      <c r="F731" s="373"/>
      <c r="L731" s="373"/>
      <c r="R731" s="373"/>
      <c r="X731" s="373"/>
    </row>
    <row r="732" spans="6:24" ht="13.2">
      <c r="F732" s="373"/>
      <c r="L732" s="373"/>
      <c r="R732" s="373"/>
      <c r="X732" s="373"/>
    </row>
    <row r="733" spans="6:24" ht="13.2">
      <c r="F733" s="373"/>
      <c r="L733" s="373"/>
      <c r="R733" s="373"/>
      <c r="X733" s="373"/>
    </row>
    <row r="734" spans="6:24" ht="13.2">
      <c r="F734" s="373"/>
      <c r="L734" s="373"/>
      <c r="R734" s="373"/>
      <c r="X734" s="373"/>
    </row>
    <row r="735" spans="6:24" ht="13.2">
      <c r="F735" s="373"/>
      <c r="L735" s="373"/>
      <c r="R735" s="373"/>
      <c r="X735" s="373"/>
    </row>
    <row r="736" spans="6:24" ht="13.2">
      <c r="F736" s="373"/>
      <c r="L736" s="373"/>
      <c r="R736" s="373"/>
      <c r="X736" s="373"/>
    </row>
    <row r="737" spans="6:24" ht="13.2">
      <c r="F737" s="373"/>
      <c r="L737" s="373"/>
      <c r="R737" s="373"/>
      <c r="X737" s="373"/>
    </row>
    <row r="738" spans="6:24" ht="13.2">
      <c r="F738" s="373"/>
      <c r="L738" s="373"/>
      <c r="R738" s="373"/>
      <c r="X738" s="373"/>
    </row>
    <row r="739" spans="6:24" ht="13.2">
      <c r="F739" s="373"/>
      <c r="L739" s="373"/>
      <c r="R739" s="373"/>
      <c r="X739" s="373"/>
    </row>
    <row r="740" spans="6:24" ht="13.2">
      <c r="F740" s="373"/>
      <c r="L740" s="373"/>
      <c r="R740" s="373"/>
      <c r="X740" s="373"/>
    </row>
    <row r="741" spans="6:24" ht="13.2">
      <c r="F741" s="373"/>
      <c r="L741" s="373"/>
      <c r="R741" s="373"/>
      <c r="X741" s="373"/>
    </row>
    <row r="742" spans="6:24" ht="13.2">
      <c r="F742" s="373"/>
      <c r="L742" s="373"/>
      <c r="R742" s="373"/>
      <c r="X742" s="373"/>
    </row>
    <row r="743" spans="6:24" ht="13.2">
      <c r="F743" s="373"/>
      <c r="L743" s="373"/>
      <c r="R743" s="373"/>
      <c r="X743" s="373"/>
    </row>
    <row r="744" spans="6:24" ht="13.2">
      <c r="F744" s="373"/>
      <c r="L744" s="373"/>
      <c r="R744" s="373"/>
      <c r="X744" s="373"/>
    </row>
    <row r="745" spans="6:24" ht="13.2">
      <c r="F745" s="373"/>
      <c r="L745" s="373"/>
      <c r="R745" s="373"/>
      <c r="X745" s="373"/>
    </row>
    <row r="746" spans="6:24" ht="13.2">
      <c r="F746" s="373"/>
      <c r="L746" s="373"/>
      <c r="R746" s="373"/>
      <c r="X746" s="373"/>
    </row>
    <row r="747" spans="6:24" ht="13.2">
      <c r="F747" s="373"/>
      <c r="L747" s="373"/>
      <c r="R747" s="373"/>
      <c r="X747" s="373"/>
    </row>
    <row r="748" spans="6:24" ht="13.2">
      <c r="F748" s="373"/>
      <c r="L748" s="373"/>
      <c r="R748" s="373"/>
      <c r="X748" s="373"/>
    </row>
    <row r="749" spans="6:24" ht="13.2">
      <c r="F749" s="373"/>
      <c r="L749" s="373"/>
      <c r="R749" s="373"/>
      <c r="X749" s="373"/>
    </row>
    <row r="750" spans="6:24" ht="13.2">
      <c r="F750" s="373"/>
      <c r="L750" s="373"/>
      <c r="R750" s="373"/>
      <c r="X750" s="373"/>
    </row>
    <row r="751" spans="6:24" ht="13.2">
      <c r="F751" s="373"/>
      <c r="L751" s="373"/>
      <c r="R751" s="373"/>
      <c r="X751" s="373"/>
    </row>
    <row r="752" spans="6:24" ht="13.2">
      <c r="F752" s="373"/>
      <c r="L752" s="373"/>
      <c r="R752" s="373"/>
      <c r="X752" s="373"/>
    </row>
    <row r="753" spans="6:24" ht="13.2">
      <c r="F753" s="373"/>
      <c r="L753" s="373"/>
      <c r="R753" s="373"/>
      <c r="X753" s="373"/>
    </row>
    <row r="754" spans="6:24" ht="13.2">
      <c r="F754" s="373"/>
      <c r="L754" s="373"/>
      <c r="R754" s="373"/>
      <c r="X754" s="373"/>
    </row>
    <row r="755" spans="6:24" ht="13.2">
      <c r="F755" s="373"/>
      <c r="L755" s="373"/>
      <c r="R755" s="373"/>
      <c r="X755" s="373"/>
    </row>
    <row r="756" spans="6:24" ht="13.2">
      <c r="F756" s="373"/>
      <c r="L756" s="373"/>
      <c r="R756" s="373"/>
      <c r="X756" s="373"/>
    </row>
    <row r="757" spans="6:24" ht="13.2">
      <c r="F757" s="373"/>
      <c r="L757" s="373"/>
      <c r="R757" s="373"/>
      <c r="X757" s="373"/>
    </row>
    <row r="758" spans="6:24" ht="13.2">
      <c r="F758" s="373"/>
      <c r="L758" s="373"/>
      <c r="R758" s="373"/>
      <c r="X758" s="373"/>
    </row>
    <row r="759" spans="6:24" ht="13.2">
      <c r="F759" s="373"/>
      <c r="L759" s="373"/>
      <c r="R759" s="373"/>
      <c r="X759" s="373"/>
    </row>
    <row r="760" spans="6:24" ht="13.2">
      <c r="F760" s="373"/>
      <c r="L760" s="373"/>
      <c r="R760" s="373"/>
      <c r="X760" s="373"/>
    </row>
    <row r="761" spans="6:24" ht="13.2">
      <c r="F761" s="373"/>
      <c r="L761" s="373"/>
      <c r="R761" s="373"/>
      <c r="X761" s="373"/>
    </row>
    <row r="762" spans="6:24" ht="13.2">
      <c r="F762" s="373"/>
      <c r="L762" s="373"/>
      <c r="R762" s="373"/>
      <c r="X762" s="373"/>
    </row>
    <row r="763" spans="6:24" ht="13.2">
      <c r="F763" s="373"/>
      <c r="L763" s="373"/>
      <c r="R763" s="373"/>
      <c r="X763" s="373"/>
    </row>
    <row r="764" spans="6:24" ht="13.2">
      <c r="F764" s="373"/>
      <c r="L764" s="373"/>
      <c r="R764" s="373"/>
      <c r="X764" s="373"/>
    </row>
    <row r="765" spans="6:24" ht="13.2">
      <c r="F765" s="373"/>
      <c r="L765" s="373"/>
      <c r="R765" s="373"/>
      <c r="X765" s="373"/>
    </row>
    <row r="766" spans="6:24" ht="13.2">
      <c r="F766" s="373"/>
      <c r="L766" s="373"/>
      <c r="R766" s="373"/>
      <c r="X766" s="373"/>
    </row>
    <row r="767" spans="6:24" ht="13.2">
      <c r="F767" s="373"/>
      <c r="L767" s="373"/>
      <c r="R767" s="373"/>
      <c r="X767" s="373"/>
    </row>
    <row r="768" spans="6:24" ht="13.2">
      <c r="F768" s="373"/>
      <c r="L768" s="373"/>
      <c r="R768" s="373"/>
      <c r="X768" s="373"/>
    </row>
    <row r="769" spans="6:24" ht="13.2">
      <c r="F769" s="373"/>
      <c r="L769" s="373"/>
      <c r="R769" s="373"/>
      <c r="X769" s="373"/>
    </row>
    <row r="770" spans="6:24" ht="13.2">
      <c r="F770" s="373"/>
      <c r="L770" s="373"/>
      <c r="R770" s="373"/>
      <c r="X770" s="373"/>
    </row>
    <row r="771" spans="6:24" ht="13.2">
      <c r="F771" s="373"/>
      <c r="L771" s="373"/>
      <c r="R771" s="373"/>
      <c r="X771" s="373"/>
    </row>
    <row r="772" spans="6:24" ht="13.2">
      <c r="F772" s="373"/>
      <c r="L772" s="373"/>
      <c r="R772" s="373"/>
      <c r="X772" s="373"/>
    </row>
    <row r="773" spans="6:24" ht="13.2">
      <c r="F773" s="373"/>
      <c r="L773" s="373"/>
      <c r="R773" s="373"/>
      <c r="X773" s="373"/>
    </row>
    <row r="774" spans="6:24" ht="13.2">
      <c r="F774" s="373"/>
      <c r="L774" s="373"/>
      <c r="R774" s="373"/>
      <c r="X774" s="373"/>
    </row>
    <row r="775" spans="6:24" ht="13.2">
      <c r="F775" s="373"/>
      <c r="L775" s="373"/>
      <c r="R775" s="373"/>
      <c r="X775" s="373"/>
    </row>
    <row r="776" spans="6:24" ht="13.2">
      <c r="F776" s="373"/>
      <c r="L776" s="373"/>
      <c r="R776" s="373"/>
      <c r="X776" s="373"/>
    </row>
    <row r="777" spans="6:24" ht="13.2">
      <c r="F777" s="373"/>
      <c r="L777" s="373"/>
      <c r="R777" s="373"/>
      <c r="X777" s="373"/>
    </row>
    <row r="778" spans="6:24" ht="13.2">
      <c r="F778" s="373"/>
      <c r="L778" s="373"/>
      <c r="R778" s="373"/>
      <c r="X778" s="373"/>
    </row>
    <row r="779" spans="6:24" ht="13.2">
      <c r="F779" s="373"/>
      <c r="L779" s="373"/>
      <c r="R779" s="373"/>
      <c r="X779" s="373"/>
    </row>
    <row r="780" spans="6:24" ht="13.2">
      <c r="F780" s="373"/>
      <c r="L780" s="373"/>
      <c r="R780" s="373"/>
      <c r="X780" s="373"/>
    </row>
    <row r="781" spans="6:24" ht="13.2">
      <c r="F781" s="373"/>
      <c r="L781" s="373"/>
      <c r="R781" s="373"/>
      <c r="X781" s="373"/>
    </row>
    <row r="782" spans="6:24" ht="13.2">
      <c r="F782" s="373"/>
      <c r="L782" s="373"/>
      <c r="R782" s="373"/>
      <c r="X782" s="373"/>
    </row>
    <row r="783" spans="6:24" ht="13.2">
      <c r="F783" s="373"/>
      <c r="L783" s="373"/>
      <c r="R783" s="373"/>
      <c r="X783" s="373"/>
    </row>
    <row r="784" spans="6:24" ht="13.2">
      <c r="F784" s="373"/>
      <c r="L784" s="373"/>
      <c r="R784" s="373"/>
      <c r="X784" s="373"/>
    </row>
    <row r="785" spans="6:24" ht="13.2">
      <c r="F785" s="373"/>
      <c r="L785" s="373"/>
      <c r="R785" s="373"/>
      <c r="X785" s="373"/>
    </row>
    <row r="786" spans="6:24" ht="13.2">
      <c r="F786" s="373"/>
      <c r="L786" s="373"/>
      <c r="R786" s="373"/>
      <c r="X786" s="373"/>
    </row>
    <row r="787" spans="6:24" ht="13.2">
      <c r="F787" s="373"/>
      <c r="L787" s="373"/>
      <c r="R787" s="373"/>
      <c r="X787" s="373"/>
    </row>
    <row r="788" spans="6:24" ht="13.2">
      <c r="F788" s="373"/>
      <c r="L788" s="373"/>
      <c r="R788" s="373"/>
      <c r="X788" s="373"/>
    </row>
    <row r="789" spans="6:24" ht="13.2">
      <c r="F789" s="373"/>
      <c r="L789" s="373"/>
      <c r="R789" s="373"/>
      <c r="X789" s="373"/>
    </row>
    <row r="790" spans="6:24" ht="13.2">
      <c r="F790" s="373"/>
      <c r="L790" s="373"/>
      <c r="R790" s="373"/>
      <c r="X790" s="373"/>
    </row>
    <row r="791" spans="6:24" ht="13.2">
      <c r="F791" s="373"/>
      <c r="L791" s="373"/>
      <c r="R791" s="373"/>
      <c r="X791" s="373"/>
    </row>
    <row r="792" spans="6:24" ht="13.2">
      <c r="F792" s="373"/>
      <c r="L792" s="373"/>
      <c r="R792" s="373"/>
      <c r="X792" s="373"/>
    </row>
    <row r="793" spans="6:24" ht="13.2">
      <c r="F793" s="373"/>
      <c r="L793" s="373"/>
      <c r="R793" s="373"/>
      <c r="X793" s="373"/>
    </row>
    <row r="794" spans="6:24" ht="13.2">
      <c r="F794" s="373"/>
      <c r="L794" s="373"/>
      <c r="R794" s="373"/>
      <c r="X794" s="373"/>
    </row>
    <row r="795" spans="6:24" ht="13.2">
      <c r="F795" s="373"/>
      <c r="L795" s="373"/>
      <c r="R795" s="373"/>
      <c r="X795" s="373"/>
    </row>
    <row r="796" spans="6:24" ht="13.2">
      <c r="F796" s="373"/>
      <c r="L796" s="373"/>
      <c r="R796" s="373"/>
      <c r="X796" s="373"/>
    </row>
    <row r="797" spans="6:24" ht="13.2">
      <c r="F797" s="373"/>
      <c r="L797" s="373"/>
      <c r="R797" s="373"/>
      <c r="X797" s="373"/>
    </row>
    <row r="798" spans="6:24" ht="13.2">
      <c r="F798" s="373"/>
      <c r="L798" s="373"/>
      <c r="R798" s="373"/>
      <c r="X798" s="373"/>
    </row>
    <row r="799" spans="6:24" ht="13.2">
      <c r="F799" s="373"/>
      <c r="L799" s="373"/>
      <c r="R799" s="373"/>
      <c r="X799" s="373"/>
    </row>
    <row r="800" spans="6:24" ht="13.2">
      <c r="F800" s="373"/>
      <c r="L800" s="373"/>
      <c r="R800" s="373"/>
      <c r="X800" s="373"/>
    </row>
    <row r="801" spans="6:24" ht="13.2">
      <c r="F801" s="373"/>
      <c r="L801" s="373"/>
      <c r="R801" s="373"/>
      <c r="X801" s="373"/>
    </row>
    <row r="802" spans="6:24" ht="13.2">
      <c r="F802" s="373"/>
      <c r="L802" s="373"/>
      <c r="R802" s="373"/>
      <c r="X802" s="373"/>
    </row>
    <row r="803" spans="6:24" ht="13.2">
      <c r="F803" s="373"/>
      <c r="L803" s="373"/>
      <c r="R803" s="373"/>
      <c r="X803" s="373"/>
    </row>
    <row r="804" spans="6:24" ht="13.2">
      <c r="F804" s="373"/>
      <c r="L804" s="373"/>
      <c r="R804" s="373"/>
      <c r="X804" s="373"/>
    </row>
    <row r="805" spans="6:24" ht="13.2">
      <c r="F805" s="373"/>
      <c r="L805" s="373"/>
      <c r="R805" s="373"/>
      <c r="X805" s="373"/>
    </row>
    <row r="806" spans="6:24" ht="13.2">
      <c r="F806" s="373"/>
      <c r="L806" s="373"/>
      <c r="R806" s="373"/>
      <c r="X806" s="373"/>
    </row>
    <row r="807" spans="6:24" ht="13.2">
      <c r="F807" s="373"/>
      <c r="L807" s="373"/>
      <c r="R807" s="373"/>
      <c r="X807" s="373"/>
    </row>
    <row r="808" spans="6:24" ht="13.2">
      <c r="F808" s="373"/>
      <c r="L808" s="373"/>
      <c r="R808" s="373"/>
      <c r="X808" s="373"/>
    </row>
    <row r="809" spans="6:24" ht="13.2">
      <c r="F809" s="373"/>
      <c r="L809" s="373"/>
      <c r="R809" s="373"/>
      <c r="X809" s="373"/>
    </row>
    <row r="810" spans="6:24" ht="13.2">
      <c r="F810" s="373"/>
      <c r="L810" s="373"/>
      <c r="R810" s="373"/>
      <c r="X810" s="373"/>
    </row>
    <row r="811" spans="6:24" ht="13.2">
      <c r="F811" s="373"/>
      <c r="L811" s="373"/>
      <c r="R811" s="373"/>
      <c r="X811" s="373"/>
    </row>
    <row r="812" spans="6:24" ht="13.2">
      <c r="F812" s="373"/>
      <c r="L812" s="373"/>
      <c r="R812" s="373"/>
      <c r="X812" s="373"/>
    </row>
    <row r="813" spans="6:24" ht="13.2">
      <c r="F813" s="373"/>
      <c r="L813" s="373"/>
      <c r="R813" s="373"/>
      <c r="X813" s="373"/>
    </row>
    <row r="814" spans="6:24" ht="13.2">
      <c r="F814" s="373"/>
      <c r="L814" s="373"/>
      <c r="R814" s="373"/>
      <c r="X814" s="373"/>
    </row>
    <row r="815" spans="6:24" ht="13.2">
      <c r="F815" s="373"/>
      <c r="L815" s="373"/>
      <c r="R815" s="373"/>
      <c r="X815" s="373"/>
    </row>
    <row r="816" spans="6:24" ht="13.2">
      <c r="F816" s="373"/>
      <c r="L816" s="373"/>
      <c r="R816" s="373"/>
      <c r="X816" s="373"/>
    </row>
    <row r="817" spans="6:24" ht="13.2">
      <c r="F817" s="373"/>
      <c r="L817" s="373"/>
      <c r="R817" s="373"/>
      <c r="X817" s="373"/>
    </row>
    <row r="818" spans="6:24" ht="13.2">
      <c r="F818" s="373"/>
      <c r="L818" s="373"/>
      <c r="R818" s="373"/>
      <c r="X818" s="373"/>
    </row>
    <row r="819" spans="6:24" ht="13.2">
      <c r="F819" s="373"/>
      <c r="L819" s="373"/>
      <c r="R819" s="373"/>
      <c r="X819" s="373"/>
    </row>
    <row r="820" spans="6:24" ht="13.2">
      <c r="F820" s="373"/>
      <c r="L820" s="373"/>
      <c r="R820" s="373"/>
      <c r="X820" s="373"/>
    </row>
    <row r="821" spans="6:24" ht="13.2">
      <c r="F821" s="373"/>
      <c r="L821" s="373"/>
      <c r="R821" s="373"/>
      <c r="X821" s="373"/>
    </row>
    <row r="822" spans="6:24" ht="13.2">
      <c r="F822" s="373"/>
      <c r="L822" s="373"/>
      <c r="R822" s="373"/>
      <c r="X822" s="373"/>
    </row>
    <row r="823" spans="6:24" ht="13.2">
      <c r="F823" s="373"/>
      <c r="L823" s="373"/>
      <c r="R823" s="373"/>
      <c r="X823" s="373"/>
    </row>
    <row r="824" spans="6:24" ht="13.2">
      <c r="F824" s="373"/>
      <c r="L824" s="373"/>
      <c r="R824" s="373"/>
      <c r="X824" s="373"/>
    </row>
    <row r="825" spans="6:24" ht="13.2">
      <c r="F825" s="373"/>
      <c r="L825" s="373"/>
      <c r="R825" s="373"/>
      <c r="X825" s="373"/>
    </row>
    <row r="826" spans="6:24" ht="13.2">
      <c r="F826" s="373"/>
      <c r="L826" s="373"/>
      <c r="R826" s="373"/>
      <c r="X826" s="373"/>
    </row>
    <row r="827" spans="6:24" ht="13.2">
      <c r="F827" s="373"/>
      <c r="L827" s="373"/>
      <c r="R827" s="373"/>
      <c r="X827" s="373"/>
    </row>
    <row r="828" spans="6:24" ht="13.2">
      <c r="F828" s="373"/>
      <c r="L828" s="373"/>
      <c r="R828" s="373"/>
      <c r="X828" s="373"/>
    </row>
    <row r="829" spans="6:24" ht="13.2">
      <c r="F829" s="373"/>
      <c r="L829" s="373"/>
      <c r="R829" s="373"/>
      <c r="X829" s="373"/>
    </row>
    <row r="830" spans="6:24" ht="13.2">
      <c r="F830" s="373"/>
      <c r="L830" s="373"/>
      <c r="R830" s="373"/>
      <c r="X830" s="373"/>
    </row>
    <row r="831" spans="6:24" ht="13.2">
      <c r="F831" s="373"/>
      <c r="L831" s="373"/>
      <c r="R831" s="373"/>
      <c r="X831" s="373"/>
    </row>
    <row r="832" spans="6:24" ht="13.2">
      <c r="F832" s="373"/>
      <c r="L832" s="373"/>
      <c r="R832" s="373"/>
      <c r="X832" s="373"/>
    </row>
    <row r="833" spans="6:24" ht="13.2">
      <c r="F833" s="373"/>
      <c r="L833" s="373"/>
      <c r="R833" s="373"/>
      <c r="X833" s="373"/>
    </row>
    <row r="834" spans="6:24" ht="13.2">
      <c r="F834" s="373"/>
      <c r="L834" s="373"/>
      <c r="R834" s="373"/>
      <c r="X834" s="373"/>
    </row>
    <row r="835" spans="6:24" ht="13.2">
      <c r="F835" s="373"/>
      <c r="L835" s="373"/>
      <c r="R835" s="373"/>
      <c r="X835" s="373"/>
    </row>
    <row r="836" spans="6:24" ht="13.2">
      <c r="F836" s="373"/>
      <c r="L836" s="373"/>
      <c r="R836" s="373"/>
      <c r="X836" s="373"/>
    </row>
    <row r="837" spans="6:24" ht="13.2">
      <c r="F837" s="373"/>
      <c r="L837" s="373"/>
      <c r="R837" s="373"/>
      <c r="X837" s="373"/>
    </row>
    <row r="838" spans="6:24" ht="13.2">
      <c r="F838" s="373"/>
      <c r="L838" s="373"/>
      <c r="R838" s="373"/>
      <c r="X838" s="373"/>
    </row>
    <row r="839" spans="6:24" ht="13.2">
      <c r="F839" s="373"/>
      <c r="L839" s="373"/>
      <c r="R839" s="373"/>
      <c r="X839" s="373"/>
    </row>
    <row r="840" spans="6:24" ht="13.2">
      <c r="F840" s="373"/>
      <c r="L840" s="373"/>
      <c r="R840" s="373"/>
      <c r="X840" s="373"/>
    </row>
    <row r="841" spans="6:24" ht="13.2">
      <c r="F841" s="373"/>
      <c r="L841" s="373"/>
      <c r="R841" s="373"/>
      <c r="X841" s="373"/>
    </row>
    <row r="842" spans="6:24" ht="13.2">
      <c r="F842" s="373"/>
      <c r="L842" s="373"/>
      <c r="R842" s="373"/>
      <c r="X842" s="373"/>
    </row>
    <row r="843" spans="6:24" ht="13.2">
      <c r="F843" s="373"/>
      <c r="L843" s="373"/>
      <c r="R843" s="373"/>
      <c r="X843" s="373"/>
    </row>
    <row r="844" spans="6:24" ht="13.2">
      <c r="F844" s="373"/>
      <c r="L844" s="373"/>
      <c r="R844" s="373"/>
      <c r="X844" s="373"/>
    </row>
    <row r="845" spans="6:24" ht="13.2">
      <c r="F845" s="373"/>
      <c r="L845" s="373"/>
      <c r="R845" s="373"/>
      <c r="X845" s="373"/>
    </row>
    <row r="846" spans="6:24" ht="13.2">
      <c r="F846" s="373"/>
      <c r="L846" s="373"/>
      <c r="R846" s="373"/>
      <c r="X846" s="373"/>
    </row>
    <row r="847" spans="6:24" ht="13.2">
      <c r="F847" s="373"/>
      <c r="L847" s="373"/>
      <c r="R847" s="373"/>
      <c r="X847" s="373"/>
    </row>
    <row r="848" spans="6:24" ht="13.2">
      <c r="F848" s="373"/>
      <c r="L848" s="373"/>
      <c r="R848" s="373"/>
      <c r="X848" s="373"/>
    </row>
    <row r="849" spans="6:24" ht="13.2">
      <c r="F849" s="373"/>
      <c r="L849" s="373"/>
      <c r="R849" s="373"/>
      <c r="X849" s="373"/>
    </row>
    <row r="850" spans="6:24" ht="13.2">
      <c r="F850" s="373"/>
      <c r="L850" s="373"/>
      <c r="R850" s="373"/>
      <c r="X850" s="373"/>
    </row>
    <row r="851" spans="6:24" ht="13.2">
      <c r="F851" s="373"/>
      <c r="L851" s="373"/>
      <c r="R851" s="373"/>
      <c r="X851" s="373"/>
    </row>
    <row r="852" spans="6:24" ht="13.2">
      <c r="F852" s="373"/>
      <c r="L852" s="373"/>
      <c r="R852" s="373"/>
      <c r="X852" s="373"/>
    </row>
    <row r="853" spans="6:24" ht="13.2">
      <c r="F853" s="373"/>
      <c r="L853" s="373"/>
      <c r="R853" s="373"/>
      <c r="X853" s="373"/>
    </row>
    <row r="854" spans="6:24" ht="13.2">
      <c r="F854" s="373"/>
      <c r="L854" s="373"/>
      <c r="R854" s="373"/>
      <c r="X854" s="373"/>
    </row>
    <row r="855" spans="6:24" ht="13.2">
      <c r="F855" s="373"/>
      <c r="L855" s="373"/>
      <c r="R855" s="373"/>
      <c r="X855" s="373"/>
    </row>
    <row r="856" spans="6:24" ht="13.2">
      <c r="F856" s="373"/>
      <c r="L856" s="373"/>
      <c r="R856" s="373"/>
      <c r="X856" s="373"/>
    </row>
    <row r="857" spans="6:24" ht="13.2">
      <c r="F857" s="373"/>
      <c r="L857" s="373"/>
      <c r="R857" s="373"/>
      <c r="X857" s="373"/>
    </row>
    <row r="858" spans="6:24" ht="13.2">
      <c r="F858" s="373"/>
      <c r="L858" s="373"/>
      <c r="R858" s="373"/>
      <c r="X858" s="373"/>
    </row>
    <row r="859" spans="6:24" ht="13.2">
      <c r="F859" s="373"/>
      <c r="L859" s="373"/>
      <c r="R859" s="373"/>
      <c r="X859" s="373"/>
    </row>
    <row r="860" spans="6:24" ht="13.2">
      <c r="F860" s="373"/>
      <c r="L860" s="373"/>
      <c r="R860" s="373"/>
      <c r="X860" s="373"/>
    </row>
    <row r="861" spans="6:24" ht="13.2">
      <c r="F861" s="373"/>
      <c r="L861" s="373"/>
      <c r="R861" s="373"/>
      <c r="X861" s="373"/>
    </row>
    <row r="862" spans="6:24" ht="13.2">
      <c r="F862" s="373"/>
      <c r="L862" s="373"/>
      <c r="R862" s="373"/>
      <c r="X862" s="373"/>
    </row>
    <row r="863" spans="6:24" ht="13.2">
      <c r="F863" s="373"/>
      <c r="L863" s="373"/>
      <c r="R863" s="373"/>
      <c r="X863" s="373"/>
    </row>
    <row r="864" spans="6:24" ht="13.2">
      <c r="F864" s="373"/>
      <c r="L864" s="373"/>
      <c r="R864" s="373"/>
      <c r="X864" s="373"/>
    </row>
    <row r="865" spans="6:24" ht="13.2">
      <c r="F865" s="373"/>
      <c r="L865" s="373"/>
      <c r="R865" s="373"/>
      <c r="X865" s="373"/>
    </row>
    <row r="866" spans="6:24" ht="13.2">
      <c r="F866" s="373"/>
      <c r="L866" s="373"/>
      <c r="R866" s="373"/>
      <c r="X866" s="373"/>
    </row>
    <row r="867" spans="6:24" ht="13.2">
      <c r="F867" s="373"/>
      <c r="L867" s="373"/>
      <c r="R867" s="373"/>
      <c r="X867" s="373"/>
    </row>
    <row r="868" spans="6:24" ht="13.2">
      <c r="F868" s="373"/>
      <c r="L868" s="373"/>
      <c r="R868" s="373"/>
      <c r="X868" s="373"/>
    </row>
    <row r="869" spans="6:24" ht="13.2">
      <c r="F869" s="373"/>
      <c r="L869" s="373"/>
      <c r="R869" s="373"/>
      <c r="X869" s="373"/>
    </row>
    <row r="870" spans="6:24" ht="13.2">
      <c r="F870" s="373"/>
      <c r="L870" s="373"/>
      <c r="R870" s="373"/>
      <c r="X870" s="373"/>
    </row>
    <row r="871" spans="6:24" ht="13.2">
      <c r="F871" s="373"/>
      <c r="L871" s="373"/>
      <c r="R871" s="373"/>
      <c r="X871" s="373"/>
    </row>
    <row r="872" spans="6:24" ht="13.2">
      <c r="F872" s="373"/>
      <c r="L872" s="373"/>
      <c r="R872" s="373"/>
      <c r="X872" s="373"/>
    </row>
    <row r="873" spans="6:24" ht="13.2">
      <c r="F873" s="373"/>
      <c r="L873" s="373"/>
      <c r="R873" s="373"/>
      <c r="X873" s="373"/>
    </row>
    <row r="874" spans="6:24" ht="13.2">
      <c r="F874" s="373"/>
      <c r="L874" s="373"/>
      <c r="R874" s="373"/>
      <c r="X874" s="373"/>
    </row>
    <row r="875" spans="6:24" ht="13.2">
      <c r="F875" s="373"/>
      <c r="L875" s="373"/>
      <c r="R875" s="373"/>
      <c r="X875" s="373"/>
    </row>
    <row r="876" spans="6:24" ht="13.2">
      <c r="F876" s="373"/>
      <c r="L876" s="373"/>
      <c r="R876" s="373"/>
      <c r="X876" s="373"/>
    </row>
    <row r="877" spans="6:24" ht="13.2">
      <c r="F877" s="373"/>
      <c r="L877" s="373"/>
      <c r="R877" s="373"/>
      <c r="X877" s="373"/>
    </row>
    <row r="878" spans="6:24" ht="13.2">
      <c r="F878" s="373"/>
      <c r="L878" s="373"/>
      <c r="R878" s="373"/>
      <c r="X878" s="373"/>
    </row>
    <row r="879" spans="6:24" ht="13.2">
      <c r="F879" s="373"/>
      <c r="L879" s="373"/>
      <c r="R879" s="373"/>
      <c r="X879" s="373"/>
    </row>
    <row r="880" spans="6:24" ht="13.2">
      <c r="F880" s="373"/>
      <c r="L880" s="373"/>
      <c r="R880" s="373"/>
      <c r="X880" s="373"/>
    </row>
    <row r="881" spans="6:24" ht="13.2">
      <c r="F881" s="373"/>
      <c r="L881" s="373"/>
      <c r="R881" s="373"/>
      <c r="X881" s="373"/>
    </row>
    <row r="882" spans="6:24" ht="13.2">
      <c r="F882" s="373"/>
      <c r="L882" s="373"/>
      <c r="R882" s="373"/>
      <c r="X882" s="373"/>
    </row>
    <row r="883" spans="6:24" ht="13.2">
      <c r="F883" s="373"/>
      <c r="L883" s="373"/>
      <c r="R883" s="373"/>
      <c r="X883" s="373"/>
    </row>
    <row r="884" spans="6:24" ht="13.2">
      <c r="F884" s="373"/>
      <c r="L884" s="373"/>
      <c r="R884" s="373"/>
      <c r="X884" s="373"/>
    </row>
    <row r="885" spans="6:24" ht="13.2">
      <c r="F885" s="373"/>
      <c r="L885" s="373"/>
      <c r="R885" s="373"/>
      <c r="X885" s="373"/>
    </row>
    <row r="886" spans="6:24" ht="13.2">
      <c r="F886" s="373"/>
      <c r="L886" s="373"/>
      <c r="R886" s="373"/>
      <c r="X886" s="373"/>
    </row>
    <row r="887" spans="6:24" ht="13.2">
      <c r="F887" s="373"/>
      <c r="L887" s="373"/>
      <c r="R887" s="373"/>
      <c r="X887" s="373"/>
    </row>
    <row r="888" spans="6:24" ht="13.2">
      <c r="F888" s="373"/>
      <c r="L888" s="373"/>
      <c r="R888" s="373"/>
      <c r="X888" s="373"/>
    </row>
    <row r="889" spans="6:24" ht="13.2">
      <c r="F889" s="373"/>
      <c r="L889" s="373"/>
      <c r="R889" s="373"/>
      <c r="X889" s="373"/>
    </row>
    <row r="890" spans="6:24" ht="13.2">
      <c r="F890" s="373"/>
      <c r="L890" s="373"/>
      <c r="R890" s="373"/>
      <c r="X890" s="373"/>
    </row>
    <row r="891" spans="6:24" ht="13.2">
      <c r="F891" s="373"/>
      <c r="L891" s="373"/>
      <c r="R891" s="373"/>
      <c r="X891" s="373"/>
    </row>
    <row r="892" spans="6:24" ht="13.2">
      <c r="F892" s="373"/>
      <c r="L892" s="373"/>
      <c r="R892" s="373"/>
      <c r="X892" s="373"/>
    </row>
    <row r="893" spans="6:24" ht="13.2">
      <c r="F893" s="373"/>
      <c r="L893" s="373"/>
      <c r="R893" s="373"/>
      <c r="X893" s="373"/>
    </row>
    <row r="894" spans="6:24" ht="13.2">
      <c r="F894" s="373"/>
      <c r="L894" s="373"/>
      <c r="R894" s="373"/>
      <c r="X894" s="373"/>
    </row>
    <row r="895" spans="6:24" ht="13.2">
      <c r="F895" s="373"/>
      <c r="L895" s="373"/>
      <c r="R895" s="373"/>
      <c r="X895" s="373"/>
    </row>
    <row r="896" spans="6:24" ht="13.2">
      <c r="F896" s="373"/>
      <c r="L896" s="373"/>
      <c r="R896" s="373"/>
      <c r="X896" s="373"/>
    </row>
    <row r="897" spans="6:24" ht="13.2">
      <c r="F897" s="373"/>
      <c r="L897" s="373"/>
      <c r="R897" s="373"/>
      <c r="X897" s="373"/>
    </row>
    <row r="898" spans="6:24" ht="13.2">
      <c r="F898" s="373"/>
      <c r="L898" s="373"/>
      <c r="R898" s="373"/>
      <c r="X898" s="373"/>
    </row>
    <row r="899" spans="6:24" ht="13.2">
      <c r="F899" s="373"/>
      <c r="L899" s="373"/>
      <c r="R899" s="373"/>
      <c r="X899" s="373"/>
    </row>
    <row r="900" spans="6:24" ht="13.2">
      <c r="F900" s="373"/>
      <c r="L900" s="373"/>
      <c r="R900" s="373"/>
      <c r="X900" s="373"/>
    </row>
    <row r="901" spans="6:24" ht="13.2">
      <c r="F901" s="373"/>
      <c r="L901" s="373"/>
      <c r="R901" s="373"/>
      <c r="X901" s="373"/>
    </row>
    <row r="902" spans="6:24" ht="13.2">
      <c r="F902" s="373"/>
      <c r="L902" s="373"/>
      <c r="R902" s="373"/>
      <c r="X902" s="373"/>
    </row>
    <row r="903" spans="6:24" ht="13.2">
      <c r="F903" s="373"/>
      <c r="L903" s="373"/>
      <c r="R903" s="373"/>
      <c r="X903" s="373"/>
    </row>
    <row r="904" spans="6:24" ht="13.2">
      <c r="F904" s="373"/>
      <c r="L904" s="373"/>
      <c r="R904" s="373"/>
      <c r="X904" s="373"/>
    </row>
    <row r="905" spans="6:24" ht="13.2">
      <c r="F905" s="373"/>
      <c r="L905" s="373"/>
      <c r="R905" s="373"/>
      <c r="X905" s="373"/>
    </row>
    <row r="906" spans="6:24" ht="13.2">
      <c r="F906" s="373"/>
      <c r="L906" s="373"/>
      <c r="R906" s="373"/>
      <c r="X906" s="373"/>
    </row>
    <row r="907" spans="6:24" ht="13.2">
      <c r="F907" s="373"/>
      <c r="L907" s="373"/>
      <c r="R907" s="373"/>
      <c r="X907" s="373"/>
    </row>
    <row r="908" spans="6:24" ht="13.2">
      <c r="F908" s="373"/>
      <c r="L908" s="373"/>
      <c r="R908" s="373"/>
      <c r="X908" s="373"/>
    </row>
    <row r="909" spans="6:24" ht="13.2">
      <c r="F909" s="373"/>
      <c r="L909" s="373"/>
      <c r="R909" s="373"/>
      <c r="X909" s="373"/>
    </row>
    <row r="910" spans="6:24" ht="13.2">
      <c r="F910" s="373"/>
      <c r="L910" s="373"/>
      <c r="R910" s="373"/>
      <c r="X910" s="373"/>
    </row>
    <row r="911" spans="6:24" ht="13.2">
      <c r="F911" s="373"/>
      <c r="L911" s="373"/>
      <c r="R911" s="373"/>
      <c r="X911" s="373"/>
    </row>
    <row r="912" spans="6:24" ht="13.2">
      <c r="F912" s="373"/>
      <c r="L912" s="373"/>
      <c r="R912" s="373"/>
      <c r="X912" s="373"/>
    </row>
    <row r="913" spans="6:24" ht="13.2">
      <c r="F913" s="373"/>
      <c r="L913" s="373"/>
      <c r="R913" s="373"/>
      <c r="X913" s="373"/>
    </row>
    <row r="914" spans="6:24" ht="13.2">
      <c r="F914" s="373"/>
      <c r="L914" s="373"/>
      <c r="R914" s="373"/>
      <c r="X914" s="373"/>
    </row>
    <row r="915" spans="6:24" ht="13.2">
      <c r="F915" s="373"/>
      <c r="L915" s="373"/>
      <c r="R915" s="373"/>
      <c r="X915" s="373"/>
    </row>
    <row r="916" spans="6:24" ht="13.2">
      <c r="F916" s="373"/>
      <c r="L916" s="373"/>
      <c r="R916" s="373"/>
      <c r="X916" s="373"/>
    </row>
    <row r="917" spans="6:24" ht="13.2">
      <c r="F917" s="373"/>
      <c r="L917" s="373"/>
      <c r="R917" s="373"/>
      <c r="X917" s="373"/>
    </row>
    <row r="918" spans="6:24" ht="13.2">
      <c r="F918" s="373"/>
      <c r="L918" s="373"/>
      <c r="R918" s="373"/>
      <c r="X918" s="373"/>
    </row>
    <row r="919" spans="6:24" ht="13.2">
      <c r="F919" s="373"/>
      <c r="L919" s="373"/>
      <c r="R919" s="373"/>
      <c r="X919" s="373"/>
    </row>
    <row r="920" spans="6:24" ht="13.2">
      <c r="F920" s="373"/>
      <c r="L920" s="373"/>
      <c r="R920" s="373"/>
      <c r="X920" s="373"/>
    </row>
    <row r="921" spans="6:24" ht="13.2">
      <c r="F921" s="373"/>
      <c r="L921" s="373"/>
      <c r="R921" s="373"/>
      <c r="X921" s="373"/>
    </row>
    <row r="922" spans="6:24" ht="13.2">
      <c r="F922" s="373"/>
      <c r="L922" s="373"/>
      <c r="R922" s="373"/>
      <c r="X922" s="373"/>
    </row>
    <row r="923" spans="6:24" ht="13.2">
      <c r="F923" s="373"/>
      <c r="L923" s="373"/>
      <c r="R923" s="373"/>
      <c r="X923" s="373"/>
    </row>
    <row r="924" spans="6:24" ht="13.2">
      <c r="F924" s="373"/>
      <c r="L924" s="373"/>
      <c r="R924" s="373"/>
      <c r="X924" s="373"/>
    </row>
    <row r="925" spans="6:24" ht="13.2">
      <c r="F925" s="373"/>
      <c r="L925" s="373"/>
      <c r="R925" s="373"/>
      <c r="X925" s="373"/>
    </row>
    <row r="926" spans="6:24" ht="13.2">
      <c r="F926" s="373"/>
      <c r="L926" s="373"/>
      <c r="R926" s="373"/>
      <c r="X926" s="373"/>
    </row>
    <row r="927" spans="6:24" ht="13.2">
      <c r="F927" s="373"/>
      <c r="L927" s="373"/>
      <c r="R927" s="373"/>
      <c r="X927" s="373"/>
    </row>
    <row r="928" spans="6:24" ht="13.2">
      <c r="F928" s="373"/>
      <c r="L928" s="373"/>
      <c r="R928" s="373"/>
      <c r="X928" s="373"/>
    </row>
    <row r="929" spans="6:24" ht="13.2">
      <c r="F929" s="373"/>
      <c r="L929" s="373"/>
      <c r="R929" s="373"/>
      <c r="X929" s="373"/>
    </row>
    <row r="930" spans="6:24" ht="13.2">
      <c r="F930" s="373"/>
      <c r="L930" s="373"/>
      <c r="R930" s="373"/>
      <c r="X930" s="373"/>
    </row>
    <row r="931" spans="6:24" ht="13.2">
      <c r="F931" s="373"/>
      <c r="L931" s="373"/>
      <c r="R931" s="373"/>
      <c r="X931" s="373"/>
    </row>
    <row r="932" spans="6:24" ht="13.2">
      <c r="F932" s="373"/>
      <c r="L932" s="373"/>
      <c r="R932" s="373"/>
      <c r="X932" s="373"/>
    </row>
    <row r="933" spans="6:24" ht="13.2">
      <c r="F933" s="373"/>
      <c r="L933" s="373"/>
      <c r="R933" s="373"/>
      <c r="X933" s="373"/>
    </row>
    <row r="934" spans="6:24" ht="13.2">
      <c r="F934" s="373"/>
      <c r="L934" s="373"/>
      <c r="R934" s="373"/>
      <c r="X934" s="373"/>
    </row>
    <row r="935" spans="6:24" ht="13.2">
      <c r="F935" s="373"/>
      <c r="L935" s="373"/>
      <c r="R935" s="373"/>
      <c r="X935" s="373"/>
    </row>
    <row r="936" spans="6:24" ht="13.2">
      <c r="F936" s="373"/>
      <c r="L936" s="373"/>
      <c r="R936" s="373"/>
      <c r="X936" s="373"/>
    </row>
    <row r="937" spans="6:24" ht="13.2">
      <c r="F937" s="373"/>
      <c r="L937" s="373"/>
      <c r="R937" s="373"/>
      <c r="X937" s="373"/>
    </row>
    <row r="938" spans="6:24" ht="13.2">
      <c r="F938" s="373"/>
      <c r="L938" s="373"/>
      <c r="R938" s="373"/>
      <c r="X938" s="373"/>
    </row>
    <row r="939" spans="6:24" ht="13.2">
      <c r="F939" s="373"/>
      <c r="L939" s="373"/>
      <c r="R939" s="373"/>
      <c r="X939" s="373"/>
    </row>
    <row r="940" spans="6:24" ht="13.2">
      <c r="F940" s="373"/>
      <c r="L940" s="373"/>
      <c r="R940" s="373"/>
      <c r="X940" s="373"/>
    </row>
    <row r="941" spans="6:24" ht="13.2">
      <c r="F941" s="373"/>
      <c r="L941" s="373"/>
      <c r="R941" s="373"/>
      <c r="X941" s="373"/>
    </row>
    <row r="942" spans="6:24" ht="13.2">
      <c r="F942" s="373"/>
      <c r="L942" s="373"/>
      <c r="R942" s="373"/>
      <c r="X942" s="373"/>
    </row>
    <row r="943" spans="6:24" ht="13.2">
      <c r="F943" s="373"/>
      <c r="L943" s="373"/>
      <c r="R943" s="373"/>
      <c r="X943" s="373"/>
    </row>
    <row r="944" spans="6:24" ht="13.2">
      <c r="F944" s="373"/>
      <c r="L944" s="373"/>
      <c r="R944" s="373"/>
      <c r="X944" s="373"/>
    </row>
    <row r="945" spans="6:24" ht="13.2">
      <c r="F945" s="373"/>
      <c r="L945" s="373"/>
      <c r="R945" s="373"/>
      <c r="X945" s="373"/>
    </row>
    <row r="946" spans="6:24" ht="13.2">
      <c r="F946" s="373"/>
      <c r="L946" s="373"/>
      <c r="R946" s="373"/>
      <c r="X946" s="373"/>
    </row>
    <row r="947" spans="6:24" ht="13.2">
      <c r="F947" s="373"/>
      <c r="L947" s="373"/>
      <c r="R947" s="373"/>
      <c r="X947" s="373"/>
    </row>
    <row r="948" spans="6:24" ht="13.2">
      <c r="F948" s="373"/>
      <c r="L948" s="373"/>
      <c r="R948" s="373"/>
      <c r="X948" s="373"/>
    </row>
    <row r="949" spans="6:24" ht="13.2">
      <c r="F949" s="373"/>
      <c r="L949" s="373"/>
      <c r="R949" s="373"/>
      <c r="X949" s="373"/>
    </row>
    <row r="950" spans="6:24" ht="13.2">
      <c r="F950" s="373"/>
      <c r="L950" s="373"/>
      <c r="R950" s="373"/>
      <c r="X950" s="373"/>
    </row>
    <row r="951" spans="6:24" ht="13.2">
      <c r="F951" s="373"/>
      <c r="L951" s="373"/>
      <c r="R951" s="373"/>
      <c r="X951" s="373"/>
    </row>
    <row r="952" spans="6:24" ht="13.2">
      <c r="F952" s="373"/>
      <c r="L952" s="373"/>
      <c r="R952" s="373"/>
      <c r="X952" s="373"/>
    </row>
    <row r="953" spans="6:24" ht="13.2">
      <c r="F953" s="373"/>
      <c r="L953" s="373"/>
      <c r="R953" s="373"/>
      <c r="X953" s="373"/>
    </row>
    <row r="954" spans="6:24" ht="13.2">
      <c r="F954" s="373"/>
      <c r="L954" s="373"/>
      <c r="R954" s="373"/>
      <c r="X954" s="373"/>
    </row>
    <row r="955" spans="6:24" ht="13.2">
      <c r="F955" s="373"/>
      <c r="L955" s="373"/>
      <c r="R955" s="373"/>
      <c r="X955" s="373"/>
    </row>
    <row r="956" spans="6:24" ht="13.2">
      <c r="F956" s="373"/>
      <c r="L956" s="373"/>
      <c r="R956" s="373"/>
      <c r="X956" s="373"/>
    </row>
    <row r="957" spans="6:24" ht="13.2">
      <c r="F957" s="373"/>
      <c r="L957" s="373"/>
      <c r="R957" s="373"/>
      <c r="X957" s="373"/>
    </row>
    <row r="958" spans="6:24" ht="13.2">
      <c r="F958" s="373"/>
      <c r="L958" s="373"/>
      <c r="R958" s="373"/>
      <c r="X958" s="373"/>
    </row>
    <row r="959" spans="6:24" ht="13.2">
      <c r="F959" s="373"/>
      <c r="L959" s="373"/>
      <c r="R959" s="373"/>
      <c r="X959" s="373"/>
    </row>
    <row r="960" spans="6:24" ht="13.2">
      <c r="F960" s="373"/>
      <c r="L960" s="373"/>
      <c r="R960" s="373"/>
      <c r="X960" s="373"/>
    </row>
    <row r="961" spans="6:24" ht="13.2">
      <c r="F961" s="373"/>
      <c r="L961" s="373"/>
      <c r="R961" s="373"/>
      <c r="X961" s="373"/>
    </row>
    <row r="962" spans="6:24" ht="13.2">
      <c r="F962" s="373"/>
      <c r="L962" s="373"/>
      <c r="R962" s="373"/>
      <c r="X962" s="373"/>
    </row>
    <row r="963" spans="6:24" ht="13.2">
      <c r="F963" s="373"/>
      <c r="L963" s="373"/>
      <c r="R963" s="373"/>
      <c r="X963" s="373"/>
    </row>
    <row r="964" spans="6:24" ht="13.2">
      <c r="F964" s="373"/>
      <c r="L964" s="373"/>
      <c r="R964" s="373"/>
      <c r="X964" s="373"/>
    </row>
    <row r="965" spans="6:24" ht="13.2">
      <c r="F965" s="373"/>
      <c r="L965" s="373"/>
      <c r="R965" s="373"/>
      <c r="X965" s="373"/>
    </row>
    <row r="966" spans="6:24" ht="13.2">
      <c r="F966" s="373"/>
      <c r="L966" s="373"/>
      <c r="R966" s="373"/>
      <c r="X966" s="373"/>
    </row>
    <row r="967" spans="6:24" ht="13.2">
      <c r="F967" s="373"/>
      <c r="L967" s="373"/>
      <c r="R967" s="373"/>
      <c r="X967" s="373"/>
    </row>
    <row r="968" spans="6:24" ht="13.2">
      <c r="F968" s="373"/>
      <c r="L968" s="373"/>
      <c r="R968" s="373"/>
      <c r="X968" s="373"/>
    </row>
    <row r="969" spans="6:24" ht="13.2">
      <c r="F969" s="373"/>
      <c r="L969" s="373"/>
      <c r="R969" s="373"/>
      <c r="X969" s="373"/>
    </row>
    <row r="970" spans="6:24" ht="13.2">
      <c r="F970" s="373"/>
      <c r="L970" s="373"/>
      <c r="R970" s="373"/>
      <c r="X970" s="373"/>
    </row>
    <row r="971" spans="6:24" ht="13.2">
      <c r="F971" s="373"/>
      <c r="L971" s="373"/>
      <c r="R971" s="373"/>
      <c r="X971" s="373"/>
    </row>
    <row r="972" spans="6:24" ht="13.2">
      <c r="F972" s="373"/>
      <c r="L972" s="373"/>
      <c r="R972" s="373"/>
      <c r="X972" s="373"/>
    </row>
    <row r="973" spans="6:24" ht="13.2">
      <c r="F973" s="373"/>
      <c r="L973" s="373"/>
      <c r="R973" s="373"/>
      <c r="X973" s="373"/>
    </row>
    <row r="974" spans="6:24" ht="13.2">
      <c r="F974" s="373"/>
      <c r="L974" s="373"/>
      <c r="R974" s="373"/>
      <c r="X974" s="373"/>
    </row>
    <row r="975" spans="6:24" ht="13.2">
      <c r="F975" s="373"/>
      <c r="L975" s="373"/>
      <c r="R975" s="373"/>
      <c r="X975" s="373"/>
    </row>
    <row r="976" spans="6:24" ht="13.2">
      <c r="F976" s="373"/>
      <c r="L976" s="373"/>
      <c r="R976" s="373"/>
      <c r="X976" s="373"/>
    </row>
    <row r="977" spans="6:24" ht="13.2">
      <c r="F977" s="373"/>
      <c r="L977" s="373"/>
      <c r="R977" s="373"/>
      <c r="X977" s="373"/>
    </row>
    <row r="978" spans="6:24" ht="13.2">
      <c r="F978" s="373"/>
      <c r="L978" s="373"/>
      <c r="R978" s="373"/>
      <c r="X978" s="373"/>
    </row>
    <row r="979" spans="6:24" ht="13.2">
      <c r="F979" s="373"/>
      <c r="L979" s="373"/>
      <c r="R979" s="373"/>
      <c r="X979" s="373"/>
    </row>
    <row r="980" spans="6:24" ht="13.2">
      <c r="F980" s="373"/>
      <c r="L980" s="373"/>
      <c r="R980" s="373"/>
      <c r="X980" s="373"/>
    </row>
    <row r="981" spans="6:24" ht="13.2">
      <c r="F981" s="373"/>
      <c r="L981" s="373"/>
      <c r="R981" s="373"/>
      <c r="X981" s="373"/>
    </row>
    <row r="982" spans="6:24" ht="13.2">
      <c r="F982" s="373"/>
      <c r="L982" s="373"/>
      <c r="R982" s="373"/>
      <c r="X982" s="373"/>
    </row>
    <row r="983" spans="6:24" ht="13.2">
      <c r="F983" s="373"/>
      <c r="L983" s="373"/>
      <c r="R983" s="373"/>
      <c r="X983" s="373"/>
    </row>
    <row r="984" spans="6:24" ht="13.2">
      <c r="F984" s="373"/>
      <c r="L984" s="373"/>
      <c r="R984" s="373"/>
      <c r="X984" s="373"/>
    </row>
    <row r="985" spans="6:24" ht="13.2">
      <c r="F985" s="373"/>
      <c r="L985" s="373"/>
      <c r="R985" s="373"/>
      <c r="X985" s="373"/>
    </row>
    <row r="986" spans="6:24" ht="13.2">
      <c r="F986" s="373"/>
      <c r="L986" s="373"/>
      <c r="R986" s="373"/>
      <c r="X986" s="373"/>
    </row>
    <row r="987" spans="6:24" ht="13.2">
      <c r="F987" s="373"/>
      <c r="L987" s="373"/>
      <c r="R987" s="373"/>
      <c r="X987" s="373"/>
    </row>
    <row r="988" spans="6:24" ht="13.2">
      <c r="F988" s="373"/>
      <c r="L988" s="373"/>
      <c r="R988" s="373"/>
      <c r="X988" s="373"/>
    </row>
    <row r="989" spans="6:24" ht="13.2">
      <c r="F989" s="373"/>
      <c r="L989" s="373"/>
      <c r="R989" s="373"/>
      <c r="X989" s="373"/>
    </row>
    <row r="990" spans="6:24" ht="13.2">
      <c r="F990" s="373"/>
      <c r="L990" s="373"/>
      <c r="R990" s="373"/>
      <c r="X990" s="373"/>
    </row>
    <row r="991" spans="6:24" ht="13.2">
      <c r="F991" s="373"/>
      <c r="L991" s="373"/>
      <c r="R991" s="373"/>
      <c r="X991" s="373"/>
    </row>
    <row r="992" spans="6:24" ht="13.2">
      <c r="F992" s="373"/>
      <c r="L992" s="373"/>
      <c r="R992" s="373"/>
      <c r="X992" s="373"/>
    </row>
    <row r="993" spans="6:24" ht="13.2">
      <c r="F993" s="373"/>
      <c r="L993" s="373"/>
      <c r="R993" s="373"/>
      <c r="X993" s="373"/>
    </row>
    <row r="994" spans="6:24" ht="13.2">
      <c r="F994" s="373"/>
      <c r="L994" s="373"/>
      <c r="R994" s="373"/>
      <c r="X994" s="373"/>
    </row>
    <row r="995" spans="6:24" ht="13.2">
      <c r="F995" s="373"/>
      <c r="L995" s="373"/>
      <c r="R995" s="373"/>
      <c r="X995" s="373"/>
    </row>
    <row r="996" spans="6:24" ht="13.2">
      <c r="F996" s="373"/>
      <c r="L996" s="373"/>
      <c r="R996" s="373"/>
      <c r="X996" s="373"/>
    </row>
    <row r="997" spans="6:24" ht="13.2">
      <c r="F997" s="373"/>
      <c r="L997" s="373"/>
      <c r="R997" s="373"/>
      <c r="X997" s="373"/>
    </row>
    <row r="998" spans="6:24" ht="13.2">
      <c r="F998" s="373"/>
      <c r="L998" s="373"/>
      <c r="R998" s="373"/>
      <c r="X998" s="373"/>
    </row>
    <row r="999" spans="6:24" ht="13.2">
      <c r="F999" s="373"/>
      <c r="L999" s="373"/>
      <c r="R999" s="373"/>
      <c r="X999" s="373"/>
    </row>
    <row r="1000" spans="6:24" ht="13.2">
      <c r="F1000" s="373"/>
      <c r="L1000" s="373"/>
      <c r="R1000" s="373"/>
      <c r="X1000" s="373"/>
    </row>
    <row r="1001" spans="6:24" ht="13.2">
      <c r="F1001" s="373"/>
      <c r="L1001" s="373"/>
      <c r="R1001" s="373"/>
      <c r="X1001" s="373"/>
    </row>
    <row r="1002" spans="6:24" ht="13.2">
      <c r="F1002" s="373"/>
      <c r="L1002" s="373"/>
      <c r="R1002" s="373"/>
      <c r="X1002" s="373"/>
    </row>
    <row r="1003" spans="6:24" ht="13.2">
      <c r="F1003" s="373"/>
      <c r="L1003" s="373"/>
      <c r="R1003" s="373"/>
      <c r="X1003" s="373"/>
    </row>
  </sheetData>
  <mergeCells count="29">
    <mergeCell ref="A68:E68"/>
    <mergeCell ref="G68:K68"/>
    <mergeCell ref="M68:P68"/>
    <mergeCell ref="D74:U76"/>
    <mergeCell ref="A41:E41"/>
    <mergeCell ref="A56:E56"/>
    <mergeCell ref="G56:K56"/>
    <mergeCell ref="M56:Q56"/>
    <mergeCell ref="S56:W56"/>
    <mergeCell ref="A62:E62"/>
    <mergeCell ref="G62:K62"/>
    <mergeCell ref="S29:W29"/>
    <mergeCell ref="G41:K41"/>
    <mergeCell ref="M41:Q41"/>
    <mergeCell ref="S41:W41"/>
    <mergeCell ref="M62:Q62"/>
    <mergeCell ref="S62:W62"/>
    <mergeCell ref="A10:E10"/>
    <mergeCell ref="G10:K10"/>
    <mergeCell ref="A29:E29"/>
    <mergeCell ref="G29:K29"/>
    <mergeCell ref="M29:Q29"/>
    <mergeCell ref="M10:Q10"/>
    <mergeCell ref="S10:W10"/>
    <mergeCell ref="H2:I6"/>
    <mergeCell ref="J2:M6"/>
    <mergeCell ref="N2:O6"/>
    <mergeCell ref="P2:S6"/>
    <mergeCell ref="T2:U6"/>
  </mergeCells>
  <conditionalFormatting sqref="T80:T84 T87:T91">
    <cfRule type="cellIs" dxfId="25" priority="1" operator="greaterThan">
      <formula>0</formula>
    </cfRule>
  </conditionalFormatting>
  <conditionalFormatting sqref="T80:T84 T87:T91">
    <cfRule type="cellIs" dxfId="24" priority="2" operator="lessThan">
      <formula>0</formula>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4125"/>
    <outlinePr summaryBelow="0" summaryRight="0"/>
  </sheetPr>
  <dimension ref="A1:I15"/>
  <sheetViews>
    <sheetView workbookViewId="0"/>
  </sheetViews>
  <sheetFormatPr defaultColWidth="12.6640625" defaultRowHeight="15.75" customHeight="1"/>
  <cols>
    <col min="1" max="1" width="7.44140625" customWidth="1"/>
    <col min="2" max="2" width="19.109375" customWidth="1"/>
  </cols>
  <sheetData>
    <row r="1" spans="1:9">
      <c r="A1" s="518" t="s">
        <v>4</v>
      </c>
      <c r="B1" s="518" t="s">
        <v>277</v>
      </c>
      <c r="C1" s="519"/>
      <c r="D1" s="520" t="s">
        <v>278</v>
      </c>
      <c r="E1" s="521" t="s">
        <v>279</v>
      </c>
      <c r="F1" s="522">
        <v>1</v>
      </c>
      <c r="H1" s="523">
        <v>11</v>
      </c>
      <c r="I1" s="519">
        <v>14</v>
      </c>
    </row>
    <row r="2" spans="1:9">
      <c r="A2" s="524" t="s">
        <v>95</v>
      </c>
      <c r="B2" s="180" t="s">
        <v>280</v>
      </c>
    </row>
    <row r="3" spans="1:9">
      <c r="C3" s="525"/>
      <c r="D3" s="525"/>
      <c r="E3" s="525"/>
    </row>
    <row r="4" spans="1:9">
      <c r="A4" s="526" t="s">
        <v>281</v>
      </c>
      <c r="B4" s="527" t="s">
        <v>282</v>
      </c>
      <c r="C4" s="527" t="s">
        <v>283</v>
      </c>
      <c r="D4" s="527" t="s">
        <v>284</v>
      </c>
      <c r="E4" s="528" t="s">
        <v>285</v>
      </c>
      <c r="F4" s="529"/>
      <c r="G4" s="530"/>
      <c r="H4" s="518" t="s">
        <v>4</v>
      </c>
      <c r="I4" s="518" t="s">
        <v>286</v>
      </c>
    </row>
    <row r="5" spans="1:9" ht="15.75" customHeight="1">
      <c r="A5" s="531">
        <v>1</v>
      </c>
      <c r="B5" s="532" t="s">
        <v>94</v>
      </c>
      <c r="C5" s="533">
        <f>Points!F93</f>
        <v>321</v>
      </c>
      <c r="D5" s="533">
        <f>Points!G93</f>
        <v>36</v>
      </c>
      <c r="E5" s="533">
        <f>Points!H93</f>
        <v>357</v>
      </c>
      <c r="H5" s="534" t="s">
        <v>8</v>
      </c>
      <c r="I5" s="535">
        <f>D5</f>
        <v>36</v>
      </c>
    </row>
    <row r="6" spans="1:9" ht="15.75" customHeight="1">
      <c r="A6" s="536">
        <v>2</v>
      </c>
      <c r="B6" s="537" t="s">
        <v>196</v>
      </c>
      <c r="C6" s="533">
        <f>Points!F35</f>
        <v>348</v>
      </c>
      <c r="D6" s="533">
        <f>Points!G35</f>
        <v>0</v>
      </c>
      <c r="E6" s="533">
        <f>Points!H35</f>
        <v>348</v>
      </c>
      <c r="H6" s="538" t="s">
        <v>10</v>
      </c>
      <c r="I6" s="535">
        <f>SUM(D6:D8)</f>
        <v>134</v>
      </c>
    </row>
    <row r="7" spans="1:9" ht="15.75" customHeight="1">
      <c r="A7" s="536">
        <v>3</v>
      </c>
      <c r="B7" s="537" t="s">
        <v>197</v>
      </c>
      <c r="C7" s="533">
        <f>Points!F36</f>
        <v>986</v>
      </c>
      <c r="D7" s="533">
        <f>Points!G36</f>
        <v>65</v>
      </c>
      <c r="E7" s="533">
        <f>Points!H36</f>
        <v>1051</v>
      </c>
      <c r="H7" s="539" t="s">
        <v>12</v>
      </c>
      <c r="I7" s="535">
        <f>SUM(D9:D10)</f>
        <v>79</v>
      </c>
    </row>
    <row r="8" spans="1:9" ht="15.75" customHeight="1">
      <c r="A8" s="536">
        <v>4</v>
      </c>
      <c r="B8" s="537" t="s">
        <v>198</v>
      </c>
      <c r="C8" s="533">
        <f>Points!F37</f>
        <v>574</v>
      </c>
      <c r="D8" s="533">
        <f>Points!G37</f>
        <v>69</v>
      </c>
      <c r="E8" s="533">
        <f>Points!H37</f>
        <v>643</v>
      </c>
      <c r="H8" s="540" t="s">
        <v>14</v>
      </c>
      <c r="I8" s="535">
        <f>D11</f>
        <v>12</v>
      </c>
    </row>
    <row r="9" spans="1:9" ht="15.75" customHeight="1">
      <c r="A9" s="541">
        <v>5</v>
      </c>
      <c r="B9" s="537" t="s">
        <v>219</v>
      </c>
      <c r="C9" s="533">
        <f>Points!F52</f>
        <v>795</v>
      </c>
      <c r="D9" s="533">
        <f>Points!G52</f>
        <v>41</v>
      </c>
      <c r="E9" s="533">
        <f>Points!H52</f>
        <v>836</v>
      </c>
      <c r="H9" s="542" t="s">
        <v>16</v>
      </c>
      <c r="I9" s="535">
        <f>SUM(D12,D13)</f>
        <v>121</v>
      </c>
    </row>
    <row r="10" spans="1:9" ht="15.75" customHeight="1">
      <c r="A10" s="541">
        <v>6</v>
      </c>
      <c r="B10" s="537" t="s">
        <v>220</v>
      </c>
      <c r="C10" s="533">
        <f>Points!F53</f>
        <v>807</v>
      </c>
      <c r="D10" s="533">
        <f>Points!G53</f>
        <v>38</v>
      </c>
      <c r="E10" s="533">
        <f>Points!H53</f>
        <v>845</v>
      </c>
      <c r="I10" s="99"/>
    </row>
    <row r="11" spans="1:9">
      <c r="A11" s="543">
        <v>7</v>
      </c>
      <c r="B11" s="181" t="s">
        <v>137</v>
      </c>
      <c r="C11" s="533">
        <f>Points!F14</f>
        <v>387</v>
      </c>
      <c r="D11" s="533">
        <f>Points!G14</f>
        <v>12</v>
      </c>
      <c r="E11" s="533">
        <f>Points!H14</f>
        <v>399</v>
      </c>
    </row>
    <row r="12" spans="1:9">
      <c r="A12" s="544">
        <v>8</v>
      </c>
      <c r="B12" s="181" t="s">
        <v>164</v>
      </c>
      <c r="C12" s="533">
        <f>Points!F71</f>
        <v>822</v>
      </c>
      <c r="D12" s="533">
        <f>Points!G71</f>
        <v>13</v>
      </c>
      <c r="E12" s="533">
        <f>Points!H71</f>
        <v>835</v>
      </c>
    </row>
    <row r="13" spans="1:9">
      <c r="A13" s="545">
        <v>9</v>
      </c>
      <c r="B13" s="546" t="s">
        <v>165</v>
      </c>
      <c r="C13" s="547">
        <f>Points!F72</f>
        <v>952</v>
      </c>
      <c r="D13" s="548">
        <f>Points!G72</f>
        <v>108</v>
      </c>
      <c r="E13" s="549">
        <f>Points!H72</f>
        <v>1060</v>
      </c>
      <c r="F13" s="523"/>
      <c r="G13" s="523"/>
    </row>
    <row r="14" spans="1:9">
      <c r="A14" s="550" t="s">
        <v>287</v>
      </c>
      <c r="B14" s="551" t="s">
        <v>288</v>
      </c>
      <c r="C14" s="552">
        <f>Points!J20</f>
        <v>511</v>
      </c>
      <c r="D14" s="553">
        <f>Points!G20</f>
        <v>93</v>
      </c>
      <c r="E14" s="554">
        <f>Points!L20</f>
        <v>604</v>
      </c>
      <c r="F14" s="519"/>
      <c r="G14" s="519"/>
    </row>
    <row r="15" spans="1:9">
      <c r="A15" s="555" t="s">
        <v>289</v>
      </c>
      <c r="B15" s="556" t="s">
        <v>174</v>
      </c>
      <c r="C15" s="557">
        <f>Points!J78</f>
        <v>278</v>
      </c>
      <c r="D15" s="558">
        <f>Points!G78</f>
        <v>54</v>
      </c>
      <c r="E15" s="559">
        <f>Points!L78</f>
        <v>332</v>
      </c>
      <c r="F15" s="519"/>
      <c r="G15" s="519"/>
    </row>
  </sheetData>
  <conditionalFormatting sqref="I5:I9">
    <cfRule type="cellIs" dxfId="23" priority="1" operator="greaterThan">
      <formula>0</formula>
    </cfRule>
  </conditionalFormatting>
  <conditionalFormatting sqref="I5:I9">
    <cfRule type="cellIs" dxfId="22" priority="2" operator="lessThan">
      <formula>0</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FA8DC"/>
    <outlinePr summaryBelow="0" summaryRight="0"/>
  </sheetPr>
  <dimension ref="A1:J12"/>
  <sheetViews>
    <sheetView workbookViewId="0"/>
  </sheetViews>
  <sheetFormatPr defaultColWidth="12.6640625" defaultRowHeight="15.75" customHeight="1"/>
  <cols>
    <col min="1" max="1" width="7.44140625" customWidth="1"/>
    <col min="2" max="2" width="19.109375" customWidth="1"/>
  </cols>
  <sheetData>
    <row r="1" spans="1:10">
      <c r="A1" s="518" t="s">
        <v>4</v>
      </c>
      <c r="B1" s="518" t="s">
        <v>290</v>
      </c>
      <c r="E1" s="520" t="s">
        <v>278</v>
      </c>
      <c r="F1" s="521" t="s">
        <v>291</v>
      </c>
      <c r="G1" s="522">
        <v>1</v>
      </c>
      <c r="I1" s="519">
        <v>8</v>
      </c>
      <c r="J1" s="519">
        <v>10</v>
      </c>
    </row>
    <row r="2" spans="1:10">
      <c r="A2" s="560" t="s">
        <v>82</v>
      </c>
      <c r="B2" s="180" t="s">
        <v>292</v>
      </c>
    </row>
    <row r="3" spans="1:10">
      <c r="C3" s="525"/>
      <c r="D3" s="525"/>
      <c r="E3" s="525"/>
      <c r="F3" s="525"/>
    </row>
    <row r="4" spans="1:10">
      <c r="A4" s="561" t="s">
        <v>281</v>
      </c>
      <c r="B4" s="562" t="s">
        <v>282</v>
      </c>
      <c r="C4" s="562" t="s">
        <v>283</v>
      </c>
      <c r="D4" s="562"/>
      <c r="E4" s="562" t="s">
        <v>284</v>
      </c>
      <c r="F4" s="563" t="s">
        <v>285</v>
      </c>
      <c r="G4" s="523"/>
      <c r="H4" s="523"/>
      <c r="I4" s="564" t="s">
        <v>4</v>
      </c>
      <c r="J4" s="518" t="s">
        <v>286</v>
      </c>
    </row>
    <row r="5" spans="1:10" ht="15.75" customHeight="1">
      <c r="A5" s="565">
        <v>1</v>
      </c>
      <c r="B5" s="532" t="s">
        <v>81</v>
      </c>
      <c r="C5" s="566">
        <f>Points!F85</f>
        <v>1162</v>
      </c>
      <c r="D5" s="567"/>
      <c r="E5" s="567">
        <f>Points!G85</f>
        <v>16</v>
      </c>
      <c r="F5" s="568">
        <f>Points!H85</f>
        <v>1178</v>
      </c>
      <c r="G5" s="569"/>
      <c r="H5" s="569"/>
      <c r="I5" s="570" t="s">
        <v>8</v>
      </c>
      <c r="J5" s="535">
        <f>SUM(E5:E6)+E12</f>
        <v>104</v>
      </c>
    </row>
    <row r="6" spans="1:10" ht="15.75" customHeight="1">
      <c r="A6" s="565">
        <v>2</v>
      </c>
      <c r="B6" s="571" t="s">
        <v>293</v>
      </c>
      <c r="C6" s="566">
        <f>Points!F86</f>
        <v>736</v>
      </c>
      <c r="D6" s="567"/>
      <c r="E6" s="567">
        <f>Points!G86</f>
        <v>39</v>
      </c>
      <c r="F6" s="568">
        <f>Points!H86</f>
        <v>775</v>
      </c>
      <c r="G6" s="569"/>
      <c r="H6" s="569"/>
      <c r="I6" s="572" t="s">
        <v>10</v>
      </c>
      <c r="J6" s="535">
        <f t="shared" ref="J6:J8" si="0">E7</f>
        <v>0</v>
      </c>
    </row>
    <row r="7" spans="1:10" ht="15.75" customHeight="1">
      <c r="A7" s="573">
        <v>3</v>
      </c>
      <c r="B7" s="537" t="s">
        <v>188</v>
      </c>
      <c r="C7" s="566">
        <f>Points!F27</f>
        <v>165</v>
      </c>
      <c r="D7" s="567"/>
      <c r="E7" s="567">
        <f>Points!G27</f>
        <v>0</v>
      </c>
      <c r="F7" s="568">
        <f>Points!H27</f>
        <v>165</v>
      </c>
      <c r="G7" s="569"/>
      <c r="H7" s="569"/>
      <c r="I7" s="574" t="s">
        <v>12</v>
      </c>
      <c r="J7" s="535">
        <f t="shared" si="0"/>
        <v>82</v>
      </c>
    </row>
    <row r="8" spans="1:10" ht="15.75" customHeight="1">
      <c r="A8" s="575">
        <v>4</v>
      </c>
      <c r="B8" s="537" t="s">
        <v>213</v>
      </c>
      <c r="C8" s="566">
        <f>Points!F46</f>
        <v>792</v>
      </c>
      <c r="D8" s="567"/>
      <c r="E8" s="567">
        <f>Points!G46</f>
        <v>82</v>
      </c>
      <c r="F8" s="568">
        <f>Points!H46</f>
        <v>874</v>
      </c>
      <c r="G8" s="569"/>
      <c r="H8" s="569"/>
      <c r="I8" s="576" t="s">
        <v>14</v>
      </c>
      <c r="J8" s="535">
        <f t="shared" si="0"/>
        <v>18</v>
      </c>
    </row>
    <row r="9" spans="1:10" ht="15.75" customHeight="1">
      <c r="A9" s="577">
        <v>5</v>
      </c>
      <c r="B9" s="181" t="s">
        <v>130</v>
      </c>
      <c r="C9" s="566">
        <f>Points!F7</f>
        <v>1071</v>
      </c>
      <c r="D9" s="567"/>
      <c r="E9" s="567">
        <f>Points!G7</f>
        <v>18</v>
      </c>
      <c r="F9" s="568">
        <f>Points!H7</f>
        <v>1089</v>
      </c>
      <c r="G9" s="569"/>
      <c r="H9" s="569"/>
      <c r="I9" s="578" t="s">
        <v>16</v>
      </c>
      <c r="J9" s="535">
        <f>SUM(E10:E11)</f>
        <v>39</v>
      </c>
    </row>
    <row r="10" spans="1:10" ht="15.75" customHeight="1">
      <c r="A10" s="579">
        <v>6</v>
      </c>
      <c r="B10" s="580" t="s">
        <v>157</v>
      </c>
      <c r="C10" s="566">
        <f>Points!F64</f>
        <v>1005</v>
      </c>
      <c r="D10" s="567"/>
      <c r="E10" s="567">
        <f>Points!G64</f>
        <v>32</v>
      </c>
      <c r="F10" s="568">
        <f>Points!H64</f>
        <v>1037</v>
      </c>
      <c r="G10" s="569"/>
      <c r="H10" s="569"/>
    </row>
    <row r="11" spans="1:10" ht="15.75" customHeight="1">
      <c r="A11" s="581">
        <v>7</v>
      </c>
      <c r="B11" s="582" t="s">
        <v>158</v>
      </c>
      <c r="C11" s="583">
        <f>Points!F65</f>
        <v>565</v>
      </c>
      <c r="D11" s="584"/>
      <c r="E11" s="584">
        <f>Points!G65</f>
        <v>7</v>
      </c>
      <c r="F11" s="585">
        <f>Points!H65</f>
        <v>572</v>
      </c>
      <c r="G11" s="523"/>
      <c r="H11" s="523"/>
    </row>
    <row r="12" spans="1:10" ht="15.75" customHeight="1">
      <c r="A12" s="586" t="s">
        <v>287</v>
      </c>
      <c r="B12" s="587" t="s">
        <v>103</v>
      </c>
      <c r="C12" s="588">
        <f>Points!J97</f>
        <v>886</v>
      </c>
      <c r="D12" s="589"/>
      <c r="E12" s="590">
        <f>Points!G97</f>
        <v>49</v>
      </c>
      <c r="F12" s="590">
        <f>Points!L97</f>
        <v>935</v>
      </c>
      <c r="G12" s="591">
        <v>140</v>
      </c>
    </row>
  </sheetData>
  <conditionalFormatting sqref="J5:J9">
    <cfRule type="cellIs" dxfId="21" priority="1" operator="greaterThan">
      <formula>0</formula>
    </cfRule>
  </conditionalFormatting>
  <conditionalFormatting sqref="J5:J9">
    <cfRule type="cellIs" dxfId="20" priority="2" operator="lessThan">
      <formula>0</formula>
    </cfRule>
  </conditionalFormatting>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sheetPr>
  <dimension ref="A1:I11"/>
  <sheetViews>
    <sheetView workbookViewId="0"/>
  </sheetViews>
  <sheetFormatPr defaultColWidth="12.6640625" defaultRowHeight="15.75" customHeight="1"/>
  <cols>
    <col min="1" max="1" width="7.44140625" customWidth="1"/>
    <col min="2" max="2" width="19.109375" customWidth="1"/>
  </cols>
  <sheetData>
    <row r="1" spans="1:9">
      <c r="A1" s="518" t="s">
        <v>4</v>
      </c>
      <c r="B1" s="518" t="s">
        <v>277</v>
      </c>
      <c r="C1" s="519"/>
      <c r="D1" s="520" t="s">
        <v>278</v>
      </c>
      <c r="E1" s="521" t="s">
        <v>294</v>
      </c>
      <c r="F1" s="522">
        <v>1</v>
      </c>
      <c r="H1" s="519">
        <v>7</v>
      </c>
      <c r="I1" s="519">
        <v>8</v>
      </c>
    </row>
    <row r="2" spans="1:9">
      <c r="A2" s="592" t="s">
        <v>122</v>
      </c>
      <c r="B2" s="180" t="s">
        <v>280</v>
      </c>
    </row>
    <row r="3" spans="1:9">
      <c r="C3" s="525"/>
      <c r="D3" s="525"/>
      <c r="E3" s="525"/>
    </row>
    <row r="4" spans="1:9">
      <c r="A4" s="526" t="s">
        <v>281</v>
      </c>
      <c r="B4" s="527" t="s">
        <v>282</v>
      </c>
      <c r="C4" s="527" t="s">
        <v>283</v>
      </c>
      <c r="D4" s="527" t="s">
        <v>284</v>
      </c>
      <c r="E4" s="528" t="s">
        <v>285</v>
      </c>
      <c r="F4" s="529"/>
      <c r="H4" s="518" t="s">
        <v>4</v>
      </c>
      <c r="I4" s="518" t="s">
        <v>286</v>
      </c>
    </row>
    <row r="5" spans="1:9" ht="15.75" customHeight="1">
      <c r="A5" s="593">
        <v>1</v>
      </c>
      <c r="B5" s="594" t="s">
        <v>222</v>
      </c>
      <c r="C5" s="533">
        <f>Points!F55</f>
        <v>653</v>
      </c>
      <c r="D5" s="533">
        <f>Points!G55</f>
        <v>0</v>
      </c>
      <c r="E5" s="533">
        <f>Points!H55</f>
        <v>653</v>
      </c>
      <c r="G5" s="519">
        <v>0</v>
      </c>
      <c r="H5" s="534" t="s">
        <v>8</v>
      </c>
      <c r="I5" s="595">
        <v>0</v>
      </c>
    </row>
    <row r="6" spans="1:9" ht="15.75" customHeight="1">
      <c r="A6" s="596">
        <v>2</v>
      </c>
      <c r="B6" s="597" t="s">
        <v>140</v>
      </c>
      <c r="C6" s="533">
        <f>Points!F17</f>
        <v>955</v>
      </c>
      <c r="D6" s="533">
        <f>Points!G17</f>
        <v>0</v>
      </c>
      <c r="E6" s="533">
        <f>Points!H17</f>
        <v>955</v>
      </c>
      <c r="G6" s="519">
        <v>0</v>
      </c>
      <c r="H6" s="538" t="s">
        <v>10</v>
      </c>
      <c r="I6" s="595">
        <v>0</v>
      </c>
    </row>
    <row r="7" spans="1:9" ht="15.75" customHeight="1">
      <c r="A7" s="596">
        <v>3</v>
      </c>
      <c r="B7" s="597" t="s">
        <v>141</v>
      </c>
      <c r="C7" s="533">
        <f>Points!F18</f>
        <v>996</v>
      </c>
      <c r="D7" s="533">
        <f>Points!G18</f>
        <v>0</v>
      </c>
      <c r="E7" s="533">
        <f>Points!H18</f>
        <v>996</v>
      </c>
      <c r="G7" s="519">
        <v>0</v>
      </c>
      <c r="H7" s="539" t="s">
        <v>12</v>
      </c>
      <c r="I7" s="595">
        <f>D5</f>
        <v>0</v>
      </c>
    </row>
    <row r="8" spans="1:9" ht="15.75" customHeight="1">
      <c r="A8" s="596">
        <v>4</v>
      </c>
      <c r="B8" s="597" t="s">
        <v>142</v>
      </c>
      <c r="C8" s="533">
        <f>Points!F19</f>
        <v>357</v>
      </c>
      <c r="D8" s="533">
        <f>Points!G19</f>
        <v>0</v>
      </c>
      <c r="E8" s="533">
        <f>Points!H19</f>
        <v>357</v>
      </c>
      <c r="G8" s="519">
        <v>3</v>
      </c>
      <c r="H8" s="540" t="s">
        <v>14</v>
      </c>
      <c r="I8" s="535">
        <f>SUM(D6:D8)</f>
        <v>0</v>
      </c>
    </row>
    <row r="9" spans="1:9" ht="15.75" customHeight="1">
      <c r="A9" s="598">
        <v>5</v>
      </c>
      <c r="B9" s="599" t="s">
        <v>167</v>
      </c>
      <c r="C9" s="533">
        <f>Points!F74</f>
        <v>40</v>
      </c>
      <c r="D9" s="533">
        <f>Points!G74</f>
        <v>0</v>
      </c>
      <c r="E9" s="533">
        <f>Points!H74</f>
        <v>40</v>
      </c>
      <c r="G9" s="519">
        <v>2</v>
      </c>
      <c r="H9" s="542" t="s">
        <v>16</v>
      </c>
      <c r="I9" s="535">
        <f>SUM(D9:D10)</f>
        <v>0</v>
      </c>
    </row>
    <row r="10" spans="1:9" ht="15.75" customHeight="1">
      <c r="A10" s="600">
        <v>6</v>
      </c>
      <c r="B10" s="601" t="s">
        <v>168</v>
      </c>
      <c r="C10" s="547">
        <f>Points!F75</f>
        <v>1016</v>
      </c>
      <c r="D10" s="548">
        <f>Points!G75</f>
        <v>0</v>
      </c>
      <c r="E10" s="549">
        <f>Points!H75</f>
        <v>1016</v>
      </c>
      <c r="F10" s="523"/>
      <c r="G10" s="523"/>
    </row>
    <row r="11" spans="1:9" ht="15.75" customHeight="1">
      <c r="A11" s="602" t="s">
        <v>287</v>
      </c>
      <c r="B11" s="603" t="s">
        <v>225</v>
      </c>
      <c r="C11" s="588">
        <f>Points!J56</f>
        <v>798</v>
      </c>
      <c r="D11" s="589">
        <f>Points!G56</f>
        <v>0</v>
      </c>
      <c r="E11" s="590">
        <f>Points!L56</f>
        <v>798</v>
      </c>
      <c r="F11" s="519"/>
      <c r="G11" s="519"/>
    </row>
  </sheetData>
  <conditionalFormatting sqref="I5:I9">
    <cfRule type="cellIs" dxfId="19" priority="1" operator="greaterThan">
      <formula>0</formula>
    </cfRule>
  </conditionalFormatting>
  <conditionalFormatting sqref="I5:I9">
    <cfRule type="cellIs" dxfId="18" priority="2" operator="lessThan">
      <formula>0</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FF"/>
    <outlinePr summaryBelow="0" summaryRight="0"/>
  </sheetPr>
  <dimension ref="A1:K12"/>
  <sheetViews>
    <sheetView workbookViewId="0"/>
  </sheetViews>
  <sheetFormatPr defaultColWidth="12.6640625" defaultRowHeight="15.75" customHeight="1"/>
  <cols>
    <col min="1" max="1" width="7.44140625" customWidth="1"/>
    <col min="2" max="2" width="19.109375" customWidth="1"/>
    <col min="3" max="3" width="6.88671875" customWidth="1"/>
    <col min="4" max="4" width="10.77734375" customWidth="1"/>
  </cols>
  <sheetData>
    <row r="1" spans="1:11" ht="18.75" customHeight="1">
      <c r="A1" s="520" t="s">
        <v>4</v>
      </c>
      <c r="B1" s="520" t="s">
        <v>277</v>
      </c>
      <c r="D1" s="520" t="s">
        <v>278</v>
      </c>
      <c r="E1" s="521" t="s">
        <v>294</v>
      </c>
      <c r="G1" s="522">
        <v>1</v>
      </c>
      <c r="H1" s="523">
        <v>8</v>
      </c>
      <c r="I1" s="519">
        <v>9</v>
      </c>
      <c r="K1" s="519"/>
    </row>
    <row r="2" spans="1:11" ht="13.2">
      <c r="A2" s="604" t="s">
        <v>97</v>
      </c>
      <c r="B2" s="180" t="s">
        <v>295</v>
      </c>
    </row>
    <row r="4" spans="1:11" ht="13.2">
      <c r="A4" s="526" t="s">
        <v>281</v>
      </c>
      <c r="B4" s="527" t="s">
        <v>282</v>
      </c>
      <c r="C4" s="527" t="s">
        <v>283</v>
      </c>
      <c r="D4" s="527" t="s">
        <v>284</v>
      </c>
      <c r="E4" s="528" t="s">
        <v>285</v>
      </c>
      <c r="H4" s="518" t="s">
        <v>4</v>
      </c>
      <c r="I4" s="518" t="s">
        <v>286</v>
      </c>
    </row>
    <row r="5" spans="1:11" ht="15.6">
      <c r="A5" s="531">
        <v>1</v>
      </c>
      <c r="B5" s="605" t="s">
        <v>96</v>
      </c>
      <c r="C5" s="605">
        <f>Points!F94</f>
        <v>1083</v>
      </c>
      <c r="D5" s="605">
        <f>Points!G94</f>
        <v>0</v>
      </c>
      <c r="E5" s="605">
        <f>Points!H94</f>
        <v>1083</v>
      </c>
      <c r="F5" s="606"/>
      <c r="G5" s="607">
        <v>2</v>
      </c>
      <c r="H5" s="534" t="s">
        <v>8</v>
      </c>
      <c r="I5" s="535">
        <f>SUM(D5:D6)</f>
        <v>0</v>
      </c>
    </row>
    <row r="6" spans="1:11" ht="15.6">
      <c r="A6" s="531">
        <v>2</v>
      </c>
      <c r="B6" s="605" t="s">
        <v>98</v>
      </c>
      <c r="C6" s="605">
        <f>Points!F95</f>
        <v>715</v>
      </c>
      <c r="D6" s="605">
        <f>Points!G95</f>
        <v>0</v>
      </c>
      <c r="E6" s="605">
        <f>Points!H95</f>
        <v>715</v>
      </c>
      <c r="F6" s="606"/>
      <c r="G6" s="607">
        <v>1</v>
      </c>
      <c r="H6" s="538" t="s">
        <v>10</v>
      </c>
      <c r="I6" s="535">
        <f t="shared" ref="I6:I7" si="0">D7</f>
        <v>0</v>
      </c>
    </row>
    <row r="7" spans="1:11" ht="15.6">
      <c r="A7" s="536">
        <v>3</v>
      </c>
      <c r="B7" s="605" t="s">
        <v>199</v>
      </c>
      <c r="C7" s="605">
        <f>Points!F38</f>
        <v>169</v>
      </c>
      <c r="D7" s="605">
        <f>Points!G38</f>
        <v>0</v>
      </c>
      <c r="E7" s="605">
        <f>Points!H38</f>
        <v>169</v>
      </c>
      <c r="F7" s="608"/>
      <c r="G7" s="609">
        <v>1</v>
      </c>
      <c r="H7" s="539" t="s">
        <v>12</v>
      </c>
      <c r="I7" s="535">
        <f t="shared" si="0"/>
        <v>0</v>
      </c>
    </row>
    <row r="8" spans="1:11" ht="15.6">
      <c r="A8" s="541">
        <v>4</v>
      </c>
      <c r="B8" s="605" t="s">
        <v>296</v>
      </c>
      <c r="C8" s="605">
        <f>Points!F54</f>
        <v>693</v>
      </c>
      <c r="D8" s="605">
        <f>Points!G54</f>
        <v>0</v>
      </c>
      <c r="E8" s="605">
        <f>Points!H54</f>
        <v>693</v>
      </c>
      <c r="F8" s="608"/>
      <c r="G8" s="609">
        <v>2</v>
      </c>
      <c r="H8" s="540" t="s">
        <v>14</v>
      </c>
      <c r="I8" s="535">
        <f>SUM(D9:D10)</f>
        <v>0</v>
      </c>
    </row>
    <row r="9" spans="1:11" ht="15.6">
      <c r="A9" s="543">
        <v>5</v>
      </c>
      <c r="B9" s="605" t="s">
        <v>297</v>
      </c>
      <c r="C9" s="605">
        <f>Points!F15</f>
        <v>1211</v>
      </c>
      <c r="D9" s="610">
        <f>Points!G15</f>
        <v>0</v>
      </c>
      <c r="E9" s="611">
        <f>Points!H15</f>
        <v>1211</v>
      </c>
      <c r="F9" s="608"/>
      <c r="G9" s="609">
        <v>1</v>
      </c>
      <c r="H9" s="542" t="s">
        <v>16</v>
      </c>
      <c r="I9" s="535">
        <f>D11</f>
        <v>0</v>
      </c>
    </row>
    <row r="10" spans="1:11" ht="15.6">
      <c r="A10" s="543">
        <v>6</v>
      </c>
      <c r="B10" s="605" t="s">
        <v>139</v>
      </c>
      <c r="C10" s="605">
        <f>Points!F16</f>
        <v>401</v>
      </c>
      <c r="D10" s="610">
        <f>Points!G16</f>
        <v>0</v>
      </c>
      <c r="E10" s="611">
        <f>Points!H16</f>
        <v>401</v>
      </c>
      <c r="F10" s="612"/>
      <c r="G10" s="612"/>
      <c r="I10" s="99"/>
    </row>
    <row r="11" spans="1:11" ht="15.6">
      <c r="A11" s="545">
        <v>7</v>
      </c>
      <c r="B11" s="613" t="s">
        <v>166</v>
      </c>
      <c r="C11" s="613">
        <f>Points!F73</f>
        <v>564</v>
      </c>
      <c r="D11" s="614">
        <f>Points!G73</f>
        <v>0</v>
      </c>
      <c r="E11" s="615">
        <f>Points!H73</f>
        <v>564</v>
      </c>
      <c r="F11" s="523"/>
      <c r="G11" s="523"/>
    </row>
    <row r="12" spans="1:11" ht="15.6">
      <c r="A12" s="616" t="s">
        <v>287</v>
      </c>
      <c r="B12" s="617" t="s">
        <v>203</v>
      </c>
      <c r="C12" s="617">
        <f>Points!J39</f>
        <v>1</v>
      </c>
      <c r="D12" s="618">
        <f>Points!G39</f>
        <v>0</v>
      </c>
      <c r="E12" s="619">
        <f>Points!L39</f>
        <v>1</v>
      </c>
      <c r="F12" s="519"/>
      <c r="G12" s="519"/>
    </row>
  </sheetData>
  <conditionalFormatting sqref="I5:I9">
    <cfRule type="cellIs" dxfId="17" priority="1" operator="greaterThan">
      <formula>0</formula>
    </cfRule>
  </conditionalFormatting>
  <conditionalFormatting sqref="I5:I9">
    <cfRule type="cellIs" dxfId="16" priority="2" operator="lessThan">
      <formula>0</formula>
    </cfRule>
  </conditionalFormatting>
  <pageMargins left="0.7" right="0.7" top="0.75" bottom="0.75"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155CC"/>
    <outlinePr summaryBelow="0" summaryRight="0"/>
  </sheetPr>
  <dimension ref="A1:I13"/>
  <sheetViews>
    <sheetView workbookViewId="0"/>
  </sheetViews>
  <sheetFormatPr defaultColWidth="12.6640625" defaultRowHeight="15.75" customHeight="1"/>
  <cols>
    <col min="1" max="1" width="7.44140625" customWidth="1"/>
    <col min="2" max="2" width="19.109375" customWidth="1"/>
  </cols>
  <sheetData>
    <row r="1" spans="1:9">
      <c r="A1" s="518" t="s">
        <v>4</v>
      </c>
      <c r="B1" s="518" t="s">
        <v>277</v>
      </c>
      <c r="C1" s="519"/>
      <c r="D1" s="520" t="s">
        <v>278</v>
      </c>
      <c r="E1" s="521" t="s">
        <v>298</v>
      </c>
      <c r="F1" s="522">
        <v>1</v>
      </c>
      <c r="H1" s="519">
        <v>9</v>
      </c>
      <c r="I1" s="519">
        <v>11</v>
      </c>
    </row>
    <row r="2" spans="1:9">
      <c r="A2" s="620" t="s">
        <v>118</v>
      </c>
      <c r="B2" s="180" t="s">
        <v>295</v>
      </c>
    </row>
    <row r="3" spans="1:9">
      <c r="C3" s="525"/>
      <c r="D3" s="525"/>
      <c r="E3" s="525"/>
    </row>
    <row r="4" spans="1:9">
      <c r="A4" s="526" t="s">
        <v>281</v>
      </c>
      <c r="B4" s="527" t="s">
        <v>282</v>
      </c>
      <c r="C4" s="527" t="s">
        <v>283</v>
      </c>
      <c r="D4" s="527" t="s">
        <v>284</v>
      </c>
      <c r="E4" s="528" t="s">
        <v>285</v>
      </c>
      <c r="F4" s="529"/>
      <c r="G4" s="530"/>
      <c r="H4" s="518" t="s">
        <v>4</v>
      </c>
      <c r="I4" s="518" t="s">
        <v>286</v>
      </c>
    </row>
    <row r="5" spans="1:9" ht="15.75" customHeight="1">
      <c r="A5" s="621">
        <v>1</v>
      </c>
      <c r="B5" s="622" t="s">
        <v>192</v>
      </c>
      <c r="C5" s="623">
        <f>Points!F31</f>
        <v>462</v>
      </c>
      <c r="D5" s="623">
        <f>Points!G31</f>
        <v>0</v>
      </c>
      <c r="E5" s="623">
        <f>Points!H31</f>
        <v>462</v>
      </c>
      <c r="F5" s="624"/>
      <c r="H5" s="534" t="s">
        <v>8</v>
      </c>
      <c r="I5" s="595">
        <v>0</v>
      </c>
    </row>
    <row r="6" spans="1:9" ht="15.75" customHeight="1">
      <c r="A6" s="621">
        <v>2</v>
      </c>
      <c r="B6" s="622" t="s">
        <v>193</v>
      </c>
      <c r="C6" s="623">
        <f>Points!F32</f>
        <v>432</v>
      </c>
      <c r="D6" s="623">
        <f>Points!G32</f>
        <v>0</v>
      </c>
      <c r="E6" s="623">
        <f>Points!H32</f>
        <v>432</v>
      </c>
      <c r="H6" s="538" t="s">
        <v>10</v>
      </c>
      <c r="I6" s="535">
        <f>SUM(D5:D7)</f>
        <v>0</v>
      </c>
    </row>
    <row r="7" spans="1:9" ht="15.75" customHeight="1">
      <c r="A7" s="621">
        <v>3</v>
      </c>
      <c r="B7" s="622" t="s">
        <v>194</v>
      </c>
      <c r="C7" s="623">
        <f>Points!F33</f>
        <v>422</v>
      </c>
      <c r="D7" s="623">
        <f>Points!G33</f>
        <v>0</v>
      </c>
      <c r="E7" s="623">
        <f>Points!H33</f>
        <v>422</v>
      </c>
      <c r="H7" s="539" t="s">
        <v>12</v>
      </c>
      <c r="I7" s="595">
        <v>0</v>
      </c>
    </row>
    <row r="8" spans="1:9" ht="15.75" customHeight="1">
      <c r="A8" s="596">
        <v>4</v>
      </c>
      <c r="B8" s="597" t="s">
        <v>132</v>
      </c>
      <c r="C8" s="623">
        <f>Points!F9</f>
        <v>629</v>
      </c>
      <c r="D8" s="623">
        <f>Points!G9</f>
        <v>0</v>
      </c>
      <c r="E8" s="623">
        <f>Points!H9</f>
        <v>629</v>
      </c>
      <c r="H8" s="540" t="s">
        <v>14</v>
      </c>
      <c r="I8" s="535">
        <f>SUM(D8:D10)</f>
        <v>0</v>
      </c>
    </row>
    <row r="9" spans="1:9" ht="15.75" customHeight="1">
      <c r="A9" s="596">
        <v>5</v>
      </c>
      <c r="B9" s="597" t="s">
        <v>133</v>
      </c>
      <c r="C9" s="623">
        <f>Points!F10</f>
        <v>221</v>
      </c>
      <c r="D9" s="623">
        <f>Points!G10</f>
        <v>0</v>
      </c>
      <c r="E9" s="623">
        <f>Points!H10</f>
        <v>221</v>
      </c>
      <c r="H9" s="542" t="s">
        <v>16</v>
      </c>
      <c r="I9" s="535">
        <f>D11</f>
        <v>0</v>
      </c>
    </row>
    <row r="10" spans="1:9" ht="15.75" customHeight="1">
      <c r="A10" s="596">
        <v>6</v>
      </c>
      <c r="B10" s="597" t="s">
        <v>134</v>
      </c>
      <c r="C10" s="623">
        <f>Points!F11</f>
        <v>301</v>
      </c>
      <c r="D10" s="625">
        <f>Points!G11</f>
        <v>0</v>
      </c>
      <c r="E10" s="609">
        <f>Points!H11</f>
        <v>301</v>
      </c>
    </row>
    <row r="11" spans="1:9" ht="15.75" customHeight="1">
      <c r="A11" s="600">
        <v>7</v>
      </c>
      <c r="B11" s="601" t="s">
        <v>161</v>
      </c>
      <c r="C11" s="626">
        <f>Points!F68</f>
        <v>307</v>
      </c>
      <c r="D11" s="627">
        <f>Points!G68</f>
        <v>0</v>
      </c>
      <c r="E11" s="628">
        <f>Points!H68</f>
        <v>307</v>
      </c>
      <c r="F11" s="523"/>
      <c r="G11" s="523"/>
    </row>
    <row r="12" spans="1:9" ht="15.75" customHeight="1">
      <c r="A12" s="629" t="s">
        <v>287</v>
      </c>
      <c r="B12" s="630" t="s">
        <v>227</v>
      </c>
      <c r="C12" s="552">
        <f>Points!J57</f>
        <v>553</v>
      </c>
      <c r="D12" s="553">
        <f>Points!G57</f>
        <v>0</v>
      </c>
      <c r="E12" s="554">
        <f>Points!L57</f>
        <v>553</v>
      </c>
      <c r="F12" s="519"/>
      <c r="G12" s="519"/>
    </row>
    <row r="13" spans="1:9" ht="15.75" customHeight="1">
      <c r="A13" s="631" t="s">
        <v>289</v>
      </c>
      <c r="B13" s="632" t="s">
        <v>172</v>
      </c>
      <c r="C13" s="633">
        <f>Points!J77</f>
        <v>109</v>
      </c>
      <c r="D13" s="634">
        <f>Points!G77</f>
        <v>0</v>
      </c>
      <c r="E13" s="635">
        <f>Points!L77</f>
        <v>109</v>
      </c>
      <c r="F13" s="519"/>
      <c r="G13" s="519"/>
    </row>
  </sheetData>
  <conditionalFormatting sqref="I5:I9">
    <cfRule type="cellIs" dxfId="15" priority="1" operator="greaterThan">
      <formula>0</formula>
    </cfRule>
  </conditionalFormatting>
  <conditionalFormatting sqref="I5:I9">
    <cfRule type="cellIs" dxfId="14" priority="2" operator="lessThan">
      <formula>0</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74EA7"/>
    <outlinePr summaryBelow="0" summaryRight="0"/>
  </sheetPr>
  <dimension ref="A1:I19"/>
  <sheetViews>
    <sheetView workbookViewId="0"/>
  </sheetViews>
  <sheetFormatPr defaultColWidth="12.6640625" defaultRowHeight="15.75" customHeight="1"/>
  <cols>
    <col min="1" max="1" width="7.44140625" customWidth="1"/>
    <col min="2" max="2" width="19.109375" customWidth="1"/>
  </cols>
  <sheetData>
    <row r="1" spans="1:9">
      <c r="A1" s="518" t="s">
        <v>4</v>
      </c>
      <c r="B1" s="518" t="s">
        <v>277</v>
      </c>
      <c r="C1" s="519"/>
      <c r="D1" s="520" t="s">
        <v>278</v>
      </c>
      <c r="E1" s="521" t="s">
        <v>291</v>
      </c>
      <c r="F1" s="522">
        <v>1</v>
      </c>
      <c r="H1" s="519">
        <v>9</v>
      </c>
      <c r="I1" s="519">
        <v>9</v>
      </c>
    </row>
    <row r="2" spans="1:9">
      <c r="A2" s="636" t="s">
        <v>85</v>
      </c>
      <c r="B2" s="180" t="s">
        <v>295</v>
      </c>
    </row>
    <row r="3" spans="1:9">
      <c r="C3" s="525"/>
      <c r="D3" s="525"/>
      <c r="E3" s="525"/>
    </row>
    <row r="4" spans="1:9">
      <c r="A4" s="637" t="s">
        <v>281</v>
      </c>
      <c r="B4" s="638" t="s">
        <v>282</v>
      </c>
      <c r="C4" s="562" t="s">
        <v>283</v>
      </c>
      <c r="D4" s="562" t="s">
        <v>284</v>
      </c>
      <c r="E4" s="639" t="s">
        <v>285</v>
      </c>
      <c r="F4" s="529"/>
      <c r="H4" s="518" t="s">
        <v>4</v>
      </c>
      <c r="I4" s="518" t="s">
        <v>286</v>
      </c>
    </row>
    <row r="5" spans="1:9" ht="15.75" customHeight="1">
      <c r="A5" s="640">
        <v>1</v>
      </c>
      <c r="B5" s="641" t="s">
        <v>84</v>
      </c>
      <c r="C5" s="642">
        <f>Points!F87</f>
        <v>676</v>
      </c>
      <c r="D5" s="642">
        <f>Points!G87</f>
        <v>0</v>
      </c>
      <c r="E5" s="643">
        <f>Points!H87</f>
        <v>676</v>
      </c>
      <c r="H5" s="534" t="s">
        <v>8</v>
      </c>
      <c r="I5" s="535">
        <f>D5</f>
        <v>0</v>
      </c>
    </row>
    <row r="6" spans="1:9" ht="15.75" customHeight="1">
      <c r="A6" s="644">
        <v>2</v>
      </c>
      <c r="B6" s="622" t="s">
        <v>189</v>
      </c>
      <c r="C6" s="533">
        <f>Points!F28</f>
        <v>688</v>
      </c>
      <c r="D6" s="533">
        <f>Points!G28</f>
        <v>0</v>
      </c>
      <c r="E6" s="645">
        <f>Points!H28</f>
        <v>688</v>
      </c>
      <c r="H6" s="538" t="s">
        <v>10</v>
      </c>
      <c r="I6" s="535">
        <f>SUM(D6:D7)</f>
        <v>0</v>
      </c>
    </row>
    <row r="7" spans="1:9" ht="15.75" customHeight="1">
      <c r="A7" s="644">
        <v>3</v>
      </c>
      <c r="B7" s="622" t="s">
        <v>190</v>
      </c>
      <c r="C7" s="533">
        <f>Points!F29</f>
        <v>550</v>
      </c>
      <c r="D7" s="533">
        <f>Points!G29</f>
        <v>0</v>
      </c>
      <c r="E7" s="645">
        <f>Points!H29</f>
        <v>550</v>
      </c>
      <c r="H7" s="539" t="s">
        <v>12</v>
      </c>
      <c r="I7" s="535">
        <f>SUM(D8:D9)</f>
        <v>0</v>
      </c>
    </row>
    <row r="8" spans="1:9" ht="15.75" customHeight="1">
      <c r="A8" s="646">
        <v>4</v>
      </c>
      <c r="B8" s="594" t="s">
        <v>214</v>
      </c>
      <c r="C8" s="642">
        <f>Points!F47</f>
        <v>752</v>
      </c>
      <c r="D8" s="642">
        <f>Points!G47</f>
        <v>0</v>
      </c>
      <c r="E8" s="643">
        <f>Points!H47</f>
        <v>752</v>
      </c>
      <c r="H8" s="540" t="s">
        <v>14</v>
      </c>
      <c r="I8" s="595">
        <v>0</v>
      </c>
    </row>
    <row r="9" spans="1:9" ht="15.75" customHeight="1">
      <c r="A9" s="646">
        <v>5</v>
      </c>
      <c r="B9" s="594" t="s">
        <v>215</v>
      </c>
      <c r="C9" s="642">
        <f>Points!F48</f>
        <v>433</v>
      </c>
      <c r="D9" s="647">
        <f>Points!G48</f>
        <v>0</v>
      </c>
      <c r="E9" s="643">
        <f>Points!H48</f>
        <v>433</v>
      </c>
      <c r="H9" s="578" t="s">
        <v>16</v>
      </c>
      <c r="I9" s="535">
        <f>D10</f>
        <v>0</v>
      </c>
    </row>
    <row r="10" spans="1:9" ht="15.75" customHeight="1">
      <c r="A10" s="648">
        <v>6</v>
      </c>
      <c r="B10" s="649" t="s">
        <v>159</v>
      </c>
      <c r="C10" s="650">
        <f>Points!F66</f>
        <v>405</v>
      </c>
      <c r="D10" s="651">
        <f>Points!G66</f>
        <v>0</v>
      </c>
      <c r="E10" s="652">
        <f>Points!H66</f>
        <v>405</v>
      </c>
      <c r="F10" s="653"/>
      <c r="G10" s="653"/>
    </row>
    <row r="11" spans="1:9" ht="15.75" customHeight="1">
      <c r="A11" s="654" t="s">
        <v>287</v>
      </c>
      <c r="B11" s="655" t="s">
        <v>104</v>
      </c>
      <c r="C11" s="552">
        <f>Points!J98</f>
        <v>536</v>
      </c>
      <c r="D11" s="553">
        <f>Points!G98</f>
        <v>0</v>
      </c>
      <c r="E11" s="554">
        <f>Points!L98</f>
        <v>536</v>
      </c>
    </row>
    <row r="12" spans="1:9" ht="15.75" customHeight="1">
      <c r="A12" s="646" t="s">
        <v>289</v>
      </c>
      <c r="B12" s="594" t="s">
        <v>229</v>
      </c>
      <c r="C12" s="656">
        <f>Points!J58</f>
        <v>552</v>
      </c>
      <c r="D12" s="656">
        <f>Points!G58</f>
        <v>0</v>
      </c>
      <c r="E12" s="657">
        <f>Points!L58</f>
        <v>552</v>
      </c>
    </row>
    <row r="13" spans="1:9" ht="15.75" customHeight="1">
      <c r="A13" s="658" t="s">
        <v>299</v>
      </c>
      <c r="B13" s="659" t="s">
        <v>147</v>
      </c>
      <c r="C13" s="557">
        <f>Points!J21</f>
        <v>8</v>
      </c>
      <c r="D13" s="558">
        <f>Points!G21</f>
        <v>0</v>
      </c>
      <c r="E13" s="559">
        <f>Points!L21</f>
        <v>8</v>
      </c>
    </row>
    <row r="19" spans="9:9">
      <c r="I19" s="660"/>
    </row>
  </sheetData>
  <conditionalFormatting sqref="I5:I9">
    <cfRule type="cellIs" dxfId="13" priority="1" operator="greaterThan">
      <formula>0</formula>
    </cfRule>
  </conditionalFormatting>
  <conditionalFormatting sqref="I5:I9">
    <cfRule type="cellIs" dxfId="12" priority="2" operator="lessThan">
      <formula>0</formula>
    </cfRule>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outlinePr summaryBelow="0" summaryRight="0"/>
  </sheetPr>
  <dimension ref="A1:I12"/>
  <sheetViews>
    <sheetView workbookViewId="0"/>
  </sheetViews>
  <sheetFormatPr defaultColWidth="12.6640625" defaultRowHeight="15.75" customHeight="1"/>
  <cols>
    <col min="1" max="1" width="7.44140625" customWidth="1"/>
    <col min="2" max="2" width="19.109375" customWidth="1"/>
  </cols>
  <sheetData>
    <row r="1" spans="1:9">
      <c r="A1" s="518" t="s">
        <v>4</v>
      </c>
      <c r="B1" s="518" t="s">
        <v>277</v>
      </c>
      <c r="C1" s="519"/>
      <c r="D1" s="520" t="s">
        <v>278</v>
      </c>
      <c r="E1" s="661"/>
      <c r="F1" s="522">
        <v>1</v>
      </c>
      <c r="H1" s="519">
        <v>8</v>
      </c>
      <c r="I1" s="519">
        <v>11</v>
      </c>
    </row>
    <row r="2" spans="1:9">
      <c r="A2" s="662" t="s">
        <v>79</v>
      </c>
      <c r="B2" s="180" t="s">
        <v>295</v>
      </c>
    </row>
    <row r="3" spans="1:9">
      <c r="A3" s="663"/>
      <c r="B3" s="663"/>
      <c r="C3" s="663"/>
      <c r="D3" s="663"/>
      <c r="E3" s="663"/>
    </row>
    <row r="4" spans="1:9">
      <c r="A4" s="561" t="s">
        <v>281</v>
      </c>
      <c r="B4" s="562" t="s">
        <v>282</v>
      </c>
      <c r="C4" s="562" t="s">
        <v>283</v>
      </c>
      <c r="D4" s="562" t="s">
        <v>284</v>
      </c>
      <c r="E4" s="563" t="s">
        <v>285</v>
      </c>
      <c r="F4" s="523"/>
      <c r="H4" s="518" t="s">
        <v>4</v>
      </c>
      <c r="I4" s="518" t="s">
        <v>286</v>
      </c>
    </row>
    <row r="5" spans="1:9" ht="15.75" customHeight="1">
      <c r="A5" s="565">
        <v>1</v>
      </c>
      <c r="B5" s="537" t="s">
        <v>76</v>
      </c>
      <c r="C5" s="642">
        <f>Points!F83</f>
        <v>459</v>
      </c>
      <c r="D5" s="647">
        <f>Points!G83</f>
        <v>0</v>
      </c>
      <c r="E5" s="643">
        <f>Points!H83</f>
        <v>459</v>
      </c>
      <c r="H5" s="534" t="s">
        <v>8</v>
      </c>
      <c r="I5" s="535">
        <f>SUM(D5:D6)</f>
        <v>0</v>
      </c>
    </row>
    <row r="6" spans="1:9" ht="15.75" customHeight="1">
      <c r="A6" s="565">
        <v>2</v>
      </c>
      <c r="B6" s="537" t="s">
        <v>80</v>
      </c>
      <c r="C6" s="642">
        <f>Points!F84</f>
        <v>388</v>
      </c>
      <c r="D6" s="647">
        <f>Points!G84</f>
        <v>0</v>
      </c>
      <c r="E6" s="643">
        <f>Points!H84</f>
        <v>388</v>
      </c>
      <c r="H6" s="538" t="s">
        <v>10</v>
      </c>
      <c r="I6" s="535">
        <f>D7</f>
        <v>0</v>
      </c>
    </row>
    <row r="7" spans="1:9" ht="15.75" customHeight="1">
      <c r="A7" s="573">
        <v>3</v>
      </c>
      <c r="B7" s="537" t="s">
        <v>187</v>
      </c>
      <c r="C7" s="623">
        <f>Points!F26</f>
        <v>404</v>
      </c>
      <c r="D7" s="625">
        <f>Points!G26</f>
        <v>0</v>
      </c>
      <c r="E7" s="664">
        <f>Points!H26</f>
        <v>404</v>
      </c>
      <c r="H7" s="539" t="s">
        <v>12</v>
      </c>
      <c r="I7" s="535">
        <f>SUM(D8:D10)</f>
        <v>0</v>
      </c>
    </row>
    <row r="8" spans="1:9" ht="15.75" customHeight="1">
      <c r="A8" s="575">
        <v>4</v>
      </c>
      <c r="B8" s="537" t="s">
        <v>209</v>
      </c>
      <c r="C8" s="642">
        <f>Points!F43</f>
        <v>724</v>
      </c>
      <c r="D8" s="647">
        <f>Points!G43</f>
        <v>0</v>
      </c>
      <c r="E8" s="643">
        <f>Points!H43</f>
        <v>724</v>
      </c>
      <c r="H8" s="540" t="s">
        <v>14</v>
      </c>
      <c r="I8" s="595">
        <v>0</v>
      </c>
    </row>
    <row r="9" spans="1:9" ht="15.75" customHeight="1">
      <c r="A9" s="575">
        <v>5</v>
      </c>
      <c r="B9" s="537" t="s">
        <v>300</v>
      </c>
      <c r="C9" s="642">
        <f>Points!F44</f>
        <v>157</v>
      </c>
      <c r="D9" s="647">
        <f>Points!G44</f>
        <v>0</v>
      </c>
      <c r="E9" s="643">
        <f>Points!H44</f>
        <v>157</v>
      </c>
      <c r="H9" s="542" t="s">
        <v>16</v>
      </c>
      <c r="I9" s="535">
        <f>D11</f>
        <v>0</v>
      </c>
    </row>
    <row r="10" spans="1:9" ht="15.75" customHeight="1">
      <c r="A10" s="575">
        <v>6</v>
      </c>
      <c r="B10" s="537" t="s">
        <v>212</v>
      </c>
      <c r="C10" s="642">
        <f>Points!F45</f>
        <v>903</v>
      </c>
      <c r="D10" s="647">
        <f>Points!G45</f>
        <v>0</v>
      </c>
      <c r="E10" s="643">
        <f>Points!H45</f>
        <v>903</v>
      </c>
    </row>
    <row r="11" spans="1:9" ht="15.75" customHeight="1">
      <c r="A11" s="581">
        <v>7</v>
      </c>
      <c r="B11" s="665" t="s">
        <v>156</v>
      </c>
      <c r="C11" s="650">
        <f>Points!F63</f>
        <v>56</v>
      </c>
      <c r="D11" s="651">
        <f>Points!G63</f>
        <v>0</v>
      </c>
      <c r="E11" s="652">
        <f>Points!H63</f>
        <v>56</v>
      </c>
      <c r="F11" s="523"/>
      <c r="G11" s="523"/>
    </row>
    <row r="12" spans="1:9" ht="15.75" customHeight="1">
      <c r="A12" s="666" t="s">
        <v>287</v>
      </c>
      <c r="B12" s="667" t="s">
        <v>170</v>
      </c>
      <c r="C12" s="588">
        <f>Points!J76</f>
        <v>381</v>
      </c>
      <c r="D12" s="589">
        <f>Points!G76</f>
        <v>0</v>
      </c>
      <c r="E12" s="590">
        <f>Points!L76</f>
        <v>381</v>
      </c>
      <c r="F12" s="519"/>
      <c r="G12" s="519"/>
    </row>
  </sheetData>
  <conditionalFormatting sqref="I5:I9">
    <cfRule type="cellIs" dxfId="11" priority="1" operator="greaterThan">
      <formula>0</formula>
    </cfRule>
  </conditionalFormatting>
  <conditionalFormatting sqref="I5:I9">
    <cfRule type="cellIs" dxfId="10" priority="2" operator="lessThan">
      <formula>0</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0000"/>
    <outlinePr summaryBelow="0" summaryRight="0"/>
  </sheetPr>
  <dimension ref="A1:I14"/>
  <sheetViews>
    <sheetView workbookViewId="0"/>
  </sheetViews>
  <sheetFormatPr defaultColWidth="12.6640625" defaultRowHeight="15.75" customHeight="1"/>
  <cols>
    <col min="1" max="1" width="7.44140625" customWidth="1"/>
    <col min="2" max="2" width="19.109375" customWidth="1"/>
  </cols>
  <sheetData>
    <row r="1" spans="1:9">
      <c r="A1" s="518" t="s">
        <v>4</v>
      </c>
      <c r="B1" s="518" t="s">
        <v>277</v>
      </c>
      <c r="C1" s="519"/>
      <c r="D1" s="520" t="s">
        <v>278</v>
      </c>
      <c r="E1" s="521" t="s">
        <v>298</v>
      </c>
      <c r="F1" s="522">
        <v>1</v>
      </c>
      <c r="H1" s="519">
        <v>10</v>
      </c>
      <c r="I1" s="519">
        <v>12</v>
      </c>
    </row>
    <row r="2" spans="1:9">
      <c r="A2" s="668" t="s">
        <v>301</v>
      </c>
      <c r="B2" s="180" t="s">
        <v>302</v>
      </c>
    </row>
    <row r="3" spans="1:9">
      <c r="C3" s="525"/>
      <c r="D3" s="525"/>
      <c r="E3" s="525"/>
    </row>
    <row r="4" spans="1:9">
      <c r="A4" s="526" t="s">
        <v>281</v>
      </c>
      <c r="B4" s="527" t="s">
        <v>282</v>
      </c>
      <c r="C4" s="527" t="s">
        <v>283</v>
      </c>
      <c r="D4" s="527" t="s">
        <v>284</v>
      </c>
      <c r="E4" s="528" t="s">
        <v>285</v>
      </c>
      <c r="F4" s="529"/>
      <c r="G4" s="530"/>
      <c r="H4" s="518" t="s">
        <v>4</v>
      </c>
      <c r="I4" s="518" t="s">
        <v>286</v>
      </c>
    </row>
    <row r="5" spans="1:9">
      <c r="A5" s="531">
        <v>1</v>
      </c>
      <c r="B5" s="669" t="s">
        <v>90</v>
      </c>
      <c r="C5" s="642">
        <f>Points!F90</f>
        <v>415</v>
      </c>
      <c r="D5" s="642">
        <f>Points!G90</f>
        <v>0</v>
      </c>
      <c r="E5" s="642">
        <f>Points!H90</f>
        <v>415</v>
      </c>
      <c r="H5" s="534" t="s">
        <v>8</v>
      </c>
      <c r="I5" s="535">
        <f>SUM(D5:D7)</f>
        <v>0</v>
      </c>
    </row>
    <row r="6" spans="1:9">
      <c r="A6" s="531">
        <v>2</v>
      </c>
      <c r="B6" s="669" t="s">
        <v>92</v>
      </c>
      <c r="C6" s="642">
        <f>Points!F91</f>
        <v>831</v>
      </c>
      <c r="D6" s="642">
        <f>Points!G91</f>
        <v>0</v>
      </c>
      <c r="E6" s="642">
        <f>Points!H91</f>
        <v>831</v>
      </c>
      <c r="H6" s="538" t="s">
        <v>10</v>
      </c>
      <c r="I6" s="535">
        <f t="shared" ref="I6:I7" si="0">D8</f>
        <v>0</v>
      </c>
    </row>
    <row r="7" spans="1:9">
      <c r="A7" s="531">
        <v>3</v>
      </c>
      <c r="B7" s="669" t="s">
        <v>93</v>
      </c>
      <c r="C7" s="642">
        <f>Points!F92</f>
        <v>350</v>
      </c>
      <c r="D7" s="642">
        <f>Points!G92</f>
        <v>0</v>
      </c>
      <c r="E7" s="642">
        <f>Points!H92</f>
        <v>350</v>
      </c>
      <c r="H7" s="539" t="s">
        <v>12</v>
      </c>
      <c r="I7" s="535">
        <f t="shared" si="0"/>
        <v>0</v>
      </c>
    </row>
    <row r="8" spans="1:9">
      <c r="A8" s="536">
        <v>4</v>
      </c>
      <c r="B8" s="669" t="s">
        <v>195</v>
      </c>
      <c r="C8" s="642">
        <f>Points!F34</f>
        <v>585</v>
      </c>
      <c r="D8" s="642">
        <f>Points!G34</f>
        <v>0</v>
      </c>
      <c r="E8" s="642">
        <f>Points!H34</f>
        <v>585</v>
      </c>
      <c r="H8" s="540" t="s">
        <v>14</v>
      </c>
      <c r="I8" s="535">
        <f>SUM(D10:D11)</f>
        <v>0</v>
      </c>
    </row>
    <row r="9" spans="1:9">
      <c r="A9" s="541">
        <v>5</v>
      </c>
      <c r="B9" s="669" t="s">
        <v>218</v>
      </c>
      <c r="C9" s="642">
        <f>Points!F51</f>
        <v>536</v>
      </c>
      <c r="D9" s="642">
        <f>Points!G51</f>
        <v>0</v>
      </c>
      <c r="E9" s="642">
        <f>Points!H51</f>
        <v>536</v>
      </c>
      <c r="H9" s="542" t="s">
        <v>16</v>
      </c>
      <c r="I9" s="535">
        <f>SUM(D12:D13)</f>
        <v>0</v>
      </c>
    </row>
    <row r="10" spans="1:9">
      <c r="A10" s="543">
        <v>6</v>
      </c>
      <c r="B10" s="669" t="s">
        <v>135</v>
      </c>
      <c r="C10" s="642">
        <f>Points!F12</f>
        <v>98</v>
      </c>
      <c r="D10" s="642">
        <f>Points!G12</f>
        <v>0</v>
      </c>
      <c r="E10" s="642">
        <f>Points!H12</f>
        <v>98</v>
      </c>
    </row>
    <row r="11" spans="1:9">
      <c r="A11" s="543">
        <v>7</v>
      </c>
      <c r="B11" s="669" t="s">
        <v>136</v>
      </c>
      <c r="C11" s="642">
        <f>Points!F13</f>
        <v>433</v>
      </c>
      <c r="D11" s="642">
        <f>Points!G13</f>
        <v>0</v>
      </c>
      <c r="E11" s="642">
        <f>Points!H13</f>
        <v>433</v>
      </c>
    </row>
    <row r="12" spans="1:9">
      <c r="A12" s="544">
        <v>8</v>
      </c>
      <c r="B12" s="669" t="s">
        <v>162</v>
      </c>
      <c r="C12" s="642">
        <f>Points!F69</f>
        <v>127</v>
      </c>
      <c r="D12" s="642">
        <f>Points!G69</f>
        <v>0</v>
      </c>
      <c r="E12" s="642">
        <f>Points!H69</f>
        <v>127</v>
      </c>
    </row>
    <row r="13" spans="1:9">
      <c r="A13" s="545">
        <v>9</v>
      </c>
      <c r="B13" s="669" t="s">
        <v>163</v>
      </c>
      <c r="C13" s="650">
        <f>Points!F70</f>
        <v>815</v>
      </c>
      <c r="D13" s="651">
        <f>Points!G70</f>
        <v>0</v>
      </c>
      <c r="E13" s="670">
        <f>Points!H70</f>
        <v>815</v>
      </c>
      <c r="F13" s="523"/>
      <c r="G13" s="523"/>
    </row>
    <row r="14" spans="1:9" ht="15.75" customHeight="1">
      <c r="A14" s="671" t="s">
        <v>287</v>
      </c>
      <c r="B14" s="672" t="s">
        <v>205</v>
      </c>
      <c r="C14" s="588">
        <f>Points!J40</f>
        <v>473</v>
      </c>
      <c r="D14" s="589">
        <f>Points!G40</f>
        <v>0</v>
      </c>
      <c r="E14" s="590">
        <f>Points!L40</f>
        <v>473</v>
      </c>
      <c r="F14" s="519"/>
      <c r="G14" s="519"/>
    </row>
  </sheetData>
  <conditionalFormatting sqref="I5:I9">
    <cfRule type="cellIs" dxfId="9" priority="1" operator="greaterThan">
      <formula>0</formula>
    </cfRule>
  </conditionalFormatting>
  <conditionalFormatting sqref="I5:I9">
    <cfRule type="cellIs" dxfId="8" priority="2" operator="lessThan">
      <formula>0</formula>
    </cfRule>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outlinePr summaryBelow="0" summaryRight="0"/>
  </sheetPr>
  <dimension ref="A1:I12"/>
  <sheetViews>
    <sheetView workbookViewId="0"/>
  </sheetViews>
  <sheetFormatPr defaultColWidth="12.6640625" defaultRowHeight="15.75" customHeight="1"/>
  <cols>
    <col min="1" max="1" width="7.44140625" customWidth="1"/>
    <col min="2" max="2" width="19.109375" customWidth="1"/>
  </cols>
  <sheetData>
    <row r="1" spans="1:9">
      <c r="A1" s="518"/>
      <c r="B1" s="518" t="s">
        <v>277</v>
      </c>
      <c r="C1" s="519"/>
      <c r="D1" s="520" t="s">
        <v>278</v>
      </c>
      <c r="E1" s="521" t="s">
        <v>279</v>
      </c>
      <c r="F1" s="522">
        <v>1</v>
      </c>
      <c r="G1" s="519">
        <v>8</v>
      </c>
    </row>
    <row r="2" spans="1:9">
      <c r="A2" s="673" t="s">
        <v>88</v>
      </c>
      <c r="B2" s="180" t="s">
        <v>302</v>
      </c>
    </row>
    <row r="3" spans="1:9">
      <c r="C3" s="525"/>
      <c r="D3" s="525"/>
      <c r="E3" s="525"/>
    </row>
    <row r="4" spans="1:9">
      <c r="A4" s="674" t="s">
        <v>281</v>
      </c>
      <c r="B4" s="675" t="s">
        <v>282</v>
      </c>
      <c r="C4" s="527" t="s">
        <v>283</v>
      </c>
      <c r="D4" s="527" t="s">
        <v>284</v>
      </c>
      <c r="E4" s="676" t="s">
        <v>285</v>
      </c>
      <c r="F4" s="529"/>
      <c r="H4" s="518" t="s">
        <v>4</v>
      </c>
      <c r="I4" s="518" t="s">
        <v>286</v>
      </c>
    </row>
    <row r="5" spans="1:9" ht="15.75" customHeight="1">
      <c r="A5" s="531">
        <v>1</v>
      </c>
      <c r="B5" s="537" t="s">
        <v>86</v>
      </c>
      <c r="C5" s="642">
        <f>Points!F88</f>
        <v>854</v>
      </c>
      <c r="D5" s="642">
        <f>Points!G88</f>
        <v>0</v>
      </c>
      <c r="E5" s="642">
        <f>Points!H88</f>
        <v>854</v>
      </c>
      <c r="H5" s="534" t="s">
        <v>8</v>
      </c>
      <c r="I5" s="535">
        <f>SUM(D5:D7)</f>
        <v>0</v>
      </c>
    </row>
    <row r="6" spans="1:9" ht="15.75" customHeight="1">
      <c r="A6" s="531">
        <v>2</v>
      </c>
      <c r="B6" s="537" t="s">
        <v>89</v>
      </c>
      <c r="C6" s="642">
        <f>Points!F89</f>
        <v>425</v>
      </c>
      <c r="D6" s="642">
        <f>Points!G89</f>
        <v>0</v>
      </c>
      <c r="E6" s="642">
        <f>Points!H89</f>
        <v>425</v>
      </c>
      <c r="H6" s="538" t="s">
        <v>10</v>
      </c>
      <c r="I6" s="535">
        <f>D8</f>
        <v>0</v>
      </c>
    </row>
    <row r="7" spans="1:9" ht="15.75" customHeight="1">
      <c r="A7" s="531">
        <v>3</v>
      </c>
      <c r="B7" s="537" t="s">
        <v>303</v>
      </c>
      <c r="C7" s="642">
        <f>Points!F96</f>
        <v>543</v>
      </c>
      <c r="D7" s="642">
        <f>Points!G96</f>
        <v>0</v>
      </c>
      <c r="E7" s="642">
        <f>Points!H96</f>
        <v>543</v>
      </c>
      <c r="H7" s="539" t="s">
        <v>12</v>
      </c>
      <c r="I7" s="535">
        <f>SUM(D9:D10)</f>
        <v>0</v>
      </c>
    </row>
    <row r="8" spans="1:9" ht="15.75" customHeight="1">
      <c r="A8" s="536">
        <v>4</v>
      </c>
      <c r="B8" s="537" t="s">
        <v>191</v>
      </c>
      <c r="C8" s="642">
        <f>Points!F30</f>
        <v>348</v>
      </c>
      <c r="D8" s="642">
        <f>Points!G30</f>
        <v>0</v>
      </c>
      <c r="E8" s="642">
        <f>Points!H30</f>
        <v>348</v>
      </c>
      <c r="H8" s="540" t="s">
        <v>14</v>
      </c>
      <c r="I8" s="535">
        <f t="shared" ref="I8:I9" si="0">D11</f>
        <v>0</v>
      </c>
    </row>
    <row r="9" spans="1:9" ht="15.75" customHeight="1">
      <c r="A9" s="541">
        <v>5</v>
      </c>
      <c r="B9" s="537" t="s">
        <v>216</v>
      </c>
      <c r="C9" s="642">
        <f>Points!F49</f>
        <v>245</v>
      </c>
      <c r="D9" s="642">
        <f>Points!G49</f>
        <v>0</v>
      </c>
      <c r="E9" s="642">
        <f>Points!H49</f>
        <v>245</v>
      </c>
      <c r="H9" s="542" t="s">
        <v>16</v>
      </c>
      <c r="I9" s="535">
        <f t="shared" si="0"/>
        <v>0</v>
      </c>
    </row>
    <row r="10" spans="1:9" ht="15.75" customHeight="1">
      <c r="A10" s="541">
        <v>6</v>
      </c>
      <c r="B10" s="537" t="s">
        <v>217</v>
      </c>
      <c r="C10" s="642">
        <f>Points!F50</f>
        <v>560</v>
      </c>
      <c r="D10" s="642">
        <f>Points!G50</f>
        <v>0</v>
      </c>
      <c r="E10" s="642">
        <f>Points!H50</f>
        <v>560</v>
      </c>
    </row>
    <row r="11" spans="1:9" ht="15.75" customHeight="1">
      <c r="A11" s="543">
        <v>7</v>
      </c>
      <c r="B11" s="537" t="s">
        <v>131</v>
      </c>
      <c r="C11" s="642">
        <f>Points!F8</f>
        <v>444</v>
      </c>
      <c r="D11" s="642">
        <f>Points!G8</f>
        <v>0</v>
      </c>
      <c r="E11" s="642">
        <f>Points!H8</f>
        <v>444</v>
      </c>
    </row>
    <row r="12" spans="1:9" ht="15.75" customHeight="1">
      <c r="A12" s="677">
        <v>8</v>
      </c>
      <c r="B12" s="678" t="s">
        <v>160</v>
      </c>
      <c r="C12" s="679">
        <f>Points!F67</f>
        <v>431</v>
      </c>
      <c r="D12" s="679">
        <f>Points!G67</f>
        <v>0</v>
      </c>
      <c r="E12" s="679">
        <f>Points!H67</f>
        <v>431</v>
      </c>
    </row>
  </sheetData>
  <conditionalFormatting sqref="I5:I9">
    <cfRule type="cellIs" dxfId="7" priority="1" operator="greaterThan">
      <formula>0</formula>
    </cfRule>
  </conditionalFormatting>
  <conditionalFormatting sqref="I5:I9">
    <cfRule type="cellIs" dxfId="6" priority="2" operator="lessThan">
      <formula>0</formula>
    </cfRule>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E599"/>
    <outlinePr summaryBelow="0" summaryRight="0"/>
  </sheetPr>
  <dimension ref="A1:K27"/>
  <sheetViews>
    <sheetView workbookViewId="0"/>
  </sheetViews>
  <sheetFormatPr defaultColWidth="12.6640625" defaultRowHeight="15.75" customHeight="1"/>
  <cols>
    <col min="1" max="1" width="7.44140625" customWidth="1"/>
    <col min="2" max="2" width="20.21875" customWidth="1"/>
    <col min="3" max="3" width="9" customWidth="1"/>
    <col min="4" max="4" width="10.77734375" customWidth="1"/>
    <col min="5" max="5" width="10" customWidth="1"/>
  </cols>
  <sheetData>
    <row r="1" spans="1:11">
      <c r="A1" s="518" t="s">
        <v>4</v>
      </c>
      <c r="B1" s="518" t="s">
        <v>277</v>
      </c>
      <c r="D1" s="520" t="s">
        <v>278</v>
      </c>
      <c r="E1" s="521" t="s">
        <v>279</v>
      </c>
      <c r="F1" s="522">
        <v>1</v>
      </c>
      <c r="H1" s="519">
        <v>11</v>
      </c>
      <c r="I1" s="519">
        <v>12</v>
      </c>
    </row>
    <row r="2" spans="1:11">
      <c r="A2" s="680" t="s">
        <v>106</v>
      </c>
      <c r="B2" s="180" t="s">
        <v>292</v>
      </c>
    </row>
    <row r="3" spans="1:11">
      <c r="K3" s="525"/>
    </row>
    <row r="4" spans="1:11">
      <c r="A4" s="561" t="s">
        <v>281</v>
      </c>
      <c r="B4" s="562" t="s">
        <v>63</v>
      </c>
      <c r="C4" s="562" t="s">
        <v>283</v>
      </c>
      <c r="D4" s="562" t="s">
        <v>284</v>
      </c>
      <c r="E4" s="563" t="s">
        <v>285</v>
      </c>
      <c r="H4" s="518" t="s">
        <v>4</v>
      </c>
      <c r="I4" s="518" t="s">
        <v>286</v>
      </c>
    </row>
    <row r="5" spans="1:11" ht="15.75" customHeight="1">
      <c r="A5" s="565">
        <v>1</v>
      </c>
      <c r="B5" s="532" t="s">
        <v>304</v>
      </c>
      <c r="C5" s="642">
        <f>Points!F82</f>
        <v>113</v>
      </c>
      <c r="D5" s="642">
        <f>Points!G82</f>
        <v>0</v>
      </c>
      <c r="E5" s="643">
        <f>Points!H82</f>
        <v>113</v>
      </c>
      <c r="F5" s="681" t="s">
        <v>305</v>
      </c>
      <c r="H5" s="534" t="s">
        <v>8</v>
      </c>
      <c r="I5" s="535">
        <f>D5</f>
        <v>0</v>
      </c>
    </row>
    <row r="6" spans="1:11" ht="15.75" customHeight="1">
      <c r="A6" s="573">
        <v>2</v>
      </c>
      <c r="B6" s="537" t="s">
        <v>236</v>
      </c>
      <c r="C6" s="642">
        <f>Points!F24</f>
        <v>311</v>
      </c>
      <c r="D6" s="642">
        <f>Points!G24</f>
        <v>0</v>
      </c>
      <c r="E6" s="643">
        <f>Points!H24</f>
        <v>311</v>
      </c>
      <c r="H6" s="538" t="s">
        <v>10</v>
      </c>
      <c r="I6" s="535">
        <f>SUM(D6:D7)</f>
        <v>0</v>
      </c>
    </row>
    <row r="7" spans="1:11" ht="15.75" customHeight="1">
      <c r="A7" s="573">
        <v>3</v>
      </c>
      <c r="B7" s="537" t="s">
        <v>185</v>
      </c>
      <c r="C7" s="642">
        <f>Points!F25</f>
        <v>0</v>
      </c>
      <c r="D7" s="642">
        <f>Points!G25</f>
        <v>0</v>
      </c>
      <c r="E7" s="643">
        <f>Points!H25</f>
        <v>0</v>
      </c>
      <c r="H7" s="539" t="s">
        <v>12</v>
      </c>
      <c r="I7" s="535">
        <f>SUM(D8:D9)</f>
        <v>0</v>
      </c>
    </row>
    <row r="8" spans="1:11" ht="15.75" customHeight="1">
      <c r="A8" s="575">
        <v>4</v>
      </c>
      <c r="B8" s="537" t="s">
        <v>207</v>
      </c>
      <c r="C8" s="642">
        <f>Points!F41</f>
        <v>139</v>
      </c>
      <c r="D8" s="642">
        <f>Points!G41</f>
        <v>0</v>
      </c>
      <c r="E8" s="643">
        <f>Points!H41</f>
        <v>139</v>
      </c>
      <c r="H8" s="540" t="s">
        <v>14</v>
      </c>
      <c r="I8" s="535">
        <f>SUM(D10:D11)</f>
        <v>0</v>
      </c>
    </row>
    <row r="9" spans="1:11" ht="15.75" customHeight="1">
      <c r="A9" s="575">
        <v>5</v>
      </c>
      <c r="B9" s="537" t="s">
        <v>208</v>
      </c>
      <c r="C9" s="642">
        <f>Points!F42</f>
        <v>532</v>
      </c>
      <c r="D9" s="642">
        <f>Points!G42</f>
        <v>0</v>
      </c>
      <c r="E9" s="643">
        <f>Points!H42</f>
        <v>532</v>
      </c>
      <c r="H9" s="542" t="s">
        <v>16</v>
      </c>
      <c r="I9" s="535">
        <f>SUM(D12:D13)</f>
        <v>0</v>
      </c>
    </row>
    <row r="10" spans="1:11">
      <c r="A10" s="577">
        <v>6</v>
      </c>
      <c r="B10" s="181" t="s">
        <v>128</v>
      </c>
      <c r="C10" s="642">
        <f>Points!F5</f>
        <v>471</v>
      </c>
      <c r="D10" s="642">
        <f>Points!G5</f>
        <v>0</v>
      </c>
      <c r="E10" s="643">
        <f>Points!H5</f>
        <v>471</v>
      </c>
      <c r="I10" s="99"/>
    </row>
    <row r="11" spans="1:11">
      <c r="A11" s="577">
        <v>7</v>
      </c>
      <c r="B11" s="181" t="s">
        <v>129</v>
      </c>
      <c r="C11" s="642">
        <f>Points!F6</f>
        <v>770</v>
      </c>
      <c r="D11" s="642">
        <f>Points!G6</f>
        <v>0</v>
      </c>
      <c r="E11" s="643">
        <f>Points!H6</f>
        <v>770</v>
      </c>
    </row>
    <row r="12" spans="1:11">
      <c r="A12" s="579">
        <v>8</v>
      </c>
      <c r="B12" s="580" t="s">
        <v>154</v>
      </c>
      <c r="C12" s="642">
        <f>Points!F61</f>
        <v>357</v>
      </c>
      <c r="D12" s="647">
        <f>Points!G61</f>
        <v>0</v>
      </c>
      <c r="E12" s="643">
        <f>Points!H61</f>
        <v>357</v>
      </c>
    </row>
    <row r="13" spans="1:11">
      <c r="A13" s="581">
        <v>9</v>
      </c>
      <c r="B13" s="582" t="s">
        <v>155</v>
      </c>
      <c r="C13" s="650">
        <f>Points!F62</f>
        <v>520</v>
      </c>
      <c r="D13" s="651">
        <f>Points!G62</f>
        <v>0</v>
      </c>
      <c r="E13" s="652">
        <f>Points!H62</f>
        <v>520</v>
      </c>
      <c r="F13" s="523"/>
      <c r="G13" s="523"/>
    </row>
    <row r="14" spans="1:11" ht="15.75" customHeight="1">
      <c r="A14" s="682" t="s">
        <v>287</v>
      </c>
      <c r="B14" s="683" t="s">
        <v>105</v>
      </c>
      <c r="C14" s="552">
        <f>Points!J99</f>
        <v>439</v>
      </c>
      <c r="D14" s="553">
        <f>Points!G99</f>
        <v>0</v>
      </c>
      <c r="E14" s="554">
        <f>Points!L99</f>
        <v>439</v>
      </c>
      <c r="F14" s="519"/>
      <c r="G14" s="519"/>
    </row>
    <row r="15" spans="1:11">
      <c r="A15" s="684" t="s">
        <v>289</v>
      </c>
      <c r="B15" s="556" t="s">
        <v>150</v>
      </c>
      <c r="C15" s="633">
        <f>Points!J22</f>
        <v>0</v>
      </c>
      <c r="D15" s="634">
        <f>Points!G22</f>
        <v>0</v>
      </c>
      <c r="E15" s="635">
        <f>Points!L22</f>
        <v>0</v>
      </c>
      <c r="F15" s="519"/>
      <c r="G15" s="519"/>
    </row>
    <row r="27" spans="9:9">
      <c r="I27" s="685"/>
    </row>
  </sheetData>
  <conditionalFormatting sqref="I5:I9">
    <cfRule type="cellIs" dxfId="5" priority="1" operator="greaterThan">
      <formula>0</formula>
    </cfRule>
  </conditionalFormatting>
  <conditionalFormatting sqref="I5:I9">
    <cfRule type="cellIs" dxfId="4" priority="2" operator="lessThan">
      <formula>0</formula>
    </cfRule>
  </conditionalFormatting>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B0F00"/>
    <outlinePr summaryBelow="0" summaryRight="0"/>
  </sheetPr>
  <dimension ref="A1:N1002"/>
  <sheetViews>
    <sheetView workbookViewId="0"/>
  </sheetViews>
  <sheetFormatPr defaultColWidth="12.6640625" defaultRowHeight="15.75" customHeight="1"/>
  <cols>
    <col min="1" max="1" width="10.109375" customWidth="1"/>
    <col min="2" max="2" width="18.77734375" customWidth="1"/>
    <col min="5" max="5" width="15.33203125" customWidth="1"/>
  </cols>
  <sheetData>
    <row r="1" spans="1:14">
      <c r="A1" s="518"/>
      <c r="I1" s="686"/>
      <c r="N1" s="687"/>
    </row>
    <row r="2" spans="1:14">
      <c r="A2" s="673" t="s">
        <v>67</v>
      </c>
      <c r="I2" s="686"/>
      <c r="N2" s="687"/>
    </row>
    <row r="3" spans="1:14">
      <c r="A3" s="663">
        <v>1</v>
      </c>
      <c r="B3" s="663">
        <v>2</v>
      </c>
      <c r="C3" s="663">
        <v>3</v>
      </c>
      <c r="D3" s="663">
        <v>4</v>
      </c>
      <c r="E3" s="663">
        <v>5</v>
      </c>
      <c r="F3" s="663">
        <v>8</v>
      </c>
      <c r="G3" s="663">
        <v>7</v>
      </c>
      <c r="H3" s="663">
        <v>8</v>
      </c>
      <c r="I3" s="686"/>
      <c r="N3" s="687"/>
    </row>
    <row r="4" spans="1:14">
      <c r="A4" s="688" t="s">
        <v>4</v>
      </c>
      <c r="B4" s="689" t="s">
        <v>63</v>
      </c>
      <c r="C4" s="689" t="s">
        <v>68</v>
      </c>
      <c r="D4" s="689" t="s">
        <v>306</v>
      </c>
      <c r="E4" s="689" t="s">
        <v>307</v>
      </c>
      <c r="F4" s="689" t="s">
        <v>308</v>
      </c>
      <c r="G4" s="689" t="s">
        <v>309</v>
      </c>
      <c r="H4" s="689" t="s">
        <v>310</v>
      </c>
      <c r="I4" s="686"/>
      <c r="J4" s="689" t="s">
        <v>12</v>
      </c>
      <c r="K4" s="689" t="s">
        <v>311</v>
      </c>
      <c r="L4" s="689" t="s">
        <v>312</v>
      </c>
      <c r="N4" s="690" t="s">
        <v>310</v>
      </c>
    </row>
    <row r="5" spans="1:14" ht="15.75" customHeight="1">
      <c r="A5" s="691" t="s">
        <v>14</v>
      </c>
      <c r="B5" s="692" t="s">
        <v>128</v>
      </c>
      <c r="C5" s="692" t="s">
        <v>106</v>
      </c>
      <c r="D5" s="693">
        <v>6</v>
      </c>
      <c r="E5" s="694">
        <v>465</v>
      </c>
      <c r="F5" s="695">
        <v>471</v>
      </c>
      <c r="G5" s="696">
        <f t="shared" ref="G5:G107" si="0">H5-F5</f>
        <v>0</v>
      </c>
      <c r="H5" s="697">
        <f t="shared" ref="H5:H107" si="1">N5</f>
        <v>471</v>
      </c>
      <c r="I5" s="698">
        <v>1</v>
      </c>
      <c r="J5" s="1107" t="s">
        <v>313</v>
      </c>
      <c r="K5" s="1015"/>
      <c r="L5" s="1108"/>
      <c r="N5" s="699">
        <f t="shared" ref="N5:N107" si="2">D5+E5</f>
        <v>471</v>
      </c>
    </row>
    <row r="6" spans="1:14" ht="15.75" customHeight="1">
      <c r="A6" s="700" t="s">
        <v>14</v>
      </c>
      <c r="B6" s="692" t="s">
        <v>129</v>
      </c>
      <c r="C6" s="692" t="s">
        <v>106</v>
      </c>
      <c r="D6" s="701">
        <v>0</v>
      </c>
      <c r="E6" s="702">
        <v>770</v>
      </c>
      <c r="F6" s="695">
        <v>770</v>
      </c>
      <c r="G6" s="703">
        <f t="shared" si="0"/>
        <v>0</v>
      </c>
      <c r="H6" s="704">
        <f t="shared" si="1"/>
        <v>770</v>
      </c>
      <c r="I6" s="698">
        <v>2</v>
      </c>
      <c r="J6" s="1109"/>
      <c r="K6" s="1015"/>
      <c r="L6" s="1108"/>
      <c r="N6" s="705">
        <f t="shared" si="2"/>
        <v>770</v>
      </c>
    </row>
    <row r="7" spans="1:14" ht="15.75" customHeight="1">
      <c r="A7" s="700" t="s">
        <v>14</v>
      </c>
      <c r="B7" s="706" t="s">
        <v>130</v>
      </c>
      <c r="C7" s="706" t="s">
        <v>82</v>
      </c>
      <c r="D7" s="701">
        <v>0</v>
      </c>
      <c r="E7" s="702">
        <v>1089</v>
      </c>
      <c r="F7" s="695">
        <v>1071</v>
      </c>
      <c r="G7" s="703">
        <f t="shared" si="0"/>
        <v>18</v>
      </c>
      <c r="H7" s="704">
        <f t="shared" si="1"/>
        <v>1089</v>
      </c>
      <c r="I7" s="698">
        <v>3</v>
      </c>
      <c r="J7" s="1109"/>
      <c r="K7" s="1015"/>
      <c r="L7" s="1108"/>
      <c r="N7" s="705">
        <f t="shared" si="2"/>
        <v>1089</v>
      </c>
    </row>
    <row r="8" spans="1:14" ht="15.75" customHeight="1">
      <c r="A8" s="700" t="s">
        <v>14</v>
      </c>
      <c r="B8" s="707" t="s">
        <v>131</v>
      </c>
      <c r="C8" s="707" t="s">
        <v>88</v>
      </c>
      <c r="D8" s="701">
        <v>69</v>
      </c>
      <c r="E8" s="702">
        <v>375</v>
      </c>
      <c r="F8" s="695">
        <v>444</v>
      </c>
      <c r="G8" s="703">
        <f t="shared" si="0"/>
        <v>0</v>
      </c>
      <c r="H8" s="704">
        <f t="shared" si="1"/>
        <v>444</v>
      </c>
      <c r="I8" s="698">
        <v>4</v>
      </c>
      <c r="J8" s="1109"/>
      <c r="K8" s="1015"/>
      <c r="L8" s="1108"/>
      <c r="N8" s="705">
        <f t="shared" si="2"/>
        <v>444</v>
      </c>
    </row>
    <row r="9" spans="1:14" ht="15.75" customHeight="1">
      <c r="A9" s="700" t="s">
        <v>14</v>
      </c>
      <c r="B9" s="708" t="s">
        <v>132</v>
      </c>
      <c r="C9" s="708" t="s">
        <v>118</v>
      </c>
      <c r="D9" s="701">
        <v>0</v>
      </c>
      <c r="E9" s="702">
        <v>629</v>
      </c>
      <c r="F9" s="695">
        <v>629</v>
      </c>
      <c r="G9" s="703">
        <f t="shared" si="0"/>
        <v>0</v>
      </c>
      <c r="H9" s="704">
        <f t="shared" si="1"/>
        <v>629</v>
      </c>
      <c r="I9" s="698">
        <v>5</v>
      </c>
      <c r="J9" s="1109"/>
      <c r="K9" s="1015"/>
      <c r="L9" s="1108"/>
      <c r="N9" s="705">
        <f t="shared" si="2"/>
        <v>629</v>
      </c>
    </row>
    <row r="10" spans="1:14" ht="15.75" customHeight="1">
      <c r="A10" s="700" t="s">
        <v>14</v>
      </c>
      <c r="B10" s="708" t="s">
        <v>133</v>
      </c>
      <c r="C10" s="708" t="s">
        <v>118</v>
      </c>
      <c r="D10" s="701">
        <v>0</v>
      </c>
      <c r="E10" s="702">
        <v>221</v>
      </c>
      <c r="F10" s="695">
        <v>221</v>
      </c>
      <c r="G10" s="703">
        <f t="shared" si="0"/>
        <v>0</v>
      </c>
      <c r="H10" s="704">
        <f t="shared" si="1"/>
        <v>221</v>
      </c>
      <c r="I10" s="698">
        <v>6</v>
      </c>
      <c r="J10" s="1109"/>
      <c r="K10" s="1015"/>
      <c r="L10" s="1108"/>
      <c r="N10" s="705">
        <f t="shared" si="2"/>
        <v>221</v>
      </c>
    </row>
    <row r="11" spans="1:14" ht="15.75" customHeight="1">
      <c r="A11" s="700" t="s">
        <v>14</v>
      </c>
      <c r="B11" s="708" t="s">
        <v>134</v>
      </c>
      <c r="C11" s="708" t="s">
        <v>118</v>
      </c>
      <c r="D11" s="701">
        <v>111</v>
      </c>
      <c r="E11" s="702">
        <v>190</v>
      </c>
      <c r="F11" s="695">
        <v>301</v>
      </c>
      <c r="G11" s="703">
        <f t="shared" si="0"/>
        <v>0</v>
      </c>
      <c r="H11" s="704">
        <f t="shared" si="1"/>
        <v>301</v>
      </c>
      <c r="I11" s="698">
        <v>7</v>
      </c>
      <c r="J11" s="1109"/>
      <c r="K11" s="1015"/>
      <c r="L11" s="1108"/>
      <c r="N11" s="705">
        <f t="shared" si="2"/>
        <v>301</v>
      </c>
    </row>
    <row r="12" spans="1:14" ht="15.75" customHeight="1">
      <c r="A12" s="700" t="s">
        <v>14</v>
      </c>
      <c r="B12" s="709" t="s">
        <v>135</v>
      </c>
      <c r="C12" s="709" t="s">
        <v>91</v>
      </c>
      <c r="D12" s="701">
        <v>16</v>
      </c>
      <c r="E12" s="702">
        <v>82</v>
      </c>
      <c r="F12" s="695">
        <v>98</v>
      </c>
      <c r="G12" s="703">
        <f t="shared" si="0"/>
        <v>0</v>
      </c>
      <c r="H12" s="704">
        <f t="shared" si="1"/>
        <v>98</v>
      </c>
      <c r="I12" s="698">
        <v>8</v>
      </c>
      <c r="J12" s="1109"/>
      <c r="K12" s="1015"/>
      <c r="L12" s="1108"/>
      <c r="N12" s="705">
        <f t="shared" si="2"/>
        <v>98</v>
      </c>
    </row>
    <row r="13" spans="1:14" ht="15.75" customHeight="1">
      <c r="A13" s="700" t="s">
        <v>14</v>
      </c>
      <c r="B13" s="710" t="s">
        <v>136</v>
      </c>
      <c r="C13" s="710" t="s">
        <v>91</v>
      </c>
      <c r="D13" s="701">
        <v>57</v>
      </c>
      <c r="E13" s="702">
        <v>376</v>
      </c>
      <c r="F13" s="695">
        <v>433</v>
      </c>
      <c r="G13" s="703">
        <f t="shared" si="0"/>
        <v>0</v>
      </c>
      <c r="H13" s="704">
        <f t="shared" si="1"/>
        <v>433</v>
      </c>
      <c r="I13" s="698">
        <v>9</v>
      </c>
      <c r="J13" s="1109"/>
      <c r="K13" s="1015"/>
      <c r="L13" s="1108"/>
      <c r="N13" s="705">
        <f t="shared" si="2"/>
        <v>433</v>
      </c>
    </row>
    <row r="14" spans="1:14" ht="15.75" customHeight="1">
      <c r="A14" s="700" t="s">
        <v>14</v>
      </c>
      <c r="B14" s="711" t="s">
        <v>137</v>
      </c>
      <c r="C14" s="711" t="s">
        <v>95</v>
      </c>
      <c r="D14" s="701">
        <v>37</v>
      </c>
      <c r="E14" s="702">
        <v>362</v>
      </c>
      <c r="F14" s="695">
        <v>387</v>
      </c>
      <c r="G14" s="703">
        <f t="shared" si="0"/>
        <v>12</v>
      </c>
      <c r="H14" s="704">
        <f t="shared" si="1"/>
        <v>399</v>
      </c>
      <c r="I14" s="698">
        <v>10</v>
      </c>
      <c r="J14" s="1109"/>
      <c r="K14" s="1015"/>
      <c r="L14" s="1108"/>
      <c r="N14" s="705">
        <f t="shared" si="2"/>
        <v>399</v>
      </c>
    </row>
    <row r="15" spans="1:14" ht="15.75" customHeight="1">
      <c r="A15" s="700" t="s">
        <v>14</v>
      </c>
      <c r="B15" s="712" t="s">
        <v>297</v>
      </c>
      <c r="C15" s="712" t="s">
        <v>97</v>
      </c>
      <c r="D15" s="701">
        <v>0</v>
      </c>
      <c r="E15" s="702">
        <v>1211</v>
      </c>
      <c r="F15" s="695">
        <v>1211</v>
      </c>
      <c r="G15" s="703">
        <f t="shared" si="0"/>
        <v>0</v>
      </c>
      <c r="H15" s="704">
        <f t="shared" si="1"/>
        <v>1211</v>
      </c>
      <c r="I15" s="698">
        <v>11</v>
      </c>
      <c r="J15" s="1109"/>
      <c r="K15" s="1015"/>
      <c r="L15" s="1108"/>
      <c r="N15" s="705">
        <f t="shared" si="2"/>
        <v>1211</v>
      </c>
    </row>
    <row r="16" spans="1:14" ht="15.75" customHeight="1">
      <c r="A16" s="700" t="s">
        <v>14</v>
      </c>
      <c r="B16" s="712" t="s">
        <v>139</v>
      </c>
      <c r="C16" s="712" t="s">
        <v>97</v>
      </c>
      <c r="D16" s="701">
        <v>40</v>
      </c>
      <c r="E16" s="702">
        <v>361</v>
      </c>
      <c r="F16" s="695">
        <v>401</v>
      </c>
      <c r="G16" s="703">
        <f t="shared" si="0"/>
        <v>0</v>
      </c>
      <c r="H16" s="704">
        <f t="shared" si="1"/>
        <v>401</v>
      </c>
      <c r="I16" s="698">
        <v>12</v>
      </c>
      <c r="J16" s="1109"/>
      <c r="K16" s="1015"/>
      <c r="L16" s="1108"/>
      <c r="N16" s="705">
        <f t="shared" si="2"/>
        <v>401</v>
      </c>
    </row>
    <row r="17" spans="1:14" ht="15.75" customHeight="1">
      <c r="A17" s="700" t="s">
        <v>14</v>
      </c>
      <c r="B17" s="713" t="s">
        <v>140</v>
      </c>
      <c r="C17" s="713" t="s">
        <v>122</v>
      </c>
      <c r="D17" s="701">
        <v>6</v>
      </c>
      <c r="E17" s="702">
        <v>949</v>
      </c>
      <c r="F17" s="695">
        <v>955</v>
      </c>
      <c r="G17" s="703">
        <f t="shared" si="0"/>
        <v>0</v>
      </c>
      <c r="H17" s="704">
        <f t="shared" si="1"/>
        <v>955</v>
      </c>
      <c r="I17" s="698">
        <v>13</v>
      </c>
      <c r="J17" s="1109"/>
      <c r="K17" s="1015"/>
      <c r="L17" s="1108"/>
      <c r="N17" s="705">
        <f t="shared" si="2"/>
        <v>955</v>
      </c>
    </row>
    <row r="18" spans="1:14" ht="15.75" customHeight="1">
      <c r="A18" s="700" t="s">
        <v>14</v>
      </c>
      <c r="B18" s="713" t="s">
        <v>141</v>
      </c>
      <c r="C18" s="713" t="s">
        <v>122</v>
      </c>
      <c r="D18" s="701">
        <v>0</v>
      </c>
      <c r="E18" s="702">
        <v>996</v>
      </c>
      <c r="F18" s="695">
        <v>996</v>
      </c>
      <c r="G18" s="703">
        <f t="shared" si="0"/>
        <v>0</v>
      </c>
      <c r="H18" s="704">
        <f t="shared" si="1"/>
        <v>996</v>
      </c>
      <c r="I18" s="698">
        <v>14</v>
      </c>
      <c r="J18" s="1109"/>
      <c r="K18" s="1015"/>
      <c r="L18" s="1108"/>
      <c r="N18" s="705">
        <f t="shared" si="2"/>
        <v>996</v>
      </c>
    </row>
    <row r="19" spans="1:14" ht="15.75" customHeight="1">
      <c r="A19" s="700" t="s">
        <v>14</v>
      </c>
      <c r="B19" s="713" t="s">
        <v>142</v>
      </c>
      <c r="C19" s="714" t="s">
        <v>122</v>
      </c>
      <c r="D19" s="715">
        <v>70</v>
      </c>
      <c r="E19" s="716">
        <v>287</v>
      </c>
      <c r="F19" s="717">
        <v>357</v>
      </c>
      <c r="G19" s="718">
        <f t="shared" si="0"/>
        <v>0</v>
      </c>
      <c r="H19" s="719">
        <f t="shared" si="1"/>
        <v>357</v>
      </c>
      <c r="I19" s="698">
        <v>15</v>
      </c>
      <c r="J19" s="1110"/>
      <c r="K19" s="1111"/>
      <c r="L19" s="1112"/>
      <c r="N19" s="705">
        <f t="shared" si="2"/>
        <v>357</v>
      </c>
    </row>
    <row r="20" spans="1:14" ht="15.75" customHeight="1">
      <c r="A20" s="700" t="s">
        <v>14</v>
      </c>
      <c r="B20" s="720" t="s">
        <v>288</v>
      </c>
      <c r="C20" s="720" t="s">
        <v>95</v>
      </c>
      <c r="D20" s="721">
        <v>0</v>
      </c>
      <c r="E20" s="722">
        <v>604</v>
      </c>
      <c r="F20" s="722">
        <v>511</v>
      </c>
      <c r="G20" s="722">
        <f t="shared" si="0"/>
        <v>93</v>
      </c>
      <c r="H20" s="723">
        <f t="shared" si="1"/>
        <v>604</v>
      </c>
      <c r="I20" s="724"/>
      <c r="J20" s="725">
        <f t="shared" ref="J20:J23" si="3">H20-K20-G20</f>
        <v>511</v>
      </c>
      <c r="K20" s="726">
        <v>0</v>
      </c>
      <c r="L20" s="725">
        <f t="shared" ref="L20:L23" si="4">H20-K20</f>
        <v>604</v>
      </c>
      <c r="N20" s="705">
        <f t="shared" si="2"/>
        <v>604</v>
      </c>
    </row>
    <row r="21" spans="1:14" ht="15.75" customHeight="1">
      <c r="A21" s="700" t="s">
        <v>14</v>
      </c>
      <c r="B21" s="727" t="s">
        <v>147</v>
      </c>
      <c r="C21" s="727" t="s">
        <v>85</v>
      </c>
      <c r="D21" s="721">
        <v>4</v>
      </c>
      <c r="E21" s="722">
        <v>4</v>
      </c>
      <c r="F21" s="722">
        <v>8</v>
      </c>
      <c r="G21" s="722">
        <f t="shared" si="0"/>
        <v>0</v>
      </c>
      <c r="H21" s="723">
        <f t="shared" si="1"/>
        <v>8</v>
      </c>
      <c r="I21" s="724"/>
      <c r="J21" s="725">
        <f t="shared" si="3"/>
        <v>8</v>
      </c>
      <c r="K21" s="726">
        <v>0</v>
      </c>
      <c r="L21" s="725">
        <f t="shared" si="4"/>
        <v>8</v>
      </c>
      <c r="N21" s="705">
        <f t="shared" si="2"/>
        <v>8</v>
      </c>
    </row>
    <row r="22" spans="1:14" ht="15.75" customHeight="1">
      <c r="A22" s="700" t="s">
        <v>14</v>
      </c>
      <c r="B22" s="728" t="s">
        <v>150</v>
      </c>
      <c r="C22" s="728" t="s">
        <v>106</v>
      </c>
      <c r="D22" s="721">
        <v>0</v>
      </c>
      <c r="E22" s="722">
        <v>0</v>
      </c>
      <c r="F22" s="722">
        <v>0</v>
      </c>
      <c r="G22" s="722">
        <f t="shared" si="0"/>
        <v>0</v>
      </c>
      <c r="H22" s="723">
        <f t="shared" si="1"/>
        <v>0</v>
      </c>
      <c r="I22" s="724"/>
      <c r="J22" s="725">
        <f t="shared" si="3"/>
        <v>0</v>
      </c>
      <c r="K22" s="726">
        <v>0</v>
      </c>
      <c r="L22" s="725">
        <f t="shared" si="4"/>
        <v>0</v>
      </c>
      <c r="N22" s="705">
        <f t="shared" si="2"/>
        <v>0</v>
      </c>
    </row>
    <row r="23" spans="1:14" ht="15.75" customHeight="1">
      <c r="A23" s="729" t="s">
        <v>14</v>
      </c>
      <c r="B23" s="712" t="s">
        <v>153</v>
      </c>
      <c r="C23" s="712" t="s">
        <v>97</v>
      </c>
      <c r="D23" s="730">
        <v>0</v>
      </c>
      <c r="E23" s="731">
        <v>0</v>
      </c>
      <c r="F23" s="731">
        <v>0</v>
      </c>
      <c r="G23" s="731">
        <f t="shared" si="0"/>
        <v>0</v>
      </c>
      <c r="H23" s="732">
        <f t="shared" si="1"/>
        <v>0</v>
      </c>
      <c r="I23" s="724"/>
      <c r="J23" s="725">
        <f t="shared" si="3"/>
        <v>0</v>
      </c>
      <c r="K23" s="726">
        <v>0</v>
      </c>
      <c r="L23" s="725">
        <f t="shared" si="4"/>
        <v>0</v>
      </c>
      <c r="N23" s="705">
        <f t="shared" si="2"/>
        <v>0</v>
      </c>
    </row>
    <row r="24" spans="1:14" ht="15.75" customHeight="1">
      <c r="A24" s="622" t="s">
        <v>10</v>
      </c>
      <c r="B24" s="692" t="s">
        <v>236</v>
      </c>
      <c r="C24" s="692" t="s">
        <v>106</v>
      </c>
      <c r="D24" s="733">
        <v>0</v>
      </c>
      <c r="E24" s="734">
        <v>311</v>
      </c>
      <c r="F24" s="735">
        <v>311</v>
      </c>
      <c r="G24" s="736">
        <f t="shared" si="0"/>
        <v>0</v>
      </c>
      <c r="H24" s="737">
        <f t="shared" si="1"/>
        <v>311</v>
      </c>
      <c r="I24" s="698" t="s">
        <v>314</v>
      </c>
      <c r="J24" s="1113" t="s">
        <v>313</v>
      </c>
      <c r="K24" s="1015"/>
      <c r="L24" s="1114"/>
      <c r="N24" s="705">
        <f t="shared" si="2"/>
        <v>311</v>
      </c>
    </row>
    <row r="25" spans="1:14" ht="15.75" customHeight="1">
      <c r="A25" s="622" t="s">
        <v>10</v>
      </c>
      <c r="B25" s="692" t="s">
        <v>185</v>
      </c>
      <c r="C25" s="692" t="s">
        <v>106</v>
      </c>
      <c r="D25" s="738">
        <v>0</v>
      </c>
      <c r="E25" s="702">
        <v>0</v>
      </c>
      <c r="F25" s="695">
        <v>0</v>
      </c>
      <c r="G25" s="739">
        <f t="shared" si="0"/>
        <v>0</v>
      </c>
      <c r="H25" s="740">
        <f t="shared" si="1"/>
        <v>0</v>
      </c>
      <c r="I25" s="698">
        <v>2</v>
      </c>
      <c r="J25" s="1115"/>
      <c r="K25" s="1015"/>
      <c r="L25" s="1114"/>
      <c r="N25" s="705">
        <f t="shared" si="2"/>
        <v>0</v>
      </c>
    </row>
    <row r="26" spans="1:14" ht="15.75" customHeight="1">
      <c r="A26" s="622" t="s">
        <v>10</v>
      </c>
      <c r="B26" s="741" t="s">
        <v>187</v>
      </c>
      <c r="C26" s="741" t="s">
        <v>79</v>
      </c>
      <c r="D26" s="738">
        <v>53</v>
      </c>
      <c r="E26" s="702">
        <v>351</v>
      </c>
      <c r="F26" s="695">
        <v>404</v>
      </c>
      <c r="G26" s="739">
        <f t="shared" si="0"/>
        <v>0</v>
      </c>
      <c r="H26" s="740">
        <f t="shared" si="1"/>
        <v>404</v>
      </c>
      <c r="I26" s="698">
        <v>3</v>
      </c>
      <c r="J26" s="1115"/>
      <c r="K26" s="1015"/>
      <c r="L26" s="1114"/>
      <c r="N26" s="705">
        <f t="shared" si="2"/>
        <v>404</v>
      </c>
    </row>
    <row r="27" spans="1:14" ht="15.75" customHeight="1">
      <c r="A27" s="622" t="s">
        <v>10</v>
      </c>
      <c r="B27" s="706" t="s">
        <v>188</v>
      </c>
      <c r="C27" s="706" t="s">
        <v>82</v>
      </c>
      <c r="D27" s="738">
        <v>0</v>
      </c>
      <c r="E27" s="702">
        <v>165</v>
      </c>
      <c r="F27" s="695">
        <v>165</v>
      </c>
      <c r="G27" s="739">
        <f t="shared" si="0"/>
        <v>0</v>
      </c>
      <c r="H27" s="740">
        <f t="shared" si="1"/>
        <v>165</v>
      </c>
      <c r="I27" s="698">
        <v>4</v>
      </c>
      <c r="J27" s="1115"/>
      <c r="K27" s="1015"/>
      <c r="L27" s="1114"/>
      <c r="N27" s="705">
        <f t="shared" si="2"/>
        <v>165</v>
      </c>
    </row>
    <row r="28" spans="1:14" ht="15.75" customHeight="1">
      <c r="A28" s="622" t="s">
        <v>10</v>
      </c>
      <c r="B28" s="727" t="s">
        <v>189</v>
      </c>
      <c r="C28" s="727" t="s">
        <v>85</v>
      </c>
      <c r="D28" s="738">
        <v>137</v>
      </c>
      <c r="E28" s="702">
        <v>551</v>
      </c>
      <c r="F28" s="695">
        <v>688</v>
      </c>
      <c r="G28" s="739">
        <f t="shared" si="0"/>
        <v>0</v>
      </c>
      <c r="H28" s="740">
        <f t="shared" si="1"/>
        <v>688</v>
      </c>
      <c r="I28" s="698">
        <v>5</v>
      </c>
      <c r="J28" s="1115"/>
      <c r="K28" s="1015"/>
      <c r="L28" s="1114"/>
      <c r="N28" s="705">
        <f t="shared" si="2"/>
        <v>688</v>
      </c>
    </row>
    <row r="29" spans="1:14" ht="15.75" customHeight="1">
      <c r="A29" s="622" t="s">
        <v>10</v>
      </c>
      <c r="B29" s="727" t="s">
        <v>190</v>
      </c>
      <c r="C29" s="727" t="s">
        <v>85</v>
      </c>
      <c r="D29" s="738">
        <v>0</v>
      </c>
      <c r="E29" s="702">
        <v>550</v>
      </c>
      <c r="F29" s="695">
        <v>550</v>
      </c>
      <c r="G29" s="739">
        <f t="shared" si="0"/>
        <v>0</v>
      </c>
      <c r="H29" s="740">
        <f t="shared" si="1"/>
        <v>550</v>
      </c>
      <c r="I29" s="698">
        <v>6</v>
      </c>
      <c r="J29" s="1115"/>
      <c r="K29" s="1015"/>
      <c r="L29" s="1114"/>
      <c r="N29" s="705">
        <f t="shared" si="2"/>
        <v>550</v>
      </c>
    </row>
    <row r="30" spans="1:14" ht="15.75" customHeight="1">
      <c r="A30" s="622" t="s">
        <v>10</v>
      </c>
      <c r="B30" s="707" t="s">
        <v>191</v>
      </c>
      <c r="C30" s="707" t="s">
        <v>88</v>
      </c>
      <c r="D30" s="738">
        <v>0</v>
      </c>
      <c r="E30" s="702">
        <v>348</v>
      </c>
      <c r="F30" s="695">
        <v>348</v>
      </c>
      <c r="G30" s="739">
        <f t="shared" si="0"/>
        <v>0</v>
      </c>
      <c r="H30" s="740">
        <f t="shared" si="1"/>
        <v>348</v>
      </c>
      <c r="I30" s="698">
        <v>7</v>
      </c>
      <c r="J30" s="1115"/>
      <c r="K30" s="1015"/>
      <c r="L30" s="1114"/>
      <c r="N30" s="705">
        <f t="shared" si="2"/>
        <v>348</v>
      </c>
    </row>
    <row r="31" spans="1:14" ht="15.75" customHeight="1">
      <c r="A31" s="622" t="s">
        <v>10</v>
      </c>
      <c r="B31" s="708" t="s">
        <v>192</v>
      </c>
      <c r="C31" s="708" t="s">
        <v>118</v>
      </c>
      <c r="D31" s="738">
        <v>41</v>
      </c>
      <c r="E31" s="702">
        <v>421</v>
      </c>
      <c r="F31" s="695">
        <v>462</v>
      </c>
      <c r="G31" s="739">
        <f t="shared" si="0"/>
        <v>0</v>
      </c>
      <c r="H31" s="740">
        <f t="shared" si="1"/>
        <v>462</v>
      </c>
      <c r="I31" s="698">
        <v>8</v>
      </c>
      <c r="J31" s="1115"/>
      <c r="K31" s="1015"/>
      <c r="L31" s="1114"/>
      <c r="N31" s="705">
        <f t="shared" si="2"/>
        <v>462</v>
      </c>
    </row>
    <row r="32" spans="1:14" ht="15.75" customHeight="1">
      <c r="A32" s="622" t="s">
        <v>10</v>
      </c>
      <c r="B32" s="708" t="s">
        <v>193</v>
      </c>
      <c r="C32" s="708" t="s">
        <v>118</v>
      </c>
      <c r="D32" s="738">
        <v>0</v>
      </c>
      <c r="E32" s="702">
        <v>432</v>
      </c>
      <c r="F32" s="695">
        <v>432</v>
      </c>
      <c r="G32" s="739">
        <f t="shared" si="0"/>
        <v>0</v>
      </c>
      <c r="H32" s="740">
        <f t="shared" si="1"/>
        <v>432</v>
      </c>
      <c r="I32" s="698">
        <v>9</v>
      </c>
      <c r="J32" s="1115"/>
      <c r="K32" s="1015"/>
      <c r="L32" s="1114"/>
      <c r="N32" s="705">
        <f t="shared" si="2"/>
        <v>432</v>
      </c>
    </row>
    <row r="33" spans="1:14" ht="15.75" customHeight="1">
      <c r="A33" s="622" t="s">
        <v>10</v>
      </c>
      <c r="B33" s="708" t="s">
        <v>194</v>
      </c>
      <c r="C33" s="708" t="s">
        <v>118</v>
      </c>
      <c r="D33" s="738">
        <v>0</v>
      </c>
      <c r="E33" s="702">
        <v>422</v>
      </c>
      <c r="F33" s="695">
        <v>422</v>
      </c>
      <c r="G33" s="739">
        <f t="shared" si="0"/>
        <v>0</v>
      </c>
      <c r="H33" s="740">
        <f t="shared" si="1"/>
        <v>422</v>
      </c>
      <c r="I33" s="698">
        <v>10</v>
      </c>
      <c r="J33" s="1115"/>
      <c r="K33" s="1015"/>
      <c r="L33" s="1114"/>
      <c r="N33" s="705">
        <f t="shared" si="2"/>
        <v>422</v>
      </c>
    </row>
    <row r="34" spans="1:14" ht="15.75" customHeight="1">
      <c r="A34" s="622" t="s">
        <v>10</v>
      </c>
      <c r="B34" s="710" t="s">
        <v>195</v>
      </c>
      <c r="C34" s="710" t="s">
        <v>91</v>
      </c>
      <c r="D34" s="738">
        <v>0</v>
      </c>
      <c r="E34" s="702">
        <v>585</v>
      </c>
      <c r="F34" s="695">
        <v>585</v>
      </c>
      <c r="G34" s="739">
        <f t="shared" si="0"/>
        <v>0</v>
      </c>
      <c r="H34" s="740">
        <f t="shared" si="1"/>
        <v>585</v>
      </c>
      <c r="I34" s="698">
        <v>11</v>
      </c>
      <c r="J34" s="1115"/>
      <c r="K34" s="1015"/>
      <c r="L34" s="1114"/>
      <c r="N34" s="705">
        <f t="shared" si="2"/>
        <v>585</v>
      </c>
    </row>
    <row r="35" spans="1:14" ht="15.75" customHeight="1">
      <c r="A35" s="622" t="s">
        <v>10</v>
      </c>
      <c r="B35" s="711" t="s">
        <v>196</v>
      </c>
      <c r="C35" s="711" t="s">
        <v>95</v>
      </c>
      <c r="D35" s="738">
        <v>0</v>
      </c>
      <c r="E35" s="702">
        <v>348</v>
      </c>
      <c r="F35" s="695">
        <v>348</v>
      </c>
      <c r="G35" s="739">
        <f t="shared" si="0"/>
        <v>0</v>
      </c>
      <c r="H35" s="740">
        <f t="shared" si="1"/>
        <v>348</v>
      </c>
      <c r="I35" s="698">
        <v>12</v>
      </c>
      <c r="J35" s="1115"/>
      <c r="K35" s="1015"/>
      <c r="L35" s="1114"/>
      <c r="N35" s="705">
        <f t="shared" si="2"/>
        <v>348</v>
      </c>
    </row>
    <row r="36" spans="1:14" ht="15.75" customHeight="1">
      <c r="A36" s="622" t="s">
        <v>10</v>
      </c>
      <c r="B36" s="711" t="s">
        <v>197</v>
      </c>
      <c r="C36" s="711" t="s">
        <v>95</v>
      </c>
      <c r="D36" s="738">
        <v>152</v>
      </c>
      <c r="E36" s="702">
        <v>899</v>
      </c>
      <c r="F36" s="695">
        <v>986</v>
      </c>
      <c r="G36" s="739">
        <f t="shared" si="0"/>
        <v>65</v>
      </c>
      <c r="H36" s="740">
        <f t="shared" si="1"/>
        <v>1051</v>
      </c>
      <c r="I36" s="698">
        <v>13</v>
      </c>
      <c r="J36" s="1115"/>
      <c r="K36" s="1015"/>
      <c r="L36" s="1114"/>
      <c r="N36" s="705">
        <f t="shared" si="2"/>
        <v>1051</v>
      </c>
    </row>
    <row r="37" spans="1:14" ht="15.75" customHeight="1">
      <c r="A37" s="622" t="s">
        <v>10</v>
      </c>
      <c r="B37" s="711" t="s">
        <v>198</v>
      </c>
      <c r="C37" s="711" t="s">
        <v>95</v>
      </c>
      <c r="D37" s="738">
        <v>126</v>
      </c>
      <c r="E37" s="702">
        <v>517</v>
      </c>
      <c r="F37" s="695">
        <v>574</v>
      </c>
      <c r="G37" s="739">
        <f t="shared" si="0"/>
        <v>69</v>
      </c>
      <c r="H37" s="740">
        <f t="shared" si="1"/>
        <v>643</v>
      </c>
      <c r="I37" s="698">
        <v>14</v>
      </c>
      <c r="J37" s="1115"/>
      <c r="K37" s="1015"/>
      <c r="L37" s="1114"/>
      <c r="N37" s="705">
        <f t="shared" si="2"/>
        <v>643</v>
      </c>
    </row>
    <row r="38" spans="1:14" ht="15.75" customHeight="1">
      <c r="A38" s="622" t="s">
        <v>10</v>
      </c>
      <c r="B38" s="712" t="s">
        <v>199</v>
      </c>
      <c r="C38" s="712" t="s">
        <v>97</v>
      </c>
      <c r="D38" s="742">
        <v>0</v>
      </c>
      <c r="E38" s="743">
        <v>169</v>
      </c>
      <c r="F38" s="744">
        <v>169</v>
      </c>
      <c r="G38" s="745">
        <f t="shared" si="0"/>
        <v>0</v>
      </c>
      <c r="H38" s="746">
        <f t="shared" si="1"/>
        <v>169</v>
      </c>
      <c r="I38" s="698">
        <v>15</v>
      </c>
      <c r="J38" s="1116"/>
      <c r="K38" s="1117"/>
      <c r="L38" s="1118"/>
      <c r="N38" s="705">
        <f t="shared" si="2"/>
        <v>169</v>
      </c>
    </row>
    <row r="39" spans="1:14" ht="15.75" customHeight="1">
      <c r="A39" s="622" t="s">
        <v>10</v>
      </c>
      <c r="B39" s="712" t="s">
        <v>203</v>
      </c>
      <c r="C39" s="712" t="s">
        <v>97</v>
      </c>
      <c r="D39" s="747">
        <v>32</v>
      </c>
      <c r="E39" s="748">
        <v>161</v>
      </c>
      <c r="F39" s="749">
        <v>193</v>
      </c>
      <c r="G39" s="749">
        <f t="shared" si="0"/>
        <v>0</v>
      </c>
      <c r="H39" s="723">
        <f t="shared" si="1"/>
        <v>193</v>
      </c>
      <c r="I39" s="698" t="s">
        <v>315</v>
      </c>
      <c r="J39" s="750">
        <f t="shared" ref="J39:J40" si="5">H39-K39-G39</f>
        <v>1</v>
      </c>
      <c r="K39" s="751">
        <f>29+163</f>
        <v>192</v>
      </c>
      <c r="L39" s="750">
        <f t="shared" ref="L39:L40" si="6">H39-K39</f>
        <v>1</v>
      </c>
      <c r="N39" s="705">
        <f t="shared" si="2"/>
        <v>193</v>
      </c>
    </row>
    <row r="40" spans="1:14" ht="15.75" customHeight="1">
      <c r="A40" s="622" t="s">
        <v>10</v>
      </c>
      <c r="B40" s="752" t="s">
        <v>205</v>
      </c>
      <c r="C40" s="752" t="s">
        <v>91</v>
      </c>
      <c r="D40" s="753">
        <v>86</v>
      </c>
      <c r="E40" s="754">
        <v>387</v>
      </c>
      <c r="F40" s="755">
        <v>473</v>
      </c>
      <c r="G40" s="755">
        <f t="shared" si="0"/>
        <v>0</v>
      </c>
      <c r="H40" s="732">
        <f t="shared" si="1"/>
        <v>473</v>
      </c>
      <c r="I40" s="724"/>
      <c r="J40" s="750">
        <f t="shared" si="5"/>
        <v>473</v>
      </c>
      <c r="K40" s="751">
        <v>0</v>
      </c>
      <c r="L40" s="750">
        <f t="shared" si="6"/>
        <v>473</v>
      </c>
      <c r="N40" s="705">
        <f t="shared" si="2"/>
        <v>473</v>
      </c>
    </row>
    <row r="41" spans="1:14" ht="15.6">
      <c r="A41" s="756" t="s">
        <v>12</v>
      </c>
      <c r="B41" s="692" t="s">
        <v>207</v>
      </c>
      <c r="C41" s="692" t="s">
        <v>106</v>
      </c>
      <c r="D41" s="757">
        <v>5</v>
      </c>
      <c r="E41" s="758">
        <v>134</v>
      </c>
      <c r="F41" s="759">
        <v>139</v>
      </c>
      <c r="G41" s="760">
        <f t="shared" si="0"/>
        <v>0</v>
      </c>
      <c r="H41" s="761">
        <f t="shared" si="1"/>
        <v>139</v>
      </c>
      <c r="I41" s="698">
        <v>1</v>
      </c>
      <c r="J41" s="1119" t="s">
        <v>313</v>
      </c>
      <c r="K41" s="1015"/>
      <c r="L41" s="1120"/>
      <c r="N41" s="705">
        <f t="shared" si="2"/>
        <v>139</v>
      </c>
    </row>
    <row r="42" spans="1:14" ht="15.6">
      <c r="A42" s="762" t="s">
        <v>12</v>
      </c>
      <c r="B42" s="692" t="s">
        <v>208</v>
      </c>
      <c r="C42" s="692" t="s">
        <v>106</v>
      </c>
      <c r="D42" s="763">
        <v>0</v>
      </c>
      <c r="E42" s="702">
        <v>532</v>
      </c>
      <c r="F42" s="695">
        <v>532</v>
      </c>
      <c r="G42" s="764">
        <f t="shared" si="0"/>
        <v>0</v>
      </c>
      <c r="H42" s="765">
        <f t="shared" si="1"/>
        <v>532</v>
      </c>
      <c r="I42" s="698">
        <v>2</v>
      </c>
      <c r="J42" s="1121"/>
      <c r="K42" s="1015"/>
      <c r="L42" s="1120"/>
      <c r="N42" s="705">
        <f t="shared" si="2"/>
        <v>532</v>
      </c>
    </row>
    <row r="43" spans="1:14" ht="15.6">
      <c r="A43" s="762" t="s">
        <v>12</v>
      </c>
      <c r="B43" s="741" t="s">
        <v>209</v>
      </c>
      <c r="C43" s="741" t="s">
        <v>79</v>
      </c>
      <c r="D43" s="763">
        <v>82</v>
      </c>
      <c r="E43" s="702">
        <v>642</v>
      </c>
      <c r="F43" s="695">
        <v>724</v>
      </c>
      <c r="G43" s="764">
        <f t="shared" si="0"/>
        <v>0</v>
      </c>
      <c r="H43" s="765">
        <f t="shared" si="1"/>
        <v>724</v>
      </c>
      <c r="I43" s="698">
        <v>3</v>
      </c>
      <c r="J43" s="1121"/>
      <c r="K43" s="1015"/>
      <c r="L43" s="1120"/>
      <c r="N43" s="705">
        <f t="shared" si="2"/>
        <v>724</v>
      </c>
    </row>
    <row r="44" spans="1:14" ht="15.6">
      <c r="A44" s="762" t="s">
        <v>12</v>
      </c>
      <c r="B44" s="741" t="s">
        <v>300</v>
      </c>
      <c r="C44" s="741" t="s">
        <v>79</v>
      </c>
      <c r="D44" s="763">
        <v>0</v>
      </c>
      <c r="E44" s="702">
        <v>157</v>
      </c>
      <c r="F44" s="695">
        <v>157</v>
      </c>
      <c r="G44" s="764">
        <f t="shared" si="0"/>
        <v>0</v>
      </c>
      <c r="H44" s="765">
        <f t="shared" si="1"/>
        <v>157</v>
      </c>
      <c r="I44" s="698">
        <v>4</v>
      </c>
      <c r="J44" s="1121"/>
      <c r="K44" s="1015"/>
      <c r="L44" s="1120"/>
      <c r="N44" s="705">
        <f t="shared" si="2"/>
        <v>157</v>
      </c>
    </row>
    <row r="45" spans="1:14" ht="15.6">
      <c r="A45" s="762" t="s">
        <v>12</v>
      </c>
      <c r="B45" s="741" t="s">
        <v>212</v>
      </c>
      <c r="C45" s="741" t="s">
        <v>79</v>
      </c>
      <c r="D45" s="763">
        <v>0</v>
      </c>
      <c r="E45" s="702">
        <v>903</v>
      </c>
      <c r="F45" s="695">
        <v>903</v>
      </c>
      <c r="G45" s="764">
        <f t="shared" si="0"/>
        <v>0</v>
      </c>
      <c r="H45" s="765">
        <f t="shared" si="1"/>
        <v>903</v>
      </c>
      <c r="I45" s="698">
        <v>5</v>
      </c>
      <c r="J45" s="1121"/>
      <c r="K45" s="1015"/>
      <c r="L45" s="1120"/>
      <c r="N45" s="705">
        <f t="shared" si="2"/>
        <v>903</v>
      </c>
    </row>
    <row r="46" spans="1:14" ht="15.6">
      <c r="A46" s="762" t="s">
        <v>12</v>
      </c>
      <c r="B46" s="706" t="s">
        <v>213</v>
      </c>
      <c r="C46" s="706" t="s">
        <v>82</v>
      </c>
      <c r="D46" s="763">
        <v>117</v>
      </c>
      <c r="E46" s="702">
        <v>757</v>
      </c>
      <c r="F46" s="695">
        <v>792</v>
      </c>
      <c r="G46" s="764">
        <f t="shared" si="0"/>
        <v>82</v>
      </c>
      <c r="H46" s="765">
        <f t="shared" si="1"/>
        <v>874</v>
      </c>
      <c r="I46" s="698">
        <v>6</v>
      </c>
      <c r="J46" s="1121"/>
      <c r="K46" s="1015"/>
      <c r="L46" s="1120"/>
      <c r="N46" s="705">
        <f t="shared" si="2"/>
        <v>874</v>
      </c>
    </row>
    <row r="47" spans="1:14" ht="15.6">
      <c r="A47" s="762" t="s">
        <v>12</v>
      </c>
      <c r="B47" s="727" t="s">
        <v>214</v>
      </c>
      <c r="C47" s="727" t="s">
        <v>85</v>
      </c>
      <c r="D47" s="763">
        <v>47</v>
      </c>
      <c r="E47" s="702">
        <v>705</v>
      </c>
      <c r="F47" s="695">
        <v>752</v>
      </c>
      <c r="G47" s="764">
        <f t="shared" si="0"/>
        <v>0</v>
      </c>
      <c r="H47" s="765">
        <f t="shared" si="1"/>
        <v>752</v>
      </c>
      <c r="I47" s="698">
        <v>7</v>
      </c>
      <c r="J47" s="1121"/>
      <c r="K47" s="1015"/>
      <c r="L47" s="1120"/>
      <c r="N47" s="705">
        <f t="shared" si="2"/>
        <v>752</v>
      </c>
    </row>
    <row r="48" spans="1:14" ht="15.6">
      <c r="A48" s="762" t="s">
        <v>12</v>
      </c>
      <c r="B48" s="727" t="s">
        <v>215</v>
      </c>
      <c r="C48" s="727" t="s">
        <v>85</v>
      </c>
      <c r="D48" s="763">
        <v>80</v>
      </c>
      <c r="E48" s="702">
        <v>353</v>
      </c>
      <c r="F48" s="695">
        <v>433</v>
      </c>
      <c r="G48" s="764">
        <f t="shared" si="0"/>
        <v>0</v>
      </c>
      <c r="H48" s="765">
        <f t="shared" si="1"/>
        <v>433</v>
      </c>
      <c r="I48" s="698">
        <v>8</v>
      </c>
      <c r="J48" s="1121"/>
      <c r="K48" s="1015"/>
      <c r="L48" s="1120"/>
      <c r="N48" s="705">
        <f t="shared" si="2"/>
        <v>433</v>
      </c>
    </row>
    <row r="49" spans="1:14" ht="15.6">
      <c r="A49" s="762" t="s">
        <v>12</v>
      </c>
      <c r="B49" s="707" t="s">
        <v>216</v>
      </c>
      <c r="C49" s="707" t="s">
        <v>88</v>
      </c>
      <c r="D49" s="763">
        <v>56</v>
      </c>
      <c r="E49" s="702">
        <v>189</v>
      </c>
      <c r="F49" s="695">
        <v>245</v>
      </c>
      <c r="G49" s="764">
        <f t="shared" si="0"/>
        <v>0</v>
      </c>
      <c r="H49" s="765">
        <f t="shared" si="1"/>
        <v>245</v>
      </c>
      <c r="I49" s="698">
        <v>9</v>
      </c>
      <c r="J49" s="1121"/>
      <c r="K49" s="1015"/>
      <c r="L49" s="1120"/>
      <c r="N49" s="705">
        <f t="shared" si="2"/>
        <v>245</v>
      </c>
    </row>
    <row r="50" spans="1:14" ht="15.6">
      <c r="A50" s="762" t="s">
        <v>12</v>
      </c>
      <c r="B50" s="707" t="s">
        <v>217</v>
      </c>
      <c r="C50" s="707" t="s">
        <v>88</v>
      </c>
      <c r="D50" s="763">
        <v>0</v>
      </c>
      <c r="E50" s="702">
        <v>560</v>
      </c>
      <c r="F50" s="695">
        <v>560</v>
      </c>
      <c r="G50" s="764">
        <f t="shared" si="0"/>
        <v>0</v>
      </c>
      <c r="H50" s="765">
        <f t="shared" si="1"/>
        <v>560</v>
      </c>
      <c r="I50" s="698">
        <v>10</v>
      </c>
      <c r="J50" s="1121"/>
      <c r="K50" s="1015"/>
      <c r="L50" s="1120"/>
      <c r="N50" s="705">
        <f t="shared" si="2"/>
        <v>560</v>
      </c>
    </row>
    <row r="51" spans="1:14" ht="15.6">
      <c r="A51" s="762" t="s">
        <v>12</v>
      </c>
      <c r="B51" s="710" t="s">
        <v>218</v>
      </c>
      <c r="C51" s="710" t="s">
        <v>91</v>
      </c>
      <c r="D51" s="763">
        <v>109</v>
      </c>
      <c r="E51" s="702">
        <v>427</v>
      </c>
      <c r="F51" s="695">
        <v>536</v>
      </c>
      <c r="G51" s="764">
        <f t="shared" si="0"/>
        <v>0</v>
      </c>
      <c r="H51" s="765">
        <f t="shared" si="1"/>
        <v>536</v>
      </c>
      <c r="I51" s="698">
        <v>11</v>
      </c>
      <c r="J51" s="1121"/>
      <c r="K51" s="1015"/>
      <c r="L51" s="1120"/>
      <c r="N51" s="705">
        <f t="shared" si="2"/>
        <v>536</v>
      </c>
    </row>
    <row r="52" spans="1:14" ht="15.6">
      <c r="A52" s="762" t="s">
        <v>12</v>
      </c>
      <c r="B52" s="711" t="s">
        <v>219</v>
      </c>
      <c r="C52" s="711" t="s">
        <v>95</v>
      </c>
      <c r="D52" s="763">
        <v>88</v>
      </c>
      <c r="E52" s="702">
        <v>748</v>
      </c>
      <c r="F52" s="695">
        <v>795</v>
      </c>
      <c r="G52" s="764">
        <f t="shared" si="0"/>
        <v>41</v>
      </c>
      <c r="H52" s="765">
        <f t="shared" si="1"/>
        <v>836</v>
      </c>
      <c r="I52" s="698">
        <v>12</v>
      </c>
      <c r="J52" s="1121"/>
      <c r="K52" s="1015"/>
      <c r="L52" s="1120"/>
      <c r="N52" s="705">
        <f t="shared" si="2"/>
        <v>836</v>
      </c>
    </row>
    <row r="53" spans="1:14" ht="15.6">
      <c r="A53" s="762" t="s">
        <v>12</v>
      </c>
      <c r="B53" s="711" t="s">
        <v>220</v>
      </c>
      <c r="C53" s="711" t="s">
        <v>95</v>
      </c>
      <c r="D53" s="763">
        <v>0</v>
      </c>
      <c r="E53" s="702">
        <v>845</v>
      </c>
      <c r="F53" s="695">
        <v>807</v>
      </c>
      <c r="G53" s="764">
        <f t="shared" si="0"/>
        <v>38</v>
      </c>
      <c r="H53" s="765">
        <f t="shared" si="1"/>
        <v>845</v>
      </c>
      <c r="I53" s="698">
        <v>13</v>
      </c>
      <c r="J53" s="1121"/>
      <c r="K53" s="1015"/>
      <c r="L53" s="1120"/>
      <c r="N53" s="705">
        <f t="shared" si="2"/>
        <v>845</v>
      </c>
    </row>
    <row r="54" spans="1:14" ht="15.6">
      <c r="A54" s="762" t="s">
        <v>12</v>
      </c>
      <c r="B54" s="712" t="s">
        <v>296</v>
      </c>
      <c r="C54" s="712" t="s">
        <v>97</v>
      </c>
      <c r="D54" s="763">
        <v>0</v>
      </c>
      <c r="E54" s="702">
        <v>693</v>
      </c>
      <c r="F54" s="695">
        <v>693</v>
      </c>
      <c r="G54" s="764">
        <f t="shared" si="0"/>
        <v>0</v>
      </c>
      <c r="H54" s="765">
        <f t="shared" si="1"/>
        <v>693</v>
      </c>
      <c r="I54" s="698">
        <v>14</v>
      </c>
      <c r="J54" s="1121"/>
      <c r="K54" s="1015"/>
      <c r="L54" s="1120"/>
      <c r="N54" s="705">
        <f t="shared" si="2"/>
        <v>693</v>
      </c>
    </row>
    <row r="55" spans="1:14" ht="15.6">
      <c r="A55" s="762" t="s">
        <v>12</v>
      </c>
      <c r="B55" s="766" t="s">
        <v>222</v>
      </c>
      <c r="C55" s="766" t="s">
        <v>122</v>
      </c>
      <c r="D55" s="767">
        <v>2</v>
      </c>
      <c r="E55" s="768">
        <v>651</v>
      </c>
      <c r="F55" s="769">
        <v>653</v>
      </c>
      <c r="G55" s="770">
        <f t="shared" si="0"/>
        <v>0</v>
      </c>
      <c r="H55" s="771">
        <f t="shared" si="1"/>
        <v>653</v>
      </c>
      <c r="I55" s="698">
        <v>15</v>
      </c>
      <c r="J55" s="1122"/>
      <c r="K55" s="1123"/>
      <c r="L55" s="1124"/>
      <c r="N55" s="705">
        <f t="shared" si="2"/>
        <v>653</v>
      </c>
    </row>
    <row r="56" spans="1:14" ht="14.4">
      <c r="A56" s="762" t="s">
        <v>12</v>
      </c>
      <c r="B56" s="766" t="s">
        <v>225</v>
      </c>
      <c r="C56" s="766" t="s">
        <v>122</v>
      </c>
      <c r="D56" s="747">
        <v>57</v>
      </c>
      <c r="E56" s="748">
        <v>741</v>
      </c>
      <c r="F56" s="749">
        <v>798</v>
      </c>
      <c r="G56" s="749">
        <f t="shared" si="0"/>
        <v>0</v>
      </c>
      <c r="H56" s="723">
        <f t="shared" si="1"/>
        <v>798</v>
      </c>
      <c r="I56" s="724"/>
      <c r="J56" s="772">
        <f t="shared" ref="J56:J60" si="7">H56-K56-G56</f>
        <v>798</v>
      </c>
      <c r="K56" s="773">
        <v>0</v>
      </c>
      <c r="L56" s="772">
        <f t="shared" ref="L56:L60" si="8">H56-K56</f>
        <v>798</v>
      </c>
      <c r="N56" s="705">
        <f t="shared" si="2"/>
        <v>798</v>
      </c>
    </row>
    <row r="57" spans="1:14" ht="14.4">
      <c r="A57" s="762" t="s">
        <v>12</v>
      </c>
      <c r="B57" s="708" t="s">
        <v>227</v>
      </c>
      <c r="C57" s="708" t="s">
        <v>118</v>
      </c>
      <c r="D57" s="747">
        <v>0</v>
      </c>
      <c r="E57" s="748">
        <v>553</v>
      </c>
      <c r="F57" s="749">
        <v>553</v>
      </c>
      <c r="G57" s="749">
        <f t="shared" si="0"/>
        <v>0</v>
      </c>
      <c r="H57" s="723">
        <f t="shared" si="1"/>
        <v>553</v>
      </c>
      <c r="I57" s="724"/>
      <c r="J57" s="772">
        <f t="shared" si="7"/>
        <v>553</v>
      </c>
      <c r="K57" s="773">
        <v>0</v>
      </c>
      <c r="L57" s="772">
        <f t="shared" si="8"/>
        <v>553</v>
      </c>
      <c r="N57" s="705">
        <f t="shared" si="2"/>
        <v>553</v>
      </c>
    </row>
    <row r="58" spans="1:14" ht="14.4">
      <c r="A58" s="762" t="s">
        <v>12</v>
      </c>
      <c r="B58" s="727" t="s">
        <v>229</v>
      </c>
      <c r="C58" s="727" t="s">
        <v>85</v>
      </c>
      <c r="D58" s="747">
        <v>0</v>
      </c>
      <c r="E58" s="748">
        <v>552</v>
      </c>
      <c r="F58" s="749">
        <v>552</v>
      </c>
      <c r="G58" s="749">
        <f t="shared" si="0"/>
        <v>0</v>
      </c>
      <c r="H58" s="723">
        <f t="shared" si="1"/>
        <v>552</v>
      </c>
      <c r="I58" s="724"/>
      <c r="J58" s="772">
        <f t="shared" si="7"/>
        <v>552</v>
      </c>
      <c r="K58" s="773">
        <v>0</v>
      </c>
      <c r="L58" s="772">
        <f t="shared" si="8"/>
        <v>552</v>
      </c>
      <c r="N58" s="705">
        <f t="shared" si="2"/>
        <v>552</v>
      </c>
    </row>
    <row r="59" spans="1:14" ht="14.4">
      <c r="A59" s="762" t="s">
        <v>12</v>
      </c>
      <c r="B59" s="706" t="s">
        <v>231</v>
      </c>
      <c r="C59" s="706" t="s">
        <v>82</v>
      </c>
      <c r="D59" s="747">
        <v>0</v>
      </c>
      <c r="E59" s="748">
        <v>320</v>
      </c>
      <c r="F59" s="749">
        <v>308</v>
      </c>
      <c r="G59" s="749">
        <f t="shared" si="0"/>
        <v>12</v>
      </c>
      <c r="H59" s="723">
        <f t="shared" si="1"/>
        <v>320</v>
      </c>
      <c r="I59" s="724"/>
      <c r="J59" s="772">
        <f t="shared" si="7"/>
        <v>308</v>
      </c>
      <c r="K59" s="773">
        <v>0</v>
      </c>
      <c r="L59" s="772">
        <f t="shared" si="8"/>
        <v>320</v>
      </c>
      <c r="N59" s="705">
        <f t="shared" si="2"/>
        <v>320</v>
      </c>
    </row>
    <row r="60" spans="1:14" ht="14.4">
      <c r="A60" s="774" t="s">
        <v>12</v>
      </c>
      <c r="B60" s="706" t="s">
        <v>232</v>
      </c>
      <c r="C60" s="706" t="s">
        <v>82</v>
      </c>
      <c r="D60" s="753">
        <v>94</v>
      </c>
      <c r="E60" s="754">
        <v>675</v>
      </c>
      <c r="F60" s="755">
        <v>752</v>
      </c>
      <c r="G60" s="755">
        <f t="shared" si="0"/>
        <v>17</v>
      </c>
      <c r="H60" s="732">
        <f t="shared" si="1"/>
        <v>769</v>
      </c>
      <c r="I60" s="724"/>
      <c r="J60" s="772">
        <f t="shared" si="7"/>
        <v>752</v>
      </c>
      <c r="K60" s="773">
        <v>0</v>
      </c>
      <c r="L60" s="772">
        <f t="shared" si="8"/>
        <v>769</v>
      </c>
      <c r="N60" s="705">
        <f t="shared" si="2"/>
        <v>769</v>
      </c>
    </row>
    <row r="61" spans="1:14" ht="15.6">
      <c r="A61" s="775" t="s">
        <v>16</v>
      </c>
      <c r="B61" s="692" t="s">
        <v>154</v>
      </c>
      <c r="C61" s="692" t="s">
        <v>106</v>
      </c>
      <c r="D61" s="776">
        <v>0</v>
      </c>
      <c r="E61" s="777">
        <v>357</v>
      </c>
      <c r="F61" s="778">
        <v>357</v>
      </c>
      <c r="G61" s="779">
        <f t="shared" si="0"/>
        <v>0</v>
      </c>
      <c r="H61" s="780">
        <f t="shared" si="1"/>
        <v>357</v>
      </c>
      <c r="I61" s="698">
        <v>1</v>
      </c>
      <c r="J61" s="1125" t="s">
        <v>313</v>
      </c>
      <c r="K61" s="1015"/>
      <c r="L61" s="1126"/>
      <c r="N61" s="705">
        <f t="shared" si="2"/>
        <v>357</v>
      </c>
    </row>
    <row r="62" spans="1:14" ht="15.6">
      <c r="A62" s="775" t="s">
        <v>16</v>
      </c>
      <c r="B62" s="692" t="s">
        <v>155</v>
      </c>
      <c r="C62" s="692" t="s">
        <v>106</v>
      </c>
      <c r="D62" s="781">
        <v>94</v>
      </c>
      <c r="E62" s="702">
        <v>426</v>
      </c>
      <c r="F62" s="695">
        <v>520</v>
      </c>
      <c r="G62" s="782">
        <f t="shared" si="0"/>
        <v>0</v>
      </c>
      <c r="H62" s="783">
        <f t="shared" si="1"/>
        <v>520</v>
      </c>
      <c r="I62" s="698">
        <v>2</v>
      </c>
      <c r="J62" s="1127"/>
      <c r="K62" s="1015"/>
      <c r="L62" s="1126"/>
      <c r="N62" s="705">
        <f t="shared" si="2"/>
        <v>520</v>
      </c>
    </row>
    <row r="63" spans="1:14" ht="15.6">
      <c r="A63" s="775" t="s">
        <v>16</v>
      </c>
      <c r="B63" s="741" t="s">
        <v>156</v>
      </c>
      <c r="C63" s="741" t="s">
        <v>79</v>
      </c>
      <c r="D63" s="781">
        <v>26</v>
      </c>
      <c r="E63" s="702">
        <v>30</v>
      </c>
      <c r="F63" s="695">
        <v>56</v>
      </c>
      <c r="G63" s="782">
        <f t="shared" si="0"/>
        <v>0</v>
      </c>
      <c r="H63" s="783">
        <f t="shared" si="1"/>
        <v>56</v>
      </c>
      <c r="I63" s="698">
        <v>3</v>
      </c>
      <c r="J63" s="1127"/>
      <c r="K63" s="1015"/>
      <c r="L63" s="1126"/>
      <c r="N63" s="705">
        <f t="shared" si="2"/>
        <v>56</v>
      </c>
    </row>
    <row r="64" spans="1:14" ht="15.6">
      <c r="A64" s="775" t="s">
        <v>16</v>
      </c>
      <c r="B64" s="706" t="s">
        <v>157</v>
      </c>
      <c r="C64" s="706" t="s">
        <v>82</v>
      </c>
      <c r="D64" s="781">
        <v>0</v>
      </c>
      <c r="E64" s="702">
        <v>1037</v>
      </c>
      <c r="F64" s="695">
        <v>1005</v>
      </c>
      <c r="G64" s="782">
        <f t="shared" si="0"/>
        <v>32</v>
      </c>
      <c r="H64" s="783">
        <f t="shared" si="1"/>
        <v>1037</v>
      </c>
      <c r="I64" s="698">
        <v>4</v>
      </c>
      <c r="J64" s="1127"/>
      <c r="K64" s="1015"/>
      <c r="L64" s="1126"/>
      <c r="N64" s="705">
        <f t="shared" si="2"/>
        <v>1037</v>
      </c>
    </row>
    <row r="65" spans="1:14" ht="15.6">
      <c r="A65" s="775" t="s">
        <v>16</v>
      </c>
      <c r="B65" s="706" t="s">
        <v>158</v>
      </c>
      <c r="C65" s="706" t="s">
        <v>82</v>
      </c>
      <c r="D65" s="781">
        <v>79</v>
      </c>
      <c r="E65" s="702">
        <v>493</v>
      </c>
      <c r="F65" s="695">
        <v>565</v>
      </c>
      <c r="G65" s="782">
        <f t="shared" si="0"/>
        <v>7</v>
      </c>
      <c r="H65" s="783">
        <f t="shared" si="1"/>
        <v>572</v>
      </c>
      <c r="I65" s="698">
        <v>5</v>
      </c>
      <c r="J65" s="1127"/>
      <c r="K65" s="1015"/>
      <c r="L65" s="1126"/>
      <c r="N65" s="705">
        <f t="shared" si="2"/>
        <v>572</v>
      </c>
    </row>
    <row r="66" spans="1:14" ht="15.6">
      <c r="A66" s="775" t="s">
        <v>16</v>
      </c>
      <c r="B66" s="727" t="s">
        <v>159</v>
      </c>
      <c r="C66" s="727" t="s">
        <v>85</v>
      </c>
      <c r="D66" s="781">
        <v>75</v>
      </c>
      <c r="E66" s="702">
        <v>330</v>
      </c>
      <c r="F66" s="695">
        <v>405</v>
      </c>
      <c r="G66" s="782">
        <f t="shared" si="0"/>
        <v>0</v>
      </c>
      <c r="H66" s="783">
        <f t="shared" si="1"/>
        <v>405</v>
      </c>
      <c r="I66" s="698">
        <v>6</v>
      </c>
      <c r="J66" s="1127"/>
      <c r="K66" s="1015"/>
      <c r="L66" s="1126"/>
      <c r="N66" s="705">
        <f t="shared" si="2"/>
        <v>405</v>
      </c>
    </row>
    <row r="67" spans="1:14" ht="15.6">
      <c r="A67" s="775" t="s">
        <v>16</v>
      </c>
      <c r="B67" s="707" t="s">
        <v>160</v>
      </c>
      <c r="C67" s="707" t="s">
        <v>88</v>
      </c>
      <c r="D67" s="781">
        <v>8</v>
      </c>
      <c r="E67" s="702">
        <v>423</v>
      </c>
      <c r="F67" s="695">
        <v>431</v>
      </c>
      <c r="G67" s="782">
        <f t="shared" si="0"/>
        <v>0</v>
      </c>
      <c r="H67" s="783">
        <f t="shared" si="1"/>
        <v>431</v>
      </c>
      <c r="I67" s="698">
        <v>7</v>
      </c>
      <c r="J67" s="1127"/>
      <c r="K67" s="1015"/>
      <c r="L67" s="1126"/>
      <c r="N67" s="705">
        <f t="shared" si="2"/>
        <v>431</v>
      </c>
    </row>
    <row r="68" spans="1:14" ht="15.6">
      <c r="A68" s="775" t="s">
        <v>16</v>
      </c>
      <c r="B68" s="708" t="s">
        <v>161</v>
      </c>
      <c r="C68" s="708" t="s">
        <v>118</v>
      </c>
      <c r="D68" s="781">
        <v>20</v>
      </c>
      <c r="E68" s="702">
        <v>287</v>
      </c>
      <c r="F68" s="695">
        <v>307</v>
      </c>
      <c r="G68" s="782">
        <f t="shared" si="0"/>
        <v>0</v>
      </c>
      <c r="H68" s="783">
        <f t="shared" si="1"/>
        <v>307</v>
      </c>
      <c r="I68" s="698">
        <v>8</v>
      </c>
      <c r="J68" s="1127"/>
      <c r="K68" s="1015"/>
      <c r="L68" s="1126"/>
      <c r="N68" s="705">
        <f t="shared" si="2"/>
        <v>307</v>
      </c>
    </row>
    <row r="69" spans="1:14" ht="15.6">
      <c r="A69" s="775" t="s">
        <v>16</v>
      </c>
      <c r="B69" s="710" t="s">
        <v>162</v>
      </c>
      <c r="C69" s="710" t="s">
        <v>91</v>
      </c>
      <c r="D69" s="781">
        <v>0</v>
      </c>
      <c r="E69" s="702">
        <v>127</v>
      </c>
      <c r="F69" s="695">
        <v>127</v>
      </c>
      <c r="G69" s="782">
        <f t="shared" si="0"/>
        <v>0</v>
      </c>
      <c r="H69" s="783">
        <f t="shared" si="1"/>
        <v>127</v>
      </c>
      <c r="I69" s="698">
        <v>9</v>
      </c>
      <c r="J69" s="1127"/>
      <c r="K69" s="1015"/>
      <c r="L69" s="1126"/>
      <c r="N69" s="705">
        <f t="shared" si="2"/>
        <v>127</v>
      </c>
    </row>
    <row r="70" spans="1:14" ht="15.6">
      <c r="A70" s="775" t="s">
        <v>16</v>
      </c>
      <c r="B70" s="710" t="s">
        <v>163</v>
      </c>
      <c r="C70" s="710" t="s">
        <v>91</v>
      </c>
      <c r="D70" s="781">
        <v>0</v>
      </c>
      <c r="E70" s="702">
        <v>815</v>
      </c>
      <c r="F70" s="695">
        <v>815</v>
      </c>
      <c r="G70" s="782">
        <f t="shared" si="0"/>
        <v>0</v>
      </c>
      <c r="H70" s="783">
        <f t="shared" si="1"/>
        <v>815</v>
      </c>
      <c r="I70" s="698">
        <v>10</v>
      </c>
      <c r="J70" s="1127"/>
      <c r="K70" s="1015"/>
      <c r="L70" s="1126"/>
      <c r="N70" s="705">
        <f t="shared" si="2"/>
        <v>815</v>
      </c>
    </row>
    <row r="71" spans="1:14" ht="15.6">
      <c r="A71" s="775" t="s">
        <v>16</v>
      </c>
      <c r="B71" s="711" t="s">
        <v>164</v>
      </c>
      <c r="C71" s="711" t="s">
        <v>95</v>
      </c>
      <c r="D71" s="781">
        <v>0</v>
      </c>
      <c r="E71" s="702">
        <v>835</v>
      </c>
      <c r="F71" s="695">
        <v>822</v>
      </c>
      <c r="G71" s="782">
        <f t="shared" si="0"/>
        <v>13</v>
      </c>
      <c r="H71" s="783">
        <f t="shared" si="1"/>
        <v>835</v>
      </c>
      <c r="I71" s="698">
        <v>11</v>
      </c>
      <c r="J71" s="1127"/>
      <c r="K71" s="1015"/>
      <c r="L71" s="1126"/>
      <c r="N71" s="705">
        <f t="shared" si="2"/>
        <v>835</v>
      </c>
    </row>
    <row r="72" spans="1:14" ht="15.6">
      <c r="A72" s="775" t="s">
        <v>16</v>
      </c>
      <c r="B72" s="711" t="s">
        <v>165</v>
      </c>
      <c r="C72" s="711" t="s">
        <v>95</v>
      </c>
      <c r="D72" s="781">
        <v>0</v>
      </c>
      <c r="E72" s="702">
        <v>1060</v>
      </c>
      <c r="F72" s="695">
        <v>952</v>
      </c>
      <c r="G72" s="782">
        <f t="shared" si="0"/>
        <v>108</v>
      </c>
      <c r="H72" s="783">
        <f t="shared" si="1"/>
        <v>1060</v>
      </c>
      <c r="I72" s="698">
        <v>12</v>
      </c>
      <c r="J72" s="1127"/>
      <c r="K72" s="1015"/>
      <c r="L72" s="1126"/>
      <c r="N72" s="705">
        <f t="shared" si="2"/>
        <v>1060</v>
      </c>
    </row>
    <row r="73" spans="1:14" ht="15.6">
      <c r="A73" s="775" t="s">
        <v>16</v>
      </c>
      <c r="B73" s="712" t="s">
        <v>166</v>
      </c>
      <c r="C73" s="712" t="s">
        <v>97</v>
      </c>
      <c r="D73" s="781">
        <v>5</v>
      </c>
      <c r="E73" s="702">
        <v>559</v>
      </c>
      <c r="F73" s="695">
        <v>564</v>
      </c>
      <c r="G73" s="782">
        <f t="shared" si="0"/>
        <v>0</v>
      </c>
      <c r="H73" s="783">
        <f t="shared" si="1"/>
        <v>564</v>
      </c>
      <c r="I73" s="698">
        <v>13</v>
      </c>
      <c r="J73" s="1127"/>
      <c r="K73" s="1015"/>
      <c r="L73" s="1126"/>
      <c r="N73" s="705">
        <f t="shared" si="2"/>
        <v>564</v>
      </c>
    </row>
    <row r="74" spans="1:14" ht="15.6">
      <c r="A74" s="775" t="s">
        <v>16</v>
      </c>
      <c r="B74" s="766" t="s">
        <v>167</v>
      </c>
      <c r="C74" s="766" t="s">
        <v>122</v>
      </c>
      <c r="D74" s="781">
        <v>16</v>
      </c>
      <c r="E74" s="702">
        <v>24</v>
      </c>
      <c r="F74" s="695">
        <v>40</v>
      </c>
      <c r="G74" s="782">
        <f t="shared" si="0"/>
        <v>0</v>
      </c>
      <c r="H74" s="783">
        <f t="shared" si="1"/>
        <v>40</v>
      </c>
      <c r="I74" s="698">
        <v>14</v>
      </c>
      <c r="J74" s="1127"/>
      <c r="K74" s="1015"/>
      <c r="L74" s="1126"/>
      <c r="N74" s="705">
        <f t="shared" si="2"/>
        <v>40</v>
      </c>
    </row>
    <row r="75" spans="1:14" ht="15.6">
      <c r="A75" s="775" t="s">
        <v>16</v>
      </c>
      <c r="B75" s="766" t="s">
        <v>168</v>
      </c>
      <c r="C75" s="766" t="s">
        <v>122</v>
      </c>
      <c r="D75" s="784">
        <v>0</v>
      </c>
      <c r="E75" s="785">
        <v>1016</v>
      </c>
      <c r="F75" s="786">
        <v>1016</v>
      </c>
      <c r="G75" s="787">
        <f t="shared" si="0"/>
        <v>0</v>
      </c>
      <c r="H75" s="788">
        <f t="shared" si="1"/>
        <v>1016</v>
      </c>
      <c r="I75" s="698">
        <v>15</v>
      </c>
      <c r="J75" s="1128"/>
      <c r="K75" s="1129"/>
      <c r="L75" s="1130"/>
      <c r="N75" s="705">
        <f t="shared" si="2"/>
        <v>1016</v>
      </c>
    </row>
    <row r="76" spans="1:14" ht="14.4">
      <c r="A76" s="775" t="s">
        <v>16</v>
      </c>
      <c r="B76" s="741" t="s">
        <v>170</v>
      </c>
      <c r="C76" s="741" t="s">
        <v>79</v>
      </c>
      <c r="D76" s="747">
        <v>7</v>
      </c>
      <c r="E76" s="748">
        <v>374</v>
      </c>
      <c r="F76" s="722">
        <v>381</v>
      </c>
      <c r="G76" s="722">
        <f t="shared" si="0"/>
        <v>0</v>
      </c>
      <c r="H76" s="723">
        <f t="shared" si="1"/>
        <v>381</v>
      </c>
      <c r="I76" s="724"/>
      <c r="J76" s="789">
        <f t="shared" ref="J76:J81" si="9">H76-K76-G76</f>
        <v>381</v>
      </c>
      <c r="K76" s="790">
        <v>0</v>
      </c>
      <c r="L76" s="789">
        <f t="shared" ref="L76:L81" si="10">H76-K76</f>
        <v>381</v>
      </c>
      <c r="N76" s="705">
        <f t="shared" si="2"/>
        <v>381</v>
      </c>
    </row>
    <row r="77" spans="1:14" ht="14.4">
      <c r="A77" s="775" t="s">
        <v>16</v>
      </c>
      <c r="B77" s="708" t="s">
        <v>172</v>
      </c>
      <c r="C77" s="708" t="s">
        <v>118</v>
      </c>
      <c r="D77" s="747">
        <v>25</v>
      </c>
      <c r="E77" s="748">
        <v>84</v>
      </c>
      <c r="F77" s="722">
        <v>109</v>
      </c>
      <c r="G77" s="722">
        <f t="shared" si="0"/>
        <v>0</v>
      </c>
      <c r="H77" s="723">
        <f t="shared" si="1"/>
        <v>109</v>
      </c>
      <c r="I77" s="724"/>
      <c r="J77" s="789">
        <f t="shared" si="9"/>
        <v>109</v>
      </c>
      <c r="K77" s="790">
        <v>0</v>
      </c>
      <c r="L77" s="789">
        <f t="shared" si="10"/>
        <v>109</v>
      </c>
      <c r="N77" s="705">
        <f t="shared" si="2"/>
        <v>109</v>
      </c>
    </row>
    <row r="78" spans="1:14" ht="14.4">
      <c r="A78" s="775" t="s">
        <v>16</v>
      </c>
      <c r="B78" s="711" t="s">
        <v>174</v>
      </c>
      <c r="C78" s="711" t="s">
        <v>95</v>
      </c>
      <c r="D78" s="747">
        <v>0</v>
      </c>
      <c r="E78" s="748">
        <v>332</v>
      </c>
      <c r="F78" s="722">
        <v>278</v>
      </c>
      <c r="G78" s="722">
        <f t="shared" si="0"/>
        <v>54</v>
      </c>
      <c r="H78" s="723">
        <f t="shared" si="1"/>
        <v>332</v>
      </c>
      <c r="I78" s="724"/>
      <c r="J78" s="789">
        <f t="shared" si="9"/>
        <v>278</v>
      </c>
      <c r="K78" s="790">
        <v>0</v>
      </c>
      <c r="L78" s="789">
        <f t="shared" si="10"/>
        <v>332</v>
      </c>
      <c r="N78" s="705">
        <f t="shared" si="2"/>
        <v>332</v>
      </c>
    </row>
    <row r="79" spans="1:14" ht="14.4">
      <c r="A79" s="775" t="s">
        <v>16</v>
      </c>
      <c r="B79" s="711" t="s">
        <v>179</v>
      </c>
      <c r="C79" s="711" t="s">
        <v>95</v>
      </c>
      <c r="D79" s="747">
        <v>0</v>
      </c>
      <c r="E79" s="748">
        <v>0</v>
      </c>
      <c r="F79" s="722">
        <v>0</v>
      </c>
      <c r="G79" s="722">
        <f t="shared" si="0"/>
        <v>0</v>
      </c>
      <c r="H79" s="723">
        <f t="shared" si="1"/>
        <v>0</v>
      </c>
      <c r="I79" s="724"/>
      <c r="J79" s="789">
        <f t="shared" si="9"/>
        <v>0</v>
      </c>
      <c r="K79" s="790">
        <v>0</v>
      </c>
      <c r="L79" s="789">
        <f t="shared" si="10"/>
        <v>0</v>
      </c>
      <c r="N79" s="705">
        <f t="shared" si="2"/>
        <v>0</v>
      </c>
    </row>
    <row r="80" spans="1:14" ht="14.4">
      <c r="A80" s="775" t="s">
        <v>16</v>
      </c>
      <c r="B80" s="708" t="s">
        <v>180</v>
      </c>
      <c r="C80" s="708" t="s">
        <v>118</v>
      </c>
      <c r="D80" s="747">
        <v>36</v>
      </c>
      <c r="E80" s="748">
        <v>366</v>
      </c>
      <c r="F80" s="722">
        <v>402</v>
      </c>
      <c r="G80" s="722">
        <f t="shared" si="0"/>
        <v>0</v>
      </c>
      <c r="H80" s="723">
        <f t="shared" si="1"/>
        <v>402</v>
      </c>
      <c r="I80" s="724"/>
      <c r="J80" s="789">
        <f t="shared" si="9"/>
        <v>402</v>
      </c>
      <c r="K80" s="790">
        <v>0</v>
      </c>
      <c r="L80" s="789">
        <f t="shared" si="10"/>
        <v>402</v>
      </c>
      <c r="N80" s="705">
        <f t="shared" si="2"/>
        <v>402</v>
      </c>
    </row>
    <row r="81" spans="1:14" ht="14.4">
      <c r="A81" s="775" t="s">
        <v>16</v>
      </c>
      <c r="B81" s="692" t="s">
        <v>181</v>
      </c>
      <c r="C81" s="692" t="s">
        <v>106</v>
      </c>
      <c r="D81" s="753">
        <v>4</v>
      </c>
      <c r="E81" s="754">
        <v>8</v>
      </c>
      <c r="F81" s="722">
        <v>12</v>
      </c>
      <c r="G81" s="731">
        <f t="shared" si="0"/>
        <v>0</v>
      </c>
      <c r="H81" s="723">
        <f t="shared" si="1"/>
        <v>12</v>
      </c>
      <c r="I81" s="724"/>
      <c r="J81" s="789">
        <f t="shared" si="9"/>
        <v>12</v>
      </c>
      <c r="K81" s="790">
        <v>0</v>
      </c>
      <c r="L81" s="789">
        <f t="shared" si="10"/>
        <v>12</v>
      </c>
      <c r="N81" s="705">
        <f t="shared" si="2"/>
        <v>12</v>
      </c>
    </row>
    <row r="82" spans="1:14" ht="14.4">
      <c r="A82" s="791" t="s">
        <v>8</v>
      </c>
      <c r="B82" s="692" t="s">
        <v>304</v>
      </c>
      <c r="C82" s="692" t="s">
        <v>106</v>
      </c>
      <c r="D82" s="792">
        <v>43</v>
      </c>
      <c r="E82" s="793">
        <v>70</v>
      </c>
      <c r="F82" s="794">
        <v>113</v>
      </c>
      <c r="G82" s="794">
        <f t="shared" si="0"/>
        <v>0</v>
      </c>
      <c r="H82" s="795">
        <f t="shared" si="1"/>
        <v>113</v>
      </c>
      <c r="I82" s="698">
        <v>1</v>
      </c>
      <c r="J82" s="1131" t="s">
        <v>313</v>
      </c>
      <c r="K82" s="1015"/>
      <c r="L82" s="1132"/>
      <c r="N82" s="705">
        <f t="shared" si="2"/>
        <v>113</v>
      </c>
    </row>
    <row r="83" spans="1:14" ht="15.6">
      <c r="A83" s="796" t="s">
        <v>8</v>
      </c>
      <c r="B83" s="741" t="s">
        <v>76</v>
      </c>
      <c r="C83" s="741" t="s">
        <v>79</v>
      </c>
      <c r="D83" s="797">
        <v>0</v>
      </c>
      <c r="E83" s="695">
        <v>459</v>
      </c>
      <c r="F83" s="695">
        <v>459</v>
      </c>
      <c r="G83" s="798">
        <f t="shared" si="0"/>
        <v>0</v>
      </c>
      <c r="H83" s="799">
        <f t="shared" si="1"/>
        <v>459</v>
      </c>
      <c r="I83" s="698">
        <v>2</v>
      </c>
      <c r="J83" s="1133"/>
      <c r="K83" s="1015"/>
      <c r="L83" s="1132"/>
      <c r="N83" s="705">
        <f t="shared" si="2"/>
        <v>459</v>
      </c>
    </row>
    <row r="84" spans="1:14" ht="15.6">
      <c r="A84" s="796" t="s">
        <v>8</v>
      </c>
      <c r="B84" s="741" t="s">
        <v>80</v>
      </c>
      <c r="C84" s="741" t="s">
        <v>79</v>
      </c>
      <c r="D84" s="797">
        <v>61</v>
      </c>
      <c r="E84" s="695">
        <v>327</v>
      </c>
      <c r="F84" s="695">
        <v>388</v>
      </c>
      <c r="G84" s="798">
        <f t="shared" si="0"/>
        <v>0</v>
      </c>
      <c r="H84" s="799">
        <f t="shared" si="1"/>
        <v>388</v>
      </c>
      <c r="I84" s="698">
        <v>3</v>
      </c>
      <c r="J84" s="1133"/>
      <c r="K84" s="1015"/>
      <c r="L84" s="1132"/>
      <c r="N84" s="705">
        <f t="shared" si="2"/>
        <v>388</v>
      </c>
    </row>
    <row r="85" spans="1:14" ht="15.6">
      <c r="A85" s="796" t="s">
        <v>8</v>
      </c>
      <c r="B85" s="706" t="s">
        <v>81</v>
      </c>
      <c r="C85" s="706" t="s">
        <v>82</v>
      </c>
      <c r="D85" s="797">
        <v>0</v>
      </c>
      <c r="E85" s="695">
        <v>1178</v>
      </c>
      <c r="F85" s="695">
        <v>1162</v>
      </c>
      <c r="G85" s="798">
        <f t="shared" si="0"/>
        <v>16</v>
      </c>
      <c r="H85" s="799">
        <f t="shared" si="1"/>
        <v>1178</v>
      </c>
      <c r="I85" s="698">
        <v>4</v>
      </c>
      <c r="J85" s="1133"/>
      <c r="K85" s="1015"/>
      <c r="L85" s="1132"/>
      <c r="N85" s="705">
        <f t="shared" si="2"/>
        <v>1178</v>
      </c>
    </row>
    <row r="86" spans="1:14" ht="15.6">
      <c r="A86" s="796" t="s">
        <v>8</v>
      </c>
      <c r="B86" s="706" t="s">
        <v>293</v>
      </c>
      <c r="C86" s="706" t="s">
        <v>82</v>
      </c>
      <c r="D86" s="797">
        <v>172</v>
      </c>
      <c r="E86" s="695">
        <v>603</v>
      </c>
      <c r="F86" s="695">
        <v>736</v>
      </c>
      <c r="G86" s="798">
        <f t="shared" si="0"/>
        <v>39</v>
      </c>
      <c r="H86" s="799">
        <f t="shared" si="1"/>
        <v>775</v>
      </c>
      <c r="I86" s="698">
        <v>5</v>
      </c>
      <c r="J86" s="1133"/>
      <c r="K86" s="1015"/>
      <c r="L86" s="1132"/>
      <c r="N86" s="705">
        <f t="shared" si="2"/>
        <v>775</v>
      </c>
    </row>
    <row r="87" spans="1:14" ht="15.6">
      <c r="A87" s="796" t="s">
        <v>8</v>
      </c>
      <c r="B87" s="727" t="s">
        <v>84</v>
      </c>
      <c r="C87" s="727" t="s">
        <v>85</v>
      </c>
      <c r="D87" s="797">
        <v>0</v>
      </c>
      <c r="E87" s="695">
        <v>676</v>
      </c>
      <c r="F87" s="695">
        <v>676</v>
      </c>
      <c r="G87" s="798">
        <f t="shared" si="0"/>
        <v>0</v>
      </c>
      <c r="H87" s="799">
        <f t="shared" si="1"/>
        <v>676</v>
      </c>
      <c r="I87" s="698">
        <v>6</v>
      </c>
      <c r="J87" s="1133"/>
      <c r="K87" s="1015"/>
      <c r="L87" s="1132"/>
      <c r="N87" s="705">
        <f t="shared" si="2"/>
        <v>676</v>
      </c>
    </row>
    <row r="88" spans="1:14" ht="15.6">
      <c r="A88" s="796" t="s">
        <v>8</v>
      </c>
      <c r="B88" s="707" t="s">
        <v>86</v>
      </c>
      <c r="C88" s="707" t="s">
        <v>88</v>
      </c>
      <c r="D88" s="797">
        <v>0</v>
      </c>
      <c r="E88" s="695">
        <v>854</v>
      </c>
      <c r="F88" s="695">
        <v>854</v>
      </c>
      <c r="G88" s="798">
        <f t="shared" si="0"/>
        <v>0</v>
      </c>
      <c r="H88" s="799">
        <f t="shared" si="1"/>
        <v>854</v>
      </c>
      <c r="I88" s="698">
        <v>7</v>
      </c>
      <c r="J88" s="1133"/>
      <c r="K88" s="1015"/>
      <c r="L88" s="1132"/>
      <c r="N88" s="705">
        <f t="shared" si="2"/>
        <v>854</v>
      </c>
    </row>
    <row r="89" spans="1:14" ht="15.6">
      <c r="A89" s="796" t="s">
        <v>8</v>
      </c>
      <c r="B89" s="707" t="s">
        <v>89</v>
      </c>
      <c r="C89" s="707" t="s">
        <v>88</v>
      </c>
      <c r="D89" s="797">
        <v>0</v>
      </c>
      <c r="E89" s="695">
        <v>425</v>
      </c>
      <c r="F89" s="695">
        <v>425</v>
      </c>
      <c r="G89" s="798">
        <f t="shared" si="0"/>
        <v>0</v>
      </c>
      <c r="H89" s="799">
        <f t="shared" si="1"/>
        <v>425</v>
      </c>
      <c r="I89" s="698">
        <v>8</v>
      </c>
      <c r="J89" s="1133"/>
      <c r="K89" s="1015"/>
      <c r="L89" s="1132"/>
      <c r="N89" s="705">
        <f t="shared" si="2"/>
        <v>425</v>
      </c>
    </row>
    <row r="90" spans="1:14" ht="15.6">
      <c r="A90" s="796" t="s">
        <v>8</v>
      </c>
      <c r="B90" s="710" t="s">
        <v>90</v>
      </c>
      <c r="C90" s="710" t="s">
        <v>91</v>
      </c>
      <c r="D90" s="797">
        <v>10</v>
      </c>
      <c r="E90" s="695">
        <v>405</v>
      </c>
      <c r="F90" s="695">
        <v>415</v>
      </c>
      <c r="G90" s="798">
        <f t="shared" si="0"/>
        <v>0</v>
      </c>
      <c r="H90" s="799">
        <f t="shared" si="1"/>
        <v>415</v>
      </c>
      <c r="I90" s="698">
        <v>9</v>
      </c>
      <c r="J90" s="1133"/>
      <c r="K90" s="1015"/>
      <c r="L90" s="1132"/>
      <c r="N90" s="705">
        <f t="shared" si="2"/>
        <v>415</v>
      </c>
    </row>
    <row r="91" spans="1:14" ht="15.6">
      <c r="A91" s="796" t="s">
        <v>8</v>
      </c>
      <c r="B91" s="710" t="s">
        <v>92</v>
      </c>
      <c r="C91" s="710" t="s">
        <v>91</v>
      </c>
      <c r="D91" s="797">
        <v>0</v>
      </c>
      <c r="E91" s="695">
        <v>831</v>
      </c>
      <c r="F91" s="695">
        <v>831</v>
      </c>
      <c r="G91" s="798">
        <f t="shared" si="0"/>
        <v>0</v>
      </c>
      <c r="H91" s="799">
        <f t="shared" si="1"/>
        <v>831</v>
      </c>
      <c r="I91" s="698">
        <v>10</v>
      </c>
      <c r="J91" s="1133"/>
      <c r="K91" s="1015"/>
      <c r="L91" s="1132"/>
      <c r="N91" s="705">
        <f t="shared" si="2"/>
        <v>831</v>
      </c>
    </row>
    <row r="92" spans="1:14" ht="15.6">
      <c r="A92" s="796" t="s">
        <v>8</v>
      </c>
      <c r="B92" s="710" t="s">
        <v>93</v>
      </c>
      <c r="C92" s="710" t="s">
        <v>91</v>
      </c>
      <c r="D92" s="797">
        <v>17</v>
      </c>
      <c r="E92" s="695">
        <v>333</v>
      </c>
      <c r="F92" s="695">
        <v>350</v>
      </c>
      <c r="G92" s="798">
        <f t="shared" si="0"/>
        <v>0</v>
      </c>
      <c r="H92" s="799">
        <f t="shared" si="1"/>
        <v>350</v>
      </c>
      <c r="I92" s="698">
        <v>11</v>
      </c>
      <c r="J92" s="1133"/>
      <c r="K92" s="1015"/>
      <c r="L92" s="1132"/>
      <c r="N92" s="705">
        <f t="shared" si="2"/>
        <v>350</v>
      </c>
    </row>
    <row r="93" spans="1:14" ht="15.6">
      <c r="A93" s="796" t="s">
        <v>8</v>
      </c>
      <c r="B93" s="711" t="s">
        <v>94</v>
      </c>
      <c r="C93" s="711" t="s">
        <v>95</v>
      </c>
      <c r="D93" s="797">
        <v>0</v>
      </c>
      <c r="E93" s="695">
        <v>357</v>
      </c>
      <c r="F93" s="695">
        <v>321</v>
      </c>
      <c r="G93" s="798">
        <f t="shared" si="0"/>
        <v>36</v>
      </c>
      <c r="H93" s="799">
        <f t="shared" si="1"/>
        <v>357</v>
      </c>
      <c r="I93" s="698">
        <v>12</v>
      </c>
      <c r="J93" s="1133"/>
      <c r="K93" s="1015"/>
      <c r="L93" s="1132"/>
      <c r="N93" s="705">
        <f t="shared" si="2"/>
        <v>357</v>
      </c>
    </row>
    <row r="94" spans="1:14" ht="15.6">
      <c r="A94" s="796" t="s">
        <v>8</v>
      </c>
      <c r="B94" s="712" t="s">
        <v>96</v>
      </c>
      <c r="C94" s="712" t="s">
        <v>97</v>
      </c>
      <c r="D94" s="797">
        <v>158</v>
      </c>
      <c r="E94" s="695">
        <v>925</v>
      </c>
      <c r="F94" s="695">
        <v>1083</v>
      </c>
      <c r="G94" s="798">
        <f t="shared" si="0"/>
        <v>0</v>
      </c>
      <c r="H94" s="799">
        <f t="shared" si="1"/>
        <v>1083</v>
      </c>
      <c r="I94" s="698">
        <v>13</v>
      </c>
      <c r="J94" s="1133"/>
      <c r="K94" s="1015"/>
      <c r="L94" s="1132"/>
      <c r="N94" s="705">
        <f t="shared" si="2"/>
        <v>1083</v>
      </c>
    </row>
    <row r="95" spans="1:14" ht="15.6">
      <c r="A95" s="796" t="s">
        <v>8</v>
      </c>
      <c r="B95" s="712" t="s">
        <v>98</v>
      </c>
      <c r="C95" s="712" t="s">
        <v>97</v>
      </c>
      <c r="D95" s="797">
        <v>53</v>
      </c>
      <c r="E95" s="695">
        <v>662</v>
      </c>
      <c r="F95" s="695">
        <v>715</v>
      </c>
      <c r="G95" s="798">
        <f t="shared" si="0"/>
        <v>0</v>
      </c>
      <c r="H95" s="799">
        <f t="shared" si="1"/>
        <v>715</v>
      </c>
      <c r="I95" s="698">
        <v>14</v>
      </c>
      <c r="J95" s="1133"/>
      <c r="K95" s="1015"/>
      <c r="L95" s="1132"/>
      <c r="N95" s="705">
        <f t="shared" si="2"/>
        <v>715</v>
      </c>
    </row>
    <row r="96" spans="1:14" ht="15.6">
      <c r="A96" s="796" t="s">
        <v>8</v>
      </c>
      <c r="B96" s="707" t="s">
        <v>303</v>
      </c>
      <c r="C96" s="707" t="s">
        <v>88</v>
      </c>
      <c r="D96" s="800">
        <v>132</v>
      </c>
      <c r="E96" s="801">
        <v>411</v>
      </c>
      <c r="F96" s="802">
        <v>543</v>
      </c>
      <c r="G96" s="803">
        <f t="shared" si="0"/>
        <v>0</v>
      </c>
      <c r="H96" s="804">
        <f t="shared" si="1"/>
        <v>543</v>
      </c>
      <c r="I96" s="698">
        <v>15</v>
      </c>
      <c r="J96" s="1134"/>
      <c r="K96" s="1135"/>
      <c r="L96" s="1136"/>
      <c r="N96" s="705">
        <f t="shared" si="2"/>
        <v>543</v>
      </c>
    </row>
    <row r="97" spans="1:14" ht="14.4">
      <c r="A97" s="796" t="s">
        <v>8</v>
      </c>
      <c r="B97" s="706" t="s">
        <v>103</v>
      </c>
      <c r="C97" s="706" t="s">
        <v>82</v>
      </c>
      <c r="D97" s="805">
        <v>172</v>
      </c>
      <c r="E97" s="806">
        <v>937</v>
      </c>
      <c r="F97" s="807">
        <v>1060</v>
      </c>
      <c r="G97" s="808">
        <f t="shared" si="0"/>
        <v>49</v>
      </c>
      <c r="H97" s="809">
        <f t="shared" si="1"/>
        <v>1109</v>
      </c>
      <c r="I97" s="698">
        <v>16</v>
      </c>
      <c r="J97" s="810">
        <f t="shared" ref="J97:J107" si="11">H97-K97-G97</f>
        <v>886</v>
      </c>
      <c r="K97" s="810">
        <f>140+34</f>
        <v>174</v>
      </c>
      <c r="L97" s="810">
        <f t="shared" ref="L97:L107" si="12">H97-K97</f>
        <v>935</v>
      </c>
      <c r="N97" s="705">
        <f t="shared" si="2"/>
        <v>1109</v>
      </c>
    </row>
    <row r="98" spans="1:14" ht="14.4">
      <c r="A98" s="796" t="s">
        <v>8</v>
      </c>
      <c r="B98" s="727" t="s">
        <v>104</v>
      </c>
      <c r="C98" s="727" t="s">
        <v>85</v>
      </c>
      <c r="D98" s="747">
        <v>0</v>
      </c>
      <c r="E98" s="748">
        <v>536</v>
      </c>
      <c r="F98" s="722">
        <v>536</v>
      </c>
      <c r="G98" s="722">
        <f t="shared" si="0"/>
        <v>0</v>
      </c>
      <c r="H98" s="723">
        <f t="shared" si="1"/>
        <v>536</v>
      </c>
      <c r="I98" s="724"/>
      <c r="J98" s="811">
        <f t="shared" si="11"/>
        <v>536</v>
      </c>
      <c r="K98" s="812">
        <v>0</v>
      </c>
      <c r="L98" s="811">
        <f t="shared" si="12"/>
        <v>536</v>
      </c>
      <c r="N98" s="705">
        <f t="shared" si="2"/>
        <v>536</v>
      </c>
    </row>
    <row r="99" spans="1:14" ht="14.4">
      <c r="A99" s="796" t="s">
        <v>8</v>
      </c>
      <c r="B99" s="692" t="s">
        <v>105</v>
      </c>
      <c r="C99" s="692" t="s">
        <v>106</v>
      </c>
      <c r="D99" s="747">
        <v>0</v>
      </c>
      <c r="E99" s="748">
        <v>439</v>
      </c>
      <c r="F99" s="722">
        <v>439</v>
      </c>
      <c r="G99" s="722">
        <f t="shared" si="0"/>
        <v>0</v>
      </c>
      <c r="H99" s="723">
        <f t="shared" si="1"/>
        <v>439</v>
      </c>
      <c r="I99" s="724"/>
      <c r="J99" s="811">
        <f t="shared" si="11"/>
        <v>439</v>
      </c>
      <c r="K99" s="812">
        <v>0</v>
      </c>
      <c r="L99" s="811">
        <f t="shared" si="12"/>
        <v>439</v>
      </c>
      <c r="N99" s="705">
        <f t="shared" si="2"/>
        <v>439</v>
      </c>
    </row>
    <row r="100" spans="1:14" ht="14.4">
      <c r="A100" s="796" t="s">
        <v>8</v>
      </c>
      <c r="B100" s="692" t="s">
        <v>115</v>
      </c>
      <c r="C100" s="692" t="s">
        <v>79</v>
      </c>
      <c r="D100" s="747">
        <v>0</v>
      </c>
      <c r="E100" s="748">
        <v>286</v>
      </c>
      <c r="F100" s="722">
        <v>286</v>
      </c>
      <c r="G100" s="722">
        <f t="shared" si="0"/>
        <v>0</v>
      </c>
      <c r="H100" s="723">
        <f t="shared" si="1"/>
        <v>286</v>
      </c>
      <c r="I100" s="724"/>
      <c r="J100" s="811">
        <f t="shared" si="11"/>
        <v>286</v>
      </c>
      <c r="K100" s="812">
        <v>0</v>
      </c>
      <c r="L100" s="811">
        <f t="shared" si="12"/>
        <v>286</v>
      </c>
      <c r="N100" s="705">
        <f t="shared" si="2"/>
        <v>286</v>
      </c>
    </row>
    <row r="101" spans="1:14" ht="14.4">
      <c r="A101" s="796" t="s">
        <v>8</v>
      </c>
      <c r="B101" s="708" t="s">
        <v>117</v>
      </c>
      <c r="C101" s="708" t="s">
        <v>118</v>
      </c>
      <c r="D101" s="747">
        <v>46</v>
      </c>
      <c r="E101" s="748">
        <v>461</v>
      </c>
      <c r="F101" s="722">
        <v>507</v>
      </c>
      <c r="G101" s="722">
        <f t="shared" si="0"/>
        <v>0</v>
      </c>
      <c r="H101" s="723">
        <f t="shared" si="1"/>
        <v>507</v>
      </c>
      <c r="I101" s="724"/>
      <c r="J101" s="811">
        <f t="shared" si="11"/>
        <v>507</v>
      </c>
      <c r="K101" s="812">
        <v>0</v>
      </c>
      <c r="L101" s="811">
        <f t="shared" si="12"/>
        <v>507</v>
      </c>
      <c r="N101" s="705">
        <f t="shared" si="2"/>
        <v>507</v>
      </c>
    </row>
    <row r="102" spans="1:14" ht="14.4">
      <c r="A102" s="796" t="s">
        <v>8</v>
      </c>
      <c r="B102" s="711" t="s">
        <v>119</v>
      </c>
      <c r="C102" s="711" t="s">
        <v>95</v>
      </c>
      <c r="D102" s="747">
        <v>1</v>
      </c>
      <c r="E102" s="748">
        <v>509</v>
      </c>
      <c r="F102" s="722">
        <v>475</v>
      </c>
      <c r="G102" s="722">
        <f t="shared" si="0"/>
        <v>35</v>
      </c>
      <c r="H102" s="723">
        <f t="shared" si="1"/>
        <v>510</v>
      </c>
      <c r="I102" s="724"/>
      <c r="J102" s="811">
        <f t="shared" si="11"/>
        <v>475</v>
      </c>
      <c r="K102" s="812">
        <v>0</v>
      </c>
      <c r="L102" s="811">
        <f t="shared" si="12"/>
        <v>510</v>
      </c>
      <c r="N102" s="705">
        <f t="shared" si="2"/>
        <v>510</v>
      </c>
    </row>
    <row r="103" spans="1:14" ht="14.4">
      <c r="A103" s="796" t="s">
        <v>8</v>
      </c>
      <c r="B103" s="710" t="s">
        <v>120</v>
      </c>
      <c r="C103" s="710" t="s">
        <v>91</v>
      </c>
      <c r="D103" s="747">
        <v>0</v>
      </c>
      <c r="E103" s="748">
        <v>790</v>
      </c>
      <c r="F103" s="722">
        <v>790</v>
      </c>
      <c r="G103" s="722">
        <f t="shared" si="0"/>
        <v>0</v>
      </c>
      <c r="H103" s="723">
        <f t="shared" si="1"/>
        <v>790</v>
      </c>
      <c r="I103" s="724"/>
      <c r="J103" s="811">
        <f t="shared" si="11"/>
        <v>790</v>
      </c>
      <c r="K103" s="812">
        <v>0</v>
      </c>
      <c r="L103" s="811">
        <f t="shared" si="12"/>
        <v>790</v>
      </c>
      <c r="N103" s="705">
        <f t="shared" si="2"/>
        <v>790</v>
      </c>
    </row>
    <row r="104" spans="1:14" ht="14.4">
      <c r="A104" s="796" t="s">
        <v>8</v>
      </c>
      <c r="B104" s="766" t="s">
        <v>121</v>
      </c>
      <c r="C104" s="766" t="s">
        <v>122</v>
      </c>
      <c r="D104" s="747">
        <v>0</v>
      </c>
      <c r="E104" s="748">
        <v>57</v>
      </c>
      <c r="F104" s="722">
        <v>57</v>
      </c>
      <c r="G104" s="722">
        <f t="shared" si="0"/>
        <v>0</v>
      </c>
      <c r="H104" s="723">
        <f t="shared" si="1"/>
        <v>57</v>
      </c>
      <c r="I104" s="724"/>
      <c r="J104" s="811">
        <f t="shared" si="11"/>
        <v>57</v>
      </c>
      <c r="K104" s="812">
        <v>0</v>
      </c>
      <c r="L104" s="811">
        <f t="shared" si="12"/>
        <v>57</v>
      </c>
      <c r="N104" s="705">
        <f t="shared" si="2"/>
        <v>57</v>
      </c>
    </row>
    <row r="105" spans="1:14" ht="14.4">
      <c r="A105" s="796" t="s">
        <v>8</v>
      </c>
      <c r="B105" s="710" t="s">
        <v>316</v>
      </c>
      <c r="C105" s="710" t="s">
        <v>91</v>
      </c>
      <c r="D105" s="747">
        <v>0</v>
      </c>
      <c r="E105" s="748">
        <v>267</v>
      </c>
      <c r="F105" s="722">
        <v>267</v>
      </c>
      <c r="G105" s="722">
        <f t="shared" si="0"/>
        <v>0</v>
      </c>
      <c r="H105" s="723">
        <f t="shared" si="1"/>
        <v>267</v>
      </c>
      <c r="I105" s="724"/>
      <c r="J105" s="811">
        <f t="shared" si="11"/>
        <v>267</v>
      </c>
      <c r="K105" s="812">
        <v>0</v>
      </c>
      <c r="L105" s="811">
        <f t="shared" si="12"/>
        <v>267</v>
      </c>
      <c r="N105" s="705">
        <f t="shared" si="2"/>
        <v>267</v>
      </c>
    </row>
    <row r="106" spans="1:14" ht="14.4">
      <c r="A106" s="796" t="s">
        <v>8</v>
      </c>
      <c r="B106" s="711" t="s">
        <v>124</v>
      </c>
      <c r="C106" s="711" t="s">
        <v>95</v>
      </c>
      <c r="D106" s="747">
        <v>73</v>
      </c>
      <c r="E106" s="748">
        <v>277</v>
      </c>
      <c r="F106" s="722">
        <v>350</v>
      </c>
      <c r="G106" s="722">
        <f t="shared" si="0"/>
        <v>0</v>
      </c>
      <c r="H106" s="723">
        <f t="shared" si="1"/>
        <v>350</v>
      </c>
      <c r="I106" s="724"/>
      <c r="J106" s="811">
        <f t="shared" si="11"/>
        <v>350</v>
      </c>
      <c r="K106" s="812">
        <v>0</v>
      </c>
      <c r="L106" s="811">
        <f t="shared" si="12"/>
        <v>350</v>
      </c>
      <c r="N106" s="705">
        <f t="shared" si="2"/>
        <v>350</v>
      </c>
    </row>
    <row r="107" spans="1:14" ht="14.4">
      <c r="A107" s="813" t="s">
        <v>8</v>
      </c>
      <c r="B107" s="741" t="s">
        <v>125</v>
      </c>
      <c r="C107" s="741" t="s">
        <v>79</v>
      </c>
      <c r="D107" s="814">
        <v>0</v>
      </c>
      <c r="E107" s="815">
        <v>384</v>
      </c>
      <c r="F107" s="816">
        <v>384</v>
      </c>
      <c r="G107" s="816">
        <f t="shared" si="0"/>
        <v>0</v>
      </c>
      <c r="H107" s="817">
        <f t="shared" si="1"/>
        <v>384</v>
      </c>
      <c r="I107" s="724"/>
      <c r="J107" s="811">
        <f t="shared" si="11"/>
        <v>384</v>
      </c>
      <c r="K107" s="812">
        <v>0</v>
      </c>
      <c r="L107" s="811">
        <f t="shared" si="12"/>
        <v>384</v>
      </c>
      <c r="N107" s="818">
        <f t="shared" si="2"/>
        <v>384</v>
      </c>
    </row>
    <row r="108" spans="1:14" ht="13.2">
      <c r="I108" s="686"/>
      <c r="N108" s="687"/>
    </row>
    <row r="109" spans="1:14" ht="13.2">
      <c r="I109" s="686"/>
      <c r="N109" s="687"/>
    </row>
    <row r="110" spans="1:14" ht="13.2">
      <c r="I110" s="686"/>
      <c r="N110" s="687"/>
    </row>
    <row r="111" spans="1:14" ht="13.2">
      <c r="I111" s="686"/>
      <c r="N111" s="687"/>
    </row>
    <row r="112" spans="1:14" ht="13.2">
      <c r="I112" s="686"/>
      <c r="N112" s="687"/>
    </row>
    <row r="113" spans="9:14" ht="13.2">
      <c r="I113" s="686"/>
      <c r="N113" s="687"/>
    </row>
    <row r="114" spans="9:14" ht="13.2">
      <c r="I114" s="686"/>
      <c r="N114" s="687"/>
    </row>
    <row r="115" spans="9:14" ht="13.2">
      <c r="I115" s="686"/>
      <c r="N115" s="687"/>
    </row>
    <row r="116" spans="9:14" ht="13.2">
      <c r="I116" s="686"/>
      <c r="N116" s="687"/>
    </row>
    <row r="117" spans="9:14" ht="13.2">
      <c r="I117" s="686"/>
      <c r="N117" s="687"/>
    </row>
    <row r="118" spans="9:14" ht="13.2">
      <c r="I118" s="686"/>
      <c r="N118" s="687"/>
    </row>
    <row r="119" spans="9:14" ht="13.2">
      <c r="I119" s="686"/>
      <c r="N119" s="687"/>
    </row>
    <row r="120" spans="9:14" ht="13.2">
      <c r="I120" s="686"/>
      <c r="N120" s="687"/>
    </row>
    <row r="121" spans="9:14" ht="13.2">
      <c r="I121" s="686"/>
      <c r="N121" s="687"/>
    </row>
    <row r="122" spans="9:14" ht="13.2">
      <c r="I122" s="686"/>
      <c r="N122" s="687"/>
    </row>
    <row r="123" spans="9:14" ht="13.2">
      <c r="I123" s="686"/>
      <c r="N123" s="687"/>
    </row>
    <row r="124" spans="9:14" ht="13.2">
      <c r="I124" s="686"/>
      <c r="N124" s="687"/>
    </row>
    <row r="125" spans="9:14" ht="13.2">
      <c r="I125" s="686"/>
      <c r="N125" s="687"/>
    </row>
    <row r="126" spans="9:14" ht="13.2">
      <c r="I126" s="686"/>
      <c r="N126" s="687"/>
    </row>
    <row r="127" spans="9:14" ht="13.2">
      <c r="I127" s="686"/>
      <c r="N127" s="687"/>
    </row>
    <row r="128" spans="9:14" ht="13.2">
      <c r="I128" s="686"/>
      <c r="N128" s="687"/>
    </row>
    <row r="129" spans="9:14" ht="13.2">
      <c r="I129" s="686"/>
      <c r="N129" s="687"/>
    </row>
    <row r="130" spans="9:14" ht="13.2">
      <c r="I130" s="686"/>
      <c r="N130" s="687"/>
    </row>
    <row r="131" spans="9:14" ht="13.2">
      <c r="I131" s="686"/>
      <c r="N131" s="687"/>
    </row>
    <row r="132" spans="9:14" ht="13.2">
      <c r="I132" s="686"/>
      <c r="N132" s="687"/>
    </row>
    <row r="133" spans="9:14" ht="13.2">
      <c r="I133" s="686"/>
      <c r="N133" s="687"/>
    </row>
    <row r="134" spans="9:14" ht="13.2">
      <c r="I134" s="686"/>
      <c r="N134" s="687"/>
    </row>
    <row r="135" spans="9:14" ht="13.2">
      <c r="I135" s="686"/>
      <c r="N135" s="687"/>
    </row>
    <row r="136" spans="9:14" ht="13.2">
      <c r="I136" s="686"/>
      <c r="N136" s="687"/>
    </row>
    <row r="137" spans="9:14" ht="13.2">
      <c r="I137" s="686"/>
      <c r="N137" s="687"/>
    </row>
    <row r="138" spans="9:14" ht="13.2">
      <c r="I138" s="686"/>
      <c r="N138" s="687"/>
    </row>
    <row r="139" spans="9:14" ht="13.2">
      <c r="I139" s="686"/>
      <c r="N139" s="687"/>
    </row>
    <row r="140" spans="9:14" ht="13.2">
      <c r="I140" s="686"/>
      <c r="N140" s="687"/>
    </row>
    <row r="141" spans="9:14" ht="13.2">
      <c r="I141" s="686"/>
      <c r="N141" s="687"/>
    </row>
    <row r="142" spans="9:14" ht="13.2">
      <c r="I142" s="686"/>
      <c r="N142" s="687"/>
    </row>
    <row r="143" spans="9:14" ht="13.2">
      <c r="I143" s="686"/>
      <c r="N143" s="687"/>
    </row>
    <row r="144" spans="9:14" ht="13.2">
      <c r="I144" s="686"/>
      <c r="N144" s="687"/>
    </row>
    <row r="145" spans="9:14" ht="13.2">
      <c r="I145" s="686"/>
      <c r="N145" s="687"/>
    </row>
    <row r="146" spans="9:14" ht="13.2">
      <c r="I146" s="686"/>
      <c r="N146" s="687"/>
    </row>
    <row r="147" spans="9:14" ht="13.2">
      <c r="I147" s="686"/>
      <c r="N147" s="687"/>
    </row>
    <row r="148" spans="9:14" ht="13.2">
      <c r="I148" s="686"/>
      <c r="N148" s="687"/>
    </row>
    <row r="149" spans="9:14" ht="13.2">
      <c r="I149" s="686"/>
      <c r="N149" s="687"/>
    </row>
    <row r="150" spans="9:14" ht="13.2">
      <c r="I150" s="686"/>
      <c r="N150" s="687"/>
    </row>
    <row r="151" spans="9:14" ht="13.2">
      <c r="I151" s="686"/>
      <c r="N151" s="687"/>
    </row>
    <row r="152" spans="9:14" ht="13.2">
      <c r="I152" s="686"/>
      <c r="N152" s="687"/>
    </row>
    <row r="153" spans="9:14" ht="13.2">
      <c r="I153" s="686"/>
      <c r="N153" s="687"/>
    </row>
    <row r="154" spans="9:14" ht="13.2">
      <c r="I154" s="686"/>
      <c r="N154" s="687"/>
    </row>
    <row r="155" spans="9:14" ht="13.2">
      <c r="I155" s="686"/>
      <c r="N155" s="687"/>
    </row>
    <row r="156" spans="9:14" ht="13.2">
      <c r="I156" s="686"/>
      <c r="N156" s="687"/>
    </row>
    <row r="157" spans="9:14" ht="13.2">
      <c r="I157" s="686"/>
      <c r="N157" s="687"/>
    </row>
    <row r="158" spans="9:14" ht="13.2">
      <c r="I158" s="686"/>
      <c r="N158" s="687"/>
    </row>
    <row r="159" spans="9:14" ht="13.2">
      <c r="I159" s="686"/>
      <c r="N159" s="687"/>
    </row>
    <row r="160" spans="9:14" ht="13.2">
      <c r="I160" s="686"/>
      <c r="N160" s="687"/>
    </row>
    <row r="161" spans="9:14" ht="13.2">
      <c r="I161" s="686"/>
      <c r="N161" s="687"/>
    </row>
    <row r="162" spans="9:14" ht="13.2">
      <c r="I162" s="686"/>
      <c r="N162" s="687"/>
    </row>
    <row r="163" spans="9:14" ht="13.2">
      <c r="I163" s="686"/>
      <c r="N163" s="687"/>
    </row>
    <row r="164" spans="9:14" ht="13.2">
      <c r="I164" s="686"/>
      <c r="N164" s="687"/>
    </row>
    <row r="165" spans="9:14" ht="13.2">
      <c r="I165" s="686"/>
      <c r="N165" s="687"/>
    </row>
    <row r="166" spans="9:14" ht="13.2">
      <c r="I166" s="686"/>
      <c r="N166" s="687"/>
    </row>
    <row r="167" spans="9:14" ht="13.2">
      <c r="I167" s="686"/>
      <c r="N167" s="687"/>
    </row>
    <row r="168" spans="9:14" ht="13.2">
      <c r="I168" s="686"/>
      <c r="N168" s="687"/>
    </row>
    <row r="169" spans="9:14" ht="13.2">
      <c r="I169" s="686"/>
      <c r="N169" s="687"/>
    </row>
    <row r="170" spans="9:14" ht="13.2">
      <c r="I170" s="686"/>
      <c r="N170" s="687"/>
    </row>
    <row r="171" spans="9:14" ht="13.2">
      <c r="I171" s="686"/>
      <c r="N171" s="687"/>
    </row>
    <row r="172" spans="9:14" ht="13.2">
      <c r="I172" s="686"/>
      <c r="N172" s="687"/>
    </row>
    <row r="173" spans="9:14" ht="13.2">
      <c r="I173" s="686"/>
      <c r="N173" s="687"/>
    </row>
    <row r="174" spans="9:14" ht="13.2">
      <c r="I174" s="686"/>
      <c r="N174" s="687"/>
    </row>
    <row r="175" spans="9:14" ht="13.2">
      <c r="I175" s="686"/>
      <c r="N175" s="687"/>
    </row>
    <row r="176" spans="9:14" ht="13.2">
      <c r="I176" s="686"/>
      <c r="N176" s="687"/>
    </row>
    <row r="177" spans="9:14" ht="13.2">
      <c r="I177" s="686"/>
      <c r="N177" s="687"/>
    </row>
    <row r="178" spans="9:14" ht="13.2">
      <c r="I178" s="686"/>
      <c r="N178" s="687"/>
    </row>
    <row r="179" spans="9:14" ht="13.2">
      <c r="I179" s="686"/>
      <c r="N179" s="687"/>
    </row>
    <row r="180" spans="9:14" ht="13.2">
      <c r="I180" s="686"/>
      <c r="N180" s="687"/>
    </row>
    <row r="181" spans="9:14" ht="13.2">
      <c r="I181" s="686"/>
      <c r="N181" s="687"/>
    </row>
    <row r="182" spans="9:14" ht="13.2">
      <c r="I182" s="686"/>
      <c r="N182" s="687"/>
    </row>
    <row r="183" spans="9:14" ht="13.2">
      <c r="I183" s="686"/>
      <c r="N183" s="687"/>
    </row>
    <row r="184" spans="9:14" ht="13.2">
      <c r="I184" s="686"/>
      <c r="N184" s="687"/>
    </row>
    <row r="185" spans="9:14" ht="13.2">
      <c r="I185" s="686"/>
      <c r="N185" s="687"/>
    </row>
    <row r="186" spans="9:14" ht="13.2">
      <c r="I186" s="686"/>
      <c r="N186" s="687"/>
    </row>
    <row r="187" spans="9:14" ht="13.2">
      <c r="I187" s="686"/>
      <c r="N187" s="687"/>
    </row>
    <row r="188" spans="9:14" ht="13.2">
      <c r="I188" s="686"/>
      <c r="N188" s="687"/>
    </row>
    <row r="189" spans="9:14" ht="13.2">
      <c r="I189" s="686"/>
      <c r="N189" s="687"/>
    </row>
    <row r="190" spans="9:14" ht="13.2">
      <c r="I190" s="686"/>
      <c r="N190" s="687"/>
    </row>
    <row r="191" spans="9:14" ht="13.2">
      <c r="I191" s="686"/>
      <c r="N191" s="687"/>
    </row>
    <row r="192" spans="9:14" ht="13.2">
      <c r="I192" s="686"/>
      <c r="N192" s="687"/>
    </row>
    <row r="193" spans="9:14" ht="13.2">
      <c r="I193" s="686"/>
      <c r="N193" s="687"/>
    </row>
    <row r="194" spans="9:14" ht="13.2">
      <c r="I194" s="686"/>
      <c r="N194" s="687"/>
    </row>
    <row r="195" spans="9:14" ht="13.2">
      <c r="I195" s="686"/>
      <c r="N195" s="687"/>
    </row>
    <row r="196" spans="9:14" ht="13.2">
      <c r="I196" s="686"/>
      <c r="N196" s="687"/>
    </row>
    <row r="197" spans="9:14" ht="13.2">
      <c r="I197" s="686"/>
      <c r="N197" s="687"/>
    </row>
    <row r="198" spans="9:14" ht="13.2">
      <c r="I198" s="686"/>
      <c r="N198" s="687"/>
    </row>
    <row r="199" spans="9:14" ht="13.2">
      <c r="I199" s="686"/>
      <c r="N199" s="687"/>
    </row>
    <row r="200" spans="9:14" ht="13.2">
      <c r="I200" s="686"/>
      <c r="N200" s="687"/>
    </row>
    <row r="201" spans="9:14" ht="13.2">
      <c r="I201" s="686"/>
      <c r="N201" s="687"/>
    </row>
    <row r="202" spans="9:14" ht="13.2">
      <c r="I202" s="686"/>
      <c r="N202" s="687"/>
    </row>
    <row r="203" spans="9:14" ht="13.2">
      <c r="I203" s="686"/>
      <c r="N203" s="687"/>
    </row>
    <row r="204" spans="9:14" ht="13.2">
      <c r="I204" s="686"/>
      <c r="N204" s="687"/>
    </row>
    <row r="205" spans="9:14" ht="13.2">
      <c r="I205" s="686"/>
      <c r="N205" s="687"/>
    </row>
    <row r="206" spans="9:14" ht="13.2">
      <c r="I206" s="686"/>
      <c r="N206" s="687"/>
    </row>
    <row r="207" spans="9:14" ht="13.2">
      <c r="I207" s="686"/>
      <c r="N207" s="687"/>
    </row>
    <row r="208" spans="9:14" ht="13.2">
      <c r="I208" s="686"/>
      <c r="N208" s="687"/>
    </row>
    <row r="209" spans="9:14" ht="13.2">
      <c r="I209" s="686"/>
      <c r="N209" s="687"/>
    </row>
    <row r="210" spans="9:14" ht="13.2">
      <c r="I210" s="686"/>
      <c r="N210" s="687"/>
    </row>
    <row r="211" spans="9:14" ht="13.2">
      <c r="I211" s="686"/>
      <c r="N211" s="687"/>
    </row>
    <row r="212" spans="9:14" ht="13.2">
      <c r="I212" s="686"/>
      <c r="N212" s="687"/>
    </row>
    <row r="213" spans="9:14" ht="13.2">
      <c r="I213" s="686"/>
      <c r="N213" s="687"/>
    </row>
    <row r="214" spans="9:14" ht="13.2">
      <c r="I214" s="686"/>
      <c r="N214" s="687"/>
    </row>
    <row r="215" spans="9:14" ht="13.2">
      <c r="I215" s="686"/>
      <c r="N215" s="687"/>
    </row>
    <row r="216" spans="9:14" ht="13.2">
      <c r="I216" s="686"/>
      <c r="N216" s="687"/>
    </row>
    <row r="217" spans="9:14" ht="13.2">
      <c r="I217" s="686"/>
      <c r="N217" s="687"/>
    </row>
    <row r="218" spans="9:14" ht="13.2">
      <c r="I218" s="686"/>
      <c r="N218" s="687"/>
    </row>
    <row r="219" spans="9:14" ht="13.2">
      <c r="I219" s="686"/>
      <c r="N219" s="687"/>
    </row>
    <row r="220" spans="9:14" ht="13.2">
      <c r="I220" s="686"/>
      <c r="N220" s="687"/>
    </row>
    <row r="221" spans="9:14" ht="13.2">
      <c r="I221" s="686"/>
      <c r="N221" s="687"/>
    </row>
    <row r="222" spans="9:14" ht="13.2">
      <c r="I222" s="686"/>
      <c r="N222" s="687"/>
    </row>
    <row r="223" spans="9:14" ht="13.2">
      <c r="I223" s="686"/>
      <c r="N223" s="687"/>
    </row>
    <row r="224" spans="9:14" ht="13.2">
      <c r="I224" s="686"/>
      <c r="N224" s="687"/>
    </row>
    <row r="225" spans="9:14" ht="13.2">
      <c r="I225" s="686"/>
      <c r="N225" s="687"/>
    </row>
    <row r="226" spans="9:14" ht="13.2">
      <c r="I226" s="686"/>
      <c r="N226" s="687"/>
    </row>
    <row r="227" spans="9:14" ht="13.2">
      <c r="I227" s="686"/>
      <c r="N227" s="687"/>
    </row>
    <row r="228" spans="9:14" ht="13.2">
      <c r="I228" s="686"/>
      <c r="N228" s="687"/>
    </row>
    <row r="229" spans="9:14" ht="13.2">
      <c r="I229" s="686"/>
      <c r="N229" s="687"/>
    </row>
    <row r="230" spans="9:14" ht="13.2">
      <c r="I230" s="686"/>
      <c r="N230" s="687"/>
    </row>
    <row r="231" spans="9:14" ht="13.2">
      <c r="I231" s="686"/>
      <c r="N231" s="687"/>
    </row>
    <row r="232" spans="9:14" ht="13.2">
      <c r="I232" s="686"/>
      <c r="N232" s="687"/>
    </row>
    <row r="233" spans="9:14" ht="13.2">
      <c r="I233" s="686"/>
      <c r="N233" s="687"/>
    </row>
    <row r="234" spans="9:14" ht="13.2">
      <c r="I234" s="686"/>
      <c r="N234" s="687"/>
    </row>
    <row r="235" spans="9:14" ht="13.2">
      <c r="I235" s="686"/>
      <c r="N235" s="687"/>
    </row>
    <row r="236" spans="9:14" ht="13.2">
      <c r="I236" s="686"/>
      <c r="N236" s="687"/>
    </row>
    <row r="237" spans="9:14" ht="13.2">
      <c r="I237" s="686"/>
      <c r="N237" s="687"/>
    </row>
    <row r="238" spans="9:14" ht="13.2">
      <c r="I238" s="686"/>
      <c r="N238" s="687"/>
    </row>
    <row r="239" spans="9:14" ht="13.2">
      <c r="I239" s="686"/>
      <c r="N239" s="687"/>
    </row>
    <row r="240" spans="9:14" ht="13.2">
      <c r="I240" s="686"/>
      <c r="N240" s="687"/>
    </row>
    <row r="241" spans="9:14" ht="13.2">
      <c r="I241" s="686"/>
      <c r="N241" s="687"/>
    </row>
    <row r="242" spans="9:14" ht="13.2">
      <c r="I242" s="686"/>
      <c r="N242" s="687"/>
    </row>
    <row r="243" spans="9:14" ht="13.2">
      <c r="I243" s="686"/>
      <c r="N243" s="687"/>
    </row>
    <row r="244" spans="9:14" ht="13.2">
      <c r="I244" s="686"/>
      <c r="N244" s="687"/>
    </row>
    <row r="245" spans="9:14" ht="13.2">
      <c r="I245" s="686"/>
      <c r="N245" s="687"/>
    </row>
    <row r="246" spans="9:14" ht="13.2">
      <c r="I246" s="686"/>
      <c r="N246" s="687"/>
    </row>
    <row r="247" spans="9:14" ht="13.2">
      <c r="I247" s="686"/>
      <c r="N247" s="687"/>
    </row>
    <row r="248" spans="9:14" ht="13.2">
      <c r="I248" s="686"/>
      <c r="N248" s="687"/>
    </row>
    <row r="249" spans="9:14" ht="13.2">
      <c r="I249" s="686"/>
      <c r="N249" s="687"/>
    </row>
    <row r="250" spans="9:14" ht="13.2">
      <c r="I250" s="686"/>
      <c r="N250" s="687"/>
    </row>
    <row r="251" spans="9:14" ht="13.2">
      <c r="I251" s="686"/>
      <c r="N251" s="687"/>
    </row>
    <row r="252" spans="9:14" ht="13.2">
      <c r="I252" s="686"/>
      <c r="N252" s="687"/>
    </row>
    <row r="253" spans="9:14" ht="13.2">
      <c r="I253" s="686"/>
      <c r="N253" s="687"/>
    </row>
    <row r="254" spans="9:14" ht="13.2">
      <c r="I254" s="686"/>
      <c r="N254" s="687"/>
    </row>
    <row r="255" spans="9:14" ht="13.2">
      <c r="I255" s="686"/>
      <c r="N255" s="687"/>
    </row>
    <row r="256" spans="9:14" ht="13.2">
      <c r="I256" s="686"/>
      <c r="N256" s="687"/>
    </row>
    <row r="257" spans="9:14" ht="13.2">
      <c r="I257" s="686"/>
      <c r="N257" s="687"/>
    </row>
    <row r="258" spans="9:14" ht="13.2">
      <c r="I258" s="686"/>
      <c r="N258" s="687"/>
    </row>
    <row r="259" spans="9:14" ht="13.2">
      <c r="I259" s="686"/>
      <c r="N259" s="687"/>
    </row>
    <row r="260" spans="9:14" ht="13.2">
      <c r="I260" s="686"/>
      <c r="N260" s="687"/>
    </row>
    <row r="261" spans="9:14" ht="13.2">
      <c r="I261" s="686"/>
      <c r="N261" s="687"/>
    </row>
    <row r="262" spans="9:14" ht="13.2">
      <c r="I262" s="686"/>
      <c r="N262" s="687"/>
    </row>
    <row r="263" spans="9:14" ht="13.2">
      <c r="I263" s="686"/>
      <c r="N263" s="687"/>
    </row>
    <row r="264" spans="9:14" ht="13.2">
      <c r="I264" s="686"/>
      <c r="N264" s="687"/>
    </row>
    <row r="265" spans="9:14" ht="13.2">
      <c r="I265" s="686"/>
      <c r="N265" s="687"/>
    </row>
    <row r="266" spans="9:14" ht="13.2">
      <c r="I266" s="686"/>
      <c r="N266" s="687"/>
    </row>
    <row r="267" spans="9:14" ht="13.2">
      <c r="I267" s="686"/>
      <c r="N267" s="687"/>
    </row>
    <row r="268" spans="9:14" ht="13.2">
      <c r="I268" s="686"/>
      <c r="N268" s="687"/>
    </row>
    <row r="269" spans="9:14" ht="13.2">
      <c r="I269" s="686"/>
      <c r="N269" s="687"/>
    </row>
    <row r="270" spans="9:14" ht="13.2">
      <c r="I270" s="686"/>
      <c r="N270" s="687"/>
    </row>
    <row r="271" spans="9:14" ht="13.2">
      <c r="I271" s="686"/>
      <c r="N271" s="687"/>
    </row>
    <row r="272" spans="9:14" ht="13.2">
      <c r="I272" s="686"/>
      <c r="N272" s="687"/>
    </row>
    <row r="273" spans="9:14" ht="13.2">
      <c r="I273" s="686"/>
      <c r="N273" s="687"/>
    </row>
    <row r="274" spans="9:14" ht="13.2">
      <c r="I274" s="686"/>
      <c r="N274" s="687"/>
    </row>
    <row r="275" spans="9:14" ht="13.2">
      <c r="I275" s="686"/>
      <c r="N275" s="687"/>
    </row>
    <row r="276" spans="9:14" ht="13.2">
      <c r="I276" s="686"/>
      <c r="N276" s="687"/>
    </row>
    <row r="277" spans="9:14" ht="13.2">
      <c r="I277" s="686"/>
      <c r="N277" s="687"/>
    </row>
    <row r="278" spans="9:14" ht="13.2">
      <c r="I278" s="686"/>
      <c r="N278" s="687"/>
    </row>
    <row r="279" spans="9:14" ht="13.2">
      <c r="I279" s="686"/>
      <c r="N279" s="687"/>
    </row>
    <row r="280" spans="9:14" ht="13.2">
      <c r="I280" s="686"/>
      <c r="N280" s="687"/>
    </row>
    <row r="281" spans="9:14" ht="13.2">
      <c r="I281" s="686"/>
      <c r="N281" s="687"/>
    </row>
    <row r="282" spans="9:14" ht="13.2">
      <c r="I282" s="686"/>
      <c r="N282" s="687"/>
    </row>
    <row r="283" spans="9:14" ht="13.2">
      <c r="I283" s="686"/>
      <c r="N283" s="687"/>
    </row>
    <row r="284" spans="9:14" ht="13.2">
      <c r="I284" s="686"/>
      <c r="N284" s="687"/>
    </row>
    <row r="285" spans="9:14" ht="13.2">
      <c r="I285" s="686"/>
      <c r="N285" s="687"/>
    </row>
    <row r="286" spans="9:14" ht="13.2">
      <c r="I286" s="686"/>
      <c r="N286" s="687"/>
    </row>
    <row r="287" spans="9:14" ht="13.2">
      <c r="I287" s="686"/>
      <c r="N287" s="687"/>
    </row>
    <row r="288" spans="9:14" ht="13.2">
      <c r="I288" s="686"/>
      <c r="N288" s="687"/>
    </row>
    <row r="289" spans="9:14" ht="13.2">
      <c r="I289" s="686"/>
      <c r="N289" s="687"/>
    </row>
    <row r="290" spans="9:14" ht="13.2">
      <c r="I290" s="686"/>
      <c r="N290" s="687"/>
    </row>
    <row r="291" spans="9:14" ht="13.2">
      <c r="I291" s="686"/>
      <c r="N291" s="687"/>
    </row>
    <row r="292" spans="9:14" ht="13.2">
      <c r="I292" s="686"/>
      <c r="N292" s="687"/>
    </row>
    <row r="293" spans="9:14" ht="13.2">
      <c r="I293" s="686"/>
      <c r="N293" s="687"/>
    </row>
    <row r="294" spans="9:14" ht="13.2">
      <c r="I294" s="686"/>
      <c r="N294" s="687"/>
    </row>
    <row r="295" spans="9:14" ht="13.2">
      <c r="I295" s="686"/>
      <c r="N295" s="687"/>
    </row>
    <row r="296" spans="9:14" ht="13.2">
      <c r="I296" s="686"/>
      <c r="N296" s="687"/>
    </row>
    <row r="297" spans="9:14" ht="13.2">
      <c r="I297" s="686"/>
      <c r="N297" s="687"/>
    </row>
    <row r="298" spans="9:14" ht="13.2">
      <c r="I298" s="686"/>
      <c r="N298" s="687"/>
    </row>
    <row r="299" spans="9:14" ht="13.2">
      <c r="I299" s="686"/>
      <c r="N299" s="687"/>
    </row>
    <row r="300" spans="9:14" ht="13.2">
      <c r="I300" s="686"/>
      <c r="N300" s="687"/>
    </row>
    <row r="301" spans="9:14" ht="13.2">
      <c r="I301" s="686"/>
      <c r="N301" s="687"/>
    </row>
    <row r="302" spans="9:14" ht="13.2">
      <c r="I302" s="686"/>
      <c r="N302" s="687"/>
    </row>
    <row r="303" spans="9:14" ht="13.2">
      <c r="I303" s="686"/>
      <c r="N303" s="687"/>
    </row>
    <row r="304" spans="9:14" ht="13.2">
      <c r="I304" s="686"/>
      <c r="N304" s="687"/>
    </row>
    <row r="305" spans="9:14" ht="13.2">
      <c r="I305" s="686"/>
      <c r="N305" s="687"/>
    </row>
    <row r="306" spans="9:14" ht="13.2">
      <c r="I306" s="686"/>
      <c r="N306" s="687"/>
    </row>
    <row r="307" spans="9:14" ht="13.2">
      <c r="I307" s="686"/>
      <c r="N307" s="687"/>
    </row>
    <row r="308" spans="9:14" ht="13.2">
      <c r="I308" s="686"/>
      <c r="N308" s="687"/>
    </row>
    <row r="309" spans="9:14" ht="13.2">
      <c r="I309" s="686"/>
      <c r="N309" s="687"/>
    </row>
    <row r="310" spans="9:14" ht="13.2">
      <c r="I310" s="686"/>
      <c r="N310" s="687"/>
    </row>
    <row r="311" spans="9:14" ht="13.2">
      <c r="I311" s="686"/>
      <c r="N311" s="687"/>
    </row>
    <row r="312" spans="9:14" ht="13.2">
      <c r="I312" s="686"/>
      <c r="N312" s="687"/>
    </row>
    <row r="313" spans="9:14" ht="13.2">
      <c r="I313" s="686"/>
      <c r="N313" s="687"/>
    </row>
    <row r="314" spans="9:14" ht="13.2">
      <c r="I314" s="686"/>
      <c r="N314" s="687"/>
    </row>
    <row r="315" spans="9:14" ht="13.2">
      <c r="I315" s="686"/>
      <c r="N315" s="687"/>
    </row>
    <row r="316" spans="9:14" ht="13.2">
      <c r="I316" s="686"/>
      <c r="N316" s="687"/>
    </row>
    <row r="317" spans="9:14" ht="13.2">
      <c r="I317" s="686"/>
      <c r="N317" s="687"/>
    </row>
    <row r="318" spans="9:14" ht="13.2">
      <c r="I318" s="686"/>
      <c r="N318" s="687"/>
    </row>
    <row r="319" spans="9:14" ht="13.2">
      <c r="I319" s="686"/>
      <c r="N319" s="687"/>
    </row>
    <row r="320" spans="9:14" ht="13.2">
      <c r="I320" s="686"/>
      <c r="N320" s="687"/>
    </row>
    <row r="321" spans="9:14" ht="13.2">
      <c r="I321" s="686"/>
      <c r="N321" s="687"/>
    </row>
    <row r="322" spans="9:14" ht="13.2">
      <c r="I322" s="686"/>
      <c r="N322" s="687"/>
    </row>
    <row r="323" spans="9:14" ht="13.2">
      <c r="I323" s="686"/>
      <c r="N323" s="687"/>
    </row>
    <row r="324" spans="9:14" ht="13.2">
      <c r="I324" s="686"/>
      <c r="N324" s="687"/>
    </row>
    <row r="325" spans="9:14" ht="13.2">
      <c r="I325" s="686"/>
      <c r="N325" s="687"/>
    </row>
    <row r="326" spans="9:14" ht="13.2">
      <c r="I326" s="686"/>
      <c r="N326" s="687"/>
    </row>
    <row r="327" spans="9:14" ht="13.2">
      <c r="I327" s="686"/>
      <c r="N327" s="687"/>
    </row>
    <row r="328" spans="9:14" ht="13.2">
      <c r="I328" s="686"/>
      <c r="N328" s="687"/>
    </row>
    <row r="329" spans="9:14" ht="13.2">
      <c r="I329" s="686"/>
      <c r="N329" s="687"/>
    </row>
    <row r="330" spans="9:14" ht="13.2">
      <c r="I330" s="686"/>
      <c r="N330" s="687"/>
    </row>
    <row r="331" spans="9:14" ht="13.2">
      <c r="I331" s="686"/>
      <c r="N331" s="687"/>
    </row>
    <row r="332" spans="9:14" ht="13.2">
      <c r="I332" s="686"/>
      <c r="N332" s="687"/>
    </row>
    <row r="333" spans="9:14" ht="13.2">
      <c r="I333" s="686"/>
      <c r="N333" s="687"/>
    </row>
    <row r="334" spans="9:14" ht="13.2">
      <c r="I334" s="686"/>
      <c r="N334" s="687"/>
    </row>
    <row r="335" spans="9:14" ht="13.2">
      <c r="I335" s="686"/>
      <c r="N335" s="687"/>
    </row>
    <row r="336" spans="9:14" ht="13.2">
      <c r="I336" s="686"/>
      <c r="N336" s="687"/>
    </row>
    <row r="337" spans="9:14" ht="13.2">
      <c r="I337" s="686"/>
      <c r="N337" s="687"/>
    </row>
    <row r="338" spans="9:14" ht="13.2">
      <c r="I338" s="686"/>
      <c r="N338" s="687"/>
    </row>
    <row r="339" spans="9:14" ht="13.2">
      <c r="I339" s="686"/>
      <c r="N339" s="687"/>
    </row>
    <row r="340" spans="9:14" ht="13.2">
      <c r="I340" s="686"/>
      <c r="N340" s="687"/>
    </row>
    <row r="341" spans="9:14" ht="13.2">
      <c r="I341" s="686"/>
      <c r="N341" s="687"/>
    </row>
    <row r="342" spans="9:14" ht="13.2">
      <c r="I342" s="686"/>
      <c r="N342" s="687"/>
    </row>
    <row r="343" spans="9:14" ht="13.2">
      <c r="I343" s="686"/>
      <c r="N343" s="687"/>
    </row>
    <row r="344" spans="9:14" ht="13.2">
      <c r="I344" s="686"/>
      <c r="N344" s="687"/>
    </row>
    <row r="345" spans="9:14" ht="13.2">
      <c r="I345" s="686"/>
      <c r="N345" s="687"/>
    </row>
    <row r="346" spans="9:14" ht="13.2">
      <c r="I346" s="686"/>
      <c r="N346" s="687"/>
    </row>
    <row r="347" spans="9:14" ht="13.2">
      <c r="I347" s="686"/>
      <c r="N347" s="687"/>
    </row>
    <row r="348" spans="9:14" ht="13.2">
      <c r="I348" s="686"/>
      <c r="N348" s="687"/>
    </row>
    <row r="349" spans="9:14" ht="13.2">
      <c r="I349" s="686"/>
      <c r="N349" s="687"/>
    </row>
    <row r="350" spans="9:14" ht="13.2">
      <c r="I350" s="686"/>
      <c r="N350" s="687"/>
    </row>
    <row r="351" spans="9:14" ht="13.2">
      <c r="I351" s="686"/>
      <c r="N351" s="687"/>
    </row>
    <row r="352" spans="9:14" ht="13.2">
      <c r="I352" s="686"/>
      <c r="N352" s="687"/>
    </row>
    <row r="353" spans="9:14" ht="13.2">
      <c r="I353" s="686"/>
      <c r="N353" s="687"/>
    </row>
    <row r="354" spans="9:14" ht="13.2">
      <c r="I354" s="686"/>
      <c r="N354" s="687"/>
    </row>
    <row r="355" spans="9:14" ht="13.2">
      <c r="I355" s="686"/>
      <c r="N355" s="687"/>
    </row>
    <row r="356" spans="9:14" ht="13.2">
      <c r="I356" s="686"/>
      <c r="N356" s="687"/>
    </row>
    <row r="357" spans="9:14" ht="13.2">
      <c r="I357" s="686"/>
      <c r="N357" s="687"/>
    </row>
    <row r="358" spans="9:14" ht="13.2">
      <c r="I358" s="686"/>
      <c r="N358" s="687"/>
    </row>
    <row r="359" spans="9:14" ht="13.2">
      <c r="I359" s="686"/>
      <c r="N359" s="687"/>
    </row>
    <row r="360" spans="9:14" ht="13.2">
      <c r="I360" s="686"/>
      <c r="N360" s="687"/>
    </row>
    <row r="361" spans="9:14" ht="13.2">
      <c r="I361" s="686"/>
      <c r="N361" s="687"/>
    </row>
    <row r="362" spans="9:14" ht="13.2">
      <c r="I362" s="686"/>
      <c r="N362" s="687"/>
    </row>
    <row r="363" spans="9:14" ht="13.2">
      <c r="I363" s="686"/>
      <c r="N363" s="687"/>
    </row>
    <row r="364" spans="9:14" ht="13.2">
      <c r="I364" s="686"/>
      <c r="N364" s="687"/>
    </row>
    <row r="365" spans="9:14" ht="13.2">
      <c r="I365" s="686"/>
      <c r="N365" s="687"/>
    </row>
    <row r="366" spans="9:14" ht="13.2">
      <c r="I366" s="686"/>
      <c r="N366" s="687"/>
    </row>
    <row r="367" spans="9:14" ht="13.2">
      <c r="I367" s="686"/>
      <c r="N367" s="687"/>
    </row>
    <row r="368" spans="9:14" ht="13.2">
      <c r="I368" s="686"/>
      <c r="N368" s="687"/>
    </row>
    <row r="369" spans="9:14" ht="13.2">
      <c r="I369" s="686"/>
      <c r="N369" s="687"/>
    </row>
    <row r="370" spans="9:14" ht="13.2">
      <c r="I370" s="686"/>
      <c r="N370" s="687"/>
    </row>
    <row r="371" spans="9:14" ht="13.2">
      <c r="I371" s="686"/>
      <c r="N371" s="687"/>
    </row>
    <row r="372" spans="9:14" ht="13.2">
      <c r="I372" s="686"/>
      <c r="N372" s="687"/>
    </row>
    <row r="373" spans="9:14" ht="13.2">
      <c r="I373" s="686"/>
      <c r="N373" s="687"/>
    </row>
    <row r="374" spans="9:14" ht="13.2">
      <c r="I374" s="686"/>
      <c r="N374" s="687"/>
    </row>
    <row r="375" spans="9:14" ht="13.2">
      <c r="I375" s="686"/>
      <c r="N375" s="687"/>
    </row>
    <row r="376" spans="9:14" ht="13.2">
      <c r="I376" s="686"/>
      <c r="N376" s="687"/>
    </row>
    <row r="377" spans="9:14" ht="13.2">
      <c r="I377" s="686"/>
      <c r="N377" s="687"/>
    </row>
    <row r="378" spans="9:14" ht="13.2">
      <c r="I378" s="686"/>
      <c r="N378" s="687"/>
    </row>
    <row r="379" spans="9:14" ht="13.2">
      <c r="I379" s="686"/>
      <c r="N379" s="687"/>
    </row>
    <row r="380" spans="9:14" ht="13.2">
      <c r="I380" s="686"/>
      <c r="N380" s="687"/>
    </row>
    <row r="381" spans="9:14" ht="13.2">
      <c r="I381" s="686"/>
      <c r="N381" s="687"/>
    </row>
    <row r="382" spans="9:14" ht="13.2">
      <c r="I382" s="686"/>
      <c r="N382" s="687"/>
    </row>
    <row r="383" spans="9:14" ht="13.2">
      <c r="I383" s="686"/>
      <c r="N383" s="687"/>
    </row>
    <row r="384" spans="9:14" ht="13.2">
      <c r="I384" s="686"/>
      <c r="N384" s="687"/>
    </row>
    <row r="385" spans="9:14" ht="13.2">
      <c r="I385" s="686"/>
      <c r="N385" s="687"/>
    </row>
    <row r="386" spans="9:14" ht="13.2">
      <c r="I386" s="686"/>
      <c r="N386" s="687"/>
    </row>
    <row r="387" spans="9:14" ht="13.2">
      <c r="I387" s="686"/>
      <c r="N387" s="687"/>
    </row>
    <row r="388" spans="9:14" ht="13.2">
      <c r="I388" s="686"/>
      <c r="N388" s="687"/>
    </row>
    <row r="389" spans="9:14" ht="13.2">
      <c r="I389" s="686"/>
      <c r="N389" s="687"/>
    </row>
    <row r="390" spans="9:14" ht="13.2">
      <c r="I390" s="686"/>
      <c r="N390" s="687"/>
    </row>
    <row r="391" spans="9:14" ht="13.2">
      <c r="I391" s="686"/>
      <c r="N391" s="687"/>
    </row>
    <row r="392" spans="9:14" ht="13.2">
      <c r="I392" s="686"/>
      <c r="N392" s="687"/>
    </row>
    <row r="393" spans="9:14" ht="13.2">
      <c r="I393" s="686"/>
      <c r="N393" s="687"/>
    </row>
    <row r="394" spans="9:14" ht="13.2">
      <c r="I394" s="686"/>
      <c r="N394" s="687"/>
    </row>
    <row r="395" spans="9:14" ht="13.2">
      <c r="I395" s="686"/>
      <c r="N395" s="687"/>
    </row>
    <row r="396" spans="9:14" ht="13.2">
      <c r="I396" s="686"/>
      <c r="N396" s="687"/>
    </row>
    <row r="397" spans="9:14" ht="13.2">
      <c r="I397" s="686"/>
      <c r="N397" s="687"/>
    </row>
    <row r="398" spans="9:14" ht="13.2">
      <c r="I398" s="686"/>
      <c r="N398" s="687"/>
    </row>
    <row r="399" spans="9:14" ht="13.2">
      <c r="I399" s="686"/>
      <c r="N399" s="687"/>
    </row>
    <row r="400" spans="9:14" ht="13.2">
      <c r="I400" s="686"/>
      <c r="N400" s="687"/>
    </row>
    <row r="401" spans="9:14" ht="13.2">
      <c r="I401" s="686"/>
      <c r="N401" s="687"/>
    </row>
    <row r="402" spans="9:14" ht="13.2">
      <c r="I402" s="686"/>
      <c r="N402" s="687"/>
    </row>
    <row r="403" spans="9:14" ht="13.2">
      <c r="I403" s="686"/>
      <c r="N403" s="687"/>
    </row>
    <row r="404" spans="9:14" ht="13.2">
      <c r="I404" s="686"/>
      <c r="N404" s="687"/>
    </row>
    <row r="405" spans="9:14" ht="13.2">
      <c r="I405" s="686"/>
      <c r="N405" s="687"/>
    </row>
    <row r="406" spans="9:14" ht="13.2">
      <c r="I406" s="686"/>
      <c r="N406" s="687"/>
    </row>
    <row r="407" spans="9:14" ht="13.2">
      <c r="I407" s="686"/>
      <c r="N407" s="687"/>
    </row>
    <row r="408" spans="9:14" ht="13.2">
      <c r="I408" s="686"/>
      <c r="N408" s="687"/>
    </row>
    <row r="409" spans="9:14" ht="13.2">
      <c r="I409" s="686"/>
      <c r="N409" s="687"/>
    </row>
    <row r="410" spans="9:14" ht="13.2">
      <c r="I410" s="686"/>
      <c r="N410" s="687"/>
    </row>
    <row r="411" spans="9:14" ht="13.2">
      <c r="I411" s="686"/>
      <c r="N411" s="687"/>
    </row>
    <row r="412" spans="9:14" ht="13.2">
      <c r="I412" s="686"/>
      <c r="N412" s="687"/>
    </row>
    <row r="413" spans="9:14" ht="13.2">
      <c r="I413" s="686"/>
      <c r="N413" s="687"/>
    </row>
    <row r="414" spans="9:14" ht="13.2">
      <c r="I414" s="686"/>
      <c r="N414" s="687"/>
    </row>
    <row r="415" spans="9:14" ht="13.2">
      <c r="I415" s="686"/>
      <c r="N415" s="687"/>
    </row>
    <row r="416" spans="9:14" ht="13.2">
      <c r="I416" s="686"/>
      <c r="N416" s="687"/>
    </row>
    <row r="417" spans="9:14" ht="13.2">
      <c r="I417" s="686"/>
      <c r="N417" s="687"/>
    </row>
    <row r="418" spans="9:14" ht="13.2">
      <c r="I418" s="686"/>
      <c r="N418" s="687"/>
    </row>
    <row r="419" spans="9:14" ht="13.2">
      <c r="I419" s="686"/>
      <c r="N419" s="687"/>
    </row>
    <row r="420" spans="9:14" ht="13.2">
      <c r="I420" s="686"/>
      <c r="N420" s="687"/>
    </row>
    <row r="421" spans="9:14" ht="13.2">
      <c r="I421" s="686"/>
      <c r="N421" s="687"/>
    </row>
    <row r="422" spans="9:14" ht="13.2">
      <c r="I422" s="686"/>
      <c r="N422" s="687"/>
    </row>
    <row r="423" spans="9:14" ht="13.2">
      <c r="I423" s="686"/>
      <c r="N423" s="687"/>
    </row>
    <row r="424" spans="9:14" ht="13.2">
      <c r="I424" s="686"/>
      <c r="N424" s="687"/>
    </row>
    <row r="425" spans="9:14" ht="13.2">
      <c r="I425" s="686"/>
      <c r="N425" s="687"/>
    </row>
    <row r="426" spans="9:14" ht="13.2">
      <c r="I426" s="686"/>
      <c r="N426" s="687"/>
    </row>
    <row r="427" spans="9:14" ht="13.2">
      <c r="I427" s="686"/>
      <c r="N427" s="687"/>
    </row>
    <row r="428" spans="9:14" ht="13.2">
      <c r="I428" s="686"/>
      <c r="N428" s="687"/>
    </row>
    <row r="429" spans="9:14" ht="13.2">
      <c r="I429" s="686"/>
      <c r="N429" s="687"/>
    </row>
    <row r="430" spans="9:14" ht="13.2">
      <c r="I430" s="686"/>
      <c r="N430" s="687"/>
    </row>
    <row r="431" spans="9:14" ht="13.2">
      <c r="I431" s="686"/>
      <c r="N431" s="687"/>
    </row>
    <row r="432" spans="9:14" ht="13.2">
      <c r="I432" s="686"/>
      <c r="N432" s="687"/>
    </row>
    <row r="433" spans="9:14" ht="13.2">
      <c r="I433" s="686"/>
      <c r="N433" s="687"/>
    </row>
    <row r="434" spans="9:14" ht="13.2">
      <c r="I434" s="686"/>
      <c r="N434" s="687"/>
    </row>
    <row r="435" spans="9:14" ht="13.2">
      <c r="I435" s="686"/>
      <c r="N435" s="687"/>
    </row>
    <row r="436" spans="9:14" ht="13.2">
      <c r="I436" s="686"/>
      <c r="N436" s="687"/>
    </row>
    <row r="437" spans="9:14" ht="13.2">
      <c r="I437" s="686"/>
      <c r="N437" s="687"/>
    </row>
    <row r="438" spans="9:14" ht="13.2">
      <c r="I438" s="686"/>
      <c r="N438" s="687"/>
    </row>
    <row r="439" spans="9:14" ht="13.2">
      <c r="I439" s="686"/>
      <c r="N439" s="687"/>
    </row>
    <row r="440" spans="9:14" ht="13.2">
      <c r="I440" s="686"/>
      <c r="N440" s="687"/>
    </row>
    <row r="441" spans="9:14" ht="13.2">
      <c r="I441" s="686"/>
      <c r="N441" s="687"/>
    </row>
    <row r="442" spans="9:14" ht="13.2">
      <c r="I442" s="686"/>
      <c r="N442" s="687"/>
    </row>
    <row r="443" spans="9:14" ht="13.2">
      <c r="I443" s="686"/>
      <c r="N443" s="687"/>
    </row>
    <row r="444" spans="9:14" ht="13.2">
      <c r="I444" s="686"/>
      <c r="N444" s="687"/>
    </row>
    <row r="445" spans="9:14" ht="13.2">
      <c r="I445" s="686"/>
      <c r="N445" s="687"/>
    </row>
    <row r="446" spans="9:14" ht="13.2">
      <c r="I446" s="686"/>
      <c r="N446" s="687"/>
    </row>
    <row r="447" spans="9:14" ht="13.2">
      <c r="I447" s="686"/>
      <c r="N447" s="687"/>
    </row>
    <row r="448" spans="9:14" ht="13.2">
      <c r="I448" s="686"/>
      <c r="N448" s="687"/>
    </row>
    <row r="449" spans="9:14" ht="13.2">
      <c r="I449" s="686"/>
      <c r="N449" s="687"/>
    </row>
    <row r="450" spans="9:14" ht="13.2">
      <c r="I450" s="686"/>
      <c r="N450" s="687"/>
    </row>
    <row r="451" spans="9:14" ht="13.2">
      <c r="I451" s="686"/>
      <c r="N451" s="687"/>
    </row>
    <row r="452" spans="9:14" ht="13.2">
      <c r="I452" s="686"/>
      <c r="N452" s="687"/>
    </row>
    <row r="453" spans="9:14" ht="13.2">
      <c r="I453" s="686"/>
      <c r="N453" s="687"/>
    </row>
    <row r="454" spans="9:14" ht="13.2">
      <c r="I454" s="686"/>
      <c r="N454" s="687"/>
    </row>
    <row r="455" spans="9:14" ht="13.2">
      <c r="I455" s="686"/>
      <c r="N455" s="687"/>
    </row>
    <row r="456" spans="9:14" ht="13.2">
      <c r="I456" s="686"/>
      <c r="N456" s="687"/>
    </row>
    <row r="457" spans="9:14" ht="13.2">
      <c r="I457" s="686"/>
      <c r="N457" s="687"/>
    </row>
    <row r="458" spans="9:14" ht="13.2">
      <c r="I458" s="686"/>
      <c r="N458" s="687"/>
    </row>
    <row r="459" spans="9:14" ht="13.2">
      <c r="I459" s="686"/>
      <c r="N459" s="687"/>
    </row>
    <row r="460" spans="9:14" ht="13.2">
      <c r="I460" s="686"/>
      <c r="N460" s="687"/>
    </row>
    <row r="461" spans="9:14" ht="13.2">
      <c r="I461" s="686"/>
      <c r="N461" s="687"/>
    </row>
    <row r="462" spans="9:14" ht="13.2">
      <c r="I462" s="686"/>
      <c r="N462" s="687"/>
    </row>
    <row r="463" spans="9:14" ht="13.2">
      <c r="I463" s="686"/>
      <c r="N463" s="687"/>
    </row>
    <row r="464" spans="9:14" ht="13.2">
      <c r="I464" s="686"/>
      <c r="N464" s="687"/>
    </row>
    <row r="465" spans="9:14" ht="13.2">
      <c r="I465" s="686"/>
      <c r="N465" s="687"/>
    </row>
    <row r="466" spans="9:14" ht="13.2">
      <c r="I466" s="686"/>
      <c r="N466" s="687"/>
    </row>
    <row r="467" spans="9:14" ht="13.2">
      <c r="I467" s="686"/>
      <c r="N467" s="687"/>
    </row>
    <row r="468" spans="9:14" ht="13.2">
      <c r="I468" s="686"/>
      <c r="N468" s="687"/>
    </row>
    <row r="469" spans="9:14" ht="13.2">
      <c r="I469" s="686"/>
      <c r="N469" s="687"/>
    </row>
    <row r="470" spans="9:14" ht="13.2">
      <c r="I470" s="686"/>
      <c r="N470" s="687"/>
    </row>
    <row r="471" spans="9:14" ht="13.2">
      <c r="I471" s="686"/>
      <c r="N471" s="687"/>
    </row>
    <row r="472" spans="9:14" ht="13.2">
      <c r="I472" s="686"/>
      <c r="N472" s="687"/>
    </row>
    <row r="473" spans="9:14" ht="13.2">
      <c r="I473" s="686"/>
      <c r="N473" s="687"/>
    </row>
    <row r="474" spans="9:14" ht="13.2">
      <c r="I474" s="686"/>
      <c r="N474" s="687"/>
    </row>
    <row r="475" spans="9:14" ht="13.2">
      <c r="I475" s="686"/>
      <c r="N475" s="687"/>
    </row>
    <row r="476" spans="9:14" ht="13.2">
      <c r="I476" s="686"/>
      <c r="N476" s="687"/>
    </row>
    <row r="477" spans="9:14" ht="13.2">
      <c r="I477" s="686"/>
      <c r="N477" s="687"/>
    </row>
    <row r="478" spans="9:14" ht="13.2">
      <c r="I478" s="686"/>
      <c r="N478" s="687"/>
    </row>
    <row r="479" spans="9:14" ht="13.2">
      <c r="I479" s="686"/>
      <c r="N479" s="687"/>
    </row>
    <row r="480" spans="9:14" ht="13.2">
      <c r="I480" s="686"/>
      <c r="N480" s="687"/>
    </row>
    <row r="481" spans="9:14" ht="13.2">
      <c r="I481" s="686"/>
      <c r="N481" s="687"/>
    </row>
    <row r="482" spans="9:14" ht="13.2">
      <c r="I482" s="686"/>
      <c r="N482" s="687"/>
    </row>
    <row r="483" spans="9:14" ht="13.2">
      <c r="I483" s="686"/>
      <c r="N483" s="687"/>
    </row>
    <row r="484" spans="9:14" ht="13.2">
      <c r="I484" s="686"/>
      <c r="N484" s="687"/>
    </row>
    <row r="485" spans="9:14" ht="13.2">
      <c r="I485" s="686"/>
      <c r="N485" s="687"/>
    </row>
    <row r="486" spans="9:14" ht="13.2">
      <c r="I486" s="686"/>
      <c r="N486" s="687"/>
    </row>
    <row r="487" spans="9:14" ht="13.2">
      <c r="I487" s="686"/>
      <c r="N487" s="687"/>
    </row>
    <row r="488" spans="9:14" ht="13.2">
      <c r="I488" s="686"/>
      <c r="N488" s="687"/>
    </row>
    <row r="489" spans="9:14" ht="13.2">
      <c r="I489" s="686"/>
      <c r="N489" s="687"/>
    </row>
    <row r="490" spans="9:14" ht="13.2">
      <c r="I490" s="686"/>
      <c r="N490" s="687"/>
    </row>
    <row r="491" spans="9:14" ht="13.2">
      <c r="I491" s="686"/>
      <c r="N491" s="687"/>
    </row>
    <row r="492" spans="9:14" ht="13.2">
      <c r="I492" s="686"/>
      <c r="N492" s="687"/>
    </row>
    <row r="493" spans="9:14" ht="13.2">
      <c r="I493" s="686"/>
      <c r="N493" s="687"/>
    </row>
    <row r="494" spans="9:14" ht="13.2">
      <c r="I494" s="686"/>
      <c r="N494" s="687"/>
    </row>
    <row r="495" spans="9:14" ht="13.2">
      <c r="I495" s="686"/>
      <c r="N495" s="687"/>
    </row>
    <row r="496" spans="9:14" ht="13.2">
      <c r="I496" s="686"/>
      <c r="N496" s="687"/>
    </row>
    <row r="497" spans="9:14" ht="13.2">
      <c r="I497" s="686"/>
      <c r="N497" s="687"/>
    </row>
    <row r="498" spans="9:14" ht="13.2">
      <c r="I498" s="686"/>
      <c r="N498" s="687"/>
    </row>
    <row r="499" spans="9:14" ht="13.2">
      <c r="I499" s="686"/>
      <c r="N499" s="687"/>
    </row>
    <row r="500" spans="9:14" ht="13.2">
      <c r="I500" s="686"/>
      <c r="N500" s="687"/>
    </row>
    <row r="501" spans="9:14" ht="13.2">
      <c r="I501" s="686"/>
      <c r="N501" s="687"/>
    </row>
    <row r="502" spans="9:14" ht="13.2">
      <c r="I502" s="686"/>
      <c r="N502" s="687"/>
    </row>
    <row r="503" spans="9:14" ht="13.2">
      <c r="I503" s="686"/>
      <c r="N503" s="687"/>
    </row>
    <row r="504" spans="9:14" ht="13.2">
      <c r="I504" s="686"/>
      <c r="N504" s="687"/>
    </row>
    <row r="505" spans="9:14" ht="13.2">
      <c r="I505" s="686"/>
      <c r="N505" s="687"/>
    </row>
    <row r="506" spans="9:14" ht="13.2">
      <c r="I506" s="686"/>
      <c r="N506" s="687"/>
    </row>
    <row r="507" spans="9:14" ht="13.2">
      <c r="I507" s="686"/>
      <c r="N507" s="687"/>
    </row>
    <row r="508" spans="9:14" ht="13.2">
      <c r="I508" s="686"/>
      <c r="N508" s="687"/>
    </row>
    <row r="509" spans="9:14" ht="13.2">
      <c r="I509" s="686"/>
      <c r="N509" s="687"/>
    </row>
    <row r="510" spans="9:14" ht="13.2">
      <c r="I510" s="686"/>
      <c r="N510" s="687"/>
    </row>
    <row r="511" spans="9:14" ht="13.2">
      <c r="I511" s="686"/>
      <c r="N511" s="687"/>
    </row>
    <row r="512" spans="9:14" ht="13.2">
      <c r="I512" s="686"/>
      <c r="N512" s="687"/>
    </row>
    <row r="513" spans="9:14" ht="13.2">
      <c r="I513" s="686"/>
      <c r="N513" s="687"/>
    </row>
    <row r="514" spans="9:14" ht="13.2">
      <c r="I514" s="686"/>
      <c r="N514" s="687"/>
    </row>
    <row r="515" spans="9:14" ht="13.2">
      <c r="I515" s="686"/>
      <c r="N515" s="687"/>
    </row>
    <row r="516" spans="9:14" ht="13.2">
      <c r="I516" s="686"/>
      <c r="N516" s="687"/>
    </row>
    <row r="517" spans="9:14" ht="13.2">
      <c r="I517" s="686"/>
      <c r="N517" s="687"/>
    </row>
    <row r="518" spans="9:14" ht="13.2">
      <c r="I518" s="686"/>
      <c r="N518" s="687"/>
    </row>
    <row r="519" spans="9:14" ht="13.2">
      <c r="I519" s="686"/>
      <c r="N519" s="687"/>
    </row>
    <row r="520" spans="9:14" ht="13.2">
      <c r="I520" s="686"/>
      <c r="N520" s="687"/>
    </row>
    <row r="521" spans="9:14" ht="13.2">
      <c r="I521" s="686"/>
      <c r="N521" s="687"/>
    </row>
    <row r="522" spans="9:14" ht="13.2">
      <c r="I522" s="686"/>
      <c r="N522" s="687"/>
    </row>
    <row r="523" spans="9:14" ht="13.2">
      <c r="I523" s="686"/>
      <c r="N523" s="687"/>
    </row>
    <row r="524" spans="9:14" ht="13.2">
      <c r="I524" s="686"/>
      <c r="N524" s="687"/>
    </row>
    <row r="525" spans="9:14" ht="13.2">
      <c r="I525" s="686"/>
      <c r="N525" s="687"/>
    </row>
    <row r="526" spans="9:14" ht="13.2">
      <c r="I526" s="686"/>
      <c r="N526" s="687"/>
    </row>
    <row r="527" spans="9:14" ht="13.2">
      <c r="I527" s="686"/>
      <c r="N527" s="687"/>
    </row>
    <row r="528" spans="9:14" ht="13.2">
      <c r="I528" s="686"/>
      <c r="N528" s="687"/>
    </row>
    <row r="529" spans="9:14" ht="13.2">
      <c r="I529" s="686"/>
      <c r="N529" s="687"/>
    </row>
    <row r="530" spans="9:14" ht="13.2">
      <c r="I530" s="686"/>
      <c r="N530" s="687"/>
    </row>
    <row r="531" spans="9:14" ht="13.2">
      <c r="I531" s="686"/>
      <c r="N531" s="687"/>
    </row>
    <row r="532" spans="9:14" ht="13.2">
      <c r="I532" s="686"/>
      <c r="N532" s="687"/>
    </row>
    <row r="533" spans="9:14" ht="13.2">
      <c r="I533" s="686"/>
      <c r="N533" s="687"/>
    </row>
    <row r="534" spans="9:14" ht="13.2">
      <c r="I534" s="686"/>
      <c r="N534" s="687"/>
    </row>
    <row r="535" spans="9:14" ht="13.2">
      <c r="I535" s="686"/>
      <c r="N535" s="687"/>
    </row>
    <row r="536" spans="9:14" ht="13.2">
      <c r="I536" s="686"/>
      <c r="N536" s="687"/>
    </row>
    <row r="537" spans="9:14" ht="13.2">
      <c r="I537" s="686"/>
      <c r="N537" s="687"/>
    </row>
    <row r="538" spans="9:14" ht="13.2">
      <c r="I538" s="686"/>
      <c r="N538" s="687"/>
    </row>
    <row r="539" spans="9:14" ht="13.2">
      <c r="I539" s="686"/>
      <c r="N539" s="687"/>
    </row>
    <row r="540" spans="9:14" ht="13.2">
      <c r="I540" s="686"/>
      <c r="N540" s="687"/>
    </row>
    <row r="541" spans="9:14" ht="13.2">
      <c r="I541" s="686"/>
      <c r="N541" s="687"/>
    </row>
    <row r="542" spans="9:14" ht="13.2">
      <c r="I542" s="686"/>
      <c r="N542" s="687"/>
    </row>
    <row r="543" spans="9:14" ht="13.2">
      <c r="I543" s="686"/>
      <c r="N543" s="687"/>
    </row>
    <row r="544" spans="9:14" ht="13.2">
      <c r="I544" s="686"/>
      <c r="N544" s="687"/>
    </row>
    <row r="545" spans="9:14" ht="13.2">
      <c r="I545" s="686"/>
      <c r="N545" s="687"/>
    </row>
    <row r="546" spans="9:14" ht="13.2">
      <c r="I546" s="686"/>
      <c r="N546" s="687"/>
    </row>
    <row r="547" spans="9:14" ht="13.2">
      <c r="I547" s="686"/>
      <c r="N547" s="687"/>
    </row>
    <row r="548" spans="9:14" ht="13.2">
      <c r="I548" s="686"/>
      <c r="N548" s="687"/>
    </row>
    <row r="549" spans="9:14" ht="13.2">
      <c r="I549" s="686"/>
      <c r="N549" s="687"/>
    </row>
    <row r="550" spans="9:14" ht="13.2">
      <c r="I550" s="686"/>
      <c r="N550" s="687"/>
    </row>
    <row r="551" spans="9:14" ht="13.2">
      <c r="I551" s="686"/>
      <c r="N551" s="687"/>
    </row>
    <row r="552" spans="9:14" ht="13.2">
      <c r="I552" s="686"/>
      <c r="N552" s="687"/>
    </row>
    <row r="553" spans="9:14" ht="13.2">
      <c r="I553" s="686"/>
      <c r="N553" s="687"/>
    </row>
    <row r="554" spans="9:14" ht="13.2">
      <c r="I554" s="686"/>
      <c r="N554" s="687"/>
    </row>
    <row r="555" spans="9:14" ht="13.2">
      <c r="I555" s="686"/>
      <c r="N555" s="687"/>
    </row>
    <row r="556" spans="9:14" ht="13.2">
      <c r="I556" s="686"/>
      <c r="N556" s="687"/>
    </row>
    <row r="557" spans="9:14" ht="13.2">
      <c r="I557" s="686"/>
      <c r="N557" s="687"/>
    </row>
    <row r="558" spans="9:14" ht="13.2">
      <c r="I558" s="686"/>
      <c r="N558" s="687"/>
    </row>
    <row r="559" spans="9:14" ht="13.2">
      <c r="I559" s="686"/>
      <c r="N559" s="687"/>
    </row>
    <row r="560" spans="9:14" ht="13.2">
      <c r="I560" s="686"/>
      <c r="N560" s="687"/>
    </row>
    <row r="561" spans="9:14" ht="13.2">
      <c r="I561" s="686"/>
      <c r="N561" s="687"/>
    </row>
    <row r="562" spans="9:14" ht="13.2">
      <c r="I562" s="686"/>
      <c r="N562" s="687"/>
    </row>
    <row r="563" spans="9:14" ht="13.2">
      <c r="I563" s="686"/>
      <c r="N563" s="687"/>
    </row>
    <row r="564" spans="9:14" ht="13.2">
      <c r="I564" s="686"/>
      <c r="N564" s="687"/>
    </row>
    <row r="565" spans="9:14" ht="13.2">
      <c r="I565" s="686"/>
      <c r="N565" s="687"/>
    </row>
    <row r="566" spans="9:14" ht="13.2">
      <c r="I566" s="686"/>
      <c r="N566" s="687"/>
    </row>
    <row r="567" spans="9:14" ht="13.2">
      <c r="I567" s="686"/>
      <c r="N567" s="687"/>
    </row>
    <row r="568" spans="9:14" ht="13.2">
      <c r="I568" s="686"/>
      <c r="N568" s="687"/>
    </row>
    <row r="569" spans="9:14" ht="13.2">
      <c r="I569" s="686"/>
      <c r="N569" s="687"/>
    </row>
    <row r="570" spans="9:14" ht="13.2">
      <c r="I570" s="686"/>
      <c r="N570" s="687"/>
    </row>
    <row r="571" spans="9:14" ht="13.2">
      <c r="I571" s="686"/>
      <c r="N571" s="687"/>
    </row>
    <row r="572" spans="9:14" ht="13.2">
      <c r="I572" s="686"/>
      <c r="N572" s="687"/>
    </row>
    <row r="573" spans="9:14" ht="13.2">
      <c r="I573" s="686"/>
      <c r="N573" s="687"/>
    </row>
    <row r="574" spans="9:14" ht="13.2">
      <c r="I574" s="686"/>
      <c r="N574" s="687"/>
    </row>
    <row r="575" spans="9:14" ht="13.2">
      <c r="I575" s="686"/>
      <c r="N575" s="687"/>
    </row>
    <row r="576" spans="9:14" ht="13.2">
      <c r="I576" s="686"/>
      <c r="N576" s="687"/>
    </row>
    <row r="577" spans="9:14" ht="13.2">
      <c r="I577" s="686"/>
      <c r="N577" s="687"/>
    </row>
    <row r="578" spans="9:14" ht="13.2">
      <c r="I578" s="686"/>
      <c r="N578" s="687"/>
    </row>
    <row r="579" spans="9:14" ht="13.2">
      <c r="I579" s="686"/>
      <c r="N579" s="687"/>
    </row>
    <row r="580" spans="9:14" ht="13.2">
      <c r="I580" s="686"/>
      <c r="N580" s="687"/>
    </row>
    <row r="581" spans="9:14" ht="13.2">
      <c r="I581" s="686"/>
      <c r="N581" s="687"/>
    </row>
    <row r="582" spans="9:14" ht="13.2">
      <c r="I582" s="686"/>
      <c r="N582" s="687"/>
    </row>
    <row r="583" spans="9:14" ht="13.2">
      <c r="I583" s="686"/>
      <c r="N583" s="687"/>
    </row>
    <row r="584" spans="9:14" ht="13.2">
      <c r="I584" s="686"/>
      <c r="N584" s="687"/>
    </row>
    <row r="585" spans="9:14" ht="13.2">
      <c r="I585" s="686"/>
      <c r="N585" s="687"/>
    </row>
    <row r="586" spans="9:14" ht="13.2">
      <c r="I586" s="686"/>
      <c r="N586" s="687"/>
    </row>
    <row r="587" spans="9:14" ht="13.2">
      <c r="I587" s="686"/>
      <c r="N587" s="687"/>
    </row>
    <row r="588" spans="9:14" ht="13.2">
      <c r="I588" s="686"/>
      <c r="N588" s="687"/>
    </row>
    <row r="589" spans="9:14" ht="13.2">
      <c r="I589" s="686"/>
      <c r="N589" s="687"/>
    </row>
    <row r="590" spans="9:14" ht="13.2">
      <c r="I590" s="686"/>
      <c r="N590" s="687"/>
    </row>
    <row r="591" spans="9:14" ht="13.2">
      <c r="I591" s="686"/>
      <c r="N591" s="687"/>
    </row>
    <row r="592" spans="9:14" ht="13.2">
      <c r="I592" s="686"/>
      <c r="N592" s="687"/>
    </row>
    <row r="593" spans="9:14" ht="13.2">
      <c r="I593" s="686"/>
      <c r="N593" s="687"/>
    </row>
    <row r="594" spans="9:14" ht="13.2">
      <c r="I594" s="686"/>
      <c r="N594" s="687"/>
    </row>
    <row r="595" spans="9:14" ht="13.2">
      <c r="I595" s="686"/>
      <c r="N595" s="687"/>
    </row>
    <row r="596" spans="9:14" ht="13.2">
      <c r="I596" s="686"/>
      <c r="N596" s="687"/>
    </row>
    <row r="597" spans="9:14" ht="13.2">
      <c r="I597" s="686"/>
      <c r="N597" s="687"/>
    </row>
    <row r="598" spans="9:14" ht="13.2">
      <c r="I598" s="686"/>
      <c r="N598" s="687"/>
    </row>
    <row r="599" spans="9:14" ht="13.2">
      <c r="I599" s="686"/>
      <c r="N599" s="687"/>
    </row>
    <row r="600" spans="9:14" ht="13.2">
      <c r="I600" s="686"/>
      <c r="N600" s="687"/>
    </row>
    <row r="601" spans="9:14" ht="13.2">
      <c r="I601" s="686"/>
      <c r="N601" s="687"/>
    </row>
    <row r="602" spans="9:14" ht="13.2">
      <c r="I602" s="686"/>
      <c r="N602" s="687"/>
    </row>
    <row r="603" spans="9:14" ht="13.2">
      <c r="I603" s="686"/>
      <c r="N603" s="687"/>
    </row>
    <row r="604" spans="9:14" ht="13.2">
      <c r="I604" s="686"/>
      <c r="N604" s="687"/>
    </row>
    <row r="605" spans="9:14" ht="13.2">
      <c r="I605" s="686"/>
      <c r="N605" s="687"/>
    </row>
    <row r="606" spans="9:14" ht="13.2">
      <c r="I606" s="686"/>
      <c r="N606" s="687"/>
    </row>
    <row r="607" spans="9:14" ht="13.2">
      <c r="I607" s="686"/>
      <c r="N607" s="687"/>
    </row>
    <row r="608" spans="9:14" ht="13.2">
      <c r="I608" s="686"/>
      <c r="N608" s="687"/>
    </row>
    <row r="609" spans="9:14" ht="13.2">
      <c r="I609" s="686"/>
      <c r="N609" s="687"/>
    </row>
    <row r="610" spans="9:14" ht="13.2">
      <c r="I610" s="686"/>
      <c r="N610" s="687"/>
    </row>
    <row r="611" spans="9:14" ht="13.2">
      <c r="I611" s="686"/>
      <c r="N611" s="687"/>
    </row>
    <row r="612" spans="9:14" ht="13.2">
      <c r="I612" s="686"/>
      <c r="N612" s="687"/>
    </row>
    <row r="613" spans="9:14" ht="13.2">
      <c r="I613" s="686"/>
      <c r="N613" s="687"/>
    </row>
    <row r="614" spans="9:14" ht="13.2">
      <c r="I614" s="686"/>
      <c r="N614" s="687"/>
    </row>
    <row r="615" spans="9:14" ht="13.2">
      <c r="I615" s="686"/>
      <c r="N615" s="687"/>
    </row>
    <row r="616" spans="9:14" ht="13.2">
      <c r="I616" s="686"/>
      <c r="N616" s="687"/>
    </row>
    <row r="617" spans="9:14" ht="13.2">
      <c r="I617" s="686"/>
      <c r="N617" s="687"/>
    </row>
    <row r="618" spans="9:14" ht="13.2">
      <c r="I618" s="686"/>
      <c r="N618" s="687"/>
    </row>
    <row r="619" spans="9:14" ht="13.2">
      <c r="I619" s="686"/>
      <c r="N619" s="687"/>
    </row>
    <row r="620" spans="9:14" ht="13.2">
      <c r="I620" s="686"/>
      <c r="N620" s="687"/>
    </row>
    <row r="621" spans="9:14" ht="13.2">
      <c r="I621" s="686"/>
      <c r="N621" s="687"/>
    </row>
    <row r="622" spans="9:14" ht="13.2">
      <c r="I622" s="686"/>
      <c r="N622" s="687"/>
    </row>
    <row r="623" spans="9:14" ht="13.2">
      <c r="I623" s="686"/>
      <c r="N623" s="687"/>
    </row>
    <row r="624" spans="9:14" ht="13.2">
      <c r="I624" s="686"/>
      <c r="N624" s="687"/>
    </row>
    <row r="625" spans="9:14" ht="13.2">
      <c r="I625" s="686"/>
      <c r="N625" s="687"/>
    </row>
    <row r="626" spans="9:14" ht="13.2">
      <c r="I626" s="686"/>
      <c r="N626" s="687"/>
    </row>
    <row r="627" spans="9:14" ht="13.2">
      <c r="I627" s="686"/>
      <c r="N627" s="687"/>
    </row>
    <row r="628" spans="9:14" ht="13.2">
      <c r="I628" s="686"/>
      <c r="N628" s="687"/>
    </row>
    <row r="629" spans="9:14" ht="13.2">
      <c r="I629" s="686"/>
      <c r="N629" s="687"/>
    </row>
    <row r="630" spans="9:14" ht="13.2">
      <c r="I630" s="686"/>
      <c r="N630" s="687"/>
    </row>
    <row r="631" spans="9:14" ht="13.2">
      <c r="I631" s="686"/>
      <c r="N631" s="687"/>
    </row>
    <row r="632" spans="9:14" ht="13.2">
      <c r="I632" s="686"/>
      <c r="N632" s="687"/>
    </row>
    <row r="633" spans="9:14" ht="13.2">
      <c r="I633" s="686"/>
      <c r="N633" s="687"/>
    </row>
    <row r="634" spans="9:14" ht="13.2">
      <c r="I634" s="686"/>
      <c r="N634" s="687"/>
    </row>
    <row r="635" spans="9:14" ht="13.2">
      <c r="I635" s="686"/>
      <c r="N635" s="687"/>
    </row>
    <row r="636" spans="9:14" ht="13.2">
      <c r="I636" s="686"/>
      <c r="N636" s="687"/>
    </row>
    <row r="637" spans="9:14" ht="13.2">
      <c r="I637" s="686"/>
      <c r="N637" s="687"/>
    </row>
    <row r="638" spans="9:14" ht="13.2">
      <c r="I638" s="686"/>
      <c r="N638" s="687"/>
    </row>
    <row r="639" spans="9:14" ht="13.2">
      <c r="I639" s="686"/>
      <c r="N639" s="687"/>
    </row>
    <row r="640" spans="9:14" ht="13.2">
      <c r="I640" s="686"/>
      <c r="N640" s="687"/>
    </row>
    <row r="641" spans="9:14" ht="13.2">
      <c r="I641" s="686"/>
      <c r="N641" s="687"/>
    </row>
    <row r="642" spans="9:14" ht="13.2">
      <c r="I642" s="686"/>
      <c r="N642" s="687"/>
    </row>
    <row r="643" spans="9:14" ht="13.2">
      <c r="I643" s="686"/>
      <c r="N643" s="687"/>
    </row>
    <row r="644" spans="9:14" ht="13.2">
      <c r="I644" s="686"/>
      <c r="N644" s="687"/>
    </row>
    <row r="645" spans="9:14" ht="13.2">
      <c r="I645" s="686"/>
      <c r="N645" s="687"/>
    </row>
    <row r="646" spans="9:14" ht="13.2">
      <c r="I646" s="686"/>
      <c r="N646" s="687"/>
    </row>
    <row r="647" spans="9:14" ht="13.2">
      <c r="I647" s="686"/>
      <c r="N647" s="687"/>
    </row>
    <row r="648" spans="9:14" ht="13.2">
      <c r="I648" s="686"/>
      <c r="N648" s="687"/>
    </row>
    <row r="649" spans="9:14" ht="13.2">
      <c r="I649" s="686"/>
      <c r="N649" s="687"/>
    </row>
    <row r="650" spans="9:14" ht="13.2">
      <c r="I650" s="686"/>
      <c r="N650" s="687"/>
    </row>
    <row r="651" spans="9:14" ht="13.2">
      <c r="I651" s="686"/>
      <c r="N651" s="687"/>
    </row>
    <row r="652" spans="9:14" ht="13.2">
      <c r="I652" s="686"/>
      <c r="N652" s="687"/>
    </row>
    <row r="653" spans="9:14" ht="13.2">
      <c r="I653" s="686"/>
      <c r="N653" s="687"/>
    </row>
    <row r="654" spans="9:14" ht="13.2">
      <c r="I654" s="686"/>
      <c r="N654" s="687"/>
    </row>
    <row r="655" spans="9:14" ht="13.2">
      <c r="I655" s="686"/>
      <c r="N655" s="687"/>
    </row>
    <row r="656" spans="9:14" ht="13.2">
      <c r="I656" s="686"/>
      <c r="N656" s="687"/>
    </row>
    <row r="657" spans="9:14" ht="13.2">
      <c r="I657" s="686"/>
      <c r="N657" s="687"/>
    </row>
    <row r="658" spans="9:14" ht="13.2">
      <c r="I658" s="686"/>
      <c r="N658" s="687"/>
    </row>
    <row r="659" spans="9:14" ht="13.2">
      <c r="I659" s="686"/>
      <c r="N659" s="687"/>
    </row>
    <row r="660" spans="9:14" ht="13.2">
      <c r="I660" s="686"/>
      <c r="N660" s="687"/>
    </row>
    <row r="661" spans="9:14" ht="13.2">
      <c r="I661" s="686"/>
      <c r="N661" s="687"/>
    </row>
    <row r="662" spans="9:14" ht="13.2">
      <c r="I662" s="686"/>
      <c r="N662" s="687"/>
    </row>
    <row r="663" spans="9:14" ht="13.2">
      <c r="I663" s="686"/>
      <c r="N663" s="687"/>
    </row>
    <row r="664" spans="9:14" ht="13.2">
      <c r="I664" s="686"/>
      <c r="N664" s="687"/>
    </row>
    <row r="665" spans="9:14" ht="13.2">
      <c r="I665" s="686"/>
      <c r="N665" s="687"/>
    </row>
    <row r="666" spans="9:14" ht="13.2">
      <c r="I666" s="686"/>
      <c r="N666" s="687"/>
    </row>
    <row r="667" spans="9:14" ht="13.2">
      <c r="I667" s="686"/>
      <c r="N667" s="687"/>
    </row>
    <row r="668" spans="9:14" ht="13.2">
      <c r="I668" s="686"/>
      <c r="N668" s="687"/>
    </row>
    <row r="669" spans="9:14" ht="13.2">
      <c r="I669" s="686"/>
      <c r="N669" s="687"/>
    </row>
    <row r="670" spans="9:14" ht="13.2">
      <c r="I670" s="686"/>
      <c r="N670" s="687"/>
    </row>
    <row r="671" spans="9:14" ht="13.2">
      <c r="I671" s="686"/>
      <c r="N671" s="687"/>
    </row>
    <row r="672" spans="9:14" ht="13.2">
      <c r="I672" s="686"/>
      <c r="N672" s="687"/>
    </row>
    <row r="673" spans="9:14" ht="13.2">
      <c r="I673" s="686"/>
      <c r="N673" s="687"/>
    </row>
    <row r="674" spans="9:14" ht="13.2">
      <c r="I674" s="686"/>
      <c r="N674" s="687"/>
    </row>
    <row r="675" spans="9:14" ht="13.2">
      <c r="I675" s="686"/>
      <c r="N675" s="687"/>
    </row>
    <row r="676" spans="9:14" ht="13.2">
      <c r="I676" s="686"/>
      <c r="N676" s="687"/>
    </row>
    <row r="677" spans="9:14" ht="13.2">
      <c r="I677" s="686"/>
      <c r="N677" s="687"/>
    </row>
    <row r="678" spans="9:14" ht="13.2">
      <c r="I678" s="686"/>
      <c r="N678" s="687"/>
    </row>
    <row r="679" spans="9:14" ht="13.2">
      <c r="I679" s="686"/>
      <c r="N679" s="687"/>
    </row>
    <row r="680" spans="9:14" ht="13.2">
      <c r="I680" s="686"/>
      <c r="N680" s="687"/>
    </row>
    <row r="681" spans="9:14" ht="13.2">
      <c r="I681" s="686"/>
      <c r="N681" s="687"/>
    </row>
    <row r="682" spans="9:14" ht="13.2">
      <c r="I682" s="686"/>
      <c r="N682" s="687"/>
    </row>
    <row r="683" spans="9:14" ht="13.2">
      <c r="I683" s="686"/>
      <c r="N683" s="687"/>
    </row>
    <row r="684" spans="9:14" ht="13.2">
      <c r="I684" s="686"/>
      <c r="N684" s="687"/>
    </row>
    <row r="685" spans="9:14" ht="13.2">
      <c r="I685" s="686"/>
      <c r="N685" s="687"/>
    </row>
    <row r="686" spans="9:14" ht="13.2">
      <c r="I686" s="686"/>
      <c r="N686" s="687"/>
    </row>
    <row r="687" spans="9:14" ht="13.2">
      <c r="I687" s="686"/>
      <c r="N687" s="687"/>
    </row>
    <row r="688" spans="9:14" ht="13.2">
      <c r="I688" s="686"/>
      <c r="N688" s="687"/>
    </row>
    <row r="689" spans="9:14" ht="13.2">
      <c r="I689" s="686"/>
      <c r="N689" s="687"/>
    </row>
    <row r="690" spans="9:14" ht="13.2">
      <c r="I690" s="686"/>
      <c r="N690" s="687"/>
    </row>
    <row r="691" spans="9:14" ht="13.2">
      <c r="I691" s="686"/>
      <c r="N691" s="687"/>
    </row>
    <row r="692" spans="9:14" ht="13.2">
      <c r="I692" s="686"/>
      <c r="N692" s="687"/>
    </row>
    <row r="693" spans="9:14" ht="13.2">
      <c r="I693" s="686"/>
      <c r="N693" s="687"/>
    </row>
    <row r="694" spans="9:14" ht="13.2">
      <c r="I694" s="686"/>
      <c r="N694" s="687"/>
    </row>
    <row r="695" spans="9:14" ht="13.2">
      <c r="I695" s="686"/>
      <c r="N695" s="687"/>
    </row>
    <row r="696" spans="9:14" ht="13.2">
      <c r="I696" s="686"/>
      <c r="N696" s="687"/>
    </row>
    <row r="697" spans="9:14" ht="13.2">
      <c r="I697" s="686"/>
      <c r="N697" s="687"/>
    </row>
    <row r="698" spans="9:14" ht="13.2">
      <c r="I698" s="686"/>
      <c r="N698" s="687"/>
    </row>
    <row r="699" spans="9:14" ht="13.2">
      <c r="I699" s="686"/>
      <c r="N699" s="687"/>
    </row>
    <row r="700" spans="9:14" ht="13.2">
      <c r="I700" s="686"/>
      <c r="N700" s="687"/>
    </row>
    <row r="701" spans="9:14" ht="13.2">
      <c r="I701" s="686"/>
      <c r="N701" s="687"/>
    </row>
    <row r="702" spans="9:14" ht="13.2">
      <c r="I702" s="686"/>
      <c r="N702" s="687"/>
    </row>
    <row r="703" spans="9:14" ht="13.2">
      <c r="I703" s="686"/>
      <c r="N703" s="687"/>
    </row>
    <row r="704" spans="9:14" ht="13.2">
      <c r="I704" s="686"/>
      <c r="N704" s="687"/>
    </row>
    <row r="705" spans="9:14" ht="13.2">
      <c r="I705" s="686"/>
      <c r="N705" s="687"/>
    </row>
    <row r="706" spans="9:14" ht="13.2">
      <c r="I706" s="686"/>
      <c r="N706" s="687"/>
    </row>
    <row r="707" spans="9:14" ht="13.2">
      <c r="I707" s="686"/>
      <c r="N707" s="687"/>
    </row>
    <row r="708" spans="9:14" ht="13.2">
      <c r="I708" s="686"/>
      <c r="N708" s="687"/>
    </row>
    <row r="709" spans="9:14" ht="13.2">
      <c r="I709" s="686"/>
      <c r="N709" s="687"/>
    </row>
    <row r="710" spans="9:14" ht="13.2">
      <c r="I710" s="686"/>
      <c r="N710" s="687"/>
    </row>
    <row r="711" spans="9:14" ht="13.2">
      <c r="I711" s="686"/>
      <c r="N711" s="687"/>
    </row>
    <row r="712" spans="9:14" ht="13.2">
      <c r="I712" s="686"/>
      <c r="N712" s="687"/>
    </row>
    <row r="713" spans="9:14" ht="13.2">
      <c r="I713" s="686"/>
      <c r="N713" s="687"/>
    </row>
    <row r="714" spans="9:14" ht="13.2">
      <c r="I714" s="686"/>
      <c r="N714" s="687"/>
    </row>
    <row r="715" spans="9:14" ht="13.2">
      <c r="I715" s="686"/>
      <c r="N715" s="687"/>
    </row>
    <row r="716" spans="9:14" ht="13.2">
      <c r="I716" s="686"/>
      <c r="N716" s="687"/>
    </row>
    <row r="717" spans="9:14" ht="13.2">
      <c r="I717" s="686"/>
      <c r="N717" s="687"/>
    </row>
    <row r="718" spans="9:14" ht="13.2">
      <c r="I718" s="686"/>
      <c r="N718" s="687"/>
    </row>
    <row r="719" spans="9:14" ht="13.2">
      <c r="I719" s="686"/>
      <c r="N719" s="687"/>
    </row>
    <row r="720" spans="9:14" ht="13.2">
      <c r="I720" s="686"/>
      <c r="N720" s="687"/>
    </row>
    <row r="721" spans="9:14" ht="13.2">
      <c r="I721" s="686"/>
      <c r="N721" s="687"/>
    </row>
    <row r="722" spans="9:14" ht="13.2">
      <c r="I722" s="686"/>
      <c r="N722" s="687"/>
    </row>
    <row r="723" spans="9:14" ht="13.2">
      <c r="I723" s="686"/>
      <c r="N723" s="687"/>
    </row>
    <row r="724" spans="9:14" ht="13.2">
      <c r="I724" s="686"/>
      <c r="N724" s="687"/>
    </row>
    <row r="725" spans="9:14" ht="13.2">
      <c r="I725" s="686"/>
      <c r="N725" s="687"/>
    </row>
    <row r="726" spans="9:14" ht="13.2">
      <c r="I726" s="686"/>
      <c r="N726" s="687"/>
    </row>
    <row r="727" spans="9:14" ht="13.2">
      <c r="I727" s="686"/>
      <c r="N727" s="687"/>
    </row>
    <row r="728" spans="9:14" ht="13.2">
      <c r="I728" s="686"/>
      <c r="N728" s="687"/>
    </row>
    <row r="729" spans="9:14" ht="13.2">
      <c r="I729" s="686"/>
      <c r="N729" s="687"/>
    </row>
    <row r="730" spans="9:14" ht="13.2">
      <c r="I730" s="686"/>
      <c r="N730" s="687"/>
    </row>
    <row r="731" spans="9:14" ht="13.2">
      <c r="I731" s="686"/>
      <c r="N731" s="687"/>
    </row>
    <row r="732" spans="9:14" ht="13.2">
      <c r="I732" s="686"/>
      <c r="N732" s="687"/>
    </row>
    <row r="733" spans="9:14" ht="13.2">
      <c r="I733" s="686"/>
      <c r="N733" s="687"/>
    </row>
    <row r="734" spans="9:14" ht="13.2">
      <c r="I734" s="686"/>
      <c r="N734" s="687"/>
    </row>
    <row r="735" spans="9:14" ht="13.2">
      <c r="I735" s="686"/>
      <c r="N735" s="687"/>
    </row>
    <row r="736" spans="9:14" ht="13.2">
      <c r="I736" s="686"/>
      <c r="N736" s="687"/>
    </row>
    <row r="737" spans="9:14" ht="13.2">
      <c r="I737" s="686"/>
      <c r="N737" s="687"/>
    </row>
    <row r="738" spans="9:14" ht="13.2">
      <c r="I738" s="686"/>
      <c r="N738" s="687"/>
    </row>
    <row r="739" spans="9:14" ht="13.2">
      <c r="I739" s="686"/>
      <c r="N739" s="687"/>
    </row>
    <row r="740" spans="9:14" ht="13.2">
      <c r="I740" s="686"/>
      <c r="N740" s="687"/>
    </row>
    <row r="741" spans="9:14" ht="13.2">
      <c r="I741" s="686"/>
      <c r="N741" s="687"/>
    </row>
    <row r="742" spans="9:14" ht="13.2">
      <c r="I742" s="686"/>
      <c r="N742" s="687"/>
    </row>
    <row r="743" spans="9:14" ht="13.2">
      <c r="I743" s="686"/>
      <c r="N743" s="687"/>
    </row>
    <row r="744" spans="9:14" ht="13.2">
      <c r="I744" s="686"/>
      <c r="N744" s="687"/>
    </row>
    <row r="745" spans="9:14" ht="13.2">
      <c r="I745" s="686"/>
      <c r="N745" s="687"/>
    </row>
    <row r="746" spans="9:14" ht="13.2">
      <c r="I746" s="686"/>
      <c r="N746" s="687"/>
    </row>
    <row r="747" spans="9:14" ht="13.2">
      <c r="I747" s="686"/>
      <c r="N747" s="687"/>
    </row>
    <row r="748" spans="9:14" ht="13.2">
      <c r="I748" s="686"/>
      <c r="N748" s="687"/>
    </row>
    <row r="749" spans="9:14" ht="13.2">
      <c r="I749" s="686"/>
      <c r="N749" s="687"/>
    </row>
    <row r="750" spans="9:14" ht="13.2">
      <c r="I750" s="686"/>
      <c r="N750" s="687"/>
    </row>
    <row r="751" spans="9:14" ht="13.2">
      <c r="I751" s="686"/>
      <c r="N751" s="687"/>
    </row>
    <row r="752" spans="9:14" ht="13.2">
      <c r="I752" s="686"/>
      <c r="N752" s="687"/>
    </row>
    <row r="753" spans="9:14" ht="13.2">
      <c r="I753" s="686"/>
      <c r="N753" s="687"/>
    </row>
    <row r="754" spans="9:14" ht="13.2">
      <c r="I754" s="686"/>
      <c r="N754" s="687"/>
    </row>
    <row r="755" spans="9:14" ht="13.2">
      <c r="I755" s="686"/>
      <c r="N755" s="687"/>
    </row>
    <row r="756" spans="9:14" ht="13.2">
      <c r="I756" s="686"/>
      <c r="N756" s="687"/>
    </row>
    <row r="757" spans="9:14" ht="13.2">
      <c r="I757" s="686"/>
      <c r="N757" s="687"/>
    </row>
    <row r="758" spans="9:14" ht="13.2">
      <c r="I758" s="686"/>
      <c r="N758" s="687"/>
    </row>
    <row r="759" spans="9:14" ht="13.2">
      <c r="I759" s="686"/>
      <c r="N759" s="687"/>
    </row>
    <row r="760" spans="9:14" ht="13.2">
      <c r="I760" s="686"/>
      <c r="N760" s="687"/>
    </row>
    <row r="761" spans="9:14" ht="13.2">
      <c r="I761" s="686"/>
      <c r="N761" s="687"/>
    </row>
    <row r="762" spans="9:14" ht="13.2">
      <c r="I762" s="686"/>
      <c r="N762" s="687"/>
    </row>
    <row r="763" spans="9:14" ht="13.2">
      <c r="I763" s="686"/>
      <c r="N763" s="687"/>
    </row>
    <row r="764" spans="9:14" ht="13.2">
      <c r="I764" s="686"/>
      <c r="N764" s="687"/>
    </row>
    <row r="765" spans="9:14" ht="13.2">
      <c r="I765" s="686"/>
      <c r="N765" s="687"/>
    </row>
    <row r="766" spans="9:14" ht="13.2">
      <c r="I766" s="686"/>
      <c r="N766" s="687"/>
    </row>
    <row r="767" spans="9:14" ht="13.2">
      <c r="I767" s="686"/>
      <c r="N767" s="687"/>
    </row>
    <row r="768" spans="9:14" ht="13.2">
      <c r="I768" s="686"/>
      <c r="N768" s="687"/>
    </row>
    <row r="769" spans="9:14" ht="13.2">
      <c r="I769" s="686"/>
      <c r="N769" s="687"/>
    </row>
    <row r="770" spans="9:14" ht="13.2">
      <c r="I770" s="686"/>
      <c r="N770" s="687"/>
    </row>
    <row r="771" spans="9:14" ht="13.2">
      <c r="I771" s="686"/>
      <c r="N771" s="687"/>
    </row>
    <row r="772" spans="9:14" ht="13.2">
      <c r="I772" s="686"/>
      <c r="N772" s="687"/>
    </row>
    <row r="773" spans="9:14" ht="13.2">
      <c r="I773" s="686"/>
      <c r="N773" s="687"/>
    </row>
    <row r="774" spans="9:14" ht="13.2">
      <c r="I774" s="686"/>
      <c r="N774" s="687"/>
    </row>
    <row r="775" spans="9:14" ht="13.2">
      <c r="I775" s="686"/>
      <c r="N775" s="687"/>
    </row>
    <row r="776" spans="9:14" ht="13.2">
      <c r="I776" s="686"/>
      <c r="N776" s="687"/>
    </row>
    <row r="777" spans="9:14" ht="13.2">
      <c r="I777" s="686"/>
      <c r="N777" s="687"/>
    </row>
    <row r="778" spans="9:14" ht="13.2">
      <c r="I778" s="686"/>
      <c r="N778" s="687"/>
    </row>
    <row r="779" spans="9:14" ht="13.2">
      <c r="I779" s="686"/>
      <c r="N779" s="687"/>
    </row>
    <row r="780" spans="9:14" ht="13.2">
      <c r="I780" s="686"/>
      <c r="N780" s="687"/>
    </row>
    <row r="781" spans="9:14" ht="13.2">
      <c r="I781" s="686"/>
      <c r="N781" s="687"/>
    </row>
    <row r="782" spans="9:14" ht="13.2">
      <c r="I782" s="686"/>
      <c r="N782" s="687"/>
    </row>
    <row r="783" spans="9:14" ht="13.2">
      <c r="I783" s="686"/>
      <c r="N783" s="687"/>
    </row>
    <row r="784" spans="9:14" ht="13.2">
      <c r="I784" s="686"/>
      <c r="N784" s="687"/>
    </row>
    <row r="785" spans="9:14" ht="13.2">
      <c r="I785" s="686"/>
      <c r="N785" s="687"/>
    </row>
    <row r="786" spans="9:14" ht="13.2">
      <c r="I786" s="686"/>
      <c r="N786" s="687"/>
    </row>
    <row r="787" spans="9:14" ht="13.2">
      <c r="I787" s="686"/>
      <c r="N787" s="687"/>
    </row>
    <row r="788" spans="9:14" ht="13.2">
      <c r="I788" s="686"/>
      <c r="N788" s="687"/>
    </row>
    <row r="789" spans="9:14" ht="13.2">
      <c r="I789" s="686"/>
      <c r="N789" s="687"/>
    </row>
    <row r="790" spans="9:14" ht="13.2">
      <c r="I790" s="686"/>
      <c r="N790" s="687"/>
    </row>
    <row r="791" spans="9:14" ht="13.2">
      <c r="I791" s="686"/>
      <c r="N791" s="687"/>
    </row>
    <row r="792" spans="9:14" ht="13.2">
      <c r="I792" s="686"/>
      <c r="N792" s="687"/>
    </row>
    <row r="793" spans="9:14" ht="13.2">
      <c r="I793" s="686"/>
      <c r="N793" s="687"/>
    </row>
    <row r="794" spans="9:14" ht="13.2">
      <c r="I794" s="686"/>
      <c r="N794" s="687"/>
    </row>
    <row r="795" spans="9:14" ht="13.2">
      <c r="I795" s="686"/>
      <c r="N795" s="687"/>
    </row>
    <row r="796" spans="9:14" ht="13.2">
      <c r="I796" s="686"/>
      <c r="N796" s="687"/>
    </row>
    <row r="797" spans="9:14" ht="13.2">
      <c r="I797" s="686"/>
      <c r="N797" s="687"/>
    </row>
    <row r="798" spans="9:14" ht="13.2">
      <c r="I798" s="686"/>
      <c r="N798" s="687"/>
    </row>
    <row r="799" spans="9:14" ht="13.2">
      <c r="I799" s="686"/>
      <c r="N799" s="687"/>
    </row>
    <row r="800" spans="9:14" ht="13.2">
      <c r="I800" s="686"/>
      <c r="N800" s="687"/>
    </row>
    <row r="801" spans="9:14" ht="13.2">
      <c r="I801" s="686"/>
      <c r="N801" s="687"/>
    </row>
    <row r="802" spans="9:14" ht="13.2">
      <c r="I802" s="686"/>
      <c r="N802" s="687"/>
    </row>
    <row r="803" spans="9:14" ht="13.2">
      <c r="I803" s="686"/>
      <c r="N803" s="687"/>
    </row>
    <row r="804" spans="9:14" ht="13.2">
      <c r="I804" s="686"/>
      <c r="N804" s="687"/>
    </row>
    <row r="805" spans="9:14" ht="13.2">
      <c r="I805" s="686"/>
      <c r="N805" s="687"/>
    </row>
    <row r="806" spans="9:14" ht="13.2">
      <c r="I806" s="686"/>
      <c r="N806" s="687"/>
    </row>
    <row r="807" spans="9:14" ht="13.2">
      <c r="I807" s="686"/>
      <c r="N807" s="687"/>
    </row>
    <row r="808" spans="9:14" ht="13.2">
      <c r="I808" s="686"/>
      <c r="N808" s="687"/>
    </row>
    <row r="809" spans="9:14" ht="13.2">
      <c r="I809" s="686"/>
      <c r="N809" s="687"/>
    </row>
    <row r="810" spans="9:14" ht="13.2">
      <c r="I810" s="686"/>
      <c r="N810" s="687"/>
    </row>
    <row r="811" spans="9:14" ht="13.2">
      <c r="I811" s="686"/>
      <c r="N811" s="687"/>
    </row>
    <row r="812" spans="9:14" ht="13.2">
      <c r="I812" s="686"/>
      <c r="N812" s="687"/>
    </row>
    <row r="813" spans="9:14" ht="13.2">
      <c r="I813" s="686"/>
      <c r="N813" s="687"/>
    </row>
    <row r="814" spans="9:14" ht="13.2">
      <c r="I814" s="686"/>
      <c r="N814" s="687"/>
    </row>
    <row r="815" spans="9:14" ht="13.2">
      <c r="I815" s="686"/>
      <c r="N815" s="687"/>
    </row>
    <row r="816" spans="9:14" ht="13.2">
      <c r="I816" s="686"/>
      <c r="N816" s="687"/>
    </row>
    <row r="817" spans="9:14" ht="13.2">
      <c r="I817" s="686"/>
      <c r="N817" s="687"/>
    </row>
    <row r="818" spans="9:14" ht="13.2">
      <c r="I818" s="686"/>
      <c r="N818" s="687"/>
    </row>
    <row r="819" spans="9:14" ht="13.2">
      <c r="I819" s="686"/>
      <c r="N819" s="687"/>
    </row>
    <row r="820" spans="9:14" ht="13.2">
      <c r="I820" s="686"/>
      <c r="N820" s="687"/>
    </row>
    <row r="821" spans="9:14" ht="13.2">
      <c r="I821" s="686"/>
      <c r="N821" s="687"/>
    </row>
    <row r="822" spans="9:14" ht="13.2">
      <c r="I822" s="686"/>
      <c r="N822" s="687"/>
    </row>
    <row r="823" spans="9:14" ht="13.2">
      <c r="I823" s="686"/>
      <c r="N823" s="687"/>
    </row>
    <row r="824" spans="9:14" ht="13.2">
      <c r="I824" s="686"/>
      <c r="N824" s="687"/>
    </row>
    <row r="825" spans="9:14" ht="13.2">
      <c r="I825" s="686"/>
      <c r="N825" s="687"/>
    </row>
    <row r="826" spans="9:14" ht="13.2">
      <c r="I826" s="686"/>
      <c r="N826" s="687"/>
    </row>
    <row r="827" spans="9:14" ht="13.2">
      <c r="I827" s="686"/>
      <c r="N827" s="687"/>
    </row>
    <row r="828" spans="9:14" ht="13.2">
      <c r="I828" s="686"/>
      <c r="N828" s="687"/>
    </row>
    <row r="829" spans="9:14" ht="13.2">
      <c r="I829" s="686"/>
      <c r="N829" s="687"/>
    </row>
    <row r="830" spans="9:14" ht="13.2">
      <c r="I830" s="686"/>
      <c r="N830" s="687"/>
    </row>
    <row r="831" spans="9:14" ht="13.2">
      <c r="I831" s="686"/>
      <c r="N831" s="687"/>
    </row>
    <row r="832" spans="9:14" ht="13.2">
      <c r="I832" s="686"/>
      <c r="N832" s="687"/>
    </row>
    <row r="833" spans="9:14" ht="13.2">
      <c r="I833" s="686"/>
      <c r="N833" s="687"/>
    </row>
    <row r="834" spans="9:14" ht="13.2">
      <c r="I834" s="686"/>
      <c r="N834" s="687"/>
    </row>
    <row r="835" spans="9:14" ht="13.2">
      <c r="I835" s="686"/>
      <c r="N835" s="687"/>
    </row>
    <row r="836" spans="9:14" ht="13.2">
      <c r="I836" s="686"/>
      <c r="N836" s="687"/>
    </row>
    <row r="837" spans="9:14" ht="13.2">
      <c r="I837" s="686"/>
      <c r="N837" s="687"/>
    </row>
    <row r="838" spans="9:14" ht="13.2">
      <c r="I838" s="686"/>
      <c r="N838" s="687"/>
    </row>
    <row r="839" spans="9:14" ht="13.2">
      <c r="I839" s="686"/>
      <c r="N839" s="687"/>
    </row>
    <row r="840" spans="9:14" ht="13.2">
      <c r="I840" s="686"/>
      <c r="N840" s="687"/>
    </row>
    <row r="841" spans="9:14" ht="13.2">
      <c r="I841" s="686"/>
      <c r="N841" s="687"/>
    </row>
    <row r="842" spans="9:14" ht="13.2">
      <c r="I842" s="686"/>
      <c r="N842" s="687"/>
    </row>
    <row r="843" spans="9:14" ht="13.2">
      <c r="I843" s="686"/>
      <c r="N843" s="687"/>
    </row>
    <row r="844" spans="9:14" ht="13.2">
      <c r="I844" s="686"/>
      <c r="N844" s="687"/>
    </row>
    <row r="845" spans="9:14" ht="13.2">
      <c r="I845" s="686"/>
      <c r="N845" s="687"/>
    </row>
    <row r="846" spans="9:14" ht="13.2">
      <c r="I846" s="686"/>
      <c r="N846" s="687"/>
    </row>
    <row r="847" spans="9:14" ht="13.2">
      <c r="I847" s="686"/>
      <c r="N847" s="687"/>
    </row>
    <row r="848" spans="9:14" ht="13.2">
      <c r="I848" s="686"/>
      <c r="N848" s="687"/>
    </row>
    <row r="849" spans="9:14" ht="13.2">
      <c r="I849" s="686"/>
      <c r="N849" s="687"/>
    </row>
    <row r="850" spans="9:14" ht="13.2">
      <c r="I850" s="686"/>
      <c r="N850" s="687"/>
    </row>
    <row r="851" spans="9:14" ht="13.2">
      <c r="I851" s="686"/>
      <c r="N851" s="687"/>
    </row>
    <row r="852" spans="9:14" ht="13.2">
      <c r="I852" s="686"/>
      <c r="N852" s="687"/>
    </row>
    <row r="853" spans="9:14" ht="13.2">
      <c r="I853" s="686"/>
      <c r="N853" s="687"/>
    </row>
    <row r="854" spans="9:14" ht="13.2">
      <c r="I854" s="686"/>
      <c r="N854" s="687"/>
    </row>
    <row r="855" spans="9:14" ht="13.2">
      <c r="I855" s="686"/>
      <c r="N855" s="687"/>
    </row>
    <row r="856" spans="9:14" ht="13.2">
      <c r="I856" s="686"/>
      <c r="N856" s="687"/>
    </row>
    <row r="857" spans="9:14" ht="13.2">
      <c r="I857" s="686"/>
      <c r="N857" s="687"/>
    </row>
    <row r="858" spans="9:14" ht="13.2">
      <c r="I858" s="686"/>
      <c r="N858" s="687"/>
    </row>
    <row r="859" spans="9:14" ht="13.2">
      <c r="I859" s="686"/>
      <c r="N859" s="687"/>
    </row>
    <row r="860" spans="9:14" ht="13.2">
      <c r="I860" s="686"/>
      <c r="N860" s="687"/>
    </row>
    <row r="861" spans="9:14" ht="13.2">
      <c r="I861" s="686"/>
      <c r="N861" s="687"/>
    </row>
    <row r="862" spans="9:14" ht="13.2">
      <c r="I862" s="686"/>
      <c r="N862" s="687"/>
    </row>
    <row r="863" spans="9:14" ht="13.2">
      <c r="I863" s="686"/>
      <c r="N863" s="687"/>
    </row>
    <row r="864" spans="9:14" ht="13.2">
      <c r="I864" s="686"/>
      <c r="N864" s="687"/>
    </row>
    <row r="865" spans="9:14" ht="13.2">
      <c r="I865" s="686"/>
      <c r="N865" s="687"/>
    </row>
    <row r="866" spans="9:14" ht="13.2">
      <c r="I866" s="686"/>
      <c r="N866" s="687"/>
    </row>
    <row r="867" spans="9:14" ht="13.2">
      <c r="I867" s="686"/>
      <c r="N867" s="687"/>
    </row>
    <row r="868" spans="9:14" ht="13.2">
      <c r="I868" s="686"/>
      <c r="N868" s="687"/>
    </row>
    <row r="869" spans="9:14" ht="13.2">
      <c r="I869" s="686"/>
      <c r="N869" s="687"/>
    </row>
    <row r="870" spans="9:14" ht="13.2">
      <c r="I870" s="686"/>
      <c r="N870" s="687"/>
    </row>
    <row r="871" spans="9:14" ht="13.2">
      <c r="I871" s="686"/>
      <c r="N871" s="687"/>
    </row>
    <row r="872" spans="9:14" ht="13.2">
      <c r="I872" s="686"/>
      <c r="N872" s="687"/>
    </row>
    <row r="873" spans="9:14" ht="13.2">
      <c r="I873" s="686"/>
      <c r="N873" s="687"/>
    </row>
    <row r="874" spans="9:14" ht="13.2">
      <c r="I874" s="686"/>
      <c r="N874" s="687"/>
    </row>
    <row r="875" spans="9:14" ht="13.2">
      <c r="I875" s="686"/>
      <c r="N875" s="687"/>
    </row>
    <row r="876" spans="9:14" ht="13.2">
      <c r="I876" s="686"/>
      <c r="N876" s="687"/>
    </row>
    <row r="877" spans="9:14" ht="13.2">
      <c r="I877" s="686"/>
      <c r="N877" s="687"/>
    </row>
    <row r="878" spans="9:14" ht="13.2">
      <c r="I878" s="686"/>
      <c r="N878" s="687"/>
    </row>
    <row r="879" spans="9:14" ht="13.2">
      <c r="I879" s="686"/>
      <c r="N879" s="687"/>
    </row>
    <row r="880" spans="9:14" ht="13.2">
      <c r="I880" s="686"/>
      <c r="N880" s="687"/>
    </row>
    <row r="881" spans="9:14" ht="13.2">
      <c r="I881" s="686"/>
      <c r="N881" s="687"/>
    </row>
    <row r="882" spans="9:14" ht="13.2">
      <c r="I882" s="686"/>
      <c r="N882" s="687"/>
    </row>
    <row r="883" spans="9:14" ht="13.2">
      <c r="I883" s="686"/>
      <c r="N883" s="687"/>
    </row>
    <row r="884" spans="9:14" ht="13.2">
      <c r="I884" s="686"/>
      <c r="N884" s="687"/>
    </row>
    <row r="885" spans="9:14" ht="13.2">
      <c r="I885" s="686"/>
      <c r="N885" s="687"/>
    </row>
    <row r="886" spans="9:14" ht="13.2">
      <c r="I886" s="686"/>
      <c r="N886" s="687"/>
    </row>
    <row r="887" spans="9:14" ht="13.2">
      <c r="I887" s="686"/>
      <c r="N887" s="687"/>
    </row>
    <row r="888" spans="9:14" ht="13.2">
      <c r="I888" s="686"/>
      <c r="N888" s="687"/>
    </row>
    <row r="889" spans="9:14" ht="13.2">
      <c r="I889" s="686"/>
      <c r="N889" s="687"/>
    </row>
    <row r="890" spans="9:14" ht="13.2">
      <c r="I890" s="686"/>
      <c r="N890" s="687"/>
    </row>
    <row r="891" spans="9:14" ht="13.2">
      <c r="I891" s="686"/>
      <c r="N891" s="687"/>
    </row>
    <row r="892" spans="9:14" ht="13.2">
      <c r="I892" s="686"/>
      <c r="N892" s="687"/>
    </row>
    <row r="893" spans="9:14" ht="13.2">
      <c r="I893" s="686"/>
      <c r="N893" s="687"/>
    </row>
    <row r="894" spans="9:14" ht="13.2">
      <c r="I894" s="686"/>
      <c r="N894" s="687"/>
    </row>
    <row r="895" spans="9:14" ht="13.2">
      <c r="I895" s="686"/>
      <c r="N895" s="687"/>
    </row>
    <row r="896" spans="9:14" ht="13.2">
      <c r="I896" s="686"/>
      <c r="N896" s="687"/>
    </row>
    <row r="897" spans="9:14" ht="13.2">
      <c r="I897" s="686"/>
      <c r="N897" s="687"/>
    </row>
    <row r="898" spans="9:14" ht="13.2">
      <c r="I898" s="686"/>
      <c r="N898" s="687"/>
    </row>
    <row r="899" spans="9:14" ht="13.2">
      <c r="I899" s="686"/>
      <c r="N899" s="687"/>
    </row>
    <row r="900" spans="9:14" ht="13.2">
      <c r="I900" s="686"/>
      <c r="N900" s="687"/>
    </row>
    <row r="901" spans="9:14" ht="13.2">
      <c r="I901" s="686"/>
      <c r="N901" s="687"/>
    </row>
    <row r="902" spans="9:14" ht="13.2">
      <c r="I902" s="686"/>
      <c r="N902" s="687"/>
    </row>
    <row r="903" spans="9:14" ht="13.2">
      <c r="I903" s="686"/>
      <c r="N903" s="687"/>
    </row>
    <row r="904" spans="9:14" ht="13.2">
      <c r="I904" s="686"/>
      <c r="N904" s="687"/>
    </row>
    <row r="905" spans="9:14" ht="13.2">
      <c r="I905" s="686"/>
      <c r="N905" s="687"/>
    </row>
    <row r="906" spans="9:14" ht="13.2">
      <c r="I906" s="686"/>
      <c r="N906" s="687"/>
    </row>
    <row r="907" spans="9:14" ht="13.2">
      <c r="I907" s="686"/>
      <c r="N907" s="687"/>
    </row>
    <row r="908" spans="9:14" ht="13.2">
      <c r="I908" s="686"/>
      <c r="N908" s="687"/>
    </row>
    <row r="909" spans="9:14" ht="13.2">
      <c r="I909" s="686"/>
      <c r="N909" s="687"/>
    </row>
    <row r="910" spans="9:14" ht="13.2">
      <c r="I910" s="686"/>
      <c r="N910" s="687"/>
    </row>
    <row r="911" spans="9:14" ht="13.2">
      <c r="I911" s="686"/>
      <c r="N911" s="687"/>
    </row>
    <row r="912" spans="9:14" ht="13.2">
      <c r="I912" s="686"/>
      <c r="N912" s="687"/>
    </row>
    <row r="913" spans="9:14" ht="13.2">
      <c r="I913" s="686"/>
      <c r="N913" s="687"/>
    </row>
    <row r="914" spans="9:14" ht="13.2">
      <c r="I914" s="686"/>
      <c r="N914" s="687"/>
    </row>
    <row r="915" spans="9:14" ht="13.2">
      <c r="I915" s="686"/>
      <c r="N915" s="687"/>
    </row>
    <row r="916" spans="9:14" ht="13.2">
      <c r="I916" s="686"/>
      <c r="N916" s="687"/>
    </row>
    <row r="917" spans="9:14" ht="13.2">
      <c r="I917" s="686"/>
      <c r="N917" s="687"/>
    </row>
    <row r="918" spans="9:14" ht="13.2">
      <c r="I918" s="686"/>
      <c r="N918" s="687"/>
    </row>
    <row r="919" spans="9:14" ht="13.2">
      <c r="I919" s="686"/>
      <c r="N919" s="687"/>
    </row>
    <row r="920" spans="9:14" ht="13.2">
      <c r="I920" s="686"/>
      <c r="N920" s="687"/>
    </row>
    <row r="921" spans="9:14" ht="13.2">
      <c r="I921" s="686"/>
      <c r="N921" s="687"/>
    </row>
    <row r="922" spans="9:14" ht="13.2">
      <c r="I922" s="686"/>
      <c r="N922" s="687"/>
    </row>
    <row r="923" spans="9:14" ht="13.2">
      <c r="I923" s="686"/>
      <c r="N923" s="687"/>
    </row>
    <row r="924" spans="9:14" ht="13.2">
      <c r="I924" s="686"/>
      <c r="N924" s="687"/>
    </row>
    <row r="925" spans="9:14" ht="13.2">
      <c r="I925" s="686"/>
      <c r="N925" s="687"/>
    </row>
    <row r="926" spans="9:14" ht="13.2">
      <c r="I926" s="686"/>
      <c r="N926" s="687"/>
    </row>
    <row r="927" spans="9:14" ht="13.2">
      <c r="I927" s="686"/>
      <c r="N927" s="687"/>
    </row>
    <row r="928" spans="9:14" ht="13.2">
      <c r="I928" s="686"/>
      <c r="N928" s="687"/>
    </row>
    <row r="929" spans="9:14" ht="13.2">
      <c r="I929" s="686"/>
      <c r="N929" s="687"/>
    </row>
    <row r="930" spans="9:14" ht="13.2">
      <c r="I930" s="686"/>
      <c r="N930" s="687"/>
    </row>
    <row r="931" spans="9:14" ht="13.2">
      <c r="I931" s="686"/>
      <c r="N931" s="687"/>
    </row>
    <row r="932" spans="9:14" ht="13.2">
      <c r="I932" s="686"/>
      <c r="N932" s="687"/>
    </row>
    <row r="933" spans="9:14" ht="13.2">
      <c r="I933" s="686"/>
      <c r="N933" s="687"/>
    </row>
    <row r="934" spans="9:14" ht="13.2">
      <c r="I934" s="686"/>
      <c r="N934" s="687"/>
    </row>
    <row r="935" spans="9:14" ht="13.2">
      <c r="I935" s="686"/>
      <c r="N935" s="687"/>
    </row>
    <row r="936" spans="9:14" ht="13.2">
      <c r="I936" s="686"/>
      <c r="N936" s="687"/>
    </row>
    <row r="937" spans="9:14" ht="13.2">
      <c r="I937" s="686"/>
      <c r="N937" s="687"/>
    </row>
    <row r="938" spans="9:14" ht="13.2">
      <c r="I938" s="686"/>
      <c r="N938" s="687"/>
    </row>
    <row r="939" spans="9:14" ht="13.2">
      <c r="I939" s="686"/>
      <c r="N939" s="687"/>
    </row>
    <row r="940" spans="9:14" ht="13.2">
      <c r="I940" s="686"/>
      <c r="N940" s="687"/>
    </row>
    <row r="941" spans="9:14" ht="13.2">
      <c r="I941" s="686"/>
      <c r="N941" s="687"/>
    </row>
    <row r="942" spans="9:14" ht="13.2">
      <c r="I942" s="686"/>
      <c r="N942" s="687"/>
    </row>
    <row r="943" spans="9:14" ht="13.2">
      <c r="I943" s="686"/>
      <c r="N943" s="687"/>
    </row>
    <row r="944" spans="9:14" ht="13.2">
      <c r="I944" s="686"/>
      <c r="N944" s="687"/>
    </row>
    <row r="945" spans="9:14" ht="13.2">
      <c r="I945" s="686"/>
      <c r="N945" s="687"/>
    </row>
    <row r="946" spans="9:14" ht="13.2">
      <c r="I946" s="686"/>
      <c r="N946" s="687"/>
    </row>
    <row r="947" spans="9:14" ht="13.2">
      <c r="I947" s="686"/>
      <c r="N947" s="687"/>
    </row>
    <row r="948" spans="9:14" ht="13.2">
      <c r="I948" s="686"/>
      <c r="N948" s="687"/>
    </row>
    <row r="949" spans="9:14" ht="13.2">
      <c r="I949" s="686"/>
      <c r="N949" s="687"/>
    </row>
    <row r="950" spans="9:14" ht="13.2">
      <c r="I950" s="686"/>
      <c r="N950" s="687"/>
    </row>
    <row r="951" spans="9:14" ht="13.2">
      <c r="I951" s="686"/>
      <c r="N951" s="687"/>
    </row>
    <row r="952" spans="9:14" ht="13.2">
      <c r="I952" s="686"/>
      <c r="N952" s="687"/>
    </row>
    <row r="953" spans="9:14" ht="13.2">
      <c r="I953" s="686"/>
      <c r="N953" s="687"/>
    </row>
    <row r="954" spans="9:14" ht="13.2">
      <c r="I954" s="686"/>
      <c r="N954" s="687"/>
    </row>
    <row r="955" spans="9:14" ht="13.2">
      <c r="I955" s="686"/>
      <c r="N955" s="687"/>
    </row>
    <row r="956" spans="9:14" ht="13.2">
      <c r="I956" s="686"/>
      <c r="N956" s="687"/>
    </row>
    <row r="957" spans="9:14" ht="13.2">
      <c r="I957" s="686"/>
      <c r="N957" s="687"/>
    </row>
    <row r="958" spans="9:14" ht="13.2">
      <c r="I958" s="686"/>
      <c r="N958" s="687"/>
    </row>
    <row r="959" spans="9:14" ht="13.2">
      <c r="I959" s="686"/>
      <c r="N959" s="687"/>
    </row>
    <row r="960" spans="9:14" ht="13.2">
      <c r="I960" s="686"/>
      <c r="N960" s="687"/>
    </row>
    <row r="961" spans="9:14" ht="13.2">
      <c r="I961" s="686"/>
      <c r="N961" s="687"/>
    </row>
    <row r="962" spans="9:14" ht="13.2">
      <c r="I962" s="686"/>
      <c r="N962" s="687"/>
    </row>
    <row r="963" spans="9:14" ht="13.2">
      <c r="I963" s="686"/>
      <c r="N963" s="687"/>
    </row>
    <row r="964" spans="9:14" ht="13.2">
      <c r="I964" s="686"/>
      <c r="N964" s="687"/>
    </row>
    <row r="965" spans="9:14" ht="13.2">
      <c r="I965" s="686"/>
      <c r="N965" s="687"/>
    </row>
    <row r="966" spans="9:14" ht="13.2">
      <c r="I966" s="686"/>
      <c r="N966" s="687"/>
    </row>
    <row r="967" spans="9:14" ht="13.2">
      <c r="I967" s="686"/>
      <c r="N967" s="687"/>
    </row>
    <row r="968" spans="9:14" ht="13.2">
      <c r="I968" s="686"/>
      <c r="N968" s="687"/>
    </row>
    <row r="969" spans="9:14" ht="13.2">
      <c r="I969" s="686"/>
      <c r="N969" s="687"/>
    </row>
    <row r="970" spans="9:14" ht="13.2">
      <c r="I970" s="686"/>
      <c r="N970" s="687"/>
    </row>
    <row r="971" spans="9:14" ht="13.2">
      <c r="I971" s="686"/>
      <c r="N971" s="687"/>
    </row>
    <row r="972" spans="9:14" ht="13.2">
      <c r="I972" s="686"/>
      <c r="N972" s="687"/>
    </row>
    <row r="973" spans="9:14" ht="13.2">
      <c r="I973" s="686"/>
      <c r="N973" s="687"/>
    </row>
    <row r="974" spans="9:14" ht="13.2">
      <c r="I974" s="686"/>
      <c r="N974" s="687"/>
    </row>
    <row r="975" spans="9:14" ht="13.2">
      <c r="I975" s="686"/>
      <c r="N975" s="687"/>
    </row>
    <row r="976" spans="9:14" ht="13.2">
      <c r="I976" s="686"/>
      <c r="N976" s="687"/>
    </row>
    <row r="977" spans="9:14" ht="13.2">
      <c r="I977" s="686"/>
      <c r="N977" s="687"/>
    </row>
    <row r="978" spans="9:14" ht="13.2">
      <c r="I978" s="686"/>
      <c r="N978" s="687"/>
    </row>
    <row r="979" spans="9:14" ht="13.2">
      <c r="I979" s="686"/>
      <c r="N979" s="687"/>
    </row>
    <row r="980" spans="9:14" ht="13.2">
      <c r="I980" s="686"/>
      <c r="N980" s="687"/>
    </row>
    <row r="981" spans="9:14" ht="13.2">
      <c r="I981" s="686"/>
      <c r="N981" s="687"/>
    </row>
    <row r="982" spans="9:14" ht="13.2">
      <c r="I982" s="686"/>
      <c r="N982" s="687"/>
    </row>
    <row r="983" spans="9:14" ht="13.2">
      <c r="I983" s="686"/>
      <c r="N983" s="687"/>
    </row>
    <row r="984" spans="9:14" ht="13.2">
      <c r="I984" s="686"/>
      <c r="N984" s="687"/>
    </row>
    <row r="985" spans="9:14" ht="13.2">
      <c r="I985" s="686"/>
      <c r="N985" s="687"/>
    </row>
    <row r="986" spans="9:14" ht="13.2">
      <c r="I986" s="686"/>
      <c r="N986" s="687"/>
    </row>
    <row r="987" spans="9:14" ht="13.2">
      <c r="I987" s="686"/>
      <c r="N987" s="687"/>
    </row>
    <row r="988" spans="9:14" ht="13.2">
      <c r="I988" s="686"/>
      <c r="N988" s="687"/>
    </row>
    <row r="989" spans="9:14" ht="13.2">
      <c r="I989" s="686"/>
      <c r="N989" s="687"/>
    </row>
    <row r="990" spans="9:14" ht="13.2">
      <c r="I990" s="686"/>
      <c r="N990" s="687"/>
    </row>
    <row r="991" spans="9:14" ht="13.2">
      <c r="I991" s="686"/>
      <c r="N991" s="687"/>
    </row>
    <row r="992" spans="9:14" ht="13.2">
      <c r="I992" s="686"/>
      <c r="N992" s="687"/>
    </row>
    <row r="993" spans="9:14" ht="13.2">
      <c r="I993" s="686"/>
      <c r="N993" s="687"/>
    </row>
    <row r="994" spans="9:14" ht="13.2">
      <c r="I994" s="686"/>
      <c r="N994" s="687"/>
    </row>
    <row r="995" spans="9:14" ht="13.2">
      <c r="I995" s="686"/>
      <c r="N995" s="687"/>
    </row>
    <row r="996" spans="9:14" ht="13.2">
      <c r="I996" s="686"/>
      <c r="N996" s="687"/>
    </row>
    <row r="997" spans="9:14" ht="13.2">
      <c r="I997" s="686"/>
      <c r="N997" s="687"/>
    </row>
    <row r="998" spans="9:14" ht="13.2">
      <c r="I998" s="686"/>
      <c r="N998" s="687"/>
    </row>
    <row r="999" spans="9:14" ht="13.2">
      <c r="I999" s="686"/>
      <c r="N999" s="687"/>
    </row>
    <row r="1000" spans="9:14" ht="13.2">
      <c r="I1000" s="686"/>
      <c r="N1000" s="687"/>
    </row>
    <row r="1001" spans="9:14" ht="13.2">
      <c r="I1001" s="686"/>
      <c r="N1001" s="687"/>
    </row>
    <row r="1002" spans="9:14" ht="13.2">
      <c r="I1002" s="686"/>
      <c r="N1002" s="687"/>
    </row>
  </sheetData>
  <autoFilter ref="A4:H107">
    <sortState ref="A4:H107">
      <sortCondition descending="1" ref="A4:A107"/>
      <sortCondition descending="1" ref="H4:H107"/>
    </sortState>
  </autoFilter>
  <mergeCells count="5">
    <mergeCell ref="J5:L19"/>
    <mergeCell ref="J24:L38"/>
    <mergeCell ref="J41:L55"/>
    <mergeCell ref="J61:L75"/>
    <mergeCell ref="J82:L9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7BB8A"/>
    <outlinePr summaryBelow="0" summaryRight="0"/>
  </sheetPr>
  <dimension ref="A1:AX96"/>
  <sheetViews>
    <sheetView workbookViewId="0">
      <pane xSplit="1" topLeftCell="B1" activePane="topRight" state="frozen"/>
      <selection pane="topRight" activeCell="C2" sqref="C2"/>
    </sheetView>
  </sheetViews>
  <sheetFormatPr defaultColWidth="12.6640625" defaultRowHeight="15.75" customHeight="1"/>
  <cols>
    <col min="1" max="1" width="9.88671875" customWidth="1"/>
    <col min="6" max="6" width="13.44140625" customWidth="1"/>
    <col min="7" max="7" width="14.44140625" customWidth="1"/>
    <col min="16" max="16" width="15.6640625" customWidth="1"/>
  </cols>
  <sheetData>
    <row r="1" spans="1:50" ht="13.2">
      <c r="A1" s="689" t="s">
        <v>4</v>
      </c>
      <c r="B1" s="819" t="s">
        <v>317</v>
      </c>
      <c r="C1" s="819">
        <v>46126</v>
      </c>
      <c r="D1" s="819">
        <v>46127</v>
      </c>
      <c r="E1" s="819">
        <v>46128</v>
      </c>
      <c r="F1" s="819">
        <v>46129</v>
      </c>
      <c r="G1" s="819">
        <v>46130</v>
      </c>
      <c r="H1" s="819">
        <v>46131</v>
      </c>
      <c r="I1" s="819">
        <v>46132</v>
      </c>
      <c r="J1" s="819">
        <v>46133</v>
      </c>
      <c r="K1" s="819">
        <v>46134</v>
      </c>
      <c r="L1" s="819">
        <v>46135</v>
      </c>
      <c r="M1" s="819">
        <v>46136</v>
      </c>
      <c r="N1" s="819">
        <v>46137</v>
      </c>
      <c r="O1" s="819">
        <v>46138</v>
      </c>
      <c r="P1" s="819">
        <v>46139</v>
      </c>
      <c r="Q1" s="819">
        <v>46140</v>
      </c>
      <c r="R1" s="819">
        <v>46141</v>
      </c>
      <c r="S1" s="819">
        <v>46142</v>
      </c>
      <c r="T1" s="819">
        <v>46143</v>
      </c>
      <c r="U1" s="820">
        <v>46144</v>
      </c>
      <c r="V1" s="819">
        <v>46145</v>
      </c>
      <c r="W1" s="819">
        <v>46146</v>
      </c>
      <c r="X1" s="819">
        <v>46147</v>
      </c>
      <c r="Y1" s="819">
        <v>46148</v>
      </c>
      <c r="Z1" s="819">
        <v>46149</v>
      </c>
      <c r="AA1" s="819">
        <v>46150</v>
      </c>
      <c r="AB1" s="819">
        <v>46151</v>
      </c>
      <c r="AC1" s="819">
        <v>46152</v>
      </c>
      <c r="AD1" s="819">
        <v>46153</v>
      </c>
      <c r="AE1" s="819">
        <v>46154</v>
      </c>
      <c r="AF1" s="819">
        <v>46155</v>
      </c>
      <c r="AG1" s="819">
        <v>46156</v>
      </c>
      <c r="AH1" s="819">
        <v>46157</v>
      </c>
      <c r="AI1" s="819">
        <v>46158</v>
      </c>
      <c r="AJ1" s="819">
        <v>46159</v>
      </c>
      <c r="AK1" s="819">
        <v>46160</v>
      </c>
      <c r="AL1" s="819">
        <v>46161</v>
      </c>
      <c r="AM1" s="819">
        <v>46162</v>
      </c>
      <c r="AN1" s="819">
        <v>46163</v>
      </c>
      <c r="AO1" s="819">
        <v>46164</v>
      </c>
      <c r="AP1" s="819">
        <v>46165</v>
      </c>
      <c r="AQ1" s="819">
        <v>46166</v>
      </c>
      <c r="AR1" s="819">
        <v>46167</v>
      </c>
      <c r="AS1" s="819">
        <v>46168</v>
      </c>
      <c r="AT1" s="819">
        <v>46169</v>
      </c>
      <c r="AU1" s="819">
        <v>46170</v>
      </c>
      <c r="AV1" s="819">
        <v>46171</v>
      </c>
      <c r="AW1" s="819">
        <v>46172</v>
      </c>
      <c r="AX1" s="819">
        <v>46173</v>
      </c>
    </row>
    <row r="2" spans="1:50" ht="13.8">
      <c r="A2" s="821" t="s">
        <v>8</v>
      </c>
      <c r="B2" s="822">
        <v>8898</v>
      </c>
      <c r="C2" s="823">
        <v>81</v>
      </c>
      <c r="D2" s="823">
        <v>64</v>
      </c>
      <c r="E2" s="823">
        <v>153</v>
      </c>
      <c r="F2" s="823">
        <v>326</v>
      </c>
      <c r="G2" s="823">
        <v>155</v>
      </c>
      <c r="H2" s="823">
        <f>B31-B30</f>
        <v>310</v>
      </c>
      <c r="I2" s="823">
        <f>B32-B31</f>
        <v>181</v>
      </c>
      <c r="J2" s="823">
        <v>41</v>
      </c>
      <c r="K2" s="823">
        <v>371</v>
      </c>
      <c r="L2" s="823">
        <v>0</v>
      </c>
      <c r="M2" s="823">
        <v>91</v>
      </c>
      <c r="N2" s="823">
        <v>320</v>
      </c>
      <c r="O2" s="823">
        <v>259</v>
      </c>
      <c r="P2" s="823">
        <v>17</v>
      </c>
      <c r="Q2" s="823">
        <f>B40-B39</f>
        <v>125</v>
      </c>
      <c r="R2" s="823">
        <v>0</v>
      </c>
      <c r="S2" s="823">
        <v>149</v>
      </c>
      <c r="T2" s="823">
        <v>139</v>
      </c>
      <c r="U2" s="824">
        <v>0</v>
      </c>
      <c r="V2" s="823">
        <v>352</v>
      </c>
      <c r="W2" s="823">
        <v>105</v>
      </c>
      <c r="X2" s="823">
        <v>58</v>
      </c>
      <c r="Y2" s="823">
        <v>52</v>
      </c>
      <c r="Z2" s="823">
        <v>239</v>
      </c>
      <c r="AA2" s="823">
        <v>29</v>
      </c>
      <c r="AB2" s="823">
        <v>318</v>
      </c>
      <c r="AC2" s="823">
        <v>31</v>
      </c>
      <c r="AD2" s="823">
        <v>77</v>
      </c>
      <c r="AE2" s="823">
        <v>190</v>
      </c>
      <c r="AF2" s="823">
        <v>100</v>
      </c>
      <c r="AG2" s="823">
        <v>89</v>
      </c>
      <c r="AH2" s="823">
        <v>237</v>
      </c>
      <c r="AI2" s="823">
        <v>299</v>
      </c>
      <c r="AJ2" s="823">
        <v>140</v>
      </c>
      <c r="AK2" s="823">
        <v>0</v>
      </c>
      <c r="AL2" s="823">
        <v>212</v>
      </c>
      <c r="AM2" s="823">
        <v>12</v>
      </c>
      <c r="AN2" s="823">
        <v>317</v>
      </c>
      <c r="AO2" s="823">
        <v>0</v>
      </c>
      <c r="AP2" s="823">
        <v>196</v>
      </c>
      <c r="AQ2" s="823">
        <v>193</v>
      </c>
      <c r="AR2" s="823">
        <v>0</v>
      </c>
      <c r="AS2" s="823">
        <v>89</v>
      </c>
      <c r="AT2" s="823">
        <v>198</v>
      </c>
      <c r="AU2" s="823">
        <v>0</v>
      </c>
      <c r="AV2" s="823">
        <v>370</v>
      </c>
      <c r="AW2" s="823">
        <v>0</v>
      </c>
      <c r="AX2" s="823">
        <v>104</v>
      </c>
    </row>
    <row r="3" spans="1:50" ht="13.8">
      <c r="A3" s="825" t="s">
        <v>10</v>
      </c>
      <c r="B3" s="826">
        <v>6111</v>
      </c>
      <c r="C3" s="824">
        <v>182</v>
      </c>
      <c r="D3" s="824">
        <v>204</v>
      </c>
      <c r="E3" s="824">
        <v>42</v>
      </c>
      <c r="F3" s="824">
        <v>81</v>
      </c>
      <c r="G3" s="824">
        <v>264</v>
      </c>
      <c r="H3" s="824">
        <f>C31-C30</f>
        <v>274</v>
      </c>
      <c r="I3" s="824">
        <f>C32-C31</f>
        <v>99</v>
      </c>
      <c r="J3" s="824">
        <v>0</v>
      </c>
      <c r="K3" s="824">
        <v>12</v>
      </c>
      <c r="L3" s="824">
        <v>52</v>
      </c>
      <c r="M3" s="824">
        <v>79</v>
      </c>
      <c r="N3" s="824">
        <v>69</v>
      </c>
      <c r="O3" s="824">
        <v>106</v>
      </c>
      <c r="P3" s="824">
        <v>253</v>
      </c>
      <c r="Q3" s="823">
        <f>C40-C39</f>
        <v>46</v>
      </c>
      <c r="R3" s="824">
        <v>99</v>
      </c>
      <c r="S3" s="824">
        <v>132</v>
      </c>
      <c r="T3" s="824">
        <v>0</v>
      </c>
      <c r="U3" s="824">
        <v>61</v>
      </c>
      <c r="V3" s="824">
        <v>153</v>
      </c>
      <c r="W3" s="824">
        <v>148</v>
      </c>
      <c r="X3" s="824">
        <v>0</v>
      </c>
      <c r="Y3" s="824">
        <v>5</v>
      </c>
      <c r="Z3" s="824">
        <v>44</v>
      </c>
      <c r="AA3" s="823">
        <v>85</v>
      </c>
      <c r="AB3" s="824">
        <v>4</v>
      </c>
      <c r="AC3" s="824">
        <v>226</v>
      </c>
      <c r="AD3" s="824">
        <v>107</v>
      </c>
      <c r="AE3" s="824">
        <v>0</v>
      </c>
      <c r="AF3" s="824">
        <v>172</v>
      </c>
      <c r="AG3" s="824">
        <v>71</v>
      </c>
      <c r="AH3" s="824">
        <v>0</v>
      </c>
      <c r="AI3" s="824">
        <v>86</v>
      </c>
      <c r="AJ3" s="824">
        <v>256</v>
      </c>
      <c r="AK3" s="824">
        <v>0</v>
      </c>
      <c r="AL3" s="824">
        <v>15</v>
      </c>
      <c r="AM3" s="824">
        <v>177</v>
      </c>
      <c r="AN3" s="824">
        <v>0</v>
      </c>
      <c r="AO3" s="824">
        <v>6</v>
      </c>
      <c r="AP3" s="824">
        <v>70</v>
      </c>
      <c r="AQ3" s="824">
        <v>357</v>
      </c>
      <c r="AR3" s="824">
        <v>0</v>
      </c>
      <c r="AS3" s="824">
        <v>142</v>
      </c>
      <c r="AT3" s="824">
        <v>0</v>
      </c>
      <c r="AU3" s="824">
        <v>0</v>
      </c>
      <c r="AV3" s="824">
        <v>0</v>
      </c>
      <c r="AW3" s="824">
        <v>0</v>
      </c>
      <c r="AX3" s="824">
        <v>134</v>
      </c>
    </row>
    <row r="4" spans="1:50" ht="13.8">
      <c r="A4" s="827" t="s">
        <v>12</v>
      </c>
      <c r="B4" s="826">
        <v>8180</v>
      </c>
      <c r="C4" s="824">
        <v>29</v>
      </c>
      <c r="D4" s="824">
        <v>129</v>
      </c>
      <c r="E4" s="824">
        <v>108</v>
      </c>
      <c r="F4" s="824">
        <v>159</v>
      </c>
      <c r="G4" s="824">
        <v>331</v>
      </c>
      <c r="H4" s="824">
        <f>D31-D30</f>
        <v>282</v>
      </c>
      <c r="I4" s="824">
        <f>D32-D31</f>
        <v>13</v>
      </c>
      <c r="J4" s="824">
        <v>137</v>
      </c>
      <c r="K4" s="824">
        <v>54</v>
      </c>
      <c r="L4" s="824">
        <v>35</v>
      </c>
      <c r="M4" s="824">
        <v>113</v>
      </c>
      <c r="N4" s="824">
        <v>296</v>
      </c>
      <c r="O4" s="824">
        <v>310</v>
      </c>
      <c r="P4" s="824">
        <v>54</v>
      </c>
      <c r="Q4" s="823">
        <f>D40-D39</f>
        <v>128</v>
      </c>
      <c r="R4" s="824">
        <v>114</v>
      </c>
      <c r="S4" s="824">
        <v>143</v>
      </c>
      <c r="T4" s="824">
        <v>164</v>
      </c>
      <c r="U4" s="824">
        <v>98</v>
      </c>
      <c r="V4" s="824">
        <v>343</v>
      </c>
      <c r="W4" s="824">
        <v>26</v>
      </c>
      <c r="X4" s="824">
        <v>94</v>
      </c>
      <c r="Y4" s="824">
        <v>94</v>
      </c>
      <c r="Z4" s="824">
        <v>253</v>
      </c>
      <c r="AA4" s="823">
        <v>184</v>
      </c>
      <c r="AB4" s="824">
        <v>171</v>
      </c>
      <c r="AC4" s="824">
        <v>215</v>
      </c>
      <c r="AD4" s="824">
        <v>181</v>
      </c>
      <c r="AE4" s="824">
        <v>34</v>
      </c>
      <c r="AF4" s="824">
        <v>69</v>
      </c>
      <c r="AG4" s="824">
        <v>22</v>
      </c>
      <c r="AH4" s="824">
        <v>23</v>
      </c>
      <c r="AI4" s="824">
        <v>126</v>
      </c>
      <c r="AJ4" s="824">
        <v>219</v>
      </c>
      <c r="AK4" s="824">
        <v>30</v>
      </c>
      <c r="AL4" s="824">
        <v>140</v>
      </c>
      <c r="AM4" s="824">
        <v>93</v>
      </c>
      <c r="AN4" s="824">
        <v>126</v>
      </c>
      <c r="AO4" s="824">
        <v>224</v>
      </c>
      <c r="AP4" s="824">
        <v>36</v>
      </c>
      <c r="AQ4" s="824">
        <v>298</v>
      </c>
      <c r="AR4" s="824">
        <v>0</v>
      </c>
      <c r="AS4" s="824">
        <v>292</v>
      </c>
      <c r="AT4" s="824">
        <v>62</v>
      </c>
      <c r="AU4" s="824">
        <v>0</v>
      </c>
      <c r="AV4" s="824">
        <v>4</v>
      </c>
      <c r="AW4" s="824">
        <v>0</v>
      </c>
      <c r="AX4" s="824">
        <v>161</v>
      </c>
    </row>
    <row r="5" spans="1:50" ht="13.8">
      <c r="A5" s="828" t="s">
        <v>14</v>
      </c>
      <c r="B5" s="826">
        <v>8125</v>
      </c>
      <c r="C5" s="824">
        <v>104</v>
      </c>
      <c r="D5" s="824">
        <v>21</v>
      </c>
      <c r="E5" s="824">
        <v>132</v>
      </c>
      <c r="F5" s="824">
        <v>33</v>
      </c>
      <c r="G5" s="824">
        <v>150</v>
      </c>
      <c r="H5" s="824">
        <f>E31-E30</f>
        <v>164</v>
      </c>
      <c r="I5" s="824">
        <f>E32-E31</f>
        <v>205</v>
      </c>
      <c r="J5" s="824">
        <v>246</v>
      </c>
      <c r="K5" s="824">
        <v>134</v>
      </c>
      <c r="L5" s="824">
        <v>260</v>
      </c>
      <c r="M5" s="824">
        <v>151</v>
      </c>
      <c r="N5" s="824">
        <v>368</v>
      </c>
      <c r="O5" s="824">
        <v>358</v>
      </c>
      <c r="P5" s="824">
        <v>2</v>
      </c>
      <c r="Q5" s="823">
        <f>E40-E39</f>
        <v>155</v>
      </c>
      <c r="R5" s="824">
        <v>100</v>
      </c>
      <c r="S5" s="824">
        <v>120</v>
      </c>
      <c r="T5" s="824">
        <v>9</v>
      </c>
      <c r="U5" s="824">
        <v>30</v>
      </c>
      <c r="V5" s="824">
        <v>172</v>
      </c>
      <c r="W5" s="824">
        <v>48</v>
      </c>
      <c r="X5" s="824">
        <v>122</v>
      </c>
      <c r="Y5" s="824">
        <v>192</v>
      </c>
      <c r="Z5" s="824">
        <v>38</v>
      </c>
      <c r="AA5" s="823">
        <v>0</v>
      </c>
      <c r="AB5" s="824">
        <v>140</v>
      </c>
      <c r="AC5" s="824">
        <v>242</v>
      </c>
      <c r="AD5" s="824">
        <v>12</v>
      </c>
      <c r="AE5" s="824">
        <v>146</v>
      </c>
      <c r="AF5" s="824">
        <v>0</v>
      </c>
      <c r="AG5" s="824">
        <v>155</v>
      </c>
      <c r="AH5" s="824">
        <v>80</v>
      </c>
      <c r="AI5" s="824">
        <v>83</v>
      </c>
      <c r="AJ5" s="824">
        <v>137</v>
      </c>
      <c r="AK5" s="824">
        <v>330</v>
      </c>
      <c r="AL5" s="824">
        <v>176</v>
      </c>
      <c r="AM5" s="824">
        <v>24</v>
      </c>
      <c r="AN5" s="824">
        <v>199</v>
      </c>
      <c r="AO5" s="824">
        <v>218</v>
      </c>
      <c r="AP5" s="824">
        <v>64</v>
      </c>
      <c r="AQ5" s="824">
        <v>39</v>
      </c>
      <c r="AR5" s="824">
        <v>0</v>
      </c>
      <c r="AS5" s="824">
        <v>35</v>
      </c>
      <c r="AT5" s="824">
        <v>252</v>
      </c>
      <c r="AU5" s="824">
        <v>0</v>
      </c>
      <c r="AV5" s="824">
        <v>222</v>
      </c>
      <c r="AW5" s="824">
        <v>0</v>
      </c>
      <c r="AX5" s="824">
        <v>30</v>
      </c>
    </row>
    <row r="6" spans="1:50" ht="13.8">
      <c r="A6" s="829" t="s">
        <v>16</v>
      </c>
      <c r="B6" s="826">
        <v>7759</v>
      </c>
      <c r="C6" s="824">
        <v>208</v>
      </c>
      <c r="D6" s="824">
        <v>108</v>
      </c>
      <c r="E6" s="824">
        <v>97</v>
      </c>
      <c r="F6" s="824">
        <v>160</v>
      </c>
      <c r="G6" s="830">
        <v>202</v>
      </c>
      <c r="H6" s="830">
        <f>F31-F30</f>
        <v>144</v>
      </c>
      <c r="I6" s="830">
        <f>F32-F31</f>
        <v>37</v>
      </c>
      <c r="J6" s="830">
        <v>60</v>
      </c>
      <c r="K6" s="830">
        <v>46</v>
      </c>
      <c r="L6" s="830">
        <v>109</v>
      </c>
      <c r="M6" s="830">
        <v>246</v>
      </c>
      <c r="N6" s="830">
        <v>217</v>
      </c>
      <c r="O6" s="830">
        <v>244</v>
      </c>
      <c r="P6" s="830">
        <v>109</v>
      </c>
      <c r="Q6" s="823">
        <f>F40-F39</f>
        <v>110</v>
      </c>
      <c r="R6" s="830">
        <v>114</v>
      </c>
      <c r="S6" s="830">
        <v>199</v>
      </c>
      <c r="T6" s="830">
        <v>126</v>
      </c>
      <c r="U6" s="824">
        <v>85</v>
      </c>
      <c r="V6" s="830">
        <v>168</v>
      </c>
      <c r="W6" s="824">
        <v>50</v>
      </c>
      <c r="X6" s="830">
        <v>72</v>
      </c>
      <c r="Y6" s="824">
        <v>114</v>
      </c>
      <c r="Z6" s="824">
        <v>64</v>
      </c>
      <c r="AA6" s="823">
        <v>34</v>
      </c>
      <c r="AB6" s="824">
        <v>30</v>
      </c>
      <c r="AC6" s="824">
        <v>130</v>
      </c>
      <c r="AD6" s="824">
        <v>86</v>
      </c>
      <c r="AE6" s="824">
        <v>158</v>
      </c>
      <c r="AF6" s="824">
        <v>212</v>
      </c>
      <c r="AG6" s="824">
        <v>62</v>
      </c>
      <c r="AH6" s="824">
        <v>65</v>
      </c>
      <c r="AI6" s="824">
        <v>82</v>
      </c>
      <c r="AJ6" s="824">
        <v>272</v>
      </c>
      <c r="AK6" s="824">
        <v>171</v>
      </c>
      <c r="AL6" s="824">
        <v>0</v>
      </c>
      <c r="AM6" s="824">
        <v>24</v>
      </c>
      <c r="AN6" s="824">
        <v>140</v>
      </c>
      <c r="AO6" s="824">
        <v>145</v>
      </c>
      <c r="AP6" s="824">
        <v>156</v>
      </c>
      <c r="AQ6" s="824">
        <v>110</v>
      </c>
      <c r="AR6" s="824">
        <v>0</v>
      </c>
      <c r="AS6" s="824">
        <v>216</v>
      </c>
      <c r="AT6" s="824">
        <v>82</v>
      </c>
      <c r="AU6" s="824">
        <v>0</v>
      </c>
      <c r="AV6" s="824">
        <v>98</v>
      </c>
      <c r="AW6" s="824">
        <v>0</v>
      </c>
      <c r="AX6" s="824">
        <v>160</v>
      </c>
    </row>
    <row r="7" spans="1:50" ht="13.2">
      <c r="G7" s="831" t="s">
        <v>18</v>
      </c>
      <c r="H7" s="1137"/>
      <c r="I7" s="1019"/>
      <c r="J7" s="1019"/>
      <c r="K7" s="1019"/>
      <c r="L7" s="1019"/>
      <c r="M7" s="1019"/>
      <c r="N7" s="1019"/>
      <c r="O7" s="1019"/>
      <c r="P7" s="1019"/>
      <c r="Q7" s="1019"/>
      <c r="R7" s="1019"/>
      <c r="S7" s="1019"/>
      <c r="T7" s="1019"/>
      <c r="U7" s="1019"/>
      <c r="V7" s="1020"/>
      <c r="W7" s="1138"/>
      <c r="X7" s="1139"/>
      <c r="Y7" s="163"/>
      <c r="Z7" s="163"/>
      <c r="AA7" s="163"/>
      <c r="AB7" s="163"/>
      <c r="AC7" s="163"/>
      <c r="AD7" s="163"/>
      <c r="AE7" s="163"/>
      <c r="AF7" s="163"/>
      <c r="AG7" s="163"/>
      <c r="AH7" s="163"/>
      <c r="AI7" s="163"/>
      <c r="AJ7" s="163"/>
      <c r="AK7" s="163"/>
      <c r="AL7" s="163"/>
      <c r="AM7" s="163"/>
      <c r="AN7" s="163"/>
      <c r="AO7" s="163"/>
    </row>
    <row r="8" spans="1:50" ht="18" customHeight="1">
      <c r="A8" s="832" t="s">
        <v>318</v>
      </c>
      <c r="B8" s="833"/>
      <c r="C8" s="833"/>
      <c r="D8" s="833"/>
      <c r="E8" s="833"/>
      <c r="F8" s="834"/>
      <c r="G8" s="835">
        <v>65</v>
      </c>
      <c r="H8" s="1021"/>
      <c r="I8" s="1015"/>
      <c r="J8" s="1015"/>
      <c r="K8" s="1015"/>
      <c r="L8" s="1015"/>
      <c r="M8" s="1015"/>
      <c r="N8" s="1015"/>
      <c r="O8" s="1015"/>
      <c r="P8" s="1015"/>
      <c r="Q8" s="1015"/>
      <c r="R8" s="1015"/>
      <c r="S8" s="1015"/>
      <c r="T8" s="1015"/>
      <c r="U8" s="1015"/>
      <c r="V8" s="1022"/>
      <c r="W8" s="1048"/>
      <c r="X8" s="1048"/>
    </row>
    <row r="9" spans="1:50" ht="13.2">
      <c r="A9" s="836" t="s">
        <v>319</v>
      </c>
      <c r="B9" s="837" t="s">
        <v>8</v>
      </c>
      <c r="C9" s="838" t="s">
        <v>10</v>
      </c>
      <c r="D9" s="839" t="s">
        <v>12</v>
      </c>
      <c r="E9" s="840" t="s">
        <v>14</v>
      </c>
      <c r="F9" s="841" t="s">
        <v>16</v>
      </c>
      <c r="G9" s="1140"/>
      <c r="H9" s="1021"/>
      <c r="I9" s="1015"/>
      <c r="J9" s="1015"/>
      <c r="K9" s="1015"/>
      <c r="L9" s="1015"/>
      <c r="M9" s="1015"/>
      <c r="N9" s="1015"/>
      <c r="O9" s="1015"/>
      <c r="P9" s="1015"/>
      <c r="Q9" s="1015"/>
      <c r="R9" s="1015"/>
      <c r="S9" s="1015"/>
      <c r="T9" s="1015"/>
      <c r="U9" s="1015"/>
      <c r="V9" s="1022"/>
      <c r="W9" s="1048"/>
      <c r="X9" s="1048"/>
    </row>
    <row r="10" spans="1:50" ht="13.2">
      <c r="A10" s="842">
        <v>46108</v>
      </c>
      <c r="B10" s="843">
        <v>70</v>
      </c>
      <c r="C10" s="843">
        <v>60</v>
      </c>
      <c r="D10" s="843">
        <v>30</v>
      </c>
      <c r="E10" s="843">
        <v>100</v>
      </c>
      <c r="F10" s="843">
        <v>80</v>
      </c>
      <c r="G10" s="1021"/>
      <c r="H10" s="1021"/>
      <c r="I10" s="1015"/>
      <c r="J10" s="1015"/>
      <c r="K10" s="1015"/>
      <c r="L10" s="1015"/>
      <c r="M10" s="1015"/>
      <c r="N10" s="1015"/>
      <c r="O10" s="1015"/>
      <c r="P10" s="1015"/>
      <c r="Q10" s="1015"/>
      <c r="R10" s="1015"/>
      <c r="S10" s="1015"/>
      <c r="T10" s="1015"/>
      <c r="U10" s="1015"/>
      <c r="V10" s="1022"/>
      <c r="W10" s="1048"/>
      <c r="X10" s="1048"/>
    </row>
    <row r="11" spans="1:50" ht="13.2">
      <c r="A11" s="844">
        <v>46109</v>
      </c>
      <c r="B11" s="845">
        <v>100</v>
      </c>
      <c r="C11" s="845">
        <v>110</v>
      </c>
      <c r="D11" s="845">
        <v>70</v>
      </c>
      <c r="E11" s="845">
        <v>190</v>
      </c>
      <c r="F11" s="845">
        <v>180</v>
      </c>
      <c r="G11" s="1021"/>
      <c r="H11" s="1021"/>
      <c r="I11" s="1015"/>
      <c r="J11" s="1015"/>
      <c r="K11" s="1015"/>
      <c r="L11" s="1015"/>
      <c r="M11" s="1015"/>
      <c r="N11" s="1015"/>
      <c r="O11" s="1015"/>
      <c r="P11" s="1015"/>
      <c r="Q11" s="1015"/>
      <c r="R11" s="1015"/>
      <c r="S11" s="1015"/>
      <c r="T11" s="1015"/>
      <c r="U11" s="1015"/>
      <c r="V11" s="1022"/>
      <c r="W11" s="1048"/>
      <c r="X11" s="1048"/>
    </row>
    <row r="12" spans="1:50" ht="13.2">
      <c r="A12" s="844">
        <v>46110</v>
      </c>
      <c r="B12" s="845">
        <v>150</v>
      </c>
      <c r="C12" s="845">
        <v>290</v>
      </c>
      <c r="D12" s="845">
        <v>100</v>
      </c>
      <c r="E12" s="845">
        <v>300</v>
      </c>
      <c r="F12" s="845">
        <v>240</v>
      </c>
      <c r="G12" s="1021"/>
      <c r="H12" s="1021"/>
      <c r="I12" s="1015"/>
      <c r="J12" s="1015"/>
      <c r="K12" s="1015"/>
      <c r="L12" s="1015"/>
      <c r="M12" s="1015"/>
      <c r="N12" s="1015"/>
      <c r="O12" s="1015"/>
      <c r="P12" s="1015"/>
      <c r="Q12" s="1015"/>
      <c r="R12" s="1015"/>
      <c r="S12" s="1015"/>
      <c r="T12" s="1015"/>
      <c r="U12" s="1015"/>
      <c r="V12" s="1022"/>
      <c r="W12" s="1048"/>
      <c r="X12" s="1048"/>
    </row>
    <row r="13" spans="1:50" ht="13.2">
      <c r="A13" s="844">
        <v>46111</v>
      </c>
      <c r="B13" s="845">
        <v>229</v>
      </c>
      <c r="C13" s="845">
        <v>399</v>
      </c>
      <c r="D13" s="845">
        <v>166</v>
      </c>
      <c r="E13" s="845">
        <v>412</v>
      </c>
      <c r="F13" s="845">
        <v>337</v>
      </c>
      <c r="G13" s="1021"/>
      <c r="H13" s="1021"/>
      <c r="I13" s="1015"/>
      <c r="J13" s="1015"/>
      <c r="K13" s="1015"/>
      <c r="L13" s="1015"/>
      <c r="M13" s="1015"/>
      <c r="N13" s="1015"/>
      <c r="O13" s="1015"/>
      <c r="P13" s="1015"/>
      <c r="Q13" s="1015"/>
      <c r="R13" s="1015"/>
      <c r="S13" s="1015"/>
      <c r="T13" s="1015"/>
      <c r="U13" s="1015"/>
      <c r="V13" s="1022"/>
      <c r="W13" s="1048"/>
      <c r="X13" s="1048"/>
    </row>
    <row r="14" spans="1:50" ht="13.2">
      <c r="A14" s="844">
        <v>46113</v>
      </c>
      <c r="B14" s="845">
        <v>590</v>
      </c>
      <c r="C14" s="845">
        <v>448</v>
      </c>
      <c r="D14" s="845">
        <v>290</v>
      </c>
      <c r="E14" s="845">
        <v>540</v>
      </c>
      <c r="F14" s="845">
        <v>552</v>
      </c>
      <c r="G14" s="1021"/>
      <c r="H14" s="1021"/>
      <c r="I14" s="1015"/>
      <c r="J14" s="1015"/>
      <c r="K14" s="1015"/>
      <c r="L14" s="1015"/>
      <c r="M14" s="1015"/>
      <c r="N14" s="1015"/>
      <c r="O14" s="1015"/>
      <c r="P14" s="1015"/>
      <c r="Q14" s="1015"/>
      <c r="R14" s="1015"/>
      <c r="S14" s="1015"/>
      <c r="T14" s="1015"/>
      <c r="U14" s="1015"/>
      <c r="V14" s="1022"/>
      <c r="W14" s="1048"/>
      <c r="X14" s="1048"/>
    </row>
    <row r="15" spans="1:50" ht="13.2">
      <c r="A15" s="844">
        <v>46114</v>
      </c>
      <c r="B15" s="845">
        <v>670</v>
      </c>
      <c r="C15" s="845">
        <v>488</v>
      </c>
      <c r="D15" s="845">
        <v>388</v>
      </c>
      <c r="E15" s="845">
        <v>651</v>
      </c>
      <c r="F15" s="845">
        <v>683</v>
      </c>
      <c r="G15" s="1021"/>
      <c r="H15" s="1021"/>
      <c r="I15" s="1015"/>
      <c r="J15" s="1015"/>
      <c r="K15" s="1015"/>
      <c r="L15" s="1015"/>
      <c r="M15" s="1015"/>
      <c r="N15" s="1015"/>
      <c r="O15" s="1015"/>
      <c r="P15" s="1015"/>
      <c r="Q15" s="1015"/>
      <c r="R15" s="1015"/>
      <c r="S15" s="1015"/>
      <c r="T15" s="1015"/>
      <c r="U15" s="1015"/>
      <c r="V15" s="1022"/>
      <c r="W15" s="1048"/>
      <c r="X15" s="1048"/>
    </row>
    <row r="16" spans="1:50" ht="13.2">
      <c r="A16" s="844">
        <v>46116</v>
      </c>
      <c r="B16" s="845">
        <v>824</v>
      </c>
      <c r="C16" s="845">
        <v>839</v>
      </c>
      <c r="D16" s="845">
        <v>516</v>
      </c>
      <c r="E16" s="845">
        <v>1033</v>
      </c>
      <c r="F16" s="845">
        <v>919</v>
      </c>
      <c r="G16" s="1021"/>
      <c r="H16" s="1021"/>
      <c r="I16" s="1015"/>
      <c r="J16" s="1015"/>
      <c r="K16" s="1015"/>
      <c r="L16" s="1015"/>
      <c r="M16" s="1015"/>
      <c r="N16" s="1015"/>
      <c r="O16" s="1015"/>
      <c r="P16" s="1015"/>
      <c r="Q16" s="1015"/>
      <c r="R16" s="1015"/>
      <c r="S16" s="1015"/>
      <c r="T16" s="1015"/>
      <c r="U16" s="1015"/>
      <c r="V16" s="1022"/>
      <c r="W16" s="1048"/>
      <c r="X16" s="1048"/>
    </row>
    <row r="17" spans="1:24" ht="13.2">
      <c r="A17" s="844">
        <v>46117</v>
      </c>
      <c r="B17" s="845">
        <v>844</v>
      </c>
      <c r="C17" s="845">
        <v>839</v>
      </c>
      <c r="D17" s="845">
        <v>627</v>
      </c>
      <c r="E17" s="845">
        <v>1060</v>
      </c>
      <c r="F17" s="845">
        <v>919</v>
      </c>
      <c r="G17" s="1021"/>
      <c r="H17" s="1021"/>
      <c r="I17" s="1015"/>
      <c r="J17" s="1015"/>
      <c r="K17" s="1015"/>
      <c r="L17" s="1015"/>
      <c r="M17" s="1015"/>
      <c r="N17" s="1015"/>
      <c r="O17" s="1015"/>
      <c r="P17" s="1015"/>
      <c r="Q17" s="1015"/>
      <c r="R17" s="1015"/>
      <c r="S17" s="1015"/>
      <c r="T17" s="1015"/>
      <c r="U17" s="1015"/>
      <c r="V17" s="1022"/>
      <c r="W17" s="1048"/>
      <c r="X17" s="1048"/>
    </row>
    <row r="18" spans="1:24" ht="13.2">
      <c r="A18" s="844">
        <v>46118</v>
      </c>
      <c r="B18" s="845">
        <v>911</v>
      </c>
      <c r="C18" s="845">
        <v>1015</v>
      </c>
      <c r="D18" s="845">
        <v>967</v>
      </c>
      <c r="E18" s="845">
        <v>1165</v>
      </c>
      <c r="F18" s="845">
        <v>1249</v>
      </c>
      <c r="G18" s="1021"/>
      <c r="H18" s="1021"/>
      <c r="I18" s="1015"/>
      <c r="J18" s="1015"/>
      <c r="K18" s="1015"/>
      <c r="L18" s="1015"/>
      <c r="M18" s="1015"/>
      <c r="N18" s="1015"/>
      <c r="O18" s="1015"/>
      <c r="P18" s="1015"/>
      <c r="Q18" s="1015"/>
      <c r="R18" s="1015"/>
      <c r="S18" s="1015"/>
      <c r="T18" s="1015"/>
      <c r="U18" s="1015"/>
      <c r="V18" s="1022"/>
      <c r="W18" s="1048"/>
      <c r="X18" s="1048"/>
    </row>
    <row r="19" spans="1:24" ht="13.2">
      <c r="A19" s="844">
        <v>46119</v>
      </c>
      <c r="B19" s="845">
        <v>946</v>
      </c>
      <c r="C19" s="845">
        <v>1028</v>
      </c>
      <c r="D19" s="845">
        <v>980</v>
      </c>
      <c r="E19" s="845">
        <v>1169</v>
      </c>
      <c r="F19" s="845">
        <v>1261</v>
      </c>
      <c r="G19" s="1021"/>
      <c r="H19" s="1021"/>
      <c r="I19" s="1015"/>
      <c r="J19" s="1015"/>
      <c r="K19" s="1015"/>
      <c r="L19" s="1015"/>
      <c r="M19" s="1015"/>
      <c r="N19" s="1015"/>
      <c r="O19" s="1015"/>
      <c r="P19" s="1015"/>
      <c r="Q19" s="1015"/>
      <c r="R19" s="1015"/>
      <c r="S19" s="1015"/>
      <c r="T19" s="1015"/>
      <c r="U19" s="1015"/>
      <c r="V19" s="1022"/>
      <c r="W19" s="1048"/>
      <c r="X19" s="1048"/>
    </row>
    <row r="20" spans="1:24" ht="13.2">
      <c r="A20" s="844">
        <v>46120</v>
      </c>
      <c r="B20" s="845">
        <v>999</v>
      </c>
      <c r="C20" s="845">
        <v>1082</v>
      </c>
      <c r="D20" s="845">
        <v>1101</v>
      </c>
      <c r="E20" s="845">
        <v>1334</v>
      </c>
      <c r="F20" s="845">
        <v>1296</v>
      </c>
      <c r="G20" s="1021"/>
      <c r="H20" s="1021"/>
      <c r="I20" s="1015"/>
      <c r="J20" s="1015"/>
      <c r="K20" s="1015"/>
      <c r="L20" s="1015"/>
      <c r="M20" s="1015"/>
      <c r="N20" s="1015"/>
      <c r="O20" s="1015"/>
      <c r="P20" s="1015"/>
      <c r="Q20" s="1015"/>
      <c r="R20" s="1015"/>
      <c r="S20" s="1015"/>
      <c r="T20" s="1015"/>
      <c r="U20" s="1015"/>
      <c r="V20" s="1022"/>
      <c r="W20" s="1048"/>
      <c r="X20" s="1048"/>
    </row>
    <row r="21" spans="1:24" ht="13.2">
      <c r="A21" s="844">
        <v>46121</v>
      </c>
      <c r="B21" s="845">
        <v>1323</v>
      </c>
      <c r="C21" s="845">
        <v>1290</v>
      </c>
      <c r="D21" s="845">
        <v>1442</v>
      </c>
      <c r="E21" s="845">
        <v>1372</v>
      </c>
      <c r="F21" s="845">
        <v>1541</v>
      </c>
      <c r="G21" s="1021"/>
      <c r="H21" s="1021"/>
      <c r="I21" s="1015"/>
      <c r="J21" s="1015"/>
      <c r="K21" s="1015"/>
      <c r="L21" s="1015"/>
      <c r="M21" s="1015"/>
      <c r="N21" s="1015"/>
      <c r="O21" s="1015"/>
      <c r="P21" s="1015"/>
      <c r="Q21" s="1015"/>
      <c r="R21" s="1015"/>
      <c r="S21" s="1015"/>
      <c r="T21" s="1015"/>
      <c r="U21" s="1015"/>
      <c r="V21" s="1022"/>
      <c r="W21" s="1048"/>
      <c r="X21" s="1048"/>
    </row>
    <row r="22" spans="1:24" ht="13.2">
      <c r="A22" s="844">
        <v>46122</v>
      </c>
      <c r="B22" s="845">
        <v>1582</v>
      </c>
      <c r="C22" s="845">
        <v>1400</v>
      </c>
      <c r="D22" s="845">
        <v>1693</v>
      </c>
      <c r="E22" s="845">
        <v>1673</v>
      </c>
      <c r="F22" s="845">
        <v>1716</v>
      </c>
      <c r="G22" s="1021"/>
      <c r="H22" s="1021"/>
      <c r="I22" s="1015"/>
      <c r="J22" s="1015"/>
      <c r="K22" s="1015"/>
      <c r="L22" s="1015"/>
      <c r="M22" s="1015"/>
      <c r="N22" s="1015"/>
      <c r="O22" s="1015"/>
      <c r="P22" s="1015"/>
      <c r="Q22" s="1015"/>
      <c r="R22" s="1015"/>
      <c r="S22" s="1015"/>
      <c r="T22" s="1015"/>
      <c r="U22" s="1015"/>
      <c r="V22" s="1022"/>
      <c r="W22" s="1048"/>
      <c r="X22" s="1048"/>
    </row>
    <row r="23" spans="1:24" ht="13.2">
      <c r="A23" s="844">
        <v>46123</v>
      </c>
      <c r="B23" s="845">
        <v>1847</v>
      </c>
      <c r="C23" s="845">
        <v>1577</v>
      </c>
      <c r="D23" s="845">
        <v>1875</v>
      </c>
      <c r="E23" s="845">
        <v>2028</v>
      </c>
      <c r="F23" s="845">
        <v>1943</v>
      </c>
      <c r="G23" s="1021"/>
      <c r="H23" s="1021"/>
      <c r="I23" s="1015"/>
      <c r="J23" s="1015"/>
      <c r="K23" s="1015"/>
      <c r="L23" s="1015"/>
      <c r="M23" s="1015"/>
      <c r="N23" s="1015"/>
      <c r="O23" s="1015"/>
      <c r="P23" s="1015"/>
      <c r="Q23" s="1015"/>
      <c r="R23" s="1015"/>
      <c r="S23" s="1015"/>
      <c r="T23" s="1015"/>
      <c r="U23" s="1015"/>
      <c r="V23" s="1022"/>
      <c r="W23" s="1048"/>
      <c r="X23" s="1048"/>
    </row>
    <row r="24" spans="1:24" ht="13.2">
      <c r="A24" s="844">
        <v>46124</v>
      </c>
      <c r="B24" s="845">
        <v>2063</v>
      </c>
      <c r="C24" s="845">
        <v>1932</v>
      </c>
      <c r="D24" s="845">
        <v>2094</v>
      </c>
      <c r="E24" s="845">
        <v>2091</v>
      </c>
      <c r="F24" s="845">
        <v>2295</v>
      </c>
      <c r="G24" s="1021"/>
      <c r="H24" s="1021"/>
      <c r="I24" s="1015"/>
      <c r="J24" s="1015"/>
      <c r="K24" s="1015"/>
      <c r="L24" s="1015"/>
      <c r="M24" s="1015"/>
      <c r="N24" s="1015"/>
      <c r="O24" s="1015"/>
      <c r="P24" s="1015"/>
      <c r="Q24" s="1015"/>
      <c r="R24" s="1015"/>
      <c r="S24" s="1015"/>
      <c r="T24" s="1015"/>
      <c r="U24" s="1015"/>
      <c r="V24" s="1022"/>
      <c r="W24" s="1048"/>
      <c r="X24" s="1048"/>
    </row>
    <row r="25" spans="1:24" ht="13.2">
      <c r="A25" s="844">
        <v>46125</v>
      </c>
      <c r="B25" s="846">
        <v>2192</v>
      </c>
      <c r="C25" s="846">
        <v>1932</v>
      </c>
      <c r="D25" s="846">
        <v>2124</v>
      </c>
      <c r="E25" s="846">
        <v>2257</v>
      </c>
      <c r="F25" s="847">
        <v>2397</v>
      </c>
      <c r="G25" s="1021"/>
      <c r="H25" s="1021"/>
      <c r="I25" s="1015"/>
      <c r="J25" s="1015"/>
      <c r="K25" s="1015"/>
      <c r="L25" s="1015"/>
      <c r="M25" s="1015"/>
      <c r="N25" s="1015"/>
      <c r="O25" s="1015"/>
      <c r="P25" s="1015"/>
      <c r="Q25" s="1015"/>
      <c r="R25" s="1015"/>
      <c r="S25" s="1015"/>
      <c r="T25" s="1015"/>
      <c r="U25" s="1015"/>
      <c r="V25" s="1022"/>
      <c r="W25" s="1048"/>
      <c r="X25" s="1048"/>
    </row>
    <row r="26" spans="1:24" ht="13.2">
      <c r="A26" s="844">
        <v>46126</v>
      </c>
      <c r="B26" s="846">
        <f>C2+B25</f>
        <v>2273</v>
      </c>
      <c r="C26" s="846">
        <f>C3+C25</f>
        <v>2114</v>
      </c>
      <c r="D26" s="846">
        <f>C4+D25</f>
        <v>2153</v>
      </c>
      <c r="E26" s="846">
        <f>C5+E25</f>
        <v>2361</v>
      </c>
      <c r="F26" s="847">
        <f>C6+F25</f>
        <v>2605</v>
      </c>
      <c r="G26" s="1021"/>
      <c r="H26" s="1021"/>
      <c r="I26" s="1015"/>
      <c r="J26" s="1015"/>
      <c r="K26" s="1015"/>
      <c r="L26" s="1015"/>
      <c r="M26" s="1015"/>
      <c r="N26" s="1015"/>
      <c r="O26" s="1015"/>
      <c r="P26" s="1015"/>
      <c r="Q26" s="1015"/>
      <c r="R26" s="1015"/>
      <c r="S26" s="1015"/>
      <c r="T26" s="1015"/>
      <c r="U26" s="1015"/>
      <c r="V26" s="1022"/>
      <c r="W26" s="1048"/>
      <c r="X26" s="1048"/>
    </row>
    <row r="27" spans="1:24" ht="13.2">
      <c r="A27" s="844">
        <v>46127</v>
      </c>
      <c r="B27" s="848">
        <v>2337</v>
      </c>
      <c r="C27" s="848">
        <v>2318</v>
      </c>
      <c r="D27" s="848">
        <v>2282</v>
      </c>
      <c r="E27" s="848">
        <v>2382</v>
      </c>
      <c r="F27" s="845">
        <v>2713</v>
      </c>
      <c r="G27" s="1021"/>
      <c r="H27" s="1021"/>
      <c r="I27" s="1015"/>
      <c r="J27" s="1015"/>
      <c r="K27" s="1015"/>
      <c r="L27" s="1015"/>
      <c r="M27" s="1015"/>
      <c r="N27" s="1015"/>
      <c r="O27" s="1015"/>
      <c r="P27" s="1015"/>
      <c r="Q27" s="1015"/>
      <c r="R27" s="1015"/>
      <c r="S27" s="1015"/>
      <c r="T27" s="1015"/>
      <c r="U27" s="1015"/>
      <c r="V27" s="1022"/>
      <c r="W27" s="1048"/>
      <c r="X27" s="1048"/>
    </row>
    <row r="28" spans="1:24" ht="13.2">
      <c r="A28" s="844">
        <v>46128</v>
      </c>
      <c r="B28" s="848">
        <v>2490</v>
      </c>
      <c r="C28" s="848">
        <v>2360</v>
      </c>
      <c r="D28" s="848">
        <v>2390</v>
      </c>
      <c r="E28" s="848">
        <v>2514</v>
      </c>
      <c r="F28" s="845">
        <v>2810</v>
      </c>
      <c r="G28" s="1021"/>
      <c r="H28" s="1021"/>
      <c r="I28" s="1015"/>
      <c r="J28" s="1015"/>
      <c r="K28" s="1015"/>
      <c r="L28" s="1015"/>
      <c r="M28" s="1015"/>
      <c r="N28" s="1015"/>
      <c r="O28" s="1015"/>
      <c r="P28" s="1015"/>
      <c r="Q28" s="1015"/>
      <c r="R28" s="1015"/>
      <c r="S28" s="1015"/>
      <c r="T28" s="1015"/>
      <c r="U28" s="1015"/>
      <c r="V28" s="1022"/>
      <c r="W28" s="1048"/>
      <c r="X28" s="1048"/>
    </row>
    <row r="29" spans="1:24" ht="13.2">
      <c r="A29" s="844">
        <v>46129</v>
      </c>
      <c r="B29" s="848">
        <v>2816</v>
      </c>
      <c r="C29" s="848">
        <v>2441</v>
      </c>
      <c r="D29" s="848">
        <v>2549</v>
      </c>
      <c r="E29" s="848">
        <v>2547</v>
      </c>
      <c r="F29" s="845">
        <v>2970</v>
      </c>
      <c r="G29" s="1021"/>
      <c r="H29" s="1021"/>
      <c r="I29" s="1015"/>
      <c r="J29" s="1015"/>
      <c r="K29" s="1015"/>
      <c r="L29" s="1015"/>
      <c r="M29" s="1015"/>
      <c r="N29" s="1015"/>
      <c r="O29" s="1015"/>
      <c r="P29" s="1015"/>
      <c r="Q29" s="1015"/>
      <c r="R29" s="1015"/>
      <c r="S29" s="1015"/>
      <c r="T29" s="1015"/>
      <c r="U29" s="1015"/>
      <c r="V29" s="1022"/>
      <c r="W29" s="1048"/>
      <c r="X29" s="1048"/>
    </row>
    <row r="30" spans="1:24" ht="13.2">
      <c r="A30" s="844">
        <v>46130</v>
      </c>
      <c r="B30" s="848">
        <v>2992</v>
      </c>
      <c r="C30" s="848">
        <v>2705</v>
      </c>
      <c r="D30" s="848">
        <v>2880</v>
      </c>
      <c r="E30" s="848">
        <v>2697</v>
      </c>
      <c r="F30" s="845">
        <v>3172</v>
      </c>
      <c r="G30" s="1021"/>
      <c r="H30" s="1021"/>
      <c r="I30" s="1015"/>
      <c r="J30" s="1015"/>
      <c r="K30" s="1015"/>
      <c r="L30" s="1015"/>
      <c r="M30" s="1015"/>
      <c r="N30" s="1015"/>
      <c r="O30" s="1015"/>
      <c r="P30" s="1015"/>
      <c r="Q30" s="1015"/>
      <c r="R30" s="1015"/>
      <c r="S30" s="1015"/>
      <c r="T30" s="1015"/>
      <c r="U30" s="1015"/>
      <c r="V30" s="1022"/>
      <c r="W30" s="1048"/>
      <c r="X30" s="1048"/>
    </row>
    <row r="31" spans="1:24" ht="13.2">
      <c r="A31" s="844">
        <v>46131</v>
      </c>
      <c r="B31" s="848">
        <v>3302</v>
      </c>
      <c r="C31" s="848">
        <v>2979</v>
      </c>
      <c r="D31" s="848">
        <v>3162</v>
      </c>
      <c r="E31" s="848">
        <v>2861</v>
      </c>
      <c r="F31" s="848">
        <v>3316</v>
      </c>
      <c r="G31" s="1021"/>
      <c r="H31" s="1021"/>
      <c r="I31" s="1015"/>
      <c r="J31" s="1015"/>
      <c r="K31" s="1015"/>
      <c r="L31" s="1015"/>
      <c r="M31" s="1015"/>
      <c r="N31" s="1015"/>
      <c r="O31" s="1015"/>
      <c r="P31" s="1015"/>
      <c r="Q31" s="1015"/>
      <c r="R31" s="1015"/>
      <c r="S31" s="1015"/>
      <c r="T31" s="1015"/>
      <c r="U31" s="1015"/>
      <c r="V31" s="1022"/>
      <c r="W31" s="1048"/>
      <c r="X31" s="1048"/>
    </row>
    <row r="32" spans="1:24" ht="13.2">
      <c r="A32" s="844">
        <v>46132</v>
      </c>
      <c r="B32" s="848">
        <v>3483</v>
      </c>
      <c r="C32" s="848">
        <v>3078</v>
      </c>
      <c r="D32" s="848">
        <v>3175</v>
      </c>
      <c r="E32" s="848">
        <v>3066</v>
      </c>
      <c r="F32" s="848">
        <v>3353</v>
      </c>
      <c r="G32" s="1021"/>
      <c r="H32" s="1021"/>
      <c r="I32" s="1015"/>
      <c r="J32" s="1015"/>
      <c r="K32" s="1015"/>
      <c r="L32" s="1015"/>
      <c r="M32" s="1015"/>
      <c r="N32" s="1015"/>
      <c r="O32" s="1015"/>
      <c r="P32" s="1015"/>
      <c r="Q32" s="1015"/>
      <c r="R32" s="1015"/>
      <c r="S32" s="1015"/>
      <c r="T32" s="1015"/>
      <c r="U32" s="1015"/>
      <c r="V32" s="1022"/>
      <c r="W32" s="1048"/>
      <c r="X32" s="1048"/>
    </row>
    <row r="33" spans="1:24" ht="13.2">
      <c r="A33" s="844">
        <v>46133</v>
      </c>
      <c r="B33" s="848">
        <v>3524</v>
      </c>
      <c r="C33" s="848">
        <v>3078</v>
      </c>
      <c r="D33" s="848">
        <v>3312</v>
      </c>
      <c r="E33" s="848">
        <v>3312</v>
      </c>
      <c r="F33" s="848">
        <v>3413</v>
      </c>
      <c r="G33" s="1021"/>
      <c r="H33" s="1021"/>
      <c r="I33" s="1015"/>
      <c r="J33" s="1015"/>
      <c r="K33" s="1015"/>
      <c r="L33" s="1015"/>
      <c r="M33" s="1015"/>
      <c r="N33" s="1015"/>
      <c r="O33" s="1015"/>
      <c r="P33" s="1015"/>
      <c r="Q33" s="1015"/>
      <c r="R33" s="1015"/>
      <c r="S33" s="1015"/>
      <c r="T33" s="1015"/>
      <c r="U33" s="1015"/>
      <c r="V33" s="1022"/>
      <c r="W33" s="1048"/>
      <c r="X33" s="1048"/>
    </row>
    <row r="34" spans="1:24" ht="13.2">
      <c r="A34" s="844">
        <v>46134</v>
      </c>
      <c r="B34" s="848">
        <v>3895</v>
      </c>
      <c r="C34" s="848">
        <v>3090</v>
      </c>
      <c r="D34" s="848">
        <v>3366</v>
      </c>
      <c r="E34" s="848">
        <v>3446</v>
      </c>
      <c r="F34" s="848">
        <v>3459</v>
      </c>
      <c r="G34" s="1021"/>
      <c r="H34" s="1021"/>
      <c r="I34" s="1015"/>
      <c r="J34" s="1015"/>
      <c r="K34" s="1015"/>
      <c r="L34" s="1015"/>
      <c r="M34" s="1015"/>
      <c r="N34" s="1015"/>
      <c r="O34" s="1015"/>
      <c r="P34" s="1015"/>
      <c r="Q34" s="1015"/>
      <c r="R34" s="1015"/>
      <c r="S34" s="1015"/>
      <c r="T34" s="1015"/>
      <c r="U34" s="1015"/>
      <c r="V34" s="1022"/>
      <c r="W34" s="1048"/>
      <c r="X34" s="1048"/>
    </row>
    <row r="35" spans="1:24" ht="13.2">
      <c r="A35" s="844">
        <v>46135</v>
      </c>
      <c r="B35" s="848">
        <v>3895</v>
      </c>
      <c r="C35" s="848">
        <v>3142</v>
      </c>
      <c r="D35" s="848">
        <v>3401</v>
      </c>
      <c r="E35" s="848">
        <v>3706</v>
      </c>
      <c r="F35" s="848">
        <v>3568</v>
      </c>
      <c r="G35" s="1021"/>
      <c r="H35" s="1021"/>
      <c r="I35" s="1015"/>
      <c r="J35" s="1015"/>
      <c r="K35" s="1015"/>
      <c r="L35" s="1015"/>
      <c r="M35" s="1015"/>
      <c r="N35" s="1015"/>
      <c r="O35" s="1015"/>
      <c r="P35" s="1015"/>
      <c r="Q35" s="1015"/>
      <c r="R35" s="1015"/>
      <c r="S35" s="1015"/>
      <c r="T35" s="1015"/>
      <c r="U35" s="1015"/>
      <c r="V35" s="1022"/>
      <c r="W35" s="1048"/>
      <c r="X35" s="1048"/>
    </row>
    <row r="36" spans="1:24" ht="13.2">
      <c r="A36" s="844">
        <v>46136</v>
      </c>
      <c r="B36" s="848">
        <v>3986</v>
      </c>
      <c r="C36" s="848">
        <v>3221</v>
      </c>
      <c r="D36" s="848">
        <v>3514</v>
      </c>
      <c r="E36" s="848">
        <v>3857</v>
      </c>
      <c r="F36" s="848">
        <v>3814</v>
      </c>
      <c r="G36" s="1021"/>
      <c r="H36" s="1021"/>
      <c r="I36" s="1015"/>
      <c r="J36" s="1015"/>
      <c r="K36" s="1015"/>
      <c r="L36" s="1015"/>
      <c r="M36" s="1015"/>
      <c r="N36" s="1015"/>
      <c r="O36" s="1015"/>
      <c r="P36" s="1015"/>
      <c r="Q36" s="1015"/>
      <c r="R36" s="1015"/>
      <c r="S36" s="1015"/>
      <c r="T36" s="1015"/>
      <c r="U36" s="1015"/>
      <c r="V36" s="1022"/>
      <c r="W36" s="1048"/>
      <c r="X36" s="1048"/>
    </row>
    <row r="37" spans="1:24" ht="13.2">
      <c r="A37" s="844">
        <v>46137</v>
      </c>
      <c r="B37" s="848">
        <v>4306</v>
      </c>
      <c r="C37" s="848">
        <v>3290</v>
      </c>
      <c r="D37" s="848">
        <v>3810</v>
      </c>
      <c r="E37" s="848">
        <v>4225</v>
      </c>
      <c r="F37" s="848">
        <v>4031</v>
      </c>
      <c r="G37" s="1021"/>
      <c r="H37" s="1021"/>
      <c r="I37" s="1015"/>
      <c r="J37" s="1015"/>
      <c r="K37" s="1015"/>
      <c r="L37" s="1015"/>
      <c r="M37" s="1015"/>
      <c r="N37" s="1015"/>
      <c r="O37" s="1015"/>
      <c r="P37" s="1015"/>
      <c r="Q37" s="1015"/>
      <c r="R37" s="1015"/>
      <c r="S37" s="1015"/>
      <c r="T37" s="1015"/>
      <c r="U37" s="1015"/>
      <c r="V37" s="1022"/>
      <c r="W37" s="1048"/>
      <c r="X37" s="1048"/>
    </row>
    <row r="38" spans="1:24" ht="13.2">
      <c r="A38" s="844">
        <v>46138</v>
      </c>
      <c r="B38" s="848">
        <v>4565</v>
      </c>
      <c r="C38" s="848">
        <v>3396</v>
      </c>
      <c r="D38" s="848">
        <v>4120</v>
      </c>
      <c r="E38" s="848">
        <v>4583</v>
      </c>
      <c r="F38" s="848">
        <v>4275</v>
      </c>
      <c r="G38" s="1021"/>
      <c r="H38" s="1021"/>
      <c r="I38" s="1015"/>
      <c r="J38" s="1015"/>
      <c r="K38" s="1015"/>
      <c r="L38" s="1015"/>
      <c r="M38" s="1015"/>
      <c r="N38" s="1015"/>
      <c r="O38" s="1015"/>
      <c r="P38" s="1015"/>
      <c r="Q38" s="1015"/>
      <c r="R38" s="1015"/>
      <c r="S38" s="1015"/>
      <c r="T38" s="1015"/>
      <c r="U38" s="1015"/>
      <c r="V38" s="1022"/>
      <c r="W38" s="1048"/>
      <c r="X38" s="1048"/>
    </row>
    <row r="39" spans="1:24" ht="13.2">
      <c r="A39" s="844">
        <v>46139</v>
      </c>
      <c r="B39" s="848">
        <v>4582</v>
      </c>
      <c r="C39" s="848">
        <v>3649</v>
      </c>
      <c r="D39" s="848">
        <v>4174</v>
      </c>
      <c r="E39" s="848">
        <v>4585</v>
      </c>
      <c r="F39" s="848">
        <v>4384</v>
      </c>
      <c r="G39" s="1021"/>
      <c r="H39" s="1021"/>
      <c r="I39" s="1015"/>
      <c r="J39" s="1015"/>
      <c r="K39" s="1015"/>
      <c r="L39" s="1015"/>
      <c r="M39" s="1015"/>
      <c r="N39" s="1015"/>
      <c r="O39" s="1015"/>
      <c r="P39" s="1015"/>
      <c r="Q39" s="1015"/>
      <c r="R39" s="1015"/>
      <c r="S39" s="1015"/>
      <c r="T39" s="1015"/>
      <c r="U39" s="1015"/>
      <c r="V39" s="1022"/>
      <c r="W39" s="1048"/>
      <c r="X39" s="1048"/>
    </row>
    <row r="40" spans="1:24" ht="13.2">
      <c r="A40" s="844">
        <v>46140</v>
      </c>
      <c r="B40" s="848">
        <v>4707</v>
      </c>
      <c r="C40" s="848">
        <v>3695</v>
      </c>
      <c r="D40" s="848">
        <v>4302</v>
      </c>
      <c r="E40" s="848">
        <v>4740</v>
      </c>
      <c r="F40" s="848">
        <v>4494</v>
      </c>
      <c r="G40" s="1021"/>
      <c r="H40" s="1021"/>
      <c r="I40" s="1015"/>
      <c r="J40" s="1015"/>
      <c r="K40" s="1015"/>
      <c r="L40" s="1015"/>
      <c r="M40" s="1015"/>
      <c r="N40" s="1015"/>
      <c r="O40" s="1015"/>
      <c r="P40" s="1015"/>
      <c r="Q40" s="1015"/>
      <c r="R40" s="1015"/>
      <c r="S40" s="1015"/>
      <c r="T40" s="1015"/>
      <c r="U40" s="1015"/>
      <c r="V40" s="1022"/>
      <c r="W40" s="1048"/>
      <c r="X40" s="1048"/>
    </row>
    <row r="41" spans="1:24" ht="13.2">
      <c r="A41" s="844">
        <v>46141</v>
      </c>
      <c r="B41" s="848">
        <v>4707</v>
      </c>
      <c r="C41" s="848">
        <v>3794</v>
      </c>
      <c r="D41" s="848">
        <v>4416</v>
      </c>
      <c r="E41" s="848">
        <v>4840</v>
      </c>
      <c r="F41" s="848">
        <v>4608</v>
      </c>
      <c r="G41" s="1023"/>
      <c r="H41" s="1023"/>
      <c r="I41" s="1024"/>
      <c r="J41" s="1024"/>
      <c r="K41" s="1024"/>
      <c r="L41" s="1024"/>
      <c r="M41" s="1024"/>
      <c r="N41" s="1024"/>
      <c r="O41" s="1024"/>
      <c r="P41" s="1024"/>
      <c r="Q41" s="1024"/>
      <c r="R41" s="1024"/>
      <c r="S41" s="1024"/>
      <c r="T41" s="1024"/>
      <c r="U41" s="1024"/>
      <c r="V41" s="1025"/>
      <c r="W41" s="1049"/>
      <c r="X41" s="1049"/>
    </row>
    <row r="42" spans="1:24" ht="13.2">
      <c r="A42" s="844">
        <v>46142</v>
      </c>
      <c r="B42" s="848">
        <v>4856</v>
      </c>
      <c r="C42" s="848">
        <v>3926</v>
      </c>
      <c r="D42" s="848">
        <v>4559</v>
      </c>
      <c r="E42" s="848">
        <v>4960</v>
      </c>
      <c r="F42" s="845">
        <v>4807</v>
      </c>
      <c r="G42" s="1141"/>
      <c r="H42" s="1037"/>
      <c r="I42" s="1037"/>
      <c r="J42" s="1037"/>
      <c r="K42" s="1037"/>
      <c r="L42" s="1037"/>
      <c r="M42" s="1037"/>
      <c r="N42" s="1037"/>
      <c r="O42" s="1037"/>
      <c r="P42" s="1037"/>
      <c r="Q42" s="1037"/>
      <c r="R42" s="1037"/>
      <c r="S42" s="1037"/>
      <c r="T42" s="1037"/>
      <c r="U42" s="1037"/>
      <c r="V42" s="1037"/>
      <c r="W42" s="1037"/>
      <c r="X42" s="1038"/>
    </row>
    <row r="43" spans="1:24" ht="13.2">
      <c r="A43" s="844">
        <v>46143</v>
      </c>
      <c r="B43" s="848">
        <v>4995</v>
      </c>
      <c r="C43" s="848">
        <v>3926</v>
      </c>
      <c r="D43" s="848">
        <v>4723</v>
      </c>
      <c r="E43" s="848">
        <v>4969</v>
      </c>
      <c r="F43" s="845">
        <v>4933</v>
      </c>
      <c r="G43" s="849">
        <v>4</v>
      </c>
      <c r="H43" s="850" t="s">
        <v>320</v>
      </c>
    </row>
    <row r="44" spans="1:24" ht="13.2">
      <c r="A44" s="844">
        <v>46144</v>
      </c>
      <c r="B44" s="848">
        <v>4995</v>
      </c>
      <c r="C44" s="848">
        <v>3987</v>
      </c>
      <c r="D44" s="848">
        <v>4821</v>
      </c>
      <c r="E44" s="848">
        <v>4999</v>
      </c>
      <c r="F44" s="848">
        <v>5018</v>
      </c>
      <c r="G44" s="851">
        <v>30</v>
      </c>
      <c r="H44" s="852" t="s">
        <v>321</v>
      </c>
    </row>
    <row r="45" spans="1:24" ht="13.2">
      <c r="A45" s="844">
        <v>46145</v>
      </c>
      <c r="B45" s="848">
        <v>5347</v>
      </c>
      <c r="C45" s="848">
        <v>4140</v>
      </c>
      <c r="D45" s="848">
        <v>5164</v>
      </c>
      <c r="E45" s="848">
        <v>5171</v>
      </c>
      <c r="F45" s="845">
        <v>5186</v>
      </c>
      <c r="G45" s="853">
        <f>G8-G44-G43</f>
        <v>31</v>
      </c>
      <c r="H45" s="854" t="s">
        <v>322</v>
      </c>
    </row>
    <row r="46" spans="1:24" ht="13.2">
      <c r="A46" s="844">
        <v>46146</v>
      </c>
      <c r="B46" s="848">
        <v>5452</v>
      </c>
      <c r="C46" s="848">
        <v>4288</v>
      </c>
      <c r="D46" s="848">
        <v>5190</v>
      </c>
      <c r="E46" s="848">
        <v>5219</v>
      </c>
      <c r="F46" s="845">
        <v>5236</v>
      </c>
      <c r="G46" s="855">
        <f>SUM(G43:G45)</f>
        <v>65</v>
      </c>
      <c r="H46" s="856" t="s">
        <v>323</v>
      </c>
    </row>
    <row r="47" spans="1:24" ht="30">
      <c r="A47" s="844">
        <v>46147</v>
      </c>
      <c r="B47" s="848">
        <v>5510</v>
      </c>
      <c r="C47" s="848">
        <v>4288</v>
      </c>
      <c r="D47" s="848">
        <v>5284</v>
      </c>
      <c r="E47" s="848">
        <v>5341</v>
      </c>
      <c r="F47" s="848">
        <v>5308</v>
      </c>
      <c r="H47" s="857" t="s">
        <v>324</v>
      </c>
    </row>
    <row r="48" spans="1:24" ht="13.2">
      <c r="A48" s="844">
        <v>46148</v>
      </c>
      <c r="B48" s="848">
        <v>5562</v>
      </c>
      <c r="C48" s="848">
        <v>4293</v>
      </c>
      <c r="D48" s="848">
        <v>5378</v>
      </c>
      <c r="E48" s="848">
        <v>5533</v>
      </c>
      <c r="F48" s="848">
        <v>5422</v>
      </c>
    </row>
    <row r="49" spans="1:8" ht="17.399999999999999">
      <c r="A49" s="844">
        <v>46149</v>
      </c>
      <c r="B49" s="848">
        <v>5801</v>
      </c>
      <c r="C49" s="848">
        <v>4337</v>
      </c>
      <c r="D49" s="848">
        <v>5631</v>
      </c>
      <c r="E49" s="848">
        <v>5571</v>
      </c>
      <c r="F49" s="848">
        <v>5486</v>
      </c>
      <c r="H49" s="858" t="s">
        <v>325</v>
      </c>
    </row>
    <row r="50" spans="1:8" ht="17.399999999999999">
      <c r="A50" s="844">
        <v>46150</v>
      </c>
      <c r="B50" s="848">
        <v>5830</v>
      </c>
      <c r="C50" s="848">
        <v>4422</v>
      </c>
      <c r="D50" s="848">
        <v>5815</v>
      </c>
      <c r="E50" s="848">
        <v>5571</v>
      </c>
      <c r="F50" s="848">
        <v>5520</v>
      </c>
      <c r="H50" s="858" t="s">
        <v>326</v>
      </c>
    </row>
    <row r="51" spans="1:8" ht="13.2">
      <c r="A51" s="844">
        <v>46151</v>
      </c>
      <c r="B51" s="848">
        <v>6148</v>
      </c>
      <c r="C51" s="848">
        <v>4426</v>
      </c>
      <c r="D51" s="848">
        <v>5986</v>
      </c>
      <c r="E51" s="848">
        <v>5711</v>
      </c>
      <c r="F51" s="848">
        <v>5550</v>
      </c>
    </row>
    <row r="52" spans="1:8" ht="17.399999999999999">
      <c r="A52" s="844">
        <v>46152</v>
      </c>
      <c r="B52" s="848">
        <v>6179</v>
      </c>
      <c r="C52" s="848">
        <v>4652</v>
      </c>
      <c r="D52" s="848">
        <v>6201</v>
      </c>
      <c r="E52" s="848">
        <v>5953</v>
      </c>
      <c r="F52" s="848">
        <v>5680</v>
      </c>
      <c r="H52" s="858" t="s">
        <v>327</v>
      </c>
    </row>
    <row r="53" spans="1:8" ht="17.399999999999999">
      <c r="A53" s="844">
        <v>46153</v>
      </c>
      <c r="B53" s="848">
        <v>6256</v>
      </c>
      <c r="C53" s="848">
        <v>4759</v>
      </c>
      <c r="D53" s="848">
        <v>6382</v>
      </c>
      <c r="E53" s="848">
        <v>5965</v>
      </c>
      <c r="F53" s="848">
        <v>5766</v>
      </c>
      <c r="H53" s="858" t="s">
        <v>328</v>
      </c>
    </row>
    <row r="54" spans="1:8" ht="13.2">
      <c r="A54" s="844">
        <v>46154</v>
      </c>
      <c r="B54" s="848">
        <v>6446</v>
      </c>
      <c r="C54" s="848">
        <v>4759</v>
      </c>
      <c r="D54" s="848">
        <v>6416</v>
      </c>
      <c r="E54" s="848">
        <v>6111</v>
      </c>
      <c r="F54" s="848">
        <v>5924</v>
      </c>
    </row>
    <row r="55" spans="1:8" ht="17.399999999999999">
      <c r="A55" s="844">
        <v>46155</v>
      </c>
      <c r="B55" s="848">
        <v>6546</v>
      </c>
      <c r="C55" s="848">
        <v>4931</v>
      </c>
      <c r="D55" s="848">
        <v>6485</v>
      </c>
      <c r="E55" s="848">
        <v>6111</v>
      </c>
      <c r="F55" s="848">
        <v>6136</v>
      </c>
      <c r="H55" s="858" t="s">
        <v>329</v>
      </c>
    </row>
    <row r="56" spans="1:8" ht="17.399999999999999">
      <c r="A56" s="844">
        <v>46156</v>
      </c>
      <c r="B56" s="848">
        <v>6635</v>
      </c>
      <c r="C56" s="848">
        <v>5002</v>
      </c>
      <c r="D56" s="848">
        <v>6507</v>
      </c>
      <c r="E56" s="848">
        <v>6266</v>
      </c>
      <c r="F56" s="848">
        <v>6198</v>
      </c>
      <c r="H56" s="858" t="s">
        <v>330</v>
      </c>
    </row>
    <row r="57" spans="1:8" ht="13.2">
      <c r="A57" s="844">
        <v>46157</v>
      </c>
      <c r="B57" s="848">
        <v>6872</v>
      </c>
      <c r="C57" s="848">
        <v>5002</v>
      </c>
      <c r="D57" s="848">
        <v>6530</v>
      </c>
      <c r="E57" s="848">
        <v>6346</v>
      </c>
      <c r="F57" s="848">
        <v>6263</v>
      </c>
    </row>
    <row r="58" spans="1:8" ht="17.399999999999999">
      <c r="A58" s="844">
        <v>46158</v>
      </c>
      <c r="B58" s="848">
        <v>7171</v>
      </c>
      <c r="C58" s="848">
        <v>5088</v>
      </c>
      <c r="D58" s="848">
        <v>6656</v>
      </c>
      <c r="E58" s="848">
        <v>6429</v>
      </c>
      <c r="F58" s="848">
        <v>6345</v>
      </c>
      <c r="H58" s="858" t="s">
        <v>331</v>
      </c>
    </row>
    <row r="59" spans="1:8" ht="17.399999999999999">
      <c r="A59" s="844">
        <v>46159</v>
      </c>
      <c r="B59" s="848">
        <v>7311</v>
      </c>
      <c r="C59" s="848">
        <v>5344</v>
      </c>
      <c r="D59" s="848">
        <v>6875</v>
      </c>
      <c r="E59" s="848">
        <v>6566</v>
      </c>
      <c r="F59" s="848">
        <v>6617</v>
      </c>
      <c r="H59" s="858" t="s">
        <v>332</v>
      </c>
    </row>
    <row r="60" spans="1:8" ht="13.2">
      <c r="A60" s="844">
        <v>46160</v>
      </c>
      <c r="B60" s="848">
        <v>7311</v>
      </c>
      <c r="C60" s="848">
        <v>5344</v>
      </c>
      <c r="D60" s="848">
        <v>6905</v>
      </c>
      <c r="E60" s="848">
        <v>6896</v>
      </c>
      <c r="F60" s="848">
        <v>6788</v>
      </c>
    </row>
    <row r="61" spans="1:8" ht="17.399999999999999">
      <c r="A61" s="844">
        <v>46161</v>
      </c>
      <c r="B61" s="848">
        <v>7523</v>
      </c>
      <c r="C61" s="848">
        <v>5359</v>
      </c>
      <c r="D61" s="848">
        <v>7045</v>
      </c>
      <c r="E61" s="848">
        <v>7072</v>
      </c>
      <c r="F61" s="848">
        <v>6788</v>
      </c>
      <c r="H61" s="858" t="s">
        <v>333</v>
      </c>
    </row>
    <row r="62" spans="1:8" ht="17.399999999999999">
      <c r="A62" s="844">
        <v>46162</v>
      </c>
      <c r="B62" s="848">
        <v>7535</v>
      </c>
      <c r="C62" s="848">
        <v>5536</v>
      </c>
      <c r="D62" s="848">
        <v>7138</v>
      </c>
      <c r="E62" s="848">
        <v>7096</v>
      </c>
      <c r="F62" s="848">
        <v>6812</v>
      </c>
      <c r="H62" s="858" t="s">
        <v>334</v>
      </c>
    </row>
    <row r="63" spans="1:8" ht="13.2">
      <c r="A63" s="844">
        <v>46163</v>
      </c>
      <c r="B63" s="848">
        <v>7852</v>
      </c>
      <c r="C63" s="848">
        <v>5536</v>
      </c>
      <c r="D63" s="848">
        <v>7264</v>
      </c>
      <c r="E63" s="848">
        <v>7295</v>
      </c>
      <c r="F63" s="848">
        <v>6952</v>
      </c>
    </row>
    <row r="64" spans="1:8" ht="17.399999999999999">
      <c r="A64" s="844">
        <v>46164</v>
      </c>
      <c r="B64" s="848">
        <v>7852</v>
      </c>
      <c r="C64" s="848">
        <v>5542</v>
      </c>
      <c r="D64" s="848">
        <v>7488</v>
      </c>
      <c r="E64" s="848">
        <v>7513</v>
      </c>
      <c r="F64" s="848">
        <v>7097</v>
      </c>
      <c r="H64" s="858" t="s">
        <v>335</v>
      </c>
    </row>
    <row r="65" spans="1:8" ht="17.399999999999999">
      <c r="A65" s="844">
        <v>46165</v>
      </c>
      <c r="B65" s="848">
        <v>8048</v>
      </c>
      <c r="C65" s="848">
        <v>5612</v>
      </c>
      <c r="D65" s="848">
        <v>7524</v>
      </c>
      <c r="E65" s="848">
        <v>7577</v>
      </c>
      <c r="F65" s="848">
        <v>7253</v>
      </c>
      <c r="H65" s="858" t="s">
        <v>336</v>
      </c>
    </row>
    <row r="66" spans="1:8" ht="13.2">
      <c r="A66" s="844">
        <v>46166</v>
      </c>
      <c r="B66" s="848">
        <v>8241</v>
      </c>
      <c r="C66" s="848">
        <v>5969</v>
      </c>
      <c r="D66" s="848">
        <v>7822</v>
      </c>
      <c r="E66" s="848">
        <v>7616</v>
      </c>
      <c r="F66" s="848">
        <v>7363</v>
      </c>
    </row>
    <row r="67" spans="1:8" ht="13.2">
      <c r="A67" s="844">
        <v>46167</v>
      </c>
      <c r="B67" s="848">
        <v>8241</v>
      </c>
      <c r="C67" s="848">
        <v>5969</v>
      </c>
      <c r="D67" s="848">
        <v>7822</v>
      </c>
      <c r="E67" s="848">
        <v>7616</v>
      </c>
      <c r="F67" s="848">
        <v>7363</v>
      </c>
    </row>
    <row r="68" spans="1:8" ht="13.2">
      <c r="A68" s="844">
        <v>46168</v>
      </c>
      <c r="B68" s="848">
        <v>8330</v>
      </c>
      <c r="C68" s="848">
        <v>6111</v>
      </c>
      <c r="D68" s="848">
        <v>8114</v>
      </c>
      <c r="E68" s="848">
        <v>7651</v>
      </c>
      <c r="F68" s="848">
        <v>7579</v>
      </c>
    </row>
    <row r="69" spans="1:8" ht="13.2">
      <c r="A69" s="844">
        <v>46169</v>
      </c>
      <c r="B69" s="848">
        <v>8528</v>
      </c>
      <c r="C69" s="848">
        <v>6111</v>
      </c>
      <c r="D69" s="848">
        <v>8176</v>
      </c>
      <c r="E69" s="848">
        <v>7903</v>
      </c>
      <c r="F69" s="848">
        <v>7661</v>
      </c>
    </row>
    <row r="70" spans="1:8" ht="13.2">
      <c r="A70" s="844">
        <v>46170</v>
      </c>
      <c r="B70" s="848">
        <v>8528</v>
      </c>
      <c r="C70" s="848">
        <v>6111</v>
      </c>
      <c r="D70" s="848">
        <v>8176</v>
      </c>
      <c r="E70" s="848">
        <v>7903</v>
      </c>
      <c r="F70" s="848">
        <v>7661</v>
      </c>
    </row>
    <row r="71" spans="1:8" ht="13.2">
      <c r="A71" s="844">
        <v>46171</v>
      </c>
      <c r="B71" s="848">
        <v>8898</v>
      </c>
      <c r="C71" s="848">
        <v>6111</v>
      </c>
      <c r="D71" s="848">
        <v>8180</v>
      </c>
      <c r="E71" s="848">
        <v>8125</v>
      </c>
      <c r="F71" s="848">
        <v>7759</v>
      </c>
    </row>
    <row r="72" spans="1:8" ht="13.2">
      <c r="A72" s="844">
        <v>46172</v>
      </c>
      <c r="B72" s="848">
        <v>8898</v>
      </c>
      <c r="C72" s="848">
        <v>6111</v>
      </c>
      <c r="D72" s="848">
        <v>8180</v>
      </c>
      <c r="E72" s="848">
        <v>8125</v>
      </c>
      <c r="F72" s="848">
        <v>7759</v>
      </c>
    </row>
    <row r="73" spans="1:8" ht="13.2">
      <c r="A73" s="844">
        <v>46173</v>
      </c>
      <c r="B73" s="848">
        <v>9002</v>
      </c>
      <c r="C73" s="848">
        <v>6245</v>
      </c>
      <c r="D73" s="848">
        <v>8341</v>
      </c>
      <c r="E73" s="848">
        <v>8155</v>
      </c>
      <c r="F73" s="848">
        <v>7919</v>
      </c>
    </row>
    <row r="74" spans="1:8" ht="13.2">
      <c r="A74" s="859"/>
    </row>
    <row r="75" spans="1:8" ht="13.2">
      <c r="A75" s="859"/>
    </row>
    <row r="76" spans="1:8" ht="13.2">
      <c r="A76" s="859"/>
    </row>
    <row r="77" spans="1:8" ht="13.2">
      <c r="A77" s="859"/>
    </row>
    <row r="78" spans="1:8" ht="13.2">
      <c r="A78" s="859"/>
    </row>
    <row r="79" spans="1:8" ht="13.2">
      <c r="A79" s="859"/>
    </row>
    <row r="80" spans="1:8" ht="13.2">
      <c r="A80" s="859"/>
    </row>
    <row r="81" spans="1:1" ht="13.2">
      <c r="A81" s="859"/>
    </row>
    <row r="82" spans="1:1" ht="13.2">
      <c r="A82" s="859"/>
    </row>
    <row r="83" spans="1:1" ht="13.2">
      <c r="A83" s="859"/>
    </row>
    <row r="84" spans="1:1" ht="13.2">
      <c r="A84" s="859"/>
    </row>
    <row r="85" spans="1:1" ht="13.2">
      <c r="A85" s="859"/>
    </row>
    <row r="86" spans="1:1" ht="13.2">
      <c r="A86" s="859"/>
    </row>
    <row r="87" spans="1:1" ht="13.2">
      <c r="A87" s="859"/>
    </row>
    <row r="88" spans="1:1" ht="13.2">
      <c r="A88" s="859"/>
    </row>
    <row r="89" spans="1:1" ht="13.2">
      <c r="A89" s="859"/>
    </row>
    <row r="90" spans="1:1" ht="13.2">
      <c r="A90" s="859"/>
    </row>
    <row r="91" spans="1:1" ht="13.2">
      <c r="A91" s="859"/>
    </row>
    <row r="92" spans="1:1" ht="13.2">
      <c r="A92" s="859"/>
    </row>
    <row r="93" spans="1:1" ht="13.2">
      <c r="A93" s="859"/>
    </row>
    <row r="94" spans="1:1" ht="13.2">
      <c r="A94" s="859"/>
    </row>
    <row r="95" spans="1:1" ht="13.2">
      <c r="A95" s="859"/>
    </row>
    <row r="96" spans="1:1" ht="13.2">
      <c r="A96" s="859"/>
    </row>
  </sheetData>
  <mergeCells count="5">
    <mergeCell ref="H7:V41"/>
    <mergeCell ref="W7:W41"/>
    <mergeCell ref="X7:X41"/>
    <mergeCell ref="G9:G41"/>
    <mergeCell ref="G42:X42"/>
  </mergeCells>
  <conditionalFormatting sqref="B2:AX6">
    <cfRule type="cellIs" dxfId="3" priority="1" operator="greaterThan">
      <formula>0</formula>
    </cfRule>
  </conditionalFormatting>
  <conditionalFormatting sqref="B2:AX6">
    <cfRule type="cellIs" dxfId="2" priority="2" operator="lessThan">
      <formula>0</formula>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C6500"/>
    <outlinePr summaryBelow="0" summaryRight="0"/>
  </sheetPr>
  <dimension ref="A1:I996"/>
  <sheetViews>
    <sheetView workbookViewId="0">
      <pane ySplit="1" topLeftCell="A2" activePane="bottomLeft" state="frozen"/>
      <selection pane="bottomLeft" activeCell="B3" sqref="B3"/>
    </sheetView>
  </sheetViews>
  <sheetFormatPr defaultColWidth="12.6640625" defaultRowHeight="15.75" customHeight="1"/>
  <cols>
    <col min="1" max="1" width="12.109375" customWidth="1"/>
    <col min="2" max="2" width="19" customWidth="1"/>
    <col min="3" max="3" width="16.88671875" customWidth="1"/>
    <col min="4" max="4" width="15.44140625" customWidth="1"/>
    <col min="5" max="5" width="19" customWidth="1"/>
    <col min="6" max="6" width="22.77734375" customWidth="1"/>
    <col min="7" max="7" width="19.88671875" customWidth="1"/>
    <col min="8" max="8" width="15.33203125" customWidth="1"/>
    <col min="9" max="9" width="12.77734375" customWidth="1"/>
  </cols>
  <sheetData>
    <row r="1" spans="1:9" ht="22.5" customHeight="1">
      <c r="A1" s="860" t="s">
        <v>337</v>
      </c>
      <c r="B1" s="860" t="s">
        <v>63</v>
      </c>
      <c r="C1" s="860" t="s">
        <v>64</v>
      </c>
      <c r="D1" s="860" t="s">
        <v>34</v>
      </c>
      <c r="E1" s="860" t="s">
        <v>32</v>
      </c>
      <c r="F1" s="860" t="s">
        <v>65</v>
      </c>
      <c r="G1" s="860" t="s">
        <v>126</v>
      </c>
      <c r="H1" s="860" t="s">
        <v>338</v>
      </c>
      <c r="I1" s="860" t="s">
        <v>4</v>
      </c>
    </row>
    <row r="2" spans="1:9" ht="22.5" customHeight="1">
      <c r="A2" s="861">
        <v>1</v>
      </c>
      <c r="B2" s="862" t="s">
        <v>123</v>
      </c>
      <c r="C2" s="863" t="s">
        <v>74</v>
      </c>
      <c r="D2" s="864"/>
      <c r="E2" s="864"/>
      <c r="F2" s="863" t="s">
        <v>36</v>
      </c>
      <c r="G2" s="865">
        <v>0.3</v>
      </c>
      <c r="H2" s="863" t="s">
        <v>7</v>
      </c>
      <c r="I2" s="863" t="s">
        <v>91</v>
      </c>
    </row>
    <row r="3" spans="1:9" ht="22.5" customHeight="1">
      <c r="A3" s="861">
        <v>2</v>
      </c>
      <c r="B3" s="862" t="s">
        <v>145</v>
      </c>
      <c r="C3" s="863" t="s">
        <v>74</v>
      </c>
      <c r="D3" s="864"/>
      <c r="E3" s="864"/>
      <c r="F3" s="863" t="s">
        <v>36</v>
      </c>
      <c r="G3" s="866">
        <v>0.3</v>
      </c>
      <c r="H3" s="863" t="s">
        <v>11</v>
      </c>
      <c r="I3" s="863" t="s">
        <v>95</v>
      </c>
    </row>
    <row r="4" spans="1:9" ht="22.5" customHeight="1">
      <c r="A4" s="861">
        <v>3</v>
      </c>
      <c r="B4" s="862" t="s">
        <v>162</v>
      </c>
      <c r="C4" s="863" t="s">
        <v>77</v>
      </c>
      <c r="D4" s="864"/>
      <c r="E4" s="864"/>
      <c r="F4" s="863" t="s">
        <v>36</v>
      </c>
      <c r="G4" s="866">
        <v>7.05</v>
      </c>
      <c r="H4" s="863" t="s">
        <v>13</v>
      </c>
      <c r="I4" s="863" t="s">
        <v>91</v>
      </c>
    </row>
    <row r="5" spans="1:9" ht="22.5" customHeight="1">
      <c r="A5" s="861">
        <v>4</v>
      </c>
      <c r="B5" s="862" t="s">
        <v>207</v>
      </c>
      <c r="C5" s="863" t="s">
        <v>87</v>
      </c>
      <c r="D5" s="864"/>
      <c r="E5" s="864"/>
      <c r="F5" s="863" t="s">
        <v>36</v>
      </c>
      <c r="G5" s="866">
        <v>3.05</v>
      </c>
      <c r="H5" s="863" t="s">
        <v>9</v>
      </c>
      <c r="I5" s="863" t="s">
        <v>106</v>
      </c>
    </row>
    <row r="6" spans="1:9" ht="22.5" customHeight="1">
      <c r="A6" s="861">
        <v>5</v>
      </c>
      <c r="B6" s="862" t="s">
        <v>236</v>
      </c>
      <c r="C6" s="863" t="s">
        <v>77</v>
      </c>
      <c r="D6" s="864"/>
      <c r="E6" s="864"/>
      <c r="F6" s="863" t="s">
        <v>36</v>
      </c>
      <c r="G6" s="866">
        <v>6.55</v>
      </c>
      <c r="H6" s="863" t="s">
        <v>15</v>
      </c>
      <c r="I6" s="863" t="s">
        <v>106</v>
      </c>
    </row>
    <row r="7" spans="1:9" ht="22.5" customHeight="1">
      <c r="A7" s="861">
        <v>6</v>
      </c>
      <c r="B7" s="862" t="s">
        <v>159</v>
      </c>
      <c r="C7" s="863" t="s">
        <v>74</v>
      </c>
      <c r="D7" s="864"/>
      <c r="E7" s="864"/>
      <c r="F7" s="863" t="s">
        <v>36</v>
      </c>
      <c r="G7" s="866">
        <v>4.05</v>
      </c>
      <c r="H7" s="863" t="s">
        <v>13</v>
      </c>
      <c r="I7" s="863" t="s">
        <v>85</v>
      </c>
    </row>
    <row r="8" spans="1:9" ht="22.5" customHeight="1">
      <c r="A8" s="861">
        <v>7</v>
      </c>
      <c r="B8" s="862" t="s">
        <v>153</v>
      </c>
      <c r="C8" s="863" t="s">
        <v>339</v>
      </c>
      <c r="D8" s="864"/>
      <c r="E8" s="864"/>
      <c r="F8" s="863" t="s">
        <v>36</v>
      </c>
      <c r="G8" s="866">
        <v>0.3</v>
      </c>
      <c r="H8" s="863" t="s">
        <v>11</v>
      </c>
      <c r="I8" s="863" t="s">
        <v>97</v>
      </c>
    </row>
    <row r="9" spans="1:9" ht="22.5" customHeight="1">
      <c r="A9" s="861">
        <v>8</v>
      </c>
      <c r="B9" s="862" t="s">
        <v>76</v>
      </c>
      <c r="C9" s="863" t="s">
        <v>77</v>
      </c>
      <c r="D9" s="864"/>
      <c r="E9" s="864"/>
      <c r="F9" s="863" t="s">
        <v>148</v>
      </c>
      <c r="G9" s="866">
        <v>3.25</v>
      </c>
      <c r="H9" s="863" t="s">
        <v>7</v>
      </c>
      <c r="I9" s="863" t="s">
        <v>79</v>
      </c>
    </row>
    <row r="10" spans="1:9" ht="22.5" customHeight="1">
      <c r="A10" s="861">
        <v>9</v>
      </c>
      <c r="B10" s="862" t="s">
        <v>227</v>
      </c>
      <c r="C10" s="863" t="s">
        <v>77</v>
      </c>
      <c r="D10" s="864"/>
      <c r="E10" s="864"/>
      <c r="F10" s="863" t="s">
        <v>36</v>
      </c>
      <c r="G10" s="866">
        <v>2.8</v>
      </c>
      <c r="H10" s="863" t="s">
        <v>9</v>
      </c>
      <c r="I10" s="863" t="s">
        <v>118</v>
      </c>
    </row>
    <row r="11" spans="1:9" ht="22.5" customHeight="1">
      <c r="A11" s="861">
        <v>10</v>
      </c>
      <c r="B11" s="862" t="s">
        <v>124</v>
      </c>
      <c r="C11" s="863" t="s">
        <v>74</v>
      </c>
      <c r="D11" s="864"/>
      <c r="E11" s="864"/>
      <c r="F11" s="863" t="s">
        <v>36</v>
      </c>
      <c r="G11" s="866">
        <v>1.3</v>
      </c>
      <c r="H11" s="863" t="s">
        <v>7</v>
      </c>
      <c r="I11" s="863" t="s">
        <v>95</v>
      </c>
    </row>
    <row r="12" spans="1:9" ht="22.5" customHeight="1">
      <c r="A12" s="861">
        <v>11</v>
      </c>
      <c r="B12" s="862" t="s">
        <v>135</v>
      </c>
      <c r="C12" s="863" t="s">
        <v>87</v>
      </c>
      <c r="D12" s="864"/>
      <c r="E12" s="864"/>
      <c r="F12" s="863" t="s">
        <v>36</v>
      </c>
      <c r="G12" s="866">
        <v>0.3</v>
      </c>
      <c r="H12" s="863" t="s">
        <v>11</v>
      </c>
      <c r="I12" s="863" t="s">
        <v>91</v>
      </c>
    </row>
    <row r="13" spans="1:9" ht="22.5" customHeight="1">
      <c r="A13" s="861">
        <v>12</v>
      </c>
      <c r="B13" s="862" t="s">
        <v>156</v>
      </c>
      <c r="C13" s="863" t="s">
        <v>339</v>
      </c>
      <c r="D13" s="864"/>
      <c r="E13" s="864"/>
      <c r="F13" s="863" t="s">
        <v>36</v>
      </c>
      <c r="G13" s="866">
        <v>0.3</v>
      </c>
      <c r="H13" s="863" t="s">
        <v>13</v>
      </c>
      <c r="I13" s="863" t="s">
        <v>79</v>
      </c>
    </row>
    <row r="14" spans="1:9" ht="22.5" customHeight="1">
      <c r="A14" s="861">
        <v>13</v>
      </c>
      <c r="B14" s="862" t="s">
        <v>128</v>
      </c>
      <c r="C14" s="863" t="s">
        <v>87</v>
      </c>
      <c r="D14" s="864"/>
      <c r="E14" s="864"/>
      <c r="F14" s="863" t="s">
        <v>148</v>
      </c>
      <c r="G14" s="866">
        <v>3.25</v>
      </c>
      <c r="H14" s="863" t="s">
        <v>11</v>
      </c>
      <c r="I14" s="863" t="s">
        <v>106</v>
      </c>
    </row>
    <row r="15" spans="1:9" ht="22.5" customHeight="1">
      <c r="A15" s="861">
        <v>14</v>
      </c>
      <c r="B15" s="862" t="s">
        <v>130</v>
      </c>
      <c r="C15" s="863" t="s">
        <v>77</v>
      </c>
      <c r="D15" s="864"/>
      <c r="E15" s="864"/>
      <c r="F15" s="863" t="s">
        <v>148</v>
      </c>
      <c r="G15" s="866">
        <v>6.5</v>
      </c>
      <c r="H15" s="863" t="s">
        <v>11</v>
      </c>
      <c r="I15" s="863" t="s">
        <v>82</v>
      </c>
    </row>
    <row r="16" spans="1:9" ht="22.5" customHeight="1">
      <c r="A16" s="861">
        <v>15</v>
      </c>
      <c r="B16" s="862" t="s">
        <v>216</v>
      </c>
      <c r="C16" s="863" t="s">
        <v>74</v>
      </c>
      <c r="D16" s="864"/>
      <c r="E16" s="864"/>
      <c r="F16" s="863" t="s">
        <v>36</v>
      </c>
      <c r="G16" s="866">
        <v>0.3</v>
      </c>
      <c r="H16" s="863" t="s">
        <v>9</v>
      </c>
      <c r="I16" s="863" t="s">
        <v>88</v>
      </c>
    </row>
    <row r="17" spans="1:9" ht="22.5" customHeight="1">
      <c r="A17" s="861">
        <v>16</v>
      </c>
      <c r="B17" s="862" t="s">
        <v>131</v>
      </c>
      <c r="C17" s="863" t="s">
        <v>74</v>
      </c>
      <c r="D17" s="864"/>
      <c r="E17" s="864"/>
      <c r="F17" s="863" t="s">
        <v>36</v>
      </c>
      <c r="G17" s="866">
        <v>0.3</v>
      </c>
      <c r="H17" s="863" t="s">
        <v>11</v>
      </c>
      <c r="I17" s="863" t="s">
        <v>88</v>
      </c>
    </row>
    <row r="18" spans="1:9" ht="22.5" customHeight="1">
      <c r="A18" s="861">
        <v>17</v>
      </c>
      <c r="B18" s="862" t="s">
        <v>195</v>
      </c>
      <c r="C18" s="863" t="s">
        <v>87</v>
      </c>
      <c r="D18" s="864"/>
      <c r="E18" s="864"/>
      <c r="F18" s="863" t="s">
        <v>36</v>
      </c>
      <c r="G18" s="866">
        <v>7.05</v>
      </c>
      <c r="H18" s="863" t="s">
        <v>15</v>
      </c>
      <c r="I18" s="863" t="s">
        <v>91</v>
      </c>
    </row>
    <row r="19" spans="1:9" ht="22.5" customHeight="1">
      <c r="A19" s="861">
        <v>18</v>
      </c>
      <c r="B19" s="862" t="s">
        <v>105</v>
      </c>
      <c r="C19" s="863" t="s">
        <v>77</v>
      </c>
      <c r="D19" s="864"/>
      <c r="E19" s="864"/>
      <c r="F19" s="863" t="s">
        <v>36</v>
      </c>
      <c r="G19" s="866">
        <v>0.55000000000000004</v>
      </c>
      <c r="H19" s="863" t="s">
        <v>7</v>
      </c>
      <c r="I19" s="863" t="s">
        <v>106</v>
      </c>
    </row>
    <row r="20" spans="1:9" ht="22.5" customHeight="1">
      <c r="A20" s="861">
        <v>19</v>
      </c>
      <c r="B20" s="862" t="s">
        <v>210</v>
      </c>
      <c r="C20" s="863" t="s">
        <v>77</v>
      </c>
      <c r="D20" s="864"/>
      <c r="E20" s="864"/>
      <c r="F20" s="863" t="s">
        <v>36</v>
      </c>
      <c r="G20" s="866">
        <v>0.8</v>
      </c>
      <c r="H20" s="863" t="s">
        <v>9</v>
      </c>
      <c r="I20" s="863" t="s">
        <v>79</v>
      </c>
    </row>
    <row r="21" spans="1:9" ht="22.5" customHeight="1">
      <c r="A21" s="861">
        <v>20</v>
      </c>
      <c r="B21" s="862" t="s">
        <v>115</v>
      </c>
      <c r="C21" s="863" t="s">
        <v>339</v>
      </c>
      <c r="D21" s="864"/>
      <c r="E21" s="864"/>
      <c r="F21" s="863" t="s">
        <v>36</v>
      </c>
      <c r="G21" s="866">
        <v>0.3</v>
      </c>
      <c r="H21" s="863" t="s">
        <v>7</v>
      </c>
      <c r="I21" s="863" t="s">
        <v>79</v>
      </c>
    </row>
    <row r="22" spans="1:9" ht="22.5" customHeight="1">
      <c r="A22" s="861">
        <v>21</v>
      </c>
      <c r="B22" s="862" t="s">
        <v>340</v>
      </c>
      <c r="C22" s="863" t="s">
        <v>74</v>
      </c>
      <c r="D22" s="864"/>
      <c r="E22" s="864"/>
      <c r="F22" s="863" t="s">
        <v>36</v>
      </c>
      <c r="G22" s="866">
        <v>5.5</v>
      </c>
      <c r="H22" s="863" t="s">
        <v>13</v>
      </c>
      <c r="I22" s="863" t="s">
        <v>95</v>
      </c>
    </row>
    <row r="23" spans="1:9" ht="22.5" customHeight="1">
      <c r="A23" s="861">
        <v>22</v>
      </c>
      <c r="B23" s="862" t="s">
        <v>208</v>
      </c>
      <c r="C23" s="863" t="s">
        <v>77</v>
      </c>
      <c r="D23" s="864"/>
      <c r="E23" s="864"/>
      <c r="F23" s="863" t="s">
        <v>148</v>
      </c>
      <c r="G23" s="866">
        <v>12</v>
      </c>
      <c r="H23" s="863" t="s">
        <v>9</v>
      </c>
      <c r="I23" s="863" t="s">
        <v>106</v>
      </c>
    </row>
    <row r="24" spans="1:9" ht="22.5" customHeight="1">
      <c r="A24" s="861">
        <v>23</v>
      </c>
      <c r="B24" s="862" t="s">
        <v>81</v>
      </c>
      <c r="C24" s="863" t="s">
        <v>77</v>
      </c>
      <c r="D24" s="864"/>
      <c r="E24" s="864"/>
      <c r="F24" s="863" t="s">
        <v>148</v>
      </c>
      <c r="G24" s="866">
        <v>15.5</v>
      </c>
      <c r="H24" s="863" t="s">
        <v>7</v>
      </c>
      <c r="I24" s="863" t="s">
        <v>82</v>
      </c>
    </row>
    <row r="25" spans="1:9" ht="22.5" customHeight="1">
      <c r="A25" s="861">
        <v>24</v>
      </c>
      <c r="B25" s="862" t="s">
        <v>203</v>
      </c>
      <c r="C25" s="863" t="s">
        <v>74</v>
      </c>
      <c r="D25" s="864"/>
      <c r="E25" s="864"/>
      <c r="F25" s="863" t="s">
        <v>148</v>
      </c>
      <c r="G25" s="866">
        <v>2.5</v>
      </c>
      <c r="H25" s="863" t="s">
        <v>15</v>
      </c>
      <c r="I25" s="863" t="s">
        <v>97</v>
      </c>
    </row>
    <row r="26" spans="1:9" ht="22.5" customHeight="1">
      <c r="A26" s="861">
        <v>25</v>
      </c>
      <c r="B26" s="862" t="s">
        <v>213</v>
      </c>
      <c r="C26" s="863" t="s">
        <v>74</v>
      </c>
      <c r="D26" s="864"/>
      <c r="E26" s="864"/>
      <c r="F26" s="863" t="s">
        <v>148</v>
      </c>
      <c r="G26" s="866">
        <v>5.5</v>
      </c>
      <c r="H26" s="863" t="s">
        <v>9</v>
      </c>
      <c r="I26" s="863" t="s">
        <v>82</v>
      </c>
    </row>
    <row r="27" spans="1:9" ht="22.5" customHeight="1">
      <c r="A27" s="861">
        <v>26</v>
      </c>
      <c r="B27" s="862" t="s">
        <v>191</v>
      </c>
      <c r="C27" s="863" t="s">
        <v>339</v>
      </c>
      <c r="D27" s="864"/>
      <c r="E27" s="864"/>
      <c r="F27" s="863" t="s">
        <v>36</v>
      </c>
      <c r="G27" s="866">
        <v>3</v>
      </c>
      <c r="H27" s="863" t="s">
        <v>15</v>
      </c>
      <c r="I27" s="863" t="s">
        <v>88</v>
      </c>
    </row>
    <row r="28" spans="1:9" ht="22.5" customHeight="1">
      <c r="A28" s="861">
        <v>27</v>
      </c>
      <c r="B28" s="862" t="s">
        <v>170</v>
      </c>
      <c r="C28" s="863" t="s">
        <v>339</v>
      </c>
      <c r="D28" s="864"/>
      <c r="E28" s="864"/>
      <c r="F28" s="863" t="s">
        <v>148</v>
      </c>
      <c r="G28" s="866">
        <v>2</v>
      </c>
      <c r="H28" s="863" t="s">
        <v>13</v>
      </c>
      <c r="I28" s="863" t="s">
        <v>79</v>
      </c>
    </row>
    <row r="29" spans="1:9" ht="22.5" customHeight="1">
      <c r="A29" s="861">
        <v>28</v>
      </c>
      <c r="B29" s="862" t="s">
        <v>225</v>
      </c>
      <c r="C29" s="863" t="s">
        <v>77</v>
      </c>
      <c r="D29" s="864"/>
      <c r="E29" s="864"/>
      <c r="F29" s="863" t="s">
        <v>148</v>
      </c>
      <c r="G29" s="866">
        <v>1.25</v>
      </c>
      <c r="H29" s="863" t="s">
        <v>9</v>
      </c>
      <c r="I29" s="863" t="s">
        <v>122</v>
      </c>
    </row>
    <row r="30" spans="1:9" ht="22.5" customHeight="1">
      <c r="A30" s="861">
        <v>29</v>
      </c>
      <c r="B30" s="862" t="s">
        <v>104</v>
      </c>
      <c r="C30" s="863" t="s">
        <v>77</v>
      </c>
      <c r="D30" s="864"/>
      <c r="E30" s="864"/>
      <c r="F30" s="863" t="s">
        <v>148</v>
      </c>
      <c r="G30" s="866">
        <v>1.25</v>
      </c>
      <c r="H30" s="863" t="s">
        <v>7</v>
      </c>
      <c r="I30" s="863" t="s">
        <v>85</v>
      </c>
    </row>
    <row r="31" spans="1:9" ht="22.5" customHeight="1">
      <c r="A31" s="861">
        <v>30</v>
      </c>
      <c r="B31" s="862" t="s">
        <v>209</v>
      </c>
      <c r="C31" s="863" t="s">
        <v>339</v>
      </c>
      <c r="D31" s="864"/>
      <c r="E31" s="864"/>
      <c r="F31" s="863" t="s">
        <v>148</v>
      </c>
      <c r="G31" s="866">
        <v>8</v>
      </c>
      <c r="H31" s="863" t="s">
        <v>9</v>
      </c>
      <c r="I31" s="863" t="s">
        <v>79</v>
      </c>
    </row>
    <row r="32" spans="1:9" ht="22.5" customHeight="1">
      <c r="A32" s="861">
        <v>31</v>
      </c>
      <c r="B32" s="862" t="s">
        <v>188</v>
      </c>
      <c r="C32" s="863" t="s">
        <v>77</v>
      </c>
      <c r="D32" s="864"/>
      <c r="E32" s="864"/>
      <c r="F32" s="863" t="s">
        <v>148</v>
      </c>
      <c r="G32" s="866">
        <v>1.5</v>
      </c>
      <c r="H32" s="863" t="s">
        <v>15</v>
      </c>
      <c r="I32" s="863" t="s">
        <v>82</v>
      </c>
    </row>
    <row r="33" spans="1:9" ht="22.5" customHeight="1">
      <c r="A33" s="861">
        <v>32</v>
      </c>
      <c r="B33" s="862" t="s">
        <v>94</v>
      </c>
      <c r="C33" s="863" t="s">
        <v>77</v>
      </c>
      <c r="D33" s="864"/>
      <c r="E33" s="864"/>
      <c r="F33" s="863" t="s">
        <v>148</v>
      </c>
      <c r="G33" s="866">
        <v>2.5</v>
      </c>
      <c r="H33" s="863" t="s">
        <v>7</v>
      </c>
      <c r="I33" s="863" t="s">
        <v>95</v>
      </c>
    </row>
    <row r="34" spans="1:9" ht="22.5" customHeight="1">
      <c r="A34" s="861">
        <v>33</v>
      </c>
      <c r="B34" s="862" t="s">
        <v>92</v>
      </c>
      <c r="C34" s="863" t="s">
        <v>77</v>
      </c>
      <c r="D34" s="864"/>
      <c r="E34" s="864"/>
      <c r="F34" s="863" t="s">
        <v>36</v>
      </c>
      <c r="G34" s="866">
        <v>5.5</v>
      </c>
      <c r="H34" s="863" t="s">
        <v>7</v>
      </c>
      <c r="I34" s="863" t="s">
        <v>91</v>
      </c>
    </row>
    <row r="35" spans="1:9" ht="22.5" customHeight="1">
      <c r="A35" s="861">
        <v>34</v>
      </c>
      <c r="B35" s="862" t="s">
        <v>304</v>
      </c>
      <c r="C35" s="863" t="s">
        <v>74</v>
      </c>
      <c r="D35" s="864"/>
      <c r="E35" s="864"/>
      <c r="F35" s="863" t="s">
        <v>148</v>
      </c>
      <c r="G35" s="866">
        <v>1.75</v>
      </c>
      <c r="H35" s="863" t="s">
        <v>7</v>
      </c>
      <c r="I35" s="863" t="s">
        <v>106</v>
      </c>
    </row>
    <row r="36" spans="1:9" ht="22.5" customHeight="1">
      <c r="A36" s="861">
        <v>35</v>
      </c>
      <c r="B36" s="862" t="s">
        <v>80</v>
      </c>
      <c r="C36" s="863" t="s">
        <v>74</v>
      </c>
      <c r="D36" s="864"/>
      <c r="E36" s="864"/>
      <c r="F36" s="863" t="s">
        <v>148</v>
      </c>
      <c r="G36" s="866">
        <v>3.75</v>
      </c>
      <c r="H36" s="863" t="s">
        <v>7</v>
      </c>
      <c r="I36" s="863" t="s">
        <v>79</v>
      </c>
    </row>
    <row r="37" spans="1:9" ht="22.5" customHeight="1">
      <c r="A37" s="861">
        <v>36</v>
      </c>
      <c r="B37" s="862" t="s">
        <v>154</v>
      </c>
      <c r="C37" s="863" t="s">
        <v>77</v>
      </c>
      <c r="D37" s="864"/>
      <c r="E37" s="864"/>
      <c r="F37" s="863" t="s">
        <v>148</v>
      </c>
      <c r="G37" s="866">
        <v>5.5</v>
      </c>
      <c r="H37" s="863" t="s">
        <v>13</v>
      </c>
      <c r="I37" s="863" t="s">
        <v>106</v>
      </c>
    </row>
    <row r="38" spans="1:9" ht="22.5" customHeight="1">
      <c r="A38" s="861">
        <v>37</v>
      </c>
      <c r="B38" s="862" t="s">
        <v>132</v>
      </c>
      <c r="C38" s="863" t="s">
        <v>77</v>
      </c>
      <c r="D38" s="864"/>
      <c r="E38" s="864"/>
      <c r="F38" s="863" t="s">
        <v>148</v>
      </c>
      <c r="G38" s="866">
        <v>5.5</v>
      </c>
      <c r="H38" s="863" t="s">
        <v>11</v>
      </c>
      <c r="I38" s="863" t="s">
        <v>118</v>
      </c>
    </row>
    <row r="39" spans="1:9" ht="22.5" customHeight="1">
      <c r="A39" s="861">
        <v>38</v>
      </c>
      <c r="B39" s="862" t="s">
        <v>180</v>
      </c>
      <c r="C39" s="863" t="s">
        <v>339</v>
      </c>
      <c r="D39" s="864"/>
      <c r="E39" s="864"/>
      <c r="F39" s="863" t="s">
        <v>148</v>
      </c>
      <c r="G39" s="866">
        <v>0.75</v>
      </c>
      <c r="H39" s="863" t="s">
        <v>13</v>
      </c>
      <c r="I39" s="863" t="s">
        <v>118</v>
      </c>
    </row>
    <row r="40" spans="1:9" ht="22.5" customHeight="1">
      <c r="A40" s="861">
        <v>39</v>
      </c>
      <c r="B40" s="862" t="s">
        <v>133</v>
      </c>
      <c r="C40" s="863" t="s">
        <v>77</v>
      </c>
      <c r="D40" s="864"/>
      <c r="E40" s="864"/>
      <c r="F40" s="863" t="s">
        <v>148</v>
      </c>
      <c r="G40" s="866">
        <v>3</v>
      </c>
      <c r="H40" s="863" t="s">
        <v>11</v>
      </c>
      <c r="I40" s="863" t="s">
        <v>118</v>
      </c>
    </row>
    <row r="41" spans="1:9" ht="22.5" customHeight="1">
      <c r="A41" s="861">
        <v>40</v>
      </c>
      <c r="B41" s="862" t="s">
        <v>215</v>
      </c>
      <c r="C41" s="863" t="s">
        <v>74</v>
      </c>
      <c r="D41" s="864"/>
      <c r="E41" s="864"/>
      <c r="F41" s="863" t="s">
        <v>148</v>
      </c>
      <c r="G41" s="866">
        <v>4.75</v>
      </c>
      <c r="H41" s="863" t="s">
        <v>9</v>
      </c>
      <c r="I41" s="863" t="s">
        <v>85</v>
      </c>
    </row>
    <row r="42" spans="1:9" ht="22.5" customHeight="1">
      <c r="A42" s="861">
        <v>41</v>
      </c>
      <c r="B42" s="862" t="s">
        <v>150</v>
      </c>
      <c r="C42" s="863" t="s">
        <v>74</v>
      </c>
      <c r="D42" s="864"/>
      <c r="E42" s="864"/>
      <c r="F42" s="863" t="s">
        <v>148</v>
      </c>
      <c r="G42" s="866">
        <v>3</v>
      </c>
      <c r="H42" s="863" t="s">
        <v>11</v>
      </c>
      <c r="I42" s="863" t="s">
        <v>106</v>
      </c>
    </row>
    <row r="43" spans="1:9" ht="22.5" customHeight="1">
      <c r="A43" s="861">
        <v>42</v>
      </c>
      <c r="B43" s="862" t="s">
        <v>231</v>
      </c>
      <c r="C43" s="863" t="s">
        <v>339</v>
      </c>
      <c r="D43" s="864"/>
      <c r="E43" s="864"/>
      <c r="F43" s="863" t="s">
        <v>36</v>
      </c>
      <c r="G43" s="866">
        <v>0.75</v>
      </c>
      <c r="H43" s="863" t="s">
        <v>9</v>
      </c>
      <c r="I43" s="863" t="s">
        <v>82</v>
      </c>
    </row>
    <row r="44" spans="1:9" ht="22.5" customHeight="1">
      <c r="A44" s="861">
        <v>43</v>
      </c>
      <c r="B44" s="862" t="s">
        <v>220</v>
      </c>
      <c r="C44" s="863" t="s">
        <v>77</v>
      </c>
      <c r="D44" s="864"/>
      <c r="E44" s="864"/>
      <c r="F44" s="863" t="s">
        <v>148</v>
      </c>
      <c r="G44" s="866">
        <v>3.75</v>
      </c>
      <c r="H44" s="863" t="s">
        <v>9</v>
      </c>
      <c r="I44" s="863" t="s">
        <v>95</v>
      </c>
    </row>
    <row r="45" spans="1:9" ht="22.5" customHeight="1">
      <c r="A45" s="861">
        <v>44</v>
      </c>
      <c r="B45" s="862" t="s">
        <v>166</v>
      </c>
      <c r="C45" s="863" t="s">
        <v>339</v>
      </c>
      <c r="D45" s="864"/>
      <c r="E45" s="864"/>
      <c r="F45" s="863" t="s">
        <v>148</v>
      </c>
      <c r="G45" s="866">
        <v>2.5</v>
      </c>
      <c r="H45" s="863" t="s">
        <v>13</v>
      </c>
      <c r="I45" s="863" t="s">
        <v>97</v>
      </c>
    </row>
    <row r="46" spans="1:9" ht="22.5" customHeight="1">
      <c r="A46" s="861">
        <v>45</v>
      </c>
      <c r="B46" s="862" t="s">
        <v>93</v>
      </c>
      <c r="C46" s="863" t="s">
        <v>77</v>
      </c>
      <c r="D46" s="864"/>
      <c r="E46" s="864"/>
      <c r="F46" s="863" t="s">
        <v>36</v>
      </c>
      <c r="G46" s="866">
        <v>3</v>
      </c>
      <c r="H46" s="863" t="s">
        <v>7</v>
      </c>
      <c r="I46" s="863" t="s">
        <v>91</v>
      </c>
    </row>
    <row r="47" spans="1:9" ht="22.5" customHeight="1">
      <c r="A47" s="861">
        <v>46</v>
      </c>
      <c r="B47" s="862" t="s">
        <v>193</v>
      </c>
      <c r="C47" s="863" t="s">
        <v>77</v>
      </c>
      <c r="D47" s="864"/>
      <c r="E47" s="864"/>
      <c r="F47" s="863" t="s">
        <v>148</v>
      </c>
      <c r="G47" s="866">
        <v>16.5</v>
      </c>
      <c r="H47" s="863" t="s">
        <v>15</v>
      </c>
      <c r="I47" s="863" t="s">
        <v>118</v>
      </c>
    </row>
    <row r="48" spans="1:9" ht="22.5" customHeight="1">
      <c r="A48" s="861">
        <v>47</v>
      </c>
      <c r="B48" s="862" t="s">
        <v>147</v>
      </c>
      <c r="C48" s="863" t="s">
        <v>74</v>
      </c>
      <c r="D48" s="864"/>
      <c r="E48" s="864"/>
      <c r="F48" s="863" t="s">
        <v>148</v>
      </c>
      <c r="G48" s="866">
        <v>7</v>
      </c>
      <c r="H48" s="863" t="s">
        <v>11</v>
      </c>
      <c r="I48" s="863" t="s">
        <v>85</v>
      </c>
    </row>
    <row r="49" spans="1:9" ht="22.5" customHeight="1">
      <c r="A49" s="861">
        <v>48</v>
      </c>
      <c r="B49" s="862" t="s">
        <v>232</v>
      </c>
      <c r="C49" s="863" t="s">
        <v>339</v>
      </c>
      <c r="D49" s="864"/>
      <c r="E49" s="864"/>
      <c r="F49" s="863" t="s">
        <v>148</v>
      </c>
      <c r="G49" s="866">
        <v>2.25</v>
      </c>
      <c r="H49" s="863" t="s">
        <v>9</v>
      </c>
      <c r="I49" s="863" t="s">
        <v>82</v>
      </c>
    </row>
    <row r="50" spans="1:9" ht="22.5" customHeight="1">
      <c r="A50" s="861">
        <v>49</v>
      </c>
      <c r="B50" s="862" t="s">
        <v>139</v>
      </c>
      <c r="C50" s="863" t="s">
        <v>74</v>
      </c>
      <c r="D50" s="864"/>
      <c r="E50" s="864"/>
      <c r="F50" s="863" t="s">
        <v>148</v>
      </c>
      <c r="G50" s="866">
        <v>6</v>
      </c>
      <c r="H50" s="863" t="s">
        <v>11</v>
      </c>
      <c r="I50" s="863" t="s">
        <v>97</v>
      </c>
    </row>
    <row r="51" spans="1:9" ht="22.5" customHeight="1">
      <c r="A51" s="861">
        <v>50</v>
      </c>
      <c r="B51" s="862" t="s">
        <v>217</v>
      </c>
      <c r="C51" s="863" t="s">
        <v>77</v>
      </c>
      <c r="D51" s="864"/>
      <c r="E51" s="864"/>
      <c r="F51" s="863" t="s">
        <v>148</v>
      </c>
      <c r="G51" s="866">
        <v>8.5</v>
      </c>
      <c r="H51" s="863" t="s">
        <v>9</v>
      </c>
      <c r="I51" s="863" t="s">
        <v>88</v>
      </c>
    </row>
    <row r="52" spans="1:9" ht="22.5" customHeight="1">
      <c r="A52" s="861">
        <v>51</v>
      </c>
      <c r="B52" s="862" t="s">
        <v>98</v>
      </c>
      <c r="C52" s="863" t="s">
        <v>339</v>
      </c>
      <c r="D52" s="864"/>
      <c r="E52" s="864"/>
      <c r="F52" s="863" t="s">
        <v>148</v>
      </c>
      <c r="G52" s="866">
        <v>9.5</v>
      </c>
      <c r="H52" s="863" t="s">
        <v>7</v>
      </c>
      <c r="I52" s="863" t="s">
        <v>97</v>
      </c>
    </row>
    <row r="53" spans="1:9" ht="22.5" customHeight="1">
      <c r="A53" s="861">
        <v>52</v>
      </c>
      <c r="B53" s="862" t="s">
        <v>136</v>
      </c>
      <c r="C53" s="863" t="s">
        <v>74</v>
      </c>
      <c r="D53" s="864"/>
      <c r="E53" s="864"/>
      <c r="F53" s="863" t="s">
        <v>148</v>
      </c>
      <c r="G53" s="866">
        <v>8.5</v>
      </c>
      <c r="H53" s="863" t="s">
        <v>11</v>
      </c>
      <c r="I53" s="863" t="s">
        <v>91</v>
      </c>
    </row>
    <row r="54" spans="1:9" ht="22.5" customHeight="1">
      <c r="A54" s="861">
        <v>53</v>
      </c>
      <c r="B54" s="862" t="s">
        <v>96</v>
      </c>
      <c r="C54" s="863" t="s">
        <v>74</v>
      </c>
      <c r="D54" s="864"/>
      <c r="E54" s="864"/>
      <c r="F54" s="863" t="s">
        <v>148</v>
      </c>
      <c r="G54" s="866">
        <v>6</v>
      </c>
      <c r="H54" s="863" t="s">
        <v>7</v>
      </c>
      <c r="I54" s="863" t="s">
        <v>97</v>
      </c>
    </row>
    <row r="55" spans="1:9" ht="22.5" customHeight="1">
      <c r="A55" s="861">
        <v>54</v>
      </c>
      <c r="B55" s="862" t="s">
        <v>134</v>
      </c>
      <c r="C55" s="863" t="s">
        <v>74</v>
      </c>
      <c r="D55" s="864"/>
      <c r="E55" s="864"/>
      <c r="F55" s="863" t="s">
        <v>148</v>
      </c>
      <c r="G55" s="866">
        <v>11</v>
      </c>
      <c r="H55" s="863" t="s">
        <v>11</v>
      </c>
      <c r="I55" s="863" t="s">
        <v>118</v>
      </c>
    </row>
    <row r="56" spans="1:9" ht="22.5" customHeight="1">
      <c r="A56" s="861">
        <v>55</v>
      </c>
      <c r="B56" s="862" t="s">
        <v>221</v>
      </c>
      <c r="C56" s="863" t="s">
        <v>77</v>
      </c>
      <c r="D56" s="864"/>
      <c r="E56" s="864"/>
      <c r="F56" s="863" t="s">
        <v>148</v>
      </c>
      <c r="G56" s="866">
        <v>11.5</v>
      </c>
      <c r="H56" s="863" t="s">
        <v>9</v>
      </c>
      <c r="I56" s="863" t="s">
        <v>97</v>
      </c>
    </row>
    <row r="57" spans="1:9" ht="22.5" customHeight="1">
      <c r="A57" s="861">
        <v>56</v>
      </c>
      <c r="B57" s="862" t="s">
        <v>117</v>
      </c>
      <c r="C57" s="863" t="s">
        <v>339</v>
      </c>
      <c r="D57" s="864"/>
      <c r="E57" s="864"/>
      <c r="F57" s="863" t="s">
        <v>148</v>
      </c>
      <c r="G57" s="866">
        <v>1.5</v>
      </c>
      <c r="H57" s="863" t="s">
        <v>7</v>
      </c>
      <c r="I57" s="863" t="s">
        <v>118</v>
      </c>
    </row>
    <row r="58" spans="1:9" ht="22.5" customHeight="1">
      <c r="A58" s="861">
        <v>57</v>
      </c>
      <c r="B58" s="862" t="s">
        <v>99</v>
      </c>
      <c r="C58" s="863" t="s">
        <v>74</v>
      </c>
      <c r="D58" s="864"/>
      <c r="E58" s="864"/>
      <c r="F58" s="863" t="s">
        <v>148</v>
      </c>
      <c r="G58" s="866">
        <v>2</v>
      </c>
      <c r="H58" s="863" t="s">
        <v>7</v>
      </c>
      <c r="I58" s="863" t="s">
        <v>88</v>
      </c>
    </row>
    <row r="59" spans="1:9" ht="22.5" customHeight="1">
      <c r="A59" s="861">
        <v>58</v>
      </c>
      <c r="B59" s="862" t="s">
        <v>161</v>
      </c>
      <c r="C59" s="863" t="s">
        <v>339</v>
      </c>
      <c r="D59" s="864"/>
      <c r="E59" s="864"/>
      <c r="F59" s="863" t="s">
        <v>148</v>
      </c>
      <c r="G59" s="866">
        <v>2</v>
      </c>
      <c r="H59" s="863" t="s">
        <v>13</v>
      </c>
      <c r="I59" s="863" t="s">
        <v>118</v>
      </c>
    </row>
    <row r="60" spans="1:9" ht="22.5" customHeight="1">
      <c r="A60" s="861">
        <v>59</v>
      </c>
      <c r="B60" s="862" t="s">
        <v>157</v>
      </c>
      <c r="C60" s="863" t="s">
        <v>77</v>
      </c>
      <c r="D60" s="864"/>
      <c r="E60" s="864"/>
      <c r="F60" s="863" t="s">
        <v>148</v>
      </c>
      <c r="G60" s="866">
        <v>11.5</v>
      </c>
      <c r="H60" s="863" t="s">
        <v>13</v>
      </c>
      <c r="I60" s="863" t="s">
        <v>82</v>
      </c>
    </row>
    <row r="61" spans="1:9" ht="22.5" customHeight="1">
      <c r="A61" s="861">
        <v>60</v>
      </c>
      <c r="B61" s="862" t="s">
        <v>137</v>
      </c>
      <c r="C61" s="863" t="s">
        <v>339</v>
      </c>
      <c r="D61" s="864"/>
      <c r="E61" s="864"/>
      <c r="F61" s="863" t="s">
        <v>148</v>
      </c>
      <c r="G61" s="866">
        <v>2.5</v>
      </c>
      <c r="H61" s="863" t="s">
        <v>11</v>
      </c>
      <c r="I61" s="863" t="s">
        <v>95</v>
      </c>
    </row>
    <row r="62" spans="1:9" ht="22.5" customHeight="1">
      <c r="A62" s="861">
        <v>61</v>
      </c>
      <c r="B62" s="862" t="s">
        <v>163</v>
      </c>
      <c r="C62" s="863" t="s">
        <v>77</v>
      </c>
      <c r="D62" s="864"/>
      <c r="E62" s="864"/>
      <c r="F62" s="863" t="s">
        <v>148</v>
      </c>
      <c r="G62" s="866">
        <v>8.5</v>
      </c>
      <c r="H62" s="863" t="s">
        <v>13</v>
      </c>
      <c r="I62" s="863" t="s">
        <v>91</v>
      </c>
    </row>
    <row r="63" spans="1:9" ht="22.5" customHeight="1">
      <c r="A63" s="861">
        <v>62</v>
      </c>
      <c r="B63" s="862" t="s">
        <v>155</v>
      </c>
      <c r="C63" s="863" t="s">
        <v>74</v>
      </c>
      <c r="D63" s="864"/>
      <c r="E63" s="864"/>
      <c r="F63" s="863" t="s">
        <v>148</v>
      </c>
      <c r="G63" s="866">
        <v>5</v>
      </c>
      <c r="H63" s="863" t="s">
        <v>13</v>
      </c>
      <c r="I63" s="863" t="s">
        <v>106</v>
      </c>
    </row>
    <row r="64" spans="1:9" ht="22.5" customHeight="1">
      <c r="A64" s="861">
        <v>63</v>
      </c>
      <c r="B64" s="862" t="s">
        <v>192</v>
      </c>
      <c r="C64" s="863" t="s">
        <v>339</v>
      </c>
      <c r="D64" s="864"/>
      <c r="E64" s="864"/>
      <c r="F64" s="863" t="s">
        <v>148</v>
      </c>
      <c r="G64" s="866">
        <v>15</v>
      </c>
      <c r="H64" s="863" t="s">
        <v>15</v>
      </c>
      <c r="I64" s="863" t="s">
        <v>118</v>
      </c>
    </row>
    <row r="65" spans="1:9" ht="22.5" customHeight="1">
      <c r="A65" s="861">
        <v>64</v>
      </c>
      <c r="B65" s="862" t="s">
        <v>129</v>
      </c>
      <c r="C65" s="863" t="s">
        <v>77</v>
      </c>
      <c r="D65" s="864"/>
      <c r="E65" s="864"/>
      <c r="F65" s="863" t="s">
        <v>148</v>
      </c>
      <c r="G65" s="866">
        <v>6</v>
      </c>
      <c r="H65" s="863" t="s">
        <v>11</v>
      </c>
      <c r="I65" s="863" t="s">
        <v>106</v>
      </c>
    </row>
    <row r="66" spans="1:9" ht="22.5" customHeight="1">
      <c r="A66" s="861">
        <v>65</v>
      </c>
      <c r="B66" s="862" t="s">
        <v>214</v>
      </c>
      <c r="C66" s="863" t="s">
        <v>77</v>
      </c>
      <c r="D66" s="864"/>
      <c r="E66" s="864"/>
      <c r="F66" s="863" t="s">
        <v>148</v>
      </c>
      <c r="G66" s="866">
        <v>7</v>
      </c>
      <c r="H66" s="863" t="s">
        <v>9</v>
      </c>
      <c r="I66" s="863" t="s">
        <v>85</v>
      </c>
    </row>
    <row r="67" spans="1:9" ht="22.5" customHeight="1">
      <c r="A67" s="861">
        <v>66</v>
      </c>
      <c r="B67" s="862" t="s">
        <v>103</v>
      </c>
      <c r="C67" s="863" t="s">
        <v>74</v>
      </c>
      <c r="D67" s="864"/>
      <c r="E67" s="864"/>
      <c r="F67" s="863" t="s">
        <v>148</v>
      </c>
      <c r="G67" s="866">
        <v>2</v>
      </c>
      <c r="H67" s="863" t="s">
        <v>7</v>
      </c>
      <c r="I67" s="863" t="s">
        <v>82</v>
      </c>
    </row>
    <row r="68" spans="1:9" ht="22.5" customHeight="1">
      <c r="A68" s="861">
        <v>67</v>
      </c>
      <c r="B68" s="862" t="s">
        <v>89</v>
      </c>
      <c r="C68" s="863" t="s">
        <v>77</v>
      </c>
      <c r="D68" s="864"/>
      <c r="E68" s="864"/>
      <c r="F68" s="863" t="s">
        <v>148</v>
      </c>
      <c r="G68" s="866">
        <v>10</v>
      </c>
      <c r="H68" s="863" t="s">
        <v>7</v>
      </c>
      <c r="I68" s="863" t="s">
        <v>88</v>
      </c>
    </row>
    <row r="69" spans="1:9" ht="22.5" customHeight="1">
      <c r="A69" s="861">
        <v>68</v>
      </c>
      <c r="B69" s="862" t="s">
        <v>218</v>
      </c>
      <c r="C69" s="863" t="s">
        <v>74</v>
      </c>
      <c r="D69" s="864"/>
      <c r="E69" s="864"/>
      <c r="F69" s="863" t="s">
        <v>148</v>
      </c>
      <c r="G69" s="866">
        <v>5</v>
      </c>
      <c r="H69" s="863" t="s">
        <v>9</v>
      </c>
      <c r="I69" s="863" t="s">
        <v>91</v>
      </c>
    </row>
    <row r="70" spans="1:9" ht="22.5" customHeight="1">
      <c r="A70" s="861">
        <v>69</v>
      </c>
      <c r="B70" s="862" t="s">
        <v>164</v>
      </c>
      <c r="C70" s="863" t="s">
        <v>77</v>
      </c>
      <c r="D70" s="864"/>
      <c r="E70" s="864"/>
      <c r="F70" s="863" t="s">
        <v>148</v>
      </c>
      <c r="G70" s="866">
        <v>2</v>
      </c>
      <c r="H70" s="863" t="s">
        <v>13</v>
      </c>
      <c r="I70" s="863" t="s">
        <v>95</v>
      </c>
    </row>
    <row r="71" spans="1:9" ht="22.5" customHeight="1">
      <c r="A71" s="861">
        <v>70</v>
      </c>
      <c r="B71" s="862" t="s">
        <v>158</v>
      </c>
      <c r="C71" s="863" t="s">
        <v>74</v>
      </c>
      <c r="D71" s="864"/>
      <c r="E71" s="864"/>
      <c r="F71" s="863" t="s">
        <v>148</v>
      </c>
      <c r="G71" s="866">
        <v>4.75</v>
      </c>
      <c r="H71" s="863" t="s">
        <v>13</v>
      </c>
      <c r="I71" s="863" t="s">
        <v>82</v>
      </c>
    </row>
    <row r="72" spans="1:9" ht="22.5" customHeight="1">
      <c r="A72" s="861">
        <v>71</v>
      </c>
      <c r="B72" s="862" t="s">
        <v>212</v>
      </c>
      <c r="C72" s="863" t="s">
        <v>77</v>
      </c>
      <c r="D72" s="864"/>
      <c r="E72" s="864"/>
      <c r="F72" s="863" t="s">
        <v>148</v>
      </c>
      <c r="G72" s="866">
        <v>9.5</v>
      </c>
      <c r="H72" s="863" t="s">
        <v>9</v>
      </c>
      <c r="I72" s="863" t="s">
        <v>79</v>
      </c>
    </row>
    <row r="73" spans="1:9" ht="22.5" customHeight="1">
      <c r="A73" s="861">
        <v>72</v>
      </c>
      <c r="B73" s="862" t="s">
        <v>125</v>
      </c>
      <c r="C73" s="863" t="s">
        <v>77</v>
      </c>
      <c r="D73" s="864"/>
      <c r="E73" s="864"/>
      <c r="F73" s="863" t="s">
        <v>148</v>
      </c>
      <c r="G73" s="866">
        <v>2</v>
      </c>
      <c r="H73" s="863" t="s">
        <v>7</v>
      </c>
      <c r="I73" s="863" t="s">
        <v>79</v>
      </c>
    </row>
    <row r="74" spans="1:9" ht="22.5" customHeight="1">
      <c r="A74" s="861">
        <v>73</v>
      </c>
      <c r="B74" s="862" t="s">
        <v>165</v>
      </c>
      <c r="C74" s="863" t="s">
        <v>77</v>
      </c>
      <c r="D74" s="864"/>
      <c r="E74" s="864"/>
      <c r="F74" s="863" t="s">
        <v>148</v>
      </c>
      <c r="G74" s="866">
        <v>17</v>
      </c>
      <c r="H74" s="863" t="s">
        <v>13</v>
      </c>
      <c r="I74" s="863" t="s">
        <v>95</v>
      </c>
    </row>
    <row r="75" spans="1:9" ht="22.5" customHeight="1">
      <c r="A75" s="861">
        <v>74</v>
      </c>
      <c r="B75" s="862" t="s">
        <v>116</v>
      </c>
      <c r="C75" s="863" t="s">
        <v>77</v>
      </c>
      <c r="D75" s="864"/>
      <c r="E75" s="864"/>
      <c r="F75" s="863" t="s">
        <v>148</v>
      </c>
      <c r="G75" s="866">
        <v>2</v>
      </c>
      <c r="H75" s="863" t="s">
        <v>7</v>
      </c>
      <c r="I75" s="863" t="s">
        <v>79</v>
      </c>
    </row>
    <row r="76" spans="1:9" ht="22.5" customHeight="1">
      <c r="A76" s="861">
        <v>75</v>
      </c>
      <c r="B76" s="862" t="s">
        <v>160</v>
      </c>
      <c r="C76" s="863" t="s">
        <v>339</v>
      </c>
      <c r="D76" s="864"/>
      <c r="E76" s="864"/>
      <c r="F76" s="863" t="s">
        <v>148</v>
      </c>
      <c r="G76" s="866">
        <v>4.25</v>
      </c>
      <c r="H76" s="863" t="s">
        <v>13</v>
      </c>
      <c r="I76" s="863" t="s">
        <v>88</v>
      </c>
    </row>
    <row r="77" spans="1:9" ht="22.5" customHeight="1">
      <c r="A77" s="861">
        <v>76</v>
      </c>
      <c r="B77" s="862" t="s">
        <v>229</v>
      </c>
      <c r="C77" s="863" t="s">
        <v>77</v>
      </c>
      <c r="D77" s="864"/>
      <c r="E77" s="864"/>
      <c r="F77" s="863" t="s">
        <v>148</v>
      </c>
      <c r="G77" s="866">
        <v>2</v>
      </c>
      <c r="H77" s="863" t="s">
        <v>9</v>
      </c>
      <c r="I77" s="863" t="s">
        <v>85</v>
      </c>
    </row>
    <row r="78" spans="1:9" ht="22.5" customHeight="1">
      <c r="A78" s="861">
        <v>77</v>
      </c>
      <c r="B78" s="862" t="s">
        <v>187</v>
      </c>
      <c r="C78" s="863" t="s">
        <v>74</v>
      </c>
      <c r="D78" s="864"/>
      <c r="E78" s="864"/>
      <c r="F78" s="863" t="s">
        <v>148</v>
      </c>
      <c r="G78" s="866">
        <v>5.5</v>
      </c>
      <c r="H78" s="863" t="s">
        <v>15</v>
      </c>
      <c r="I78" s="863" t="s">
        <v>79</v>
      </c>
    </row>
    <row r="79" spans="1:9" ht="22.5" customHeight="1">
      <c r="A79" s="861">
        <v>78</v>
      </c>
      <c r="B79" s="862" t="s">
        <v>90</v>
      </c>
      <c r="C79" s="863" t="s">
        <v>87</v>
      </c>
      <c r="D79" s="864"/>
      <c r="E79" s="864"/>
      <c r="F79" s="863" t="s">
        <v>148</v>
      </c>
      <c r="G79" s="866">
        <v>2</v>
      </c>
      <c r="H79" s="863" t="s">
        <v>7</v>
      </c>
      <c r="I79" s="863" t="s">
        <v>91</v>
      </c>
    </row>
    <row r="80" spans="1:9" ht="22.5" customHeight="1">
      <c r="A80" s="861">
        <v>79</v>
      </c>
      <c r="B80" s="862" t="s">
        <v>194</v>
      </c>
      <c r="C80" s="863" t="s">
        <v>77</v>
      </c>
      <c r="D80" s="864"/>
      <c r="E80" s="864"/>
      <c r="F80" s="863" t="s">
        <v>148</v>
      </c>
      <c r="G80" s="866">
        <v>5.5</v>
      </c>
      <c r="H80" s="863" t="s">
        <v>15</v>
      </c>
      <c r="I80" s="863" t="s">
        <v>118</v>
      </c>
    </row>
    <row r="81" spans="1:9" ht="22.5" customHeight="1">
      <c r="A81" s="861">
        <v>80</v>
      </c>
      <c r="B81" s="862" t="s">
        <v>222</v>
      </c>
      <c r="C81" s="863" t="s">
        <v>77</v>
      </c>
      <c r="D81" s="864"/>
      <c r="E81" s="864"/>
      <c r="F81" s="863" t="s">
        <v>148</v>
      </c>
      <c r="G81" s="866">
        <v>8</v>
      </c>
      <c r="H81" s="863" t="s">
        <v>9</v>
      </c>
      <c r="I81" s="863" t="s">
        <v>122</v>
      </c>
    </row>
    <row r="82" spans="1:9" ht="22.5" customHeight="1">
      <c r="A82" s="861">
        <v>81</v>
      </c>
      <c r="B82" s="862" t="s">
        <v>83</v>
      </c>
      <c r="C82" s="863" t="s">
        <v>74</v>
      </c>
      <c r="D82" s="864"/>
      <c r="E82" s="864"/>
      <c r="F82" s="863" t="s">
        <v>148</v>
      </c>
      <c r="G82" s="866">
        <v>3.25</v>
      </c>
      <c r="H82" s="863" t="s">
        <v>7</v>
      </c>
      <c r="I82" s="863" t="s">
        <v>82</v>
      </c>
    </row>
    <row r="83" spans="1:9" ht="22.5" customHeight="1">
      <c r="A83" s="861">
        <v>82</v>
      </c>
      <c r="B83" s="862" t="s">
        <v>185</v>
      </c>
      <c r="C83" s="863" t="s">
        <v>77</v>
      </c>
      <c r="D83" s="864"/>
      <c r="E83" s="864"/>
      <c r="F83" s="863" t="s">
        <v>36</v>
      </c>
      <c r="G83" s="866">
        <v>2</v>
      </c>
      <c r="H83" s="863" t="s">
        <v>15</v>
      </c>
      <c r="I83" s="863" t="s">
        <v>106</v>
      </c>
    </row>
    <row r="84" spans="1:9" ht="22.5" customHeight="1">
      <c r="A84" s="861">
        <v>83</v>
      </c>
      <c r="B84" s="862" t="s">
        <v>219</v>
      </c>
      <c r="C84" s="863" t="s">
        <v>339</v>
      </c>
      <c r="D84" s="864"/>
      <c r="E84" s="864"/>
      <c r="F84" s="863" t="s">
        <v>148</v>
      </c>
      <c r="G84" s="866">
        <v>2.5</v>
      </c>
      <c r="H84" s="863" t="s">
        <v>9</v>
      </c>
      <c r="I84" s="863" t="s">
        <v>95</v>
      </c>
    </row>
    <row r="85" spans="1:9" ht="22.5" customHeight="1">
      <c r="A85" s="861">
        <v>84</v>
      </c>
      <c r="B85" s="862" t="s">
        <v>172</v>
      </c>
      <c r="C85" s="863" t="s">
        <v>74</v>
      </c>
      <c r="D85" s="864"/>
      <c r="E85" s="864"/>
      <c r="F85" s="863" t="s">
        <v>148</v>
      </c>
      <c r="G85" s="866">
        <v>7</v>
      </c>
      <c r="H85" s="863" t="s">
        <v>13</v>
      </c>
      <c r="I85" s="863" t="s">
        <v>118</v>
      </c>
    </row>
    <row r="86" spans="1:9" ht="22.5" customHeight="1">
      <c r="A86" s="861">
        <v>85</v>
      </c>
      <c r="B86" s="862" t="s">
        <v>181</v>
      </c>
      <c r="C86" s="863" t="s">
        <v>74</v>
      </c>
      <c r="D86" s="864"/>
      <c r="E86" s="864"/>
      <c r="F86" s="863" t="s">
        <v>148</v>
      </c>
      <c r="G86" s="866">
        <v>1.75</v>
      </c>
      <c r="H86" s="863" t="s">
        <v>13</v>
      </c>
      <c r="I86" s="863" t="s">
        <v>106</v>
      </c>
    </row>
    <row r="87" spans="1:9" ht="22.5" customHeight="1">
      <c r="A87" s="861">
        <v>86</v>
      </c>
      <c r="B87" s="862" t="s">
        <v>142</v>
      </c>
      <c r="C87" s="863" t="s">
        <v>339</v>
      </c>
      <c r="D87" s="864"/>
      <c r="E87" s="864"/>
      <c r="F87" s="863" t="s">
        <v>148</v>
      </c>
      <c r="G87" s="866">
        <v>6</v>
      </c>
      <c r="H87" s="863" t="s">
        <v>11</v>
      </c>
      <c r="I87" s="863" t="s">
        <v>122</v>
      </c>
    </row>
    <row r="88" spans="1:9" ht="22.5" customHeight="1">
      <c r="A88" s="861">
        <v>87</v>
      </c>
      <c r="B88" s="862" t="s">
        <v>167</v>
      </c>
      <c r="C88" s="863" t="s">
        <v>339</v>
      </c>
      <c r="D88" s="864"/>
      <c r="E88" s="864"/>
      <c r="F88" s="863" t="s">
        <v>148</v>
      </c>
      <c r="G88" s="866">
        <v>2</v>
      </c>
      <c r="H88" s="863" t="s">
        <v>13</v>
      </c>
      <c r="I88" s="863" t="s">
        <v>122</v>
      </c>
    </row>
    <row r="89" spans="1:9" ht="22.5" customHeight="1">
      <c r="A89" s="861">
        <v>88</v>
      </c>
      <c r="B89" s="862" t="s">
        <v>205</v>
      </c>
      <c r="C89" s="863" t="s">
        <v>87</v>
      </c>
      <c r="D89" s="864"/>
      <c r="E89" s="864"/>
      <c r="F89" s="863" t="s">
        <v>148</v>
      </c>
      <c r="G89" s="866">
        <v>8</v>
      </c>
      <c r="H89" s="863" t="s">
        <v>15</v>
      </c>
      <c r="I89" s="863" t="s">
        <v>91</v>
      </c>
    </row>
    <row r="90" spans="1:9" ht="22.5" customHeight="1">
      <c r="A90" s="861">
        <v>89</v>
      </c>
      <c r="B90" s="862" t="s">
        <v>189</v>
      </c>
      <c r="C90" s="863" t="s">
        <v>339</v>
      </c>
      <c r="D90" s="864"/>
      <c r="E90" s="864"/>
      <c r="F90" s="863" t="s">
        <v>148</v>
      </c>
      <c r="G90" s="866">
        <v>7.5</v>
      </c>
      <c r="H90" s="863" t="s">
        <v>15</v>
      </c>
      <c r="I90" s="863" t="s">
        <v>85</v>
      </c>
    </row>
    <row r="91" spans="1:9" ht="22.5" customHeight="1">
      <c r="A91" s="861">
        <v>90</v>
      </c>
      <c r="B91" s="862" t="s">
        <v>84</v>
      </c>
      <c r="C91" s="863" t="s">
        <v>77</v>
      </c>
      <c r="D91" s="864"/>
      <c r="E91" s="864"/>
      <c r="F91" s="863" t="s">
        <v>36</v>
      </c>
      <c r="G91" s="866">
        <v>5.55</v>
      </c>
      <c r="H91" s="863" t="s">
        <v>7</v>
      </c>
      <c r="I91" s="863" t="s">
        <v>85</v>
      </c>
    </row>
    <row r="92" spans="1:9" ht="22.5" customHeight="1">
      <c r="A92" s="861">
        <v>91</v>
      </c>
      <c r="B92" s="862" t="s">
        <v>141</v>
      </c>
      <c r="C92" s="863" t="s">
        <v>77</v>
      </c>
      <c r="D92" s="864"/>
      <c r="E92" s="864"/>
      <c r="F92" s="863" t="s">
        <v>148</v>
      </c>
      <c r="G92" s="866">
        <v>10.5</v>
      </c>
      <c r="H92" s="863" t="s">
        <v>11</v>
      </c>
      <c r="I92" s="863" t="s">
        <v>122</v>
      </c>
    </row>
    <row r="93" spans="1:9" ht="22.5" customHeight="1">
      <c r="A93" s="861">
        <v>92</v>
      </c>
      <c r="B93" s="862" t="s">
        <v>174</v>
      </c>
      <c r="C93" s="863" t="s">
        <v>339</v>
      </c>
      <c r="D93" s="864"/>
      <c r="E93" s="864"/>
      <c r="F93" s="863" t="s">
        <v>148</v>
      </c>
      <c r="G93" s="866">
        <v>5.5</v>
      </c>
      <c r="H93" s="863" t="s">
        <v>13</v>
      </c>
      <c r="I93" s="863" t="s">
        <v>95</v>
      </c>
    </row>
    <row r="94" spans="1:9" ht="22.5" customHeight="1">
      <c r="A94" s="861">
        <v>93</v>
      </c>
      <c r="B94" s="862" t="s">
        <v>197</v>
      </c>
      <c r="C94" s="863" t="s">
        <v>74</v>
      </c>
      <c r="D94" s="864"/>
      <c r="E94" s="864"/>
      <c r="F94" s="863" t="s">
        <v>148</v>
      </c>
      <c r="G94" s="866">
        <v>3</v>
      </c>
      <c r="H94" s="863" t="s">
        <v>15</v>
      </c>
      <c r="I94" s="863" t="s">
        <v>95</v>
      </c>
    </row>
    <row r="95" spans="1:9" ht="22.5" customHeight="1">
      <c r="A95" s="861">
        <v>94</v>
      </c>
      <c r="B95" s="862" t="s">
        <v>119</v>
      </c>
      <c r="C95" s="863" t="s">
        <v>339</v>
      </c>
      <c r="D95" s="864"/>
      <c r="E95" s="864"/>
      <c r="F95" s="863" t="s">
        <v>148</v>
      </c>
      <c r="G95" s="866">
        <v>4</v>
      </c>
      <c r="H95" s="863" t="s">
        <v>7</v>
      </c>
      <c r="I95" s="863" t="s">
        <v>95</v>
      </c>
    </row>
    <row r="96" spans="1:9" ht="22.5" customHeight="1">
      <c r="A96" s="861">
        <v>95</v>
      </c>
      <c r="B96" s="862" t="s">
        <v>190</v>
      </c>
      <c r="C96" s="863" t="s">
        <v>77</v>
      </c>
      <c r="D96" s="864"/>
      <c r="E96" s="864"/>
      <c r="F96" s="863" t="s">
        <v>148</v>
      </c>
      <c r="G96" s="866">
        <v>4.75</v>
      </c>
      <c r="H96" s="863" t="s">
        <v>15</v>
      </c>
      <c r="I96" s="863" t="s">
        <v>85</v>
      </c>
    </row>
    <row r="97" spans="1:9" ht="22.5" customHeight="1">
      <c r="A97" s="861">
        <v>96</v>
      </c>
      <c r="B97" s="862" t="s">
        <v>196</v>
      </c>
      <c r="C97" s="863" t="s">
        <v>77</v>
      </c>
      <c r="D97" s="864"/>
      <c r="E97" s="864"/>
      <c r="F97" s="863" t="s">
        <v>148</v>
      </c>
      <c r="G97" s="866">
        <v>6.5</v>
      </c>
      <c r="H97" s="863" t="s">
        <v>15</v>
      </c>
      <c r="I97" s="863" t="s">
        <v>95</v>
      </c>
    </row>
    <row r="98" spans="1:9" ht="22.5" customHeight="1">
      <c r="A98" s="861">
        <v>97</v>
      </c>
      <c r="B98" s="862" t="s">
        <v>138</v>
      </c>
      <c r="C98" s="863" t="s">
        <v>339</v>
      </c>
      <c r="D98" s="864"/>
      <c r="E98" s="864"/>
      <c r="F98" s="863" t="s">
        <v>36</v>
      </c>
      <c r="G98" s="866">
        <v>7.55</v>
      </c>
      <c r="H98" s="863" t="s">
        <v>11</v>
      </c>
      <c r="I98" s="863" t="s">
        <v>97</v>
      </c>
    </row>
    <row r="99" spans="1:9" ht="22.5" customHeight="1">
      <c r="A99" s="861">
        <v>98</v>
      </c>
      <c r="B99" s="862" t="s">
        <v>198</v>
      </c>
      <c r="C99" s="863" t="s">
        <v>74</v>
      </c>
      <c r="D99" s="864"/>
      <c r="E99" s="864"/>
      <c r="F99" s="863" t="s">
        <v>148</v>
      </c>
      <c r="G99" s="866">
        <v>4</v>
      </c>
      <c r="H99" s="863" t="s">
        <v>15</v>
      </c>
      <c r="I99" s="863" t="s">
        <v>95</v>
      </c>
    </row>
    <row r="100" spans="1:9" ht="22.5" customHeight="1">
      <c r="A100" s="861">
        <v>99</v>
      </c>
      <c r="B100" s="862" t="s">
        <v>140</v>
      </c>
      <c r="C100" s="863" t="s">
        <v>339</v>
      </c>
      <c r="D100" s="864"/>
      <c r="E100" s="864"/>
      <c r="F100" s="863" t="s">
        <v>148</v>
      </c>
      <c r="G100" s="866">
        <v>12.5</v>
      </c>
      <c r="H100" s="863" t="s">
        <v>11</v>
      </c>
      <c r="I100" s="863" t="s">
        <v>122</v>
      </c>
    </row>
    <row r="101" spans="1:9" ht="22.5" customHeight="1">
      <c r="A101" s="861">
        <v>100</v>
      </c>
      <c r="B101" s="862" t="s">
        <v>168</v>
      </c>
      <c r="C101" s="863" t="s">
        <v>77</v>
      </c>
      <c r="D101" s="864"/>
      <c r="E101" s="864"/>
      <c r="F101" s="863" t="s">
        <v>148</v>
      </c>
      <c r="G101" s="866">
        <v>6.5</v>
      </c>
      <c r="H101" s="863" t="s">
        <v>13</v>
      </c>
      <c r="I101" s="863" t="s">
        <v>122</v>
      </c>
    </row>
    <row r="102" spans="1:9" ht="22.5" customHeight="1">
      <c r="A102" s="861">
        <v>101</v>
      </c>
      <c r="B102" s="862" t="s">
        <v>86</v>
      </c>
      <c r="C102" s="863" t="s">
        <v>339</v>
      </c>
      <c r="D102" s="864"/>
      <c r="E102" s="864"/>
      <c r="F102" s="863" t="s">
        <v>148</v>
      </c>
      <c r="G102" s="866">
        <v>7</v>
      </c>
      <c r="H102" s="863" t="s">
        <v>7</v>
      </c>
      <c r="I102" s="863" t="s">
        <v>88</v>
      </c>
    </row>
    <row r="103" spans="1:9" ht="22.5" customHeight="1">
      <c r="A103" s="861">
        <v>102</v>
      </c>
      <c r="B103" s="862" t="s">
        <v>120</v>
      </c>
      <c r="C103" s="863" t="s">
        <v>87</v>
      </c>
      <c r="D103" s="864"/>
      <c r="E103" s="864"/>
      <c r="F103" s="863" t="s">
        <v>148</v>
      </c>
      <c r="G103" s="866">
        <v>2</v>
      </c>
      <c r="H103" s="863" t="s">
        <v>7</v>
      </c>
      <c r="I103" s="863" t="s">
        <v>91</v>
      </c>
    </row>
    <row r="104" spans="1:9" ht="22.5" customHeight="1">
      <c r="A104" s="861">
        <v>103</v>
      </c>
      <c r="B104" s="862" t="s">
        <v>199</v>
      </c>
      <c r="C104" s="863" t="s">
        <v>77</v>
      </c>
      <c r="D104" s="864"/>
      <c r="E104" s="864"/>
      <c r="F104" s="863" t="s">
        <v>148</v>
      </c>
      <c r="G104" s="866">
        <v>0.75</v>
      </c>
      <c r="H104" s="863" t="s">
        <v>15</v>
      </c>
      <c r="I104" s="863" t="s">
        <v>97</v>
      </c>
    </row>
    <row r="105" spans="1:9" ht="13.2">
      <c r="G105" s="99"/>
    </row>
    <row r="106" spans="1:9" ht="13.2">
      <c r="G106" s="99"/>
    </row>
    <row r="107" spans="1:9" ht="13.2">
      <c r="G107" s="99"/>
    </row>
    <row r="108" spans="1:9" ht="13.2">
      <c r="G108" s="99"/>
    </row>
    <row r="109" spans="1:9" ht="13.2">
      <c r="G109" s="99"/>
    </row>
    <row r="110" spans="1:9" ht="13.2">
      <c r="G110" s="99"/>
    </row>
    <row r="111" spans="1:9" ht="13.2">
      <c r="G111" s="99"/>
    </row>
    <row r="112" spans="1:9" ht="13.2">
      <c r="G112" s="99"/>
    </row>
    <row r="113" spans="7:7" ht="13.2">
      <c r="G113" s="99"/>
    </row>
    <row r="114" spans="7:7" ht="13.2">
      <c r="G114" s="99"/>
    </row>
    <row r="115" spans="7:7" ht="13.2">
      <c r="G115" s="99"/>
    </row>
    <row r="116" spans="7:7" ht="13.2">
      <c r="G116" s="99"/>
    </row>
    <row r="117" spans="7:7" ht="13.2">
      <c r="G117" s="99"/>
    </row>
    <row r="118" spans="7:7" ht="13.2">
      <c r="G118" s="99"/>
    </row>
    <row r="119" spans="7:7" ht="13.2">
      <c r="G119" s="99"/>
    </row>
    <row r="120" spans="7:7" ht="13.2">
      <c r="G120" s="99"/>
    </row>
    <row r="121" spans="7:7" ht="13.2">
      <c r="G121" s="99"/>
    </row>
    <row r="122" spans="7:7" ht="13.2">
      <c r="G122" s="99"/>
    </row>
    <row r="123" spans="7:7" ht="13.2">
      <c r="G123" s="99"/>
    </row>
    <row r="124" spans="7:7" ht="13.2">
      <c r="G124" s="99"/>
    </row>
    <row r="125" spans="7:7" ht="13.2">
      <c r="G125" s="99"/>
    </row>
    <row r="126" spans="7:7" ht="13.2">
      <c r="G126" s="99"/>
    </row>
    <row r="127" spans="7:7" ht="13.2">
      <c r="G127" s="99"/>
    </row>
    <row r="128" spans="7:7" ht="13.2">
      <c r="G128" s="99"/>
    </row>
    <row r="129" spans="7:7" ht="13.2">
      <c r="G129" s="99"/>
    </row>
    <row r="130" spans="7:7" ht="13.2">
      <c r="G130" s="99"/>
    </row>
    <row r="131" spans="7:7" ht="13.2">
      <c r="G131" s="99"/>
    </row>
    <row r="132" spans="7:7" ht="13.2">
      <c r="G132" s="99"/>
    </row>
    <row r="133" spans="7:7" ht="13.2">
      <c r="G133" s="99"/>
    </row>
    <row r="134" spans="7:7" ht="13.2">
      <c r="G134" s="99"/>
    </row>
    <row r="135" spans="7:7" ht="13.2">
      <c r="G135" s="99"/>
    </row>
    <row r="136" spans="7:7" ht="13.2">
      <c r="G136" s="99"/>
    </row>
    <row r="137" spans="7:7" ht="13.2">
      <c r="G137" s="99"/>
    </row>
    <row r="138" spans="7:7" ht="13.2">
      <c r="G138" s="99"/>
    </row>
    <row r="139" spans="7:7" ht="13.2">
      <c r="G139" s="99"/>
    </row>
    <row r="140" spans="7:7" ht="13.2">
      <c r="G140" s="99"/>
    </row>
    <row r="141" spans="7:7" ht="13.2">
      <c r="G141" s="99"/>
    </row>
    <row r="142" spans="7:7" ht="13.2">
      <c r="G142" s="99"/>
    </row>
    <row r="143" spans="7:7" ht="13.2">
      <c r="G143" s="99"/>
    </row>
    <row r="144" spans="7:7" ht="13.2">
      <c r="G144" s="99"/>
    </row>
    <row r="145" spans="7:7" ht="13.2">
      <c r="G145" s="99"/>
    </row>
    <row r="146" spans="7:7" ht="13.2">
      <c r="G146" s="99"/>
    </row>
    <row r="147" spans="7:7" ht="13.2">
      <c r="G147" s="99"/>
    </row>
    <row r="148" spans="7:7" ht="13.2">
      <c r="G148" s="99"/>
    </row>
    <row r="149" spans="7:7" ht="13.2">
      <c r="G149" s="99"/>
    </row>
    <row r="150" spans="7:7" ht="13.2">
      <c r="G150" s="99"/>
    </row>
    <row r="151" spans="7:7" ht="13.2">
      <c r="G151" s="99"/>
    </row>
    <row r="152" spans="7:7" ht="13.2">
      <c r="G152" s="99"/>
    </row>
    <row r="153" spans="7:7" ht="13.2">
      <c r="G153" s="99"/>
    </row>
    <row r="154" spans="7:7" ht="13.2">
      <c r="G154" s="99"/>
    </row>
    <row r="155" spans="7:7" ht="13.2">
      <c r="G155" s="99"/>
    </row>
    <row r="156" spans="7:7" ht="13.2">
      <c r="G156" s="99"/>
    </row>
    <row r="157" spans="7:7" ht="13.2">
      <c r="G157" s="99"/>
    </row>
    <row r="158" spans="7:7" ht="13.2">
      <c r="G158" s="99"/>
    </row>
    <row r="159" spans="7:7" ht="13.2">
      <c r="G159" s="99"/>
    </row>
    <row r="160" spans="7:7" ht="13.2">
      <c r="G160" s="99"/>
    </row>
    <row r="161" spans="7:7" ht="13.2">
      <c r="G161" s="99"/>
    </row>
    <row r="162" spans="7:7" ht="13.2">
      <c r="G162" s="99"/>
    </row>
    <row r="163" spans="7:7" ht="13.2">
      <c r="G163" s="99"/>
    </row>
    <row r="164" spans="7:7" ht="13.2">
      <c r="G164" s="99"/>
    </row>
    <row r="165" spans="7:7" ht="13.2">
      <c r="G165" s="99"/>
    </row>
    <row r="166" spans="7:7" ht="13.2">
      <c r="G166" s="99"/>
    </row>
    <row r="167" spans="7:7" ht="13.2">
      <c r="G167" s="99"/>
    </row>
    <row r="168" spans="7:7" ht="13.2">
      <c r="G168" s="99"/>
    </row>
    <row r="169" spans="7:7" ht="13.2">
      <c r="G169" s="99"/>
    </row>
    <row r="170" spans="7:7" ht="13.2">
      <c r="G170" s="99"/>
    </row>
    <row r="171" spans="7:7" ht="13.2">
      <c r="G171" s="99"/>
    </row>
    <row r="172" spans="7:7" ht="13.2">
      <c r="G172" s="99"/>
    </row>
    <row r="173" spans="7:7" ht="13.2">
      <c r="G173" s="99"/>
    </row>
    <row r="174" spans="7:7" ht="13.2">
      <c r="G174" s="99"/>
    </row>
    <row r="175" spans="7:7" ht="13.2">
      <c r="G175" s="99"/>
    </row>
    <row r="176" spans="7:7" ht="13.2">
      <c r="G176" s="99"/>
    </row>
    <row r="177" spans="7:7" ht="13.2">
      <c r="G177" s="99"/>
    </row>
    <row r="178" spans="7:7" ht="13.2">
      <c r="G178" s="99"/>
    </row>
    <row r="179" spans="7:7" ht="13.2">
      <c r="G179" s="99"/>
    </row>
    <row r="180" spans="7:7" ht="13.2">
      <c r="G180" s="99"/>
    </row>
    <row r="181" spans="7:7" ht="13.2">
      <c r="G181" s="99"/>
    </row>
    <row r="182" spans="7:7" ht="13.2">
      <c r="G182" s="99"/>
    </row>
    <row r="183" spans="7:7" ht="13.2">
      <c r="G183" s="99"/>
    </row>
    <row r="184" spans="7:7" ht="13.2">
      <c r="G184" s="99"/>
    </row>
    <row r="185" spans="7:7" ht="13.2">
      <c r="G185" s="99"/>
    </row>
    <row r="186" spans="7:7" ht="13.2">
      <c r="G186" s="99"/>
    </row>
    <row r="187" spans="7:7" ht="13.2">
      <c r="G187" s="99"/>
    </row>
    <row r="188" spans="7:7" ht="13.2">
      <c r="G188" s="99"/>
    </row>
    <row r="189" spans="7:7" ht="13.2">
      <c r="G189" s="99"/>
    </row>
    <row r="190" spans="7:7" ht="13.2">
      <c r="G190" s="99"/>
    </row>
    <row r="191" spans="7:7" ht="13.2">
      <c r="G191" s="99"/>
    </row>
    <row r="192" spans="7:7" ht="13.2">
      <c r="G192" s="99"/>
    </row>
    <row r="193" spans="7:7" ht="13.2">
      <c r="G193" s="99"/>
    </row>
    <row r="194" spans="7:7" ht="13.2">
      <c r="G194" s="99"/>
    </row>
    <row r="195" spans="7:7" ht="13.2">
      <c r="G195" s="99"/>
    </row>
    <row r="196" spans="7:7" ht="13.2">
      <c r="G196" s="99"/>
    </row>
    <row r="197" spans="7:7" ht="13.2">
      <c r="G197" s="99"/>
    </row>
    <row r="198" spans="7:7" ht="13.2">
      <c r="G198" s="99"/>
    </row>
    <row r="199" spans="7:7" ht="13.2">
      <c r="G199" s="99"/>
    </row>
    <row r="200" spans="7:7" ht="13.2">
      <c r="G200" s="99"/>
    </row>
    <row r="201" spans="7:7" ht="13.2">
      <c r="G201" s="99"/>
    </row>
    <row r="202" spans="7:7" ht="13.2">
      <c r="G202" s="99"/>
    </row>
    <row r="203" spans="7:7" ht="13.2">
      <c r="G203" s="99"/>
    </row>
    <row r="204" spans="7:7" ht="13.2">
      <c r="G204" s="99"/>
    </row>
    <row r="205" spans="7:7" ht="13.2">
      <c r="G205" s="99"/>
    </row>
    <row r="206" spans="7:7" ht="13.2">
      <c r="G206" s="99"/>
    </row>
    <row r="207" spans="7:7" ht="13.2">
      <c r="G207" s="99"/>
    </row>
    <row r="208" spans="7:7" ht="13.2">
      <c r="G208" s="99"/>
    </row>
    <row r="209" spans="7:7" ht="13.2">
      <c r="G209" s="99"/>
    </row>
    <row r="210" spans="7:7" ht="13.2">
      <c r="G210" s="99"/>
    </row>
    <row r="211" spans="7:7" ht="13.2">
      <c r="G211" s="99"/>
    </row>
    <row r="212" spans="7:7" ht="13.2">
      <c r="G212" s="99"/>
    </row>
    <row r="213" spans="7:7" ht="13.2">
      <c r="G213" s="99"/>
    </row>
    <row r="214" spans="7:7" ht="13.2">
      <c r="G214" s="99"/>
    </row>
    <row r="215" spans="7:7" ht="13.2">
      <c r="G215" s="99"/>
    </row>
    <row r="216" spans="7:7" ht="13.2">
      <c r="G216" s="99"/>
    </row>
    <row r="217" spans="7:7" ht="13.2">
      <c r="G217" s="99"/>
    </row>
    <row r="218" spans="7:7" ht="13.2">
      <c r="G218" s="99"/>
    </row>
    <row r="219" spans="7:7" ht="13.2">
      <c r="G219" s="99"/>
    </row>
    <row r="220" spans="7:7" ht="13.2">
      <c r="G220" s="99"/>
    </row>
    <row r="221" spans="7:7" ht="13.2">
      <c r="G221" s="99"/>
    </row>
    <row r="222" spans="7:7" ht="13.2">
      <c r="G222" s="99"/>
    </row>
    <row r="223" spans="7:7" ht="13.2">
      <c r="G223" s="99"/>
    </row>
    <row r="224" spans="7:7" ht="13.2">
      <c r="G224" s="99"/>
    </row>
    <row r="225" spans="7:7" ht="13.2">
      <c r="G225" s="99"/>
    </row>
    <row r="226" spans="7:7" ht="13.2">
      <c r="G226" s="99"/>
    </row>
    <row r="227" spans="7:7" ht="13.2">
      <c r="G227" s="99"/>
    </row>
    <row r="228" spans="7:7" ht="13.2">
      <c r="G228" s="99"/>
    </row>
    <row r="229" spans="7:7" ht="13.2">
      <c r="G229" s="99"/>
    </row>
    <row r="230" spans="7:7" ht="13.2">
      <c r="G230" s="99"/>
    </row>
    <row r="231" spans="7:7" ht="13.2">
      <c r="G231" s="99"/>
    </row>
    <row r="232" spans="7:7" ht="13.2">
      <c r="G232" s="99"/>
    </row>
    <row r="233" spans="7:7" ht="13.2">
      <c r="G233" s="99"/>
    </row>
    <row r="234" spans="7:7" ht="13.2">
      <c r="G234" s="99"/>
    </row>
    <row r="235" spans="7:7" ht="13.2">
      <c r="G235" s="99"/>
    </row>
    <row r="236" spans="7:7" ht="13.2">
      <c r="G236" s="99"/>
    </row>
    <row r="237" spans="7:7" ht="13.2">
      <c r="G237" s="99"/>
    </row>
    <row r="238" spans="7:7" ht="13.2">
      <c r="G238" s="99"/>
    </row>
    <row r="239" spans="7:7" ht="13.2">
      <c r="G239" s="99"/>
    </row>
    <row r="240" spans="7:7" ht="13.2">
      <c r="G240" s="99"/>
    </row>
    <row r="241" spans="7:7" ht="13.2">
      <c r="G241" s="99"/>
    </row>
    <row r="242" spans="7:7" ht="13.2">
      <c r="G242" s="99"/>
    </row>
    <row r="243" spans="7:7" ht="13.2">
      <c r="G243" s="99"/>
    </row>
    <row r="244" spans="7:7" ht="13.2">
      <c r="G244" s="99"/>
    </row>
    <row r="245" spans="7:7" ht="13.2">
      <c r="G245" s="99"/>
    </row>
    <row r="246" spans="7:7" ht="13.2">
      <c r="G246" s="99"/>
    </row>
    <row r="247" spans="7:7" ht="13.2">
      <c r="G247" s="99"/>
    </row>
    <row r="248" spans="7:7" ht="13.2">
      <c r="G248" s="99"/>
    </row>
    <row r="249" spans="7:7" ht="13.2">
      <c r="G249" s="99"/>
    </row>
    <row r="250" spans="7:7" ht="13.2">
      <c r="G250" s="99"/>
    </row>
    <row r="251" spans="7:7" ht="13.2">
      <c r="G251" s="99"/>
    </row>
    <row r="252" spans="7:7" ht="13.2">
      <c r="G252" s="99"/>
    </row>
    <row r="253" spans="7:7" ht="13.2">
      <c r="G253" s="99"/>
    </row>
    <row r="254" spans="7:7" ht="13.2">
      <c r="G254" s="99"/>
    </row>
    <row r="255" spans="7:7" ht="13.2">
      <c r="G255" s="99"/>
    </row>
    <row r="256" spans="7:7" ht="13.2">
      <c r="G256" s="99"/>
    </row>
    <row r="257" spans="7:7" ht="13.2">
      <c r="G257" s="99"/>
    </row>
    <row r="258" spans="7:7" ht="13.2">
      <c r="G258" s="99"/>
    </row>
    <row r="259" spans="7:7" ht="13.2">
      <c r="G259" s="99"/>
    </row>
    <row r="260" spans="7:7" ht="13.2">
      <c r="G260" s="99"/>
    </row>
    <row r="261" spans="7:7" ht="13.2">
      <c r="G261" s="99"/>
    </row>
    <row r="262" spans="7:7" ht="13.2">
      <c r="G262" s="99"/>
    </row>
    <row r="263" spans="7:7" ht="13.2">
      <c r="G263" s="99"/>
    </row>
    <row r="264" spans="7:7" ht="13.2">
      <c r="G264" s="99"/>
    </row>
    <row r="265" spans="7:7" ht="13.2">
      <c r="G265" s="99"/>
    </row>
    <row r="266" spans="7:7" ht="13.2">
      <c r="G266" s="99"/>
    </row>
    <row r="267" spans="7:7" ht="13.2">
      <c r="G267" s="99"/>
    </row>
    <row r="268" spans="7:7" ht="13.2">
      <c r="G268" s="99"/>
    </row>
    <row r="269" spans="7:7" ht="13.2">
      <c r="G269" s="99"/>
    </row>
    <row r="270" spans="7:7" ht="13.2">
      <c r="G270" s="99"/>
    </row>
    <row r="271" spans="7:7" ht="13.2">
      <c r="G271" s="99"/>
    </row>
    <row r="272" spans="7:7" ht="13.2">
      <c r="G272" s="99"/>
    </row>
    <row r="273" spans="7:7" ht="13.2">
      <c r="G273" s="99"/>
    </row>
    <row r="274" spans="7:7" ht="13.2">
      <c r="G274" s="99"/>
    </row>
    <row r="275" spans="7:7" ht="13.2">
      <c r="G275" s="99"/>
    </row>
    <row r="276" spans="7:7" ht="13.2">
      <c r="G276" s="99"/>
    </row>
    <row r="277" spans="7:7" ht="13.2">
      <c r="G277" s="99"/>
    </row>
    <row r="278" spans="7:7" ht="13.2">
      <c r="G278" s="99"/>
    </row>
    <row r="279" spans="7:7" ht="13.2">
      <c r="G279" s="99"/>
    </row>
    <row r="280" spans="7:7" ht="13.2">
      <c r="G280" s="99"/>
    </row>
    <row r="281" spans="7:7" ht="13.2">
      <c r="G281" s="99"/>
    </row>
    <row r="282" spans="7:7" ht="13.2">
      <c r="G282" s="99"/>
    </row>
    <row r="283" spans="7:7" ht="13.2">
      <c r="G283" s="99"/>
    </row>
    <row r="284" spans="7:7" ht="13.2">
      <c r="G284" s="99"/>
    </row>
    <row r="285" spans="7:7" ht="13.2">
      <c r="G285" s="99"/>
    </row>
    <row r="286" spans="7:7" ht="13.2">
      <c r="G286" s="99"/>
    </row>
    <row r="287" spans="7:7" ht="13.2">
      <c r="G287" s="99"/>
    </row>
    <row r="288" spans="7:7" ht="13.2">
      <c r="G288" s="99"/>
    </row>
    <row r="289" spans="7:7" ht="13.2">
      <c r="G289" s="99"/>
    </row>
    <row r="290" spans="7:7" ht="13.2">
      <c r="G290" s="99"/>
    </row>
    <row r="291" spans="7:7" ht="13.2">
      <c r="G291" s="99"/>
    </row>
    <row r="292" spans="7:7" ht="13.2">
      <c r="G292" s="99"/>
    </row>
    <row r="293" spans="7:7" ht="13.2">
      <c r="G293" s="99"/>
    </row>
    <row r="294" spans="7:7" ht="13.2">
      <c r="G294" s="99"/>
    </row>
    <row r="295" spans="7:7" ht="13.2">
      <c r="G295" s="99"/>
    </row>
    <row r="296" spans="7:7" ht="13.2">
      <c r="G296" s="99"/>
    </row>
    <row r="297" spans="7:7" ht="13.2">
      <c r="G297" s="99"/>
    </row>
    <row r="298" spans="7:7" ht="13.2">
      <c r="G298" s="99"/>
    </row>
    <row r="299" spans="7:7" ht="13.2">
      <c r="G299" s="99"/>
    </row>
    <row r="300" spans="7:7" ht="13.2">
      <c r="G300" s="99"/>
    </row>
    <row r="301" spans="7:7" ht="13.2">
      <c r="G301" s="99"/>
    </row>
    <row r="302" spans="7:7" ht="13.2">
      <c r="G302" s="99"/>
    </row>
    <row r="303" spans="7:7" ht="13.2">
      <c r="G303" s="99"/>
    </row>
    <row r="304" spans="7:7" ht="13.2">
      <c r="G304" s="99"/>
    </row>
    <row r="305" spans="7:7" ht="13.2">
      <c r="G305" s="99"/>
    </row>
    <row r="306" spans="7:7" ht="13.2">
      <c r="G306" s="99"/>
    </row>
    <row r="307" spans="7:7" ht="13.2">
      <c r="G307" s="99"/>
    </row>
    <row r="308" spans="7:7" ht="13.2">
      <c r="G308" s="99"/>
    </row>
    <row r="309" spans="7:7" ht="13.2">
      <c r="G309" s="99"/>
    </row>
    <row r="310" spans="7:7" ht="13.2">
      <c r="G310" s="99"/>
    </row>
    <row r="311" spans="7:7" ht="13.2">
      <c r="G311" s="99"/>
    </row>
    <row r="312" spans="7:7" ht="13.2">
      <c r="G312" s="99"/>
    </row>
    <row r="313" spans="7:7" ht="13.2">
      <c r="G313" s="99"/>
    </row>
    <row r="314" spans="7:7" ht="13.2">
      <c r="G314" s="99"/>
    </row>
    <row r="315" spans="7:7" ht="13.2">
      <c r="G315" s="99"/>
    </row>
    <row r="316" spans="7:7" ht="13.2">
      <c r="G316" s="99"/>
    </row>
    <row r="317" spans="7:7" ht="13.2">
      <c r="G317" s="99"/>
    </row>
    <row r="318" spans="7:7" ht="13.2">
      <c r="G318" s="99"/>
    </row>
    <row r="319" spans="7:7" ht="13.2">
      <c r="G319" s="99"/>
    </row>
    <row r="320" spans="7:7" ht="13.2">
      <c r="G320" s="99"/>
    </row>
    <row r="321" spans="7:7" ht="13.2">
      <c r="G321" s="99"/>
    </row>
    <row r="322" spans="7:7" ht="13.2">
      <c r="G322" s="99"/>
    </row>
    <row r="323" spans="7:7" ht="13.2">
      <c r="G323" s="99"/>
    </row>
    <row r="324" spans="7:7" ht="13.2">
      <c r="G324" s="99"/>
    </row>
    <row r="325" spans="7:7" ht="13.2">
      <c r="G325" s="99"/>
    </row>
    <row r="326" spans="7:7" ht="13.2">
      <c r="G326" s="99"/>
    </row>
    <row r="327" spans="7:7" ht="13.2">
      <c r="G327" s="99"/>
    </row>
    <row r="328" spans="7:7" ht="13.2">
      <c r="G328" s="99"/>
    </row>
    <row r="329" spans="7:7" ht="13.2">
      <c r="G329" s="99"/>
    </row>
    <row r="330" spans="7:7" ht="13.2">
      <c r="G330" s="99"/>
    </row>
    <row r="331" spans="7:7" ht="13.2">
      <c r="G331" s="99"/>
    </row>
    <row r="332" spans="7:7" ht="13.2">
      <c r="G332" s="99"/>
    </row>
    <row r="333" spans="7:7" ht="13.2">
      <c r="G333" s="99"/>
    </row>
    <row r="334" spans="7:7" ht="13.2">
      <c r="G334" s="99"/>
    </row>
    <row r="335" spans="7:7" ht="13.2">
      <c r="G335" s="99"/>
    </row>
    <row r="336" spans="7:7" ht="13.2">
      <c r="G336" s="99"/>
    </row>
    <row r="337" spans="7:7" ht="13.2">
      <c r="G337" s="99"/>
    </row>
    <row r="338" spans="7:7" ht="13.2">
      <c r="G338" s="99"/>
    </row>
    <row r="339" spans="7:7" ht="13.2">
      <c r="G339" s="99"/>
    </row>
    <row r="340" spans="7:7" ht="13.2">
      <c r="G340" s="99"/>
    </row>
    <row r="341" spans="7:7" ht="13.2">
      <c r="G341" s="99"/>
    </row>
    <row r="342" spans="7:7" ht="13.2">
      <c r="G342" s="99"/>
    </row>
    <row r="343" spans="7:7" ht="13.2">
      <c r="G343" s="99"/>
    </row>
    <row r="344" spans="7:7" ht="13.2">
      <c r="G344" s="99"/>
    </row>
    <row r="345" spans="7:7" ht="13.2">
      <c r="G345" s="99"/>
    </row>
    <row r="346" spans="7:7" ht="13.2">
      <c r="G346" s="99"/>
    </row>
    <row r="347" spans="7:7" ht="13.2">
      <c r="G347" s="99"/>
    </row>
    <row r="348" spans="7:7" ht="13.2">
      <c r="G348" s="99"/>
    </row>
    <row r="349" spans="7:7" ht="13.2">
      <c r="G349" s="99"/>
    </row>
    <row r="350" spans="7:7" ht="13.2">
      <c r="G350" s="99"/>
    </row>
    <row r="351" spans="7:7" ht="13.2">
      <c r="G351" s="99"/>
    </row>
    <row r="352" spans="7:7" ht="13.2">
      <c r="G352" s="99"/>
    </row>
    <row r="353" spans="7:7" ht="13.2">
      <c r="G353" s="99"/>
    </row>
    <row r="354" spans="7:7" ht="13.2">
      <c r="G354" s="99"/>
    </row>
    <row r="355" spans="7:7" ht="13.2">
      <c r="G355" s="99"/>
    </row>
    <row r="356" spans="7:7" ht="13.2">
      <c r="G356" s="99"/>
    </row>
    <row r="357" spans="7:7" ht="13.2">
      <c r="G357" s="99"/>
    </row>
    <row r="358" spans="7:7" ht="13.2">
      <c r="G358" s="99"/>
    </row>
    <row r="359" spans="7:7" ht="13.2">
      <c r="G359" s="99"/>
    </row>
    <row r="360" spans="7:7" ht="13.2">
      <c r="G360" s="99"/>
    </row>
    <row r="361" spans="7:7" ht="13.2">
      <c r="G361" s="99"/>
    </row>
    <row r="362" spans="7:7" ht="13.2">
      <c r="G362" s="99"/>
    </row>
    <row r="363" spans="7:7" ht="13.2">
      <c r="G363" s="99"/>
    </row>
    <row r="364" spans="7:7" ht="13.2">
      <c r="G364" s="99"/>
    </row>
    <row r="365" spans="7:7" ht="13.2">
      <c r="G365" s="99"/>
    </row>
    <row r="366" spans="7:7" ht="13.2">
      <c r="G366" s="99"/>
    </row>
    <row r="367" spans="7:7" ht="13.2">
      <c r="G367" s="99"/>
    </row>
    <row r="368" spans="7:7" ht="13.2">
      <c r="G368" s="99"/>
    </row>
    <row r="369" spans="7:7" ht="13.2">
      <c r="G369" s="99"/>
    </row>
    <row r="370" spans="7:7" ht="13.2">
      <c r="G370" s="99"/>
    </row>
    <row r="371" spans="7:7" ht="13.2">
      <c r="G371" s="99"/>
    </row>
    <row r="372" spans="7:7" ht="13.2">
      <c r="G372" s="99"/>
    </row>
    <row r="373" spans="7:7" ht="13.2">
      <c r="G373" s="99"/>
    </row>
    <row r="374" spans="7:7" ht="13.2">
      <c r="G374" s="99"/>
    </row>
    <row r="375" spans="7:7" ht="13.2">
      <c r="G375" s="99"/>
    </row>
    <row r="376" spans="7:7" ht="13.2">
      <c r="G376" s="99"/>
    </row>
    <row r="377" spans="7:7" ht="13.2">
      <c r="G377" s="99"/>
    </row>
    <row r="378" spans="7:7" ht="13.2">
      <c r="G378" s="99"/>
    </row>
    <row r="379" spans="7:7" ht="13.2">
      <c r="G379" s="99"/>
    </row>
    <row r="380" spans="7:7" ht="13.2">
      <c r="G380" s="99"/>
    </row>
    <row r="381" spans="7:7" ht="13.2">
      <c r="G381" s="99"/>
    </row>
    <row r="382" spans="7:7" ht="13.2">
      <c r="G382" s="99"/>
    </row>
    <row r="383" spans="7:7" ht="13.2">
      <c r="G383" s="99"/>
    </row>
    <row r="384" spans="7:7" ht="13.2">
      <c r="G384" s="99"/>
    </row>
    <row r="385" spans="7:7" ht="13.2">
      <c r="G385" s="99"/>
    </row>
    <row r="386" spans="7:7" ht="13.2">
      <c r="G386" s="99"/>
    </row>
    <row r="387" spans="7:7" ht="13.2">
      <c r="G387" s="99"/>
    </row>
    <row r="388" spans="7:7" ht="13.2">
      <c r="G388" s="99"/>
    </row>
    <row r="389" spans="7:7" ht="13.2">
      <c r="G389" s="99"/>
    </row>
    <row r="390" spans="7:7" ht="13.2">
      <c r="G390" s="99"/>
    </row>
    <row r="391" spans="7:7" ht="13.2">
      <c r="G391" s="99"/>
    </row>
    <row r="392" spans="7:7" ht="13.2">
      <c r="G392" s="99"/>
    </row>
    <row r="393" spans="7:7" ht="13.2">
      <c r="G393" s="99"/>
    </row>
    <row r="394" spans="7:7" ht="13.2">
      <c r="G394" s="99"/>
    </row>
    <row r="395" spans="7:7" ht="13.2">
      <c r="G395" s="99"/>
    </row>
    <row r="396" spans="7:7" ht="13.2">
      <c r="G396" s="99"/>
    </row>
    <row r="397" spans="7:7" ht="13.2">
      <c r="G397" s="99"/>
    </row>
    <row r="398" spans="7:7" ht="13.2">
      <c r="G398" s="99"/>
    </row>
    <row r="399" spans="7:7" ht="13.2">
      <c r="G399" s="99"/>
    </row>
    <row r="400" spans="7:7" ht="13.2">
      <c r="G400" s="99"/>
    </row>
    <row r="401" spans="7:7" ht="13.2">
      <c r="G401" s="99"/>
    </row>
    <row r="402" spans="7:7" ht="13.2">
      <c r="G402" s="99"/>
    </row>
    <row r="403" spans="7:7" ht="13.2">
      <c r="G403" s="99"/>
    </row>
    <row r="404" spans="7:7" ht="13.2">
      <c r="G404" s="99"/>
    </row>
    <row r="405" spans="7:7" ht="13.2">
      <c r="G405" s="99"/>
    </row>
    <row r="406" spans="7:7" ht="13.2">
      <c r="G406" s="99"/>
    </row>
    <row r="407" spans="7:7" ht="13.2">
      <c r="G407" s="99"/>
    </row>
    <row r="408" spans="7:7" ht="13.2">
      <c r="G408" s="99"/>
    </row>
    <row r="409" spans="7:7" ht="13.2">
      <c r="G409" s="99"/>
    </row>
    <row r="410" spans="7:7" ht="13.2">
      <c r="G410" s="99"/>
    </row>
    <row r="411" spans="7:7" ht="13.2">
      <c r="G411" s="99"/>
    </row>
    <row r="412" spans="7:7" ht="13.2">
      <c r="G412" s="99"/>
    </row>
    <row r="413" spans="7:7" ht="13.2">
      <c r="G413" s="99"/>
    </row>
    <row r="414" spans="7:7" ht="13.2">
      <c r="G414" s="99"/>
    </row>
    <row r="415" spans="7:7" ht="13.2">
      <c r="G415" s="99"/>
    </row>
    <row r="416" spans="7:7" ht="13.2">
      <c r="G416" s="99"/>
    </row>
    <row r="417" spans="7:7" ht="13.2">
      <c r="G417" s="99"/>
    </row>
    <row r="418" spans="7:7" ht="13.2">
      <c r="G418" s="99"/>
    </row>
    <row r="419" spans="7:7" ht="13.2">
      <c r="G419" s="99"/>
    </row>
    <row r="420" spans="7:7" ht="13.2">
      <c r="G420" s="99"/>
    </row>
    <row r="421" spans="7:7" ht="13.2">
      <c r="G421" s="99"/>
    </row>
    <row r="422" spans="7:7" ht="13.2">
      <c r="G422" s="99"/>
    </row>
    <row r="423" spans="7:7" ht="13.2">
      <c r="G423" s="99"/>
    </row>
    <row r="424" spans="7:7" ht="13.2">
      <c r="G424" s="99"/>
    </row>
    <row r="425" spans="7:7" ht="13.2">
      <c r="G425" s="99"/>
    </row>
    <row r="426" spans="7:7" ht="13.2">
      <c r="G426" s="99"/>
    </row>
    <row r="427" spans="7:7" ht="13.2">
      <c r="G427" s="99"/>
    </row>
    <row r="428" spans="7:7" ht="13.2">
      <c r="G428" s="99"/>
    </row>
    <row r="429" spans="7:7" ht="13.2">
      <c r="G429" s="99"/>
    </row>
    <row r="430" spans="7:7" ht="13.2">
      <c r="G430" s="99"/>
    </row>
    <row r="431" spans="7:7" ht="13.2">
      <c r="G431" s="99"/>
    </row>
    <row r="432" spans="7:7" ht="13.2">
      <c r="G432" s="99"/>
    </row>
    <row r="433" spans="7:7" ht="13.2">
      <c r="G433" s="99"/>
    </row>
    <row r="434" spans="7:7" ht="13.2">
      <c r="G434" s="99"/>
    </row>
    <row r="435" spans="7:7" ht="13.2">
      <c r="G435" s="99"/>
    </row>
    <row r="436" spans="7:7" ht="13.2">
      <c r="G436" s="99"/>
    </row>
    <row r="437" spans="7:7" ht="13.2">
      <c r="G437" s="99"/>
    </row>
    <row r="438" spans="7:7" ht="13.2">
      <c r="G438" s="99"/>
    </row>
    <row r="439" spans="7:7" ht="13.2">
      <c r="G439" s="99"/>
    </row>
    <row r="440" spans="7:7" ht="13.2">
      <c r="G440" s="99"/>
    </row>
    <row r="441" spans="7:7" ht="13.2">
      <c r="G441" s="99"/>
    </row>
    <row r="442" spans="7:7" ht="13.2">
      <c r="G442" s="99"/>
    </row>
    <row r="443" spans="7:7" ht="13.2">
      <c r="G443" s="99"/>
    </row>
    <row r="444" spans="7:7" ht="13.2">
      <c r="G444" s="99"/>
    </row>
    <row r="445" spans="7:7" ht="13.2">
      <c r="G445" s="99"/>
    </row>
    <row r="446" spans="7:7" ht="13.2">
      <c r="G446" s="99"/>
    </row>
    <row r="447" spans="7:7" ht="13.2">
      <c r="G447" s="99"/>
    </row>
    <row r="448" spans="7:7" ht="13.2">
      <c r="G448" s="99"/>
    </row>
    <row r="449" spans="7:7" ht="13.2">
      <c r="G449" s="99"/>
    </row>
    <row r="450" spans="7:7" ht="13.2">
      <c r="G450" s="99"/>
    </row>
    <row r="451" spans="7:7" ht="13.2">
      <c r="G451" s="99"/>
    </row>
    <row r="452" spans="7:7" ht="13.2">
      <c r="G452" s="99"/>
    </row>
    <row r="453" spans="7:7" ht="13.2">
      <c r="G453" s="99"/>
    </row>
    <row r="454" spans="7:7" ht="13.2">
      <c r="G454" s="99"/>
    </row>
    <row r="455" spans="7:7" ht="13.2">
      <c r="G455" s="99"/>
    </row>
    <row r="456" spans="7:7" ht="13.2">
      <c r="G456" s="99"/>
    </row>
    <row r="457" spans="7:7" ht="13.2">
      <c r="G457" s="99"/>
    </row>
    <row r="458" spans="7:7" ht="13.2">
      <c r="G458" s="99"/>
    </row>
    <row r="459" spans="7:7" ht="13.2">
      <c r="G459" s="99"/>
    </row>
    <row r="460" spans="7:7" ht="13.2">
      <c r="G460" s="99"/>
    </row>
    <row r="461" spans="7:7" ht="13.2">
      <c r="G461" s="99"/>
    </row>
    <row r="462" spans="7:7" ht="13.2">
      <c r="G462" s="99"/>
    </row>
    <row r="463" spans="7:7" ht="13.2">
      <c r="G463" s="99"/>
    </row>
    <row r="464" spans="7:7" ht="13.2">
      <c r="G464" s="99"/>
    </row>
    <row r="465" spans="7:7" ht="13.2">
      <c r="G465" s="99"/>
    </row>
    <row r="466" spans="7:7" ht="13.2">
      <c r="G466" s="99"/>
    </row>
    <row r="467" spans="7:7" ht="13.2">
      <c r="G467" s="99"/>
    </row>
    <row r="468" spans="7:7" ht="13.2">
      <c r="G468" s="99"/>
    </row>
    <row r="469" spans="7:7" ht="13.2">
      <c r="G469" s="99"/>
    </row>
    <row r="470" spans="7:7" ht="13.2">
      <c r="G470" s="99"/>
    </row>
    <row r="471" spans="7:7" ht="13.2">
      <c r="G471" s="99"/>
    </row>
    <row r="472" spans="7:7" ht="13.2">
      <c r="G472" s="99"/>
    </row>
    <row r="473" spans="7:7" ht="13.2">
      <c r="G473" s="99"/>
    </row>
    <row r="474" spans="7:7" ht="13.2">
      <c r="G474" s="99"/>
    </row>
    <row r="475" spans="7:7" ht="13.2">
      <c r="G475" s="99"/>
    </row>
    <row r="476" spans="7:7" ht="13.2">
      <c r="G476" s="99"/>
    </row>
    <row r="477" spans="7:7" ht="13.2">
      <c r="G477" s="99"/>
    </row>
    <row r="478" spans="7:7" ht="13.2">
      <c r="G478" s="99"/>
    </row>
    <row r="479" spans="7:7" ht="13.2">
      <c r="G479" s="99"/>
    </row>
    <row r="480" spans="7:7" ht="13.2">
      <c r="G480" s="99"/>
    </row>
    <row r="481" spans="7:7" ht="13.2">
      <c r="G481" s="99"/>
    </row>
    <row r="482" spans="7:7" ht="13.2">
      <c r="G482" s="99"/>
    </row>
    <row r="483" spans="7:7" ht="13.2">
      <c r="G483" s="99"/>
    </row>
    <row r="484" spans="7:7" ht="13.2">
      <c r="G484" s="99"/>
    </row>
    <row r="485" spans="7:7" ht="13.2">
      <c r="G485" s="99"/>
    </row>
    <row r="486" spans="7:7" ht="13.2">
      <c r="G486" s="99"/>
    </row>
    <row r="487" spans="7:7" ht="13.2">
      <c r="G487" s="99"/>
    </row>
    <row r="488" spans="7:7" ht="13.2">
      <c r="G488" s="99"/>
    </row>
    <row r="489" spans="7:7" ht="13.2">
      <c r="G489" s="99"/>
    </row>
    <row r="490" spans="7:7" ht="13.2">
      <c r="G490" s="99"/>
    </row>
    <row r="491" spans="7:7" ht="13.2">
      <c r="G491" s="99"/>
    </row>
    <row r="492" spans="7:7" ht="13.2">
      <c r="G492" s="99"/>
    </row>
    <row r="493" spans="7:7" ht="13.2">
      <c r="G493" s="99"/>
    </row>
    <row r="494" spans="7:7" ht="13.2">
      <c r="G494" s="99"/>
    </row>
    <row r="495" spans="7:7" ht="13.2">
      <c r="G495" s="99"/>
    </row>
    <row r="496" spans="7:7" ht="13.2">
      <c r="G496" s="99"/>
    </row>
    <row r="497" spans="7:7" ht="13.2">
      <c r="G497" s="99"/>
    </row>
    <row r="498" spans="7:7" ht="13.2">
      <c r="G498" s="99"/>
    </row>
    <row r="499" spans="7:7" ht="13.2">
      <c r="G499" s="99"/>
    </row>
    <row r="500" spans="7:7" ht="13.2">
      <c r="G500" s="99"/>
    </row>
    <row r="501" spans="7:7" ht="13.2">
      <c r="G501" s="99"/>
    </row>
    <row r="502" spans="7:7" ht="13.2">
      <c r="G502" s="99"/>
    </row>
    <row r="503" spans="7:7" ht="13.2">
      <c r="G503" s="99"/>
    </row>
    <row r="504" spans="7:7" ht="13.2">
      <c r="G504" s="99"/>
    </row>
    <row r="505" spans="7:7" ht="13.2">
      <c r="G505" s="99"/>
    </row>
    <row r="506" spans="7:7" ht="13.2">
      <c r="G506" s="99"/>
    </row>
    <row r="507" spans="7:7" ht="13.2">
      <c r="G507" s="99"/>
    </row>
    <row r="508" spans="7:7" ht="13.2">
      <c r="G508" s="99"/>
    </row>
    <row r="509" spans="7:7" ht="13.2">
      <c r="G509" s="99"/>
    </row>
    <row r="510" spans="7:7" ht="13.2">
      <c r="G510" s="99"/>
    </row>
    <row r="511" spans="7:7" ht="13.2">
      <c r="G511" s="99"/>
    </row>
    <row r="512" spans="7:7" ht="13.2">
      <c r="G512" s="99"/>
    </row>
    <row r="513" spans="7:7" ht="13.2">
      <c r="G513" s="99"/>
    </row>
    <row r="514" spans="7:7" ht="13.2">
      <c r="G514" s="99"/>
    </row>
    <row r="515" spans="7:7" ht="13.2">
      <c r="G515" s="99"/>
    </row>
    <row r="516" spans="7:7" ht="13.2">
      <c r="G516" s="99"/>
    </row>
    <row r="517" spans="7:7" ht="13.2">
      <c r="G517" s="99"/>
    </row>
    <row r="518" spans="7:7" ht="13.2">
      <c r="G518" s="99"/>
    </row>
    <row r="519" spans="7:7" ht="13.2">
      <c r="G519" s="99"/>
    </row>
    <row r="520" spans="7:7" ht="13.2">
      <c r="G520" s="99"/>
    </row>
    <row r="521" spans="7:7" ht="13.2">
      <c r="G521" s="99"/>
    </row>
    <row r="522" spans="7:7" ht="13.2">
      <c r="G522" s="99"/>
    </row>
    <row r="523" spans="7:7" ht="13.2">
      <c r="G523" s="99"/>
    </row>
    <row r="524" spans="7:7" ht="13.2">
      <c r="G524" s="99"/>
    </row>
    <row r="525" spans="7:7" ht="13.2">
      <c r="G525" s="99"/>
    </row>
    <row r="526" spans="7:7" ht="13.2">
      <c r="G526" s="99"/>
    </row>
    <row r="527" spans="7:7" ht="13.2">
      <c r="G527" s="99"/>
    </row>
    <row r="528" spans="7:7" ht="13.2">
      <c r="G528" s="99"/>
    </row>
    <row r="529" spans="7:7" ht="13.2">
      <c r="G529" s="99"/>
    </row>
    <row r="530" spans="7:7" ht="13.2">
      <c r="G530" s="99"/>
    </row>
    <row r="531" spans="7:7" ht="13.2">
      <c r="G531" s="99"/>
    </row>
    <row r="532" spans="7:7" ht="13.2">
      <c r="G532" s="99"/>
    </row>
    <row r="533" spans="7:7" ht="13.2">
      <c r="G533" s="99"/>
    </row>
    <row r="534" spans="7:7" ht="13.2">
      <c r="G534" s="99"/>
    </row>
    <row r="535" spans="7:7" ht="13.2">
      <c r="G535" s="99"/>
    </row>
    <row r="536" spans="7:7" ht="13.2">
      <c r="G536" s="99"/>
    </row>
    <row r="537" spans="7:7" ht="13.2">
      <c r="G537" s="99"/>
    </row>
    <row r="538" spans="7:7" ht="13.2">
      <c r="G538" s="99"/>
    </row>
    <row r="539" spans="7:7" ht="13.2">
      <c r="G539" s="99"/>
    </row>
    <row r="540" spans="7:7" ht="13.2">
      <c r="G540" s="99"/>
    </row>
    <row r="541" spans="7:7" ht="13.2">
      <c r="G541" s="99"/>
    </row>
    <row r="542" spans="7:7" ht="13.2">
      <c r="G542" s="99"/>
    </row>
    <row r="543" spans="7:7" ht="13.2">
      <c r="G543" s="99"/>
    </row>
    <row r="544" spans="7:7" ht="13.2">
      <c r="G544" s="99"/>
    </row>
    <row r="545" spans="7:7" ht="13.2">
      <c r="G545" s="99"/>
    </row>
    <row r="546" spans="7:7" ht="13.2">
      <c r="G546" s="99"/>
    </row>
    <row r="547" spans="7:7" ht="13.2">
      <c r="G547" s="99"/>
    </row>
    <row r="548" spans="7:7" ht="13.2">
      <c r="G548" s="99"/>
    </row>
    <row r="549" spans="7:7" ht="13.2">
      <c r="G549" s="99"/>
    </row>
    <row r="550" spans="7:7" ht="13.2">
      <c r="G550" s="99"/>
    </row>
    <row r="551" spans="7:7" ht="13.2">
      <c r="G551" s="99"/>
    </row>
    <row r="552" spans="7:7" ht="13.2">
      <c r="G552" s="99"/>
    </row>
    <row r="553" spans="7:7" ht="13.2">
      <c r="G553" s="99"/>
    </row>
    <row r="554" spans="7:7" ht="13.2">
      <c r="G554" s="99"/>
    </row>
    <row r="555" spans="7:7" ht="13.2">
      <c r="G555" s="99"/>
    </row>
    <row r="556" spans="7:7" ht="13.2">
      <c r="G556" s="99"/>
    </row>
    <row r="557" spans="7:7" ht="13.2">
      <c r="G557" s="99"/>
    </row>
    <row r="558" spans="7:7" ht="13.2">
      <c r="G558" s="99"/>
    </row>
    <row r="559" spans="7:7" ht="13.2">
      <c r="G559" s="99"/>
    </row>
    <row r="560" spans="7:7" ht="13.2">
      <c r="G560" s="99"/>
    </row>
    <row r="561" spans="7:7" ht="13.2">
      <c r="G561" s="99"/>
    </row>
    <row r="562" spans="7:7" ht="13.2">
      <c r="G562" s="99"/>
    </row>
    <row r="563" spans="7:7" ht="13.2">
      <c r="G563" s="99"/>
    </row>
    <row r="564" spans="7:7" ht="13.2">
      <c r="G564" s="99"/>
    </row>
    <row r="565" spans="7:7" ht="13.2">
      <c r="G565" s="99"/>
    </row>
    <row r="566" spans="7:7" ht="13.2">
      <c r="G566" s="99"/>
    </row>
    <row r="567" spans="7:7" ht="13.2">
      <c r="G567" s="99"/>
    </row>
    <row r="568" spans="7:7" ht="13.2">
      <c r="G568" s="99"/>
    </row>
    <row r="569" spans="7:7" ht="13.2">
      <c r="G569" s="99"/>
    </row>
    <row r="570" spans="7:7" ht="13.2">
      <c r="G570" s="99"/>
    </row>
    <row r="571" spans="7:7" ht="13.2">
      <c r="G571" s="99"/>
    </row>
    <row r="572" spans="7:7" ht="13.2">
      <c r="G572" s="99"/>
    </row>
    <row r="573" spans="7:7" ht="13.2">
      <c r="G573" s="99"/>
    </row>
    <row r="574" spans="7:7" ht="13.2">
      <c r="G574" s="99"/>
    </row>
    <row r="575" spans="7:7" ht="13.2">
      <c r="G575" s="99"/>
    </row>
    <row r="576" spans="7:7" ht="13.2">
      <c r="G576" s="99"/>
    </row>
    <row r="577" spans="7:7" ht="13.2">
      <c r="G577" s="99"/>
    </row>
    <row r="578" spans="7:7" ht="13.2">
      <c r="G578" s="99"/>
    </row>
    <row r="579" spans="7:7" ht="13.2">
      <c r="G579" s="99"/>
    </row>
    <row r="580" spans="7:7" ht="13.2">
      <c r="G580" s="99"/>
    </row>
    <row r="581" spans="7:7" ht="13.2">
      <c r="G581" s="99"/>
    </row>
    <row r="582" spans="7:7" ht="13.2">
      <c r="G582" s="99"/>
    </row>
    <row r="583" spans="7:7" ht="13.2">
      <c r="G583" s="99"/>
    </row>
    <row r="584" spans="7:7" ht="13.2">
      <c r="G584" s="99"/>
    </row>
    <row r="585" spans="7:7" ht="13.2">
      <c r="G585" s="99"/>
    </row>
    <row r="586" spans="7:7" ht="13.2">
      <c r="G586" s="99"/>
    </row>
    <row r="587" spans="7:7" ht="13.2">
      <c r="G587" s="99"/>
    </row>
    <row r="588" spans="7:7" ht="13.2">
      <c r="G588" s="99"/>
    </row>
    <row r="589" spans="7:7" ht="13.2">
      <c r="G589" s="99"/>
    </row>
    <row r="590" spans="7:7" ht="13.2">
      <c r="G590" s="99"/>
    </row>
    <row r="591" spans="7:7" ht="13.2">
      <c r="G591" s="99"/>
    </row>
    <row r="592" spans="7:7" ht="13.2">
      <c r="G592" s="99"/>
    </row>
    <row r="593" spans="7:7" ht="13.2">
      <c r="G593" s="99"/>
    </row>
    <row r="594" spans="7:7" ht="13.2">
      <c r="G594" s="99"/>
    </row>
    <row r="595" spans="7:7" ht="13.2">
      <c r="G595" s="99"/>
    </row>
    <row r="596" spans="7:7" ht="13.2">
      <c r="G596" s="99"/>
    </row>
    <row r="597" spans="7:7" ht="13.2">
      <c r="G597" s="99"/>
    </row>
    <row r="598" spans="7:7" ht="13.2">
      <c r="G598" s="99"/>
    </row>
    <row r="599" spans="7:7" ht="13.2">
      <c r="G599" s="99"/>
    </row>
    <row r="600" spans="7:7" ht="13.2">
      <c r="G600" s="99"/>
    </row>
    <row r="601" spans="7:7" ht="13.2">
      <c r="G601" s="99"/>
    </row>
    <row r="602" spans="7:7" ht="13.2">
      <c r="G602" s="99"/>
    </row>
    <row r="603" spans="7:7" ht="13.2">
      <c r="G603" s="99"/>
    </row>
    <row r="604" spans="7:7" ht="13.2">
      <c r="G604" s="99"/>
    </row>
    <row r="605" spans="7:7" ht="13.2">
      <c r="G605" s="99"/>
    </row>
    <row r="606" spans="7:7" ht="13.2">
      <c r="G606" s="99"/>
    </row>
    <row r="607" spans="7:7" ht="13.2">
      <c r="G607" s="99"/>
    </row>
    <row r="608" spans="7:7" ht="13.2">
      <c r="G608" s="99"/>
    </row>
    <row r="609" spans="7:7" ht="13.2">
      <c r="G609" s="99"/>
    </row>
    <row r="610" spans="7:7" ht="13.2">
      <c r="G610" s="99"/>
    </row>
    <row r="611" spans="7:7" ht="13.2">
      <c r="G611" s="99"/>
    </row>
    <row r="612" spans="7:7" ht="13.2">
      <c r="G612" s="99"/>
    </row>
    <row r="613" spans="7:7" ht="13.2">
      <c r="G613" s="99"/>
    </row>
    <row r="614" spans="7:7" ht="13.2">
      <c r="G614" s="99"/>
    </row>
    <row r="615" spans="7:7" ht="13.2">
      <c r="G615" s="99"/>
    </row>
    <row r="616" spans="7:7" ht="13.2">
      <c r="G616" s="99"/>
    </row>
    <row r="617" spans="7:7" ht="13.2">
      <c r="G617" s="99"/>
    </row>
    <row r="618" spans="7:7" ht="13.2">
      <c r="G618" s="99"/>
    </row>
    <row r="619" spans="7:7" ht="13.2">
      <c r="G619" s="99"/>
    </row>
    <row r="620" spans="7:7" ht="13.2">
      <c r="G620" s="99"/>
    </row>
    <row r="621" spans="7:7" ht="13.2">
      <c r="G621" s="99"/>
    </row>
    <row r="622" spans="7:7" ht="13.2">
      <c r="G622" s="99"/>
    </row>
    <row r="623" spans="7:7" ht="13.2">
      <c r="G623" s="99"/>
    </row>
    <row r="624" spans="7:7" ht="13.2">
      <c r="G624" s="99"/>
    </row>
    <row r="625" spans="7:7" ht="13.2">
      <c r="G625" s="99"/>
    </row>
    <row r="626" spans="7:7" ht="13.2">
      <c r="G626" s="99"/>
    </row>
    <row r="627" spans="7:7" ht="13.2">
      <c r="G627" s="99"/>
    </row>
    <row r="628" spans="7:7" ht="13.2">
      <c r="G628" s="99"/>
    </row>
    <row r="629" spans="7:7" ht="13.2">
      <c r="G629" s="99"/>
    </row>
    <row r="630" spans="7:7" ht="13.2">
      <c r="G630" s="99"/>
    </row>
    <row r="631" spans="7:7" ht="13.2">
      <c r="G631" s="99"/>
    </row>
    <row r="632" spans="7:7" ht="13.2">
      <c r="G632" s="99"/>
    </row>
    <row r="633" spans="7:7" ht="13.2">
      <c r="G633" s="99"/>
    </row>
    <row r="634" spans="7:7" ht="13.2">
      <c r="G634" s="99"/>
    </row>
    <row r="635" spans="7:7" ht="13.2">
      <c r="G635" s="99"/>
    </row>
    <row r="636" spans="7:7" ht="13.2">
      <c r="G636" s="99"/>
    </row>
    <row r="637" spans="7:7" ht="13.2">
      <c r="G637" s="99"/>
    </row>
    <row r="638" spans="7:7" ht="13.2">
      <c r="G638" s="99"/>
    </row>
    <row r="639" spans="7:7" ht="13.2">
      <c r="G639" s="99"/>
    </row>
    <row r="640" spans="7:7" ht="13.2">
      <c r="G640" s="99"/>
    </row>
    <row r="641" spans="7:7" ht="13.2">
      <c r="G641" s="99"/>
    </row>
    <row r="642" spans="7:7" ht="13.2">
      <c r="G642" s="99"/>
    </row>
    <row r="643" spans="7:7" ht="13.2">
      <c r="G643" s="99"/>
    </row>
    <row r="644" spans="7:7" ht="13.2">
      <c r="G644" s="99"/>
    </row>
    <row r="645" spans="7:7" ht="13.2">
      <c r="G645" s="99"/>
    </row>
    <row r="646" spans="7:7" ht="13.2">
      <c r="G646" s="99"/>
    </row>
    <row r="647" spans="7:7" ht="13.2">
      <c r="G647" s="99"/>
    </row>
    <row r="648" spans="7:7" ht="13.2">
      <c r="G648" s="99"/>
    </row>
    <row r="649" spans="7:7" ht="13.2">
      <c r="G649" s="99"/>
    </row>
    <row r="650" spans="7:7" ht="13.2">
      <c r="G650" s="99"/>
    </row>
    <row r="651" spans="7:7" ht="13.2">
      <c r="G651" s="99"/>
    </row>
    <row r="652" spans="7:7" ht="13.2">
      <c r="G652" s="99"/>
    </row>
    <row r="653" spans="7:7" ht="13.2">
      <c r="G653" s="99"/>
    </row>
    <row r="654" spans="7:7" ht="13.2">
      <c r="G654" s="99"/>
    </row>
    <row r="655" spans="7:7" ht="13.2">
      <c r="G655" s="99"/>
    </row>
    <row r="656" spans="7:7" ht="13.2">
      <c r="G656" s="99"/>
    </row>
    <row r="657" spans="7:7" ht="13.2">
      <c r="G657" s="99"/>
    </row>
    <row r="658" spans="7:7" ht="13.2">
      <c r="G658" s="99"/>
    </row>
    <row r="659" spans="7:7" ht="13.2">
      <c r="G659" s="99"/>
    </row>
    <row r="660" spans="7:7" ht="13.2">
      <c r="G660" s="99"/>
    </row>
    <row r="661" spans="7:7" ht="13.2">
      <c r="G661" s="99"/>
    </row>
    <row r="662" spans="7:7" ht="13.2">
      <c r="G662" s="99"/>
    </row>
    <row r="663" spans="7:7" ht="13.2">
      <c r="G663" s="99"/>
    </row>
    <row r="664" spans="7:7" ht="13.2">
      <c r="G664" s="99"/>
    </row>
    <row r="665" spans="7:7" ht="13.2">
      <c r="G665" s="99"/>
    </row>
    <row r="666" spans="7:7" ht="13.2">
      <c r="G666" s="99"/>
    </row>
    <row r="667" spans="7:7" ht="13.2">
      <c r="G667" s="99"/>
    </row>
    <row r="668" spans="7:7" ht="13.2">
      <c r="G668" s="99"/>
    </row>
    <row r="669" spans="7:7" ht="13.2">
      <c r="G669" s="99"/>
    </row>
    <row r="670" spans="7:7" ht="13.2">
      <c r="G670" s="99"/>
    </row>
    <row r="671" spans="7:7" ht="13.2">
      <c r="G671" s="99"/>
    </row>
    <row r="672" spans="7:7" ht="13.2">
      <c r="G672" s="99"/>
    </row>
    <row r="673" spans="7:7" ht="13.2">
      <c r="G673" s="99"/>
    </row>
    <row r="674" spans="7:7" ht="13.2">
      <c r="G674" s="99"/>
    </row>
    <row r="675" spans="7:7" ht="13.2">
      <c r="G675" s="99"/>
    </row>
    <row r="676" spans="7:7" ht="13.2">
      <c r="G676" s="99"/>
    </row>
    <row r="677" spans="7:7" ht="13.2">
      <c r="G677" s="99"/>
    </row>
    <row r="678" spans="7:7" ht="13.2">
      <c r="G678" s="99"/>
    </row>
    <row r="679" spans="7:7" ht="13.2">
      <c r="G679" s="99"/>
    </row>
    <row r="680" spans="7:7" ht="13.2">
      <c r="G680" s="99"/>
    </row>
    <row r="681" spans="7:7" ht="13.2">
      <c r="G681" s="99"/>
    </row>
    <row r="682" spans="7:7" ht="13.2">
      <c r="G682" s="99"/>
    </row>
    <row r="683" spans="7:7" ht="13.2">
      <c r="G683" s="99"/>
    </row>
    <row r="684" spans="7:7" ht="13.2">
      <c r="G684" s="99"/>
    </row>
    <row r="685" spans="7:7" ht="13.2">
      <c r="G685" s="99"/>
    </row>
    <row r="686" spans="7:7" ht="13.2">
      <c r="G686" s="99"/>
    </row>
    <row r="687" spans="7:7" ht="13.2">
      <c r="G687" s="99"/>
    </row>
    <row r="688" spans="7:7" ht="13.2">
      <c r="G688" s="99"/>
    </row>
    <row r="689" spans="7:7" ht="13.2">
      <c r="G689" s="99"/>
    </row>
    <row r="690" spans="7:7" ht="13.2">
      <c r="G690" s="99"/>
    </row>
    <row r="691" spans="7:7" ht="13.2">
      <c r="G691" s="99"/>
    </row>
    <row r="692" spans="7:7" ht="13.2">
      <c r="G692" s="99"/>
    </row>
    <row r="693" spans="7:7" ht="13.2">
      <c r="G693" s="99"/>
    </row>
    <row r="694" spans="7:7" ht="13.2">
      <c r="G694" s="99"/>
    </row>
    <row r="695" spans="7:7" ht="13.2">
      <c r="G695" s="99"/>
    </row>
    <row r="696" spans="7:7" ht="13.2">
      <c r="G696" s="99"/>
    </row>
    <row r="697" spans="7:7" ht="13.2">
      <c r="G697" s="99"/>
    </row>
    <row r="698" spans="7:7" ht="13.2">
      <c r="G698" s="99"/>
    </row>
    <row r="699" spans="7:7" ht="13.2">
      <c r="G699" s="99"/>
    </row>
    <row r="700" spans="7:7" ht="13.2">
      <c r="G700" s="99"/>
    </row>
    <row r="701" spans="7:7" ht="13.2">
      <c r="G701" s="99"/>
    </row>
    <row r="702" spans="7:7" ht="13.2">
      <c r="G702" s="99"/>
    </row>
    <row r="703" spans="7:7" ht="13.2">
      <c r="G703" s="99"/>
    </row>
    <row r="704" spans="7:7" ht="13.2">
      <c r="G704" s="99"/>
    </row>
    <row r="705" spans="7:7" ht="13.2">
      <c r="G705" s="99"/>
    </row>
    <row r="706" spans="7:7" ht="13.2">
      <c r="G706" s="99"/>
    </row>
    <row r="707" spans="7:7" ht="13.2">
      <c r="G707" s="99"/>
    </row>
    <row r="708" spans="7:7" ht="13.2">
      <c r="G708" s="99"/>
    </row>
    <row r="709" spans="7:7" ht="13.2">
      <c r="G709" s="99"/>
    </row>
    <row r="710" spans="7:7" ht="13.2">
      <c r="G710" s="99"/>
    </row>
    <row r="711" spans="7:7" ht="13.2">
      <c r="G711" s="99"/>
    </row>
    <row r="712" spans="7:7" ht="13.2">
      <c r="G712" s="99"/>
    </row>
    <row r="713" spans="7:7" ht="13.2">
      <c r="G713" s="99"/>
    </row>
    <row r="714" spans="7:7" ht="13.2">
      <c r="G714" s="99"/>
    </row>
    <row r="715" spans="7:7" ht="13.2">
      <c r="G715" s="99"/>
    </row>
    <row r="716" spans="7:7" ht="13.2">
      <c r="G716" s="99"/>
    </row>
    <row r="717" spans="7:7" ht="13.2">
      <c r="G717" s="99"/>
    </row>
    <row r="718" spans="7:7" ht="13.2">
      <c r="G718" s="99"/>
    </row>
    <row r="719" spans="7:7" ht="13.2">
      <c r="G719" s="99"/>
    </row>
    <row r="720" spans="7:7" ht="13.2">
      <c r="G720" s="99"/>
    </row>
    <row r="721" spans="7:7" ht="13.2">
      <c r="G721" s="99"/>
    </row>
    <row r="722" spans="7:7" ht="13.2">
      <c r="G722" s="99"/>
    </row>
    <row r="723" spans="7:7" ht="13.2">
      <c r="G723" s="99"/>
    </row>
    <row r="724" spans="7:7" ht="13.2">
      <c r="G724" s="99"/>
    </row>
    <row r="725" spans="7:7" ht="13.2">
      <c r="G725" s="99"/>
    </row>
    <row r="726" spans="7:7" ht="13.2">
      <c r="G726" s="99"/>
    </row>
    <row r="727" spans="7:7" ht="13.2">
      <c r="G727" s="99"/>
    </row>
    <row r="728" spans="7:7" ht="13.2">
      <c r="G728" s="99"/>
    </row>
    <row r="729" spans="7:7" ht="13.2">
      <c r="G729" s="99"/>
    </row>
    <row r="730" spans="7:7" ht="13.2">
      <c r="G730" s="99"/>
    </row>
    <row r="731" spans="7:7" ht="13.2">
      <c r="G731" s="99"/>
    </row>
    <row r="732" spans="7:7" ht="13.2">
      <c r="G732" s="99"/>
    </row>
    <row r="733" spans="7:7" ht="13.2">
      <c r="G733" s="99"/>
    </row>
    <row r="734" spans="7:7" ht="13.2">
      <c r="G734" s="99"/>
    </row>
    <row r="735" spans="7:7" ht="13.2">
      <c r="G735" s="99"/>
    </row>
    <row r="736" spans="7:7" ht="13.2">
      <c r="G736" s="99"/>
    </row>
    <row r="737" spans="7:7" ht="13.2">
      <c r="G737" s="99"/>
    </row>
    <row r="738" spans="7:7" ht="13.2">
      <c r="G738" s="99"/>
    </row>
    <row r="739" spans="7:7" ht="13.2">
      <c r="G739" s="99"/>
    </row>
    <row r="740" spans="7:7" ht="13.2">
      <c r="G740" s="99"/>
    </row>
    <row r="741" spans="7:7" ht="13.2">
      <c r="G741" s="99"/>
    </row>
    <row r="742" spans="7:7" ht="13.2">
      <c r="G742" s="99"/>
    </row>
    <row r="743" spans="7:7" ht="13.2">
      <c r="G743" s="99"/>
    </row>
    <row r="744" spans="7:7" ht="13.2">
      <c r="G744" s="99"/>
    </row>
    <row r="745" spans="7:7" ht="13.2">
      <c r="G745" s="99"/>
    </row>
    <row r="746" spans="7:7" ht="13.2">
      <c r="G746" s="99"/>
    </row>
    <row r="747" spans="7:7" ht="13.2">
      <c r="G747" s="99"/>
    </row>
    <row r="748" spans="7:7" ht="13.2">
      <c r="G748" s="99"/>
    </row>
    <row r="749" spans="7:7" ht="13.2">
      <c r="G749" s="99"/>
    </row>
    <row r="750" spans="7:7" ht="13.2">
      <c r="G750" s="99"/>
    </row>
    <row r="751" spans="7:7" ht="13.2">
      <c r="G751" s="99"/>
    </row>
    <row r="752" spans="7:7" ht="13.2">
      <c r="G752" s="99"/>
    </row>
    <row r="753" spans="7:7" ht="13.2">
      <c r="G753" s="99"/>
    </row>
    <row r="754" spans="7:7" ht="13.2">
      <c r="G754" s="99"/>
    </row>
    <row r="755" spans="7:7" ht="13.2">
      <c r="G755" s="99"/>
    </row>
    <row r="756" spans="7:7" ht="13.2">
      <c r="G756" s="99"/>
    </row>
    <row r="757" spans="7:7" ht="13.2">
      <c r="G757" s="99"/>
    </row>
    <row r="758" spans="7:7" ht="13.2">
      <c r="G758" s="99"/>
    </row>
    <row r="759" spans="7:7" ht="13.2">
      <c r="G759" s="99"/>
    </row>
    <row r="760" spans="7:7" ht="13.2">
      <c r="G760" s="99"/>
    </row>
    <row r="761" spans="7:7" ht="13.2">
      <c r="G761" s="99"/>
    </row>
    <row r="762" spans="7:7" ht="13.2">
      <c r="G762" s="99"/>
    </row>
    <row r="763" spans="7:7" ht="13.2">
      <c r="G763" s="99"/>
    </row>
    <row r="764" spans="7:7" ht="13.2">
      <c r="G764" s="99"/>
    </row>
    <row r="765" spans="7:7" ht="13.2">
      <c r="G765" s="99"/>
    </row>
    <row r="766" spans="7:7" ht="13.2">
      <c r="G766" s="99"/>
    </row>
    <row r="767" spans="7:7" ht="13.2">
      <c r="G767" s="99"/>
    </row>
    <row r="768" spans="7:7" ht="13.2">
      <c r="G768" s="99"/>
    </row>
    <row r="769" spans="7:7" ht="13.2">
      <c r="G769" s="99"/>
    </row>
    <row r="770" spans="7:7" ht="13.2">
      <c r="G770" s="99"/>
    </row>
    <row r="771" spans="7:7" ht="13.2">
      <c r="G771" s="99"/>
    </row>
    <row r="772" spans="7:7" ht="13.2">
      <c r="G772" s="99"/>
    </row>
    <row r="773" spans="7:7" ht="13.2">
      <c r="G773" s="99"/>
    </row>
    <row r="774" spans="7:7" ht="13.2">
      <c r="G774" s="99"/>
    </row>
    <row r="775" spans="7:7" ht="13.2">
      <c r="G775" s="99"/>
    </row>
    <row r="776" spans="7:7" ht="13.2">
      <c r="G776" s="99"/>
    </row>
    <row r="777" spans="7:7" ht="13.2">
      <c r="G777" s="99"/>
    </row>
    <row r="778" spans="7:7" ht="13.2">
      <c r="G778" s="99"/>
    </row>
    <row r="779" spans="7:7" ht="13.2">
      <c r="G779" s="99"/>
    </row>
    <row r="780" spans="7:7" ht="13.2">
      <c r="G780" s="99"/>
    </row>
    <row r="781" spans="7:7" ht="13.2">
      <c r="G781" s="99"/>
    </row>
    <row r="782" spans="7:7" ht="13.2">
      <c r="G782" s="99"/>
    </row>
    <row r="783" spans="7:7" ht="13.2">
      <c r="G783" s="99"/>
    </row>
    <row r="784" spans="7:7" ht="13.2">
      <c r="G784" s="99"/>
    </row>
    <row r="785" spans="7:7" ht="13.2">
      <c r="G785" s="99"/>
    </row>
    <row r="786" spans="7:7" ht="13.2">
      <c r="G786" s="99"/>
    </row>
    <row r="787" spans="7:7" ht="13.2">
      <c r="G787" s="99"/>
    </row>
    <row r="788" spans="7:7" ht="13.2">
      <c r="G788" s="99"/>
    </row>
    <row r="789" spans="7:7" ht="13.2">
      <c r="G789" s="99"/>
    </row>
    <row r="790" spans="7:7" ht="13.2">
      <c r="G790" s="99"/>
    </row>
    <row r="791" spans="7:7" ht="13.2">
      <c r="G791" s="99"/>
    </row>
    <row r="792" spans="7:7" ht="13.2">
      <c r="G792" s="99"/>
    </row>
    <row r="793" spans="7:7" ht="13.2">
      <c r="G793" s="99"/>
    </row>
    <row r="794" spans="7:7" ht="13.2">
      <c r="G794" s="99"/>
    </row>
    <row r="795" spans="7:7" ht="13.2">
      <c r="G795" s="99"/>
    </row>
    <row r="796" spans="7:7" ht="13.2">
      <c r="G796" s="99"/>
    </row>
    <row r="797" spans="7:7" ht="13.2">
      <c r="G797" s="99"/>
    </row>
    <row r="798" spans="7:7" ht="13.2">
      <c r="G798" s="99"/>
    </row>
    <row r="799" spans="7:7" ht="13.2">
      <c r="G799" s="99"/>
    </row>
    <row r="800" spans="7:7" ht="13.2">
      <c r="G800" s="99"/>
    </row>
    <row r="801" spans="7:7" ht="13.2">
      <c r="G801" s="99"/>
    </row>
    <row r="802" spans="7:7" ht="13.2">
      <c r="G802" s="99"/>
    </row>
    <row r="803" spans="7:7" ht="13.2">
      <c r="G803" s="99"/>
    </row>
    <row r="804" spans="7:7" ht="13.2">
      <c r="G804" s="99"/>
    </row>
    <row r="805" spans="7:7" ht="13.2">
      <c r="G805" s="99"/>
    </row>
    <row r="806" spans="7:7" ht="13.2">
      <c r="G806" s="99"/>
    </row>
    <row r="807" spans="7:7" ht="13.2">
      <c r="G807" s="99"/>
    </row>
    <row r="808" spans="7:7" ht="13.2">
      <c r="G808" s="99"/>
    </row>
    <row r="809" spans="7:7" ht="13.2">
      <c r="G809" s="99"/>
    </row>
    <row r="810" spans="7:7" ht="13.2">
      <c r="G810" s="99"/>
    </row>
    <row r="811" spans="7:7" ht="13.2">
      <c r="G811" s="99"/>
    </row>
    <row r="812" spans="7:7" ht="13.2">
      <c r="G812" s="99"/>
    </row>
    <row r="813" spans="7:7" ht="13.2">
      <c r="G813" s="99"/>
    </row>
    <row r="814" spans="7:7" ht="13.2">
      <c r="G814" s="99"/>
    </row>
    <row r="815" spans="7:7" ht="13.2">
      <c r="G815" s="99"/>
    </row>
    <row r="816" spans="7:7" ht="13.2">
      <c r="G816" s="99"/>
    </row>
    <row r="817" spans="7:7" ht="13.2">
      <c r="G817" s="99"/>
    </row>
    <row r="818" spans="7:7" ht="13.2">
      <c r="G818" s="99"/>
    </row>
    <row r="819" spans="7:7" ht="13.2">
      <c r="G819" s="99"/>
    </row>
    <row r="820" spans="7:7" ht="13.2">
      <c r="G820" s="99"/>
    </row>
    <row r="821" spans="7:7" ht="13.2">
      <c r="G821" s="99"/>
    </row>
    <row r="822" spans="7:7" ht="13.2">
      <c r="G822" s="99"/>
    </row>
    <row r="823" spans="7:7" ht="13.2">
      <c r="G823" s="99"/>
    </row>
    <row r="824" spans="7:7" ht="13.2">
      <c r="G824" s="99"/>
    </row>
    <row r="825" spans="7:7" ht="13.2">
      <c r="G825" s="99"/>
    </row>
    <row r="826" spans="7:7" ht="13.2">
      <c r="G826" s="99"/>
    </row>
    <row r="827" spans="7:7" ht="13.2">
      <c r="G827" s="99"/>
    </row>
    <row r="828" spans="7:7" ht="13.2">
      <c r="G828" s="99"/>
    </row>
    <row r="829" spans="7:7" ht="13.2">
      <c r="G829" s="99"/>
    </row>
    <row r="830" spans="7:7" ht="13.2">
      <c r="G830" s="99"/>
    </row>
    <row r="831" spans="7:7" ht="13.2">
      <c r="G831" s="99"/>
    </row>
    <row r="832" spans="7:7" ht="13.2">
      <c r="G832" s="99"/>
    </row>
    <row r="833" spans="7:7" ht="13.2">
      <c r="G833" s="99"/>
    </row>
    <row r="834" spans="7:7" ht="13.2">
      <c r="G834" s="99"/>
    </row>
    <row r="835" spans="7:7" ht="13.2">
      <c r="G835" s="99"/>
    </row>
    <row r="836" spans="7:7" ht="13.2">
      <c r="G836" s="99"/>
    </row>
    <row r="837" spans="7:7" ht="13.2">
      <c r="G837" s="99"/>
    </row>
    <row r="838" spans="7:7" ht="13.2">
      <c r="G838" s="99"/>
    </row>
    <row r="839" spans="7:7" ht="13.2">
      <c r="G839" s="99"/>
    </row>
    <row r="840" spans="7:7" ht="13.2">
      <c r="G840" s="99"/>
    </row>
    <row r="841" spans="7:7" ht="13.2">
      <c r="G841" s="99"/>
    </row>
    <row r="842" spans="7:7" ht="13.2">
      <c r="G842" s="99"/>
    </row>
    <row r="843" spans="7:7" ht="13.2">
      <c r="G843" s="99"/>
    </row>
    <row r="844" spans="7:7" ht="13.2">
      <c r="G844" s="99"/>
    </row>
    <row r="845" spans="7:7" ht="13.2">
      <c r="G845" s="99"/>
    </row>
    <row r="846" spans="7:7" ht="13.2">
      <c r="G846" s="99"/>
    </row>
    <row r="847" spans="7:7" ht="13.2">
      <c r="G847" s="99"/>
    </row>
    <row r="848" spans="7:7" ht="13.2">
      <c r="G848" s="99"/>
    </row>
    <row r="849" spans="7:7" ht="13.2">
      <c r="G849" s="99"/>
    </row>
    <row r="850" spans="7:7" ht="13.2">
      <c r="G850" s="99"/>
    </row>
    <row r="851" spans="7:7" ht="13.2">
      <c r="G851" s="99"/>
    </row>
    <row r="852" spans="7:7" ht="13.2">
      <c r="G852" s="99"/>
    </row>
    <row r="853" spans="7:7" ht="13.2">
      <c r="G853" s="99"/>
    </row>
    <row r="854" spans="7:7" ht="13.2">
      <c r="G854" s="99"/>
    </row>
    <row r="855" spans="7:7" ht="13.2">
      <c r="G855" s="99"/>
    </row>
    <row r="856" spans="7:7" ht="13.2">
      <c r="G856" s="99"/>
    </row>
    <row r="857" spans="7:7" ht="13.2">
      <c r="G857" s="99"/>
    </row>
    <row r="858" spans="7:7" ht="13.2">
      <c r="G858" s="99"/>
    </row>
    <row r="859" spans="7:7" ht="13.2">
      <c r="G859" s="99"/>
    </row>
    <row r="860" spans="7:7" ht="13.2">
      <c r="G860" s="99"/>
    </row>
    <row r="861" spans="7:7" ht="13.2">
      <c r="G861" s="99"/>
    </row>
    <row r="862" spans="7:7" ht="13.2">
      <c r="G862" s="99"/>
    </row>
    <row r="863" spans="7:7" ht="13.2">
      <c r="G863" s="99"/>
    </row>
    <row r="864" spans="7:7" ht="13.2">
      <c r="G864" s="99"/>
    </row>
    <row r="865" spans="7:7" ht="13.2">
      <c r="G865" s="99"/>
    </row>
    <row r="866" spans="7:7" ht="13.2">
      <c r="G866" s="99"/>
    </row>
    <row r="867" spans="7:7" ht="13.2">
      <c r="G867" s="99"/>
    </row>
    <row r="868" spans="7:7" ht="13.2">
      <c r="G868" s="99"/>
    </row>
    <row r="869" spans="7:7" ht="13.2">
      <c r="G869" s="99"/>
    </row>
    <row r="870" spans="7:7" ht="13.2">
      <c r="G870" s="99"/>
    </row>
    <row r="871" spans="7:7" ht="13.2">
      <c r="G871" s="99"/>
    </row>
    <row r="872" spans="7:7" ht="13.2">
      <c r="G872" s="99"/>
    </row>
    <row r="873" spans="7:7" ht="13.2">
      <c r="G873" s="99"/>
    </row>
    <row r="874" spans="7:7" ht="13.2">
      <c r="G874" s="99"/>
    </row>
    <row r="875" spans="7:7" ht="13.2">
      <c r="G875" s="99"/>
    </row>
    <row r="876" spans="7:7" ht="13.2">
      <c r="G876" s="99"/>
    </row>
    <row r="877" spans="7:7" ht="13.2">
      <c r="G877" s="99"/>
    </row>
    <row r="878" spans="7:7" ht="13.2">
      <c r="G878" s="99"/>
    </row>
    <row r="879" spans="7:7" ht="13.2">
      <c r="G879" s="99"/>
    </row>
    <row r="880" spans="7:7" ht="13.2">
      <c r="G880" s="99"/>
    </row>
    <row r="881" spans="7:7" ht="13.2">
      <c r="G881" s="99"/>
    </row>
    <row r="882" spans="7:7" ht="13.2">
      <c r="G882" s="99"/>
    </row>
    <row r="883" spans="7:7" ht="13.2">
      <c r="G883" s="99"/>
    </row>
    <row r="884" spans="7:7" ht="13.2">
      <c r="G884" s="99"/>
    </row>
    <row r="885" spans="7:7" ht="13.2">
      <c r="G885" s="99"/>
    </row>
    <row r="886" spans="7:7" ht="13.2">
      <c r="G886" s="99"/>
    </row>
    <row r="887" spans="7:7" ht="13.2">
      <c r="G887" s="99"/>
    </row>
    <row r="888" spans="7:7" ht="13.2">
      <c r="G888" s="99"/>
    </row>
    <row r="889" spans="7:7" ht="13.2">
      <c r="G889" s="99"/>
    </row>
    <row r="890" spans="7:7" ht="13.2">
      <c r="G890" s="99"/>
    </row>
    <row r="891" spans="7:7" ht="13.2">
      <c r="G891" s="99"/>
    </row>
    <row r="892" spans="7:7" ht="13.2">
      <c r="G892" s="99"/>
    </row>
    <row r="893" spans="7:7" ht="13.2">
      <c r="G893" s="99"/>
    </row>
    <row r="894" spans="7:7" ht="13.2">
      <c r="G894" s="99"/>
    </row>
    <row r="895" spans="7:7" ht="13.2">
      <c r="G895" s="99"/>
    </row>
    <row r="896" spans="7:7" ht="13.2">
      <c r="G896" s="99"/>
    </row>
    <row r="897" spans="7:7" ht="13.2">
      <c r="G897" s="99"/>
    </row>
    <row r="898" spans="7:7" ht="13.2">
      <c r="G898" s="99"/>
    </row>
    <row r="899" spans="7:7" ht="13.2">
      <c r="G899" s="99"/>
    </row>
    <row r="900" spans="7:7" ht="13.2">
      <c r="G900" s="99"/>
    </row>
    <row r="901" spans="7:7" ht="13.2">
      <c r="G901" s="99"/>
    </row>
    <row r="902" spans="7:7" ht="13.2">
      <c r="G902" s="99"/>
    </row>
    <row r="903" spans="7:7" ht="13.2">
      <c r="G903" s="99"/>
    </row>
    <row r="904" spans="7:7" ht="13.2">
      <c r="G904" s="99"/>
    </row>
    <row r="905" spans="7:7" ht="13.2">
      <c r="G905" s="99"/>
    </row>
    <row r="906" spans="7:7" ht="13.2">
      <c r="G906" s="99"/>
    </row>
    <row r="907" spans="7:7" ht="13.2">
      <c r="G907" s="99"/>
    </row>
    <row r="908" spans="7:7" ht="13.2">
      <c r="G908" s="99"/>
    </row>
    <row r="909" spans="7:7" ht="13.2">
      <c r="G909" s="99"/>
    </row>
    <row r="910" spans="7:7" ht="13.2">
      <c r="G910" s="99"/>
    </row>
    <row r="911" spans="7:7" ht="13.2">
      <c r="G911" s="99"/>
    </row>
    <row r="912" spans="7:7" ht="13.2">
      <c r="G912" s="99"/>
    </row>
    <row r="913" spans="7:7" ht="13.2">
      <c r="G913" s="99"/>
    </row>
    <row r="914" spans="7:7" ht="13.2">
      <c r="G914" s="99"/>
    </row>
    <row r="915" spans="7:7" ht="13.2">
      <c r="G915" s="99"/>
    </row>
    <row r="916" spans="7:7" ht="13.2">
      <c r="G916" s="99"/>
    </row>
    <row r="917" spans="7:7" ht="13.2">
      <c r="G917" s="99"/>
    </row>
    <row r="918" spans="7:7" ht="13.2">
      <c r="G918" s="99"/>
    </row>
    <row r="919" spans="7:7" ht="13.2">
      <c r="G919" s="99"/>
    </row>
    <row r="920" spans="7:7" ht="13.2">
      <c r="G920" s="99"/>
    </row>
    <row r="921" spans="7:7" ht="13.2">
      <c r="G921" s="99"/>
    </row>
    <row r="922" spans="7:7" ht="13.2">
      <c r="G922" s="99"/>
    </row>
    <row r="923" spans="7:7" ht="13.2">
      <c r="G923" s="99"/>
    </row>
    <row r="924" spans="7:7" ht="13.2">
      <c r="G924" s="99"/>
    </row>
    <row r="925" spans="7:7" ht="13.2">
      <c r="G925" s="99"/>
    </row>
    <row r="926" spans="7:7" ht="13.2">
      <c r="G926" s="99"/>
    </row>
    <row r="927" spans="7:7" ht="13.2">
      <c r="G927" s="99"/>
    </row>
    <row r="928" spans="7:7" ht="13.2">
      <c r="G928" s="99"/>
    </row>
    <row r="929" spans="7:7" ht="13.2">
      <c r="G929" s="99"/>
    </row>
    <row r="930" spans="7:7" ht="13.2">
      <c r="G930" s="99"/>
    </row>
    <row r="931" spans="7:7" ht="13.2">
      <c r="G931" s="99"/>
    </row>
    <row r="932" spans="7:7" ht="13.2">
      <c r="G932" s="99"/>
    </row>
    <row r="933" spans="7:7" ht="13.2">
      <c r="G933" s="99"/>
    </row>
    <row r="934" spans="7:7" ht="13.2">
      <c r="G934" s="99"/>
    </row>
    <row r="935" spans="7:7" ht="13.2">
      <c r="G935" s="99"/>
    </row>
    <row r="936" spans="7:7" ht="13.2">
      <c r="G936" s="99"/>
    </row>
    <row r="937" spans="7:7" ht="13.2">
      <c r="G937" s="99"/>
    </row>
    <row r="938" spans="7:7" ht="13.2">
      <c r="G938" s="99"/>
    </row>
    <row r="939" spans="7:7" ht="13.2">
      <c r="G939" s="99"/>
    </row>
    <row r="940" spans="7:7" ht="13.2">
      <c r="G940" s="99"/>
    </row>
    <row r="941" spans="7:7" ht="13.2">
      <c r="G941" s="99"/>
    </row>
    <row r="942" spans="7:7" ht="13.2">
      <c r="G942" s="99"/>
    </row>
    <row r="943" spans="7:7" ht="13.2">
      <c r="G943" s="99"/>
    </row>
    <row r="944" spans="7:7" ht="13.2">
      <c r="G944" s="99"/>
    </row>
    <row r="945" spans="7:7" ht="13.2">
      <c r="G945" s="99"/>
    </row>
    <row r="946" spans="7:7" ht="13.2">
      <c r="G946" s="99"/>
    </row>
    <row r="947" spans="7:7" ht="13.2">
      <c r="G947" s="99"/>
    </row>
    <row r="948" spans="7:7" ht="13.2">
      <c r="G948" s="99"/>
    </row>
    <row r="949" spans="7:7" ht="13.2">
      <c r="G949" s="99"/>
    </row>
    <row r="950" spans="7:7" ht="13.2">
      <c r="G950" s="99"/>
    </row>
    <row r="951" spans="7:7" ht="13.2">
      <c r="G951" s="99"/>
    </row>
    <row r="952" spans="7:7" ht="13.2">
      <c r="G952" s="99"/>
    </row>
    <row r="953" spans="7:7" ht="13.2">
      <c r="G953" s="99"/>
    </row>
    <row r="954" spans="7:7" ht="13.2">
      <c r="G954" s="99"/>
    </row>
    <row r="955" spans="7:7" ht="13.2">
      <c r="G955" s="99"/>
    </row>
    <row r="956" spans="7:7" ht="13.2">
      <c r="G956" s="99"/>
    </row>
    <row r="957" spans="7:7" ht="13.2">
      <c r="G957" s="99"/>
    </row>
    <row r="958" spans="7:7" ht="13.2">
      <c r="G958" s="99"/>
    </row>
    <row r="959" spans="7:7" ht="13.2">
      <c r="G959" s="99"/>
    </row>
    <row r="960" spans="7:7" ht="13.2">
      <c r="G960" s="99"/>
    </row>
    <row r="961" spans="7:7" ht="13.2">
      <c r="G961" s="99"/>
    </row>
    <row r="962" spans="7:7" ht="13.2">
      <c r="G962" s="99"/>
    </row>
    <row r="963" spans="7:7" ht="13.2">
      <c r="G963" s="99"/>
    </row>
    <row r="964" spans="7:7" ht="13.2">
      <c r="G964" s="99"/>
    </row>
    <row r="965" spans="7:7" ht="13.2">
      <c r="G965" s="99"/>
    </row>
    <row r="966" spans="7:7" ht="13.2">
      <c r="G966" s="99"/>
    </row>
    <row r="967" spans="7:7" ht="13.2">
      <c r="G967" s="99"/>
    </row>
    <row r="968" spans="7:7" ht="13.2">
      <c r="G968" s="99"/>
    </row>
    <row r="969" spans="7:7" ht="13.2">
      <c r="G969" s="99"/>
    </row>
    <row r="970" spans="7:7" ht="13.2">
      <c r="G970" s="99"/>
    </row>
    <row r="971" spans="7:7" ht="13.2">
      <c r="G971" s="99"/>
    </row>
    <row r="972" spans="7:7" ht="13.2">
      <c r="G972" s="99"/>
    </row>
    <row r="973" spans="7:7" ht="13.2">
      <c r="G973" s="99"/>
    </row>
    <row r="974" spans="7:7" ht="13.2">
      <c r="G974" s="99"/>
    </row>
    <row r="975" spans="7:7" ht="13.2">
      <c r="G975" s="99"/>
    </row>
    <row r="976" spans="7:7" ht="13.2">
      <c r="G976" s="99"/>
    </row>
    <row r="977" spans="7:7" ht="13.2">
      <c r="G977" s="99"/>
    </row>
    <row r="978" spans="7:7" ht="13.2">
      <c r="G978" s="99"/>
    </row>
    <row r="979" spans="7:7" ht="13.2">
      <c r="G979" s="99"/>
    </row>
    <row r="980" spans="7:7" ht="13.2">
      <c r="G980" s="99"/>
    </row>
    <row r="981" spans="7:7" ht="13.2">
      <c r="G981" s="99"/>
    </row>
    <row r="982" spans="7:7" ht="13.2">
      <c r="G982" s="99"/>
    </row>
    <row r="983" spans="7:7" ht="13.2">
      <c r="G983" s="99"/>
    </row>
    <row r="984" spans="7:7" ht="13.2">
      <c r="G984" s="99"/>
    </row>
    <row r="985" spans="7:7" ht="13.2">
      <c r="G985" s="99"/>
    </row>
    <row r="986" spans="7:7" ht="13.2">
      <c r="G986" s="99"/>
    </row>
    <row r="987" spans="7:7" ht="13.2">
      <c r="G987" s="99"/>
    </row>
    <row r="988" spans="7:7" ht="13.2">
      <c r="G988" s="99"/>
    </row>
    <row r="989" spans="7:7" ht="13.2">
      <c r="G989" s="99"/>
    </row>
    <row r="990" spans="7:7" ht="13.2">
      <c r="G990" s="99"/>
    </row>
    <row r="991" spans="7:7" ht="13.2">
      <c r="G991" s="99"/>
    </row>
    <row r="992" spans="7:7" ht="13.2">
      <c r="G992" s="99"/>
    </row>
    <row r="993" spans="7:7" ht="13.2">
      <c r="G993" s="99"/>
    </row>
    <row r="994" spans="7:7" ht="13.2">
      <c r="G994" s="99"/>
    </row>
    <row r="995" spans="7:7" ht="13.2">
      <c r="G995" s="99"/>
    </row>
    <row r="996" spans="7:7" ht="13.2">
      <c r="G996" s="99"/>
    </row>
  </sheetData>
  <customSheetViews>
    <customSheetView guid="{1EE56A46-DDAF-414D-A3FC-8C32C20DF9BB}" filter="1" showAutoFilter="1">
      <pageMargins left="0.7" right="0.7" top="0.75" bottom="0.75" header="0.3" footer="0.3"/>
      <autoFilter ref="A1:I104"/>
    </customSheetView>
  </customSheetViews>
  <dataValidations count="8">
    <dataValidation type="list" allowBlank="1" showDropDown="1" showErrorMessage="1" sqref="F2:F104">
      <formula1>"Capped,Uncapped"</formula1>
    </dataValidation>
    <dataValidation type="list" allowBlank="1" showDropDown="1" showErrorMessage="1" sqref="D2:D104">
      <formula1>"Yes,No"</formula1>
    </dataValidation>
    <dataValidation type="list" allowBlank="1" showDropDown="1" showErrorMessage="1" sqref="C2:C104">
      <formula1>"All-rounder,Batter,Bowler,Wicket-Keeper,All-Rounder"</formula1>
    </dataValidation>
    <dataValidation type="list" allowBlank="1" showDropDown="1" showErrorMessage="1" sqref="E2:E104">
      <formula1>"No,Yes"</formula1>
    </dataValidation>
    <dataValidation type="list" allowBlank="1" showDropDown="1" showErrorMessage="1" sqref="H2:H104">
      <formula1>"ONKAR,Pranav,HIMANSHU,Abhishekh,MEEHUL"</formula1>
    </dataValidation>
    <dataValidation type="custom" allowBlank="1" showDropDown="1" sqref="A2:A104">
      <formula1>AND(ISNUMBER(A2),(NOT(OR(NOT(ISERROR(DATEVALUE(A2))), AND(ISNUMBER(A2), LEFT(CELL("format", A2))="D")))))</formula1>
    </dataValidation>
    <dataValidation type="list" allowBlank="1" sqref="I2:I104">
      <formula1>"KKR,SRH,RCB,MI,CSK,LSG,Pbsk,RR,GT,DC"</formula1>
    </dataValidation>
    <dataValidation type="list" allowBlank="1" sqref="G2:G104">
      <formula1>"₹0.30,₹7.05,₹3.05,₹6.55,₹4.05,₹3.25,₹2.80,₹1.30,₹6.50,₹0.55,₹0.80,₹5.50,₹12.00,₹15.50,₹2.50,₹3.00,₹2.00,₹1.25,₹8.00,₹1.50,₹1.75,₹3.75,₹0.75,₹4.75,₹16.50,₹7.00,₹2.25,₹6.00,₹8.50,₹9.50,₹11.00,₹11.50,₹5.00,₹15.00,₹10.00,₹17.00,₹4.25,₹7.50,₹5.55,₹10.50,₹4.00,"&amp;"₹7.55,₹12.50"</formula1>
    </dataValidation>
  </dataValidation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DEBF7"/>
    <outlinePr summaryBelow="0" summaryRight="0"/>
  </sheetPr>
  <dimension ref="A1:H251"/>
  <sheetViews>
    <sheetView workbookViewId="0"/>
  </sheetViews>
  <sheetFormatPr defaultColWidth="12.6640625" defaultRowHeight="15.75" customHeight="1"/>
  <cols>
    <col min="2" max="2" width="18.77734375" customWidth="1"/>
    <col min="3" max="3" width="12.6640625" customWidth="1"/>
    <col min="4" max="4" width="20.33203125" customWidth="1"/>
    <col min="6" max="6" width="10.88671875" customWidth="1"/>
    <col min="7" max="7" width="15" customWidth="1"/>
  </cols>
  <sheetData>
    <row r="1" spans="1:8" ht="22.5" customHeight="1">
      <c r="A1" s="867" t="s">
        <v>341</v>
      </c>
      <c r="B1" s="868" t="s">
        <v>63</v>
      </c>
      <c r="C1" s="869" t="s">
        <v>342</v>
      </c>
      <c r="D1" s="869" t="s">
        <v>65</v>
      </c>
      <c r="E1" s="869" t="s">
        <v>64</v>
      </c>
      <c r="F1" s="869" t="s">
        <v>34</v>
      </c>
      <c r="G1" s="869" t="s">
        <v>32</v>
      </c>
      <c r="H1" s="870" t="s">
        <v>4</v>
      </c>
    </row>
    <row r="2" spans="1:8" ht="14.4">
      <c r="A2" s="871">
        <v>1</v>
      </c>
      <c r="B2" s="871" t="s">
        <v>155</v>
      </c>
      <c r="C2" s="871" t="s">
        <v>343</v>
      </c>
      <c r="D2" s="871" t="s">
        <v>148</v>
      </c>
      <c r="E2" s="871" t="s">
        <v>74</v>
      </c>
      <c r="F2" s="871" t="s">
        <v>78</v>
      </c>
      <c r="G2" s="871" t="s">
        <v>344</v>
      </c>
      <c r="H2" s="872" t="s">
        <v>106</v>
      </c>
    </row>
    <row r="3" spans="1:8" ht="14.4">
      <c r="A3" s="871">
        <v>2</v>
      </c>
      <c r="B3" s="871" t="s">
        <v>345</v>
      </c>
      <c r="C3" s="871" t="s">
        <v>346</v>
      </c>
      <c r="D3" s="871" t="s">
        <v>36</v>
      </c>
      <c r="E3" s="873" t="s">
        <v>77</v>
      </c>
      <c r="F3" s="871" t="s">
        <v>344</v>
      </c>
      <c r="G3" s="871" t="s">
        <v>344</v>
      </c>
      <c r="H3" s="872" t="s">
        <v>106</v>
      </c>
    </row>
    <row r="4" spans="1:8" ht="14.4">
      <c r="A4" s="871">
        <v>3</v>
      </c>
      <c r="B4" s="874" t="s">
        <v>150</v>
      </c>
      <c r="C4" s="871" t="s">
        <v>347</v>
      </c>
      <c r="D4" s="871" t="s">
        <v>148</v>
      </c>
      <c r="E4" s="871" t="s">
        <v>74</v>
      </c>
      <c r="F4" s="871" t="s">
        <v>78</v>
      </c>
      <c r="G4" s="871" t="s">
        <v>344</v>
      </c>
      <c r="H4" s="872" t="s">
        <v>106</v>
      </c>
    </row>
    <row r="5" spans="1:8" ht="14.4">
      <c r="A5" s="871">
        <v>4</v>
      </c>
      <c r="B5" s="875" t="s">
        <v>348</v>
      </c>
      <c r="C5" s="871" t="s">
        <v>349</v>
      </c>
      <c r="D5" s="871" t="s">
        <v>148</v>
      </c>
      <c r="E5" s="874" t="s">
        <v>87</v>
      </c>
      <c r="F5" s="871" t="s">
        <v>78</v>
      </c>
      <c r="G5" s="871" t="s">
        <v>344</v>
      </c>
      <c r="H5" s="872" t="s">
        <v>106</v>
      </c>
    </row>
    <row r="6" spans="1:8" ht="14.4">
      <c r="A6" s="871">
        <v>5</v>
      </c>
      <c r="B6" s="871" t="s">
        <v>350</v>
      </c>
      <c r="C6" s="871" t="s">
        <v>346</v>
      </c>
      <c r="D6" s="871" t="s">
        <v>36</v>
      </c>
      <c r="E6" s="875" t="s">
        <v>74</v>
      </c>
      <c r="F6" s="871" t="s">
        <v>344</v>
      </c>
      <c r="G6" s="871" t="s">
        <v>344</v>
      </c>
      <c r="H6" s="872" t="s">
        <v>106</v>
      </c>
    </row>
    <row r="7" spans="1:8" ht="14.4">
      <c r="A7" s="871">
        <v>6</v>
      </c>
      <c r="B7" s="874" t="s">
        <v>351</v>
      </c>
      <c r="C7" s="871" t="s">
        <v>346</v>
      </c>
      <c r="D7" s="871" t="s">
        <v>36</v>
      </c>
      <c r="E7" s="871" t="s">
        <v>74</v>
      </c>
      <c r="F7" s="871" t="s">
        <v>344</v>
      </c>
      <c r="G7" s="871" t="s">
        <v>344</v>
      </c>
      <c r="H7" s="872" t="s">
        <v>106</v>
      </c>
    </row>
    <row r="8" spans="1:8" ht="14.4">
      <c r="A8" s="871">
        <v>7</v>
      </c>
      <c r="B8" s="875" t="s">
        <v>208</v>
      </c>
      <c r="C8" s="871" t="s">
        <v>349</v>
      </c>
      <c r="D8" s="871" t="s">
        <v>148</v>
      </c>
      <c r="E8" s="871" t="s">
        <v>77</v>
      </c>
      <c r="F8" s="871" t="s">
        <v>344</v>
      </c>
      <c r="G8" s="871" t="s">
        <v>344</v>
      </c>
      <c r="H8" s="872" t="s">
        <v>106</v>
      </c>
    </row>
    <row r="9" spans="1:8" ht="14.4">
      <c r="A9" s="871">
        <v>8</v>
      </c>
      <c r="B9" s="874" t="s">
        <v>128</v>
      </c>
      <c r="C9" s="871" t="s">
        <v>352</v>
      </c>
      <c r="D9" s="871" t="s">
        <v>148</v>
      </c>
      <c r="E9" s="871" t="s">
        <v>87</v>
      </c>
      <c r="F9" s="871" t="s">
        <v>344</v>
      </c>
      <c r="G9" s="871" t="s">
        <v>344</v>
      </c>
      <c r="H9" s="872" t="s">
        <v>106</v>
      </c>
    </row>
    <row r="10" spans="1:8" ht="14.4">
      <c r="A10" s="871">
        <v>9</v>
      </c>
      <c r="B10" s="875" t="s">
        <v>185</v>
      </c>
      <c r="C10" s="871" t="s">
        <v>343</v>
      </c>
      <c r="D10" s="871" t="s">
        <v>36</v>
      </c>
      <c r="E10" s="871" t="s">
        <v>77</v>
      </c>
      <c r="F10" s="871" t="s">
        <v>344</v>
      </c>
      <c r="G10" s="871" t="s">
        <v>78</v>
      </c>
      <c r="H10" s="872" t="s">
        <v>106</v>
      </c>
    </row>
    <row r="11" spans="1:8" ht="14.4">
      <c r="A11" s="871">
        <v>10</v>
      </c>
      <c r="B11" s="871" t="s">
        <v>129</v>
      </c>
      <c r="C11" s="871" t="s">
        <v>343</v>
      </c>
      <c r="D11" s="871" t="s">
        <v>148</v>
      </c>
      <c r="E11" s="874" t="s">
        <v>77</v>
      </c>
      <c r="F11" s="871" t="s">
        <v>344</v>
      </c>
      <c r="G11" s="871" t="s">
        <v>78</v>
      </c>
      <c r="H11" s="872" t="s">
        <v>106</v>
      </c>
    </row>
    <row r="12" spans="1:8" ht="14.4">
      <c r="A12" s="871">
        <v>11</v>
      </c>
      <c r="B12" s="871" t="s">
        <v>105</v>
      </c>
      <c r="C12" s="871" t="s">
        <v>346</v>
      </c>
      <c r="D12" s="871" t="s">
        <v>36</v>
      </c>
      <c r="E12" s="875" t="s">
        <v>77</v>
      </c>
      <c r="F12" s="871" t="s">
        <v>344</v>
      </c>
      <c r="G12" s="871" t="s">
        <v>344</v>
      </c>
      <c r="H12" s="872" t="s">
        <v>106</v>
      </c>
    </row>
    <row r="13" spans="1:8" ht="14.4">
      <c r="A13" s="871">
        <v>12</v>
      </c>
      <c r="B13" s="871" t="s">
        <v>207</v>
      </c>
      <c r="C13" s="871" t="s">
        <v>346</v>
      </c>
      <c r="D13" s="871" t="s">
        <v>36</v>
      </c>
      <c r="E13" s="871" t="s">
        <v>87</v>
      </c>
      <c r="F13" s="871" t="s">
        <v>344</v>
      </c>
      <c r="G13" s="871" t="s">
        <v>344</v>
      </c>
      <c r="H13" s="872" t="s">
        <v>106</v>
      </c>
    </row>
    <row r="14" spans="1:8" ht="14.4">
      <c r="A14" s="871">
        <v>13</v>
      </c>
      <c r="B14" s="871" t="s">
        <v>181</v>
      </c>
      <c r="C14" s="871" t="s">
        <v>353</v>
      </c>
      <c r="D14" s="871" t="s">
        <v>148</v>
      </c>
      <c r="E14" s="871" t="s">
        <v>74</v>
      </c>
      <c r="F14" s="871" t="s">
        <v>344</v>
      </c>
      <c r="G14" s="871" t="s">
        <v>344</v>
      </c>
      <c r="H14" s="872" t="s">
        <v>106</v>
      </c>
    </row>
    <row r="15" spans="1:8" ht="14.4">
      <c r="A15" s="871">
        <v>14</v>
      </c>
      <c r="B15" s="871" t="s">
        <v>304</v>
      </c>
      <c r="C15" s="871" t="s">
        <v>353</v>
      </c>
      <c r="D15" s="871" t="s">
        <v>148</v>
      </c>
      <c r="E15" s="874" t="s">
        <v>74</v>
      </c>
      <c r="F15" s="871" t="s">
        <v>344</v>
      </c>
      <c r="G15" s="871" t="s">
        <v>344</v>
      </c>
      <c r="H15" s="872" t="s">
        <v>106</v>
      </c>
    </row>
    <row r="16" spans="1:8" ht="14.4">
      <c r="A16" s="871">
        <v>15</v>
      </c>
      <c r="B16" s="874" t="s">
        <v>154</v>
      </c>
      <c r="C16" s="871" t="s">
        <v>349</v>
      </c>
      <c r="D16" s="871" t="s">
        <v>148</v>
      </c>
      <c r="E16" s="875" t="s">
        <v>77</v>
      </c>
      <c r="F16" s="871" t="s">
        <v>78</v>
      </c>
      <c r="G16" s="871" t="s">
        <v>344</v>
      </c>
      <c r="H16" s="872" t="s">
        <v>106</v>
      </c>
    </row>
    <row r="17" spans="1:8" ht="14.4">
      <c r="A17" s="871">
        <v>16</v>
      </c>
      <c r="B17" s="875" t="s">
        <v>354</v>
      </c>
      <c r="C17" s="871" t="s">
        <v>349</v>
      </c>
      <c r="D17" s="871" t="s">
        <v>148</v>
      </c>
      <c r="E17" s="871" t="s">
        <v>74</v>
      </c>
      <c r="F17" s="871" t="s">
        <v>78</v>
      </c>
      <c r="G17" s="871" t="s">
        <v>344</v>
      </c>
      <c r="H17" s="872" t="s">
        <v>106</v>
      </c>
    </row>
    <row r="18" spans="1:8" ht="14.4">
      <c r="A18" s="871">
        <v>17</v>
      </c>
      <c r="B18" s="871" t="s">
        <v>355</v>
      </c>
      <c r="C18" s="871" t="s">
        <v>349</v>
      </c>
      <c r="D18" s="871" t="s">
        <v>148</v>
      </c>
      <c r="E18" s="871" t="s">
        <v>74</v>
      </c>
      <c r="F18" s="871" t="s">
        <v>78</v>
      </c>
      <c r="G18" s="871" t="s">
        <v>344</v>
      </c>
      <c r="H18" s="872" t="s">
        <v>106</v>
      </c>
    </row>
    <row r="19" spans="1:8" ht="14.4">
      <c r="A19" s="871">
        <v>18</v>
      </c>
      <c r="B19" s="871" t="s">
        <v>356</v>
      </c>
      <c r="C19" s="871" t="s">
        <v>349</v>
      </c>
      <c r="D19" s="871" t="s">
        <v>148</v>
      </c>
      <c r="E19" s="871" t="s">
        <v>87</v>
      </c>
      <c r="F19" s="871" t="s">
        <v>78</v>
      </c>
      <c r="G19" s="871" t="s">
        <v>344</v>
      </c>
      <c r="H19" s="872" t="s">
        <v>106</v>
      </c>
    </row>
    <row r="20" spans="1:8" ht="14.4">
      <c r="A20" s="871">
        <v>19</v>
      </c>
      <c r="B20" s="871" t="s">
        <v>357</v>
      </c>
      <c r="C20" s="871" t="s">
        <v>358</v>
      </c>
      <c r="D20" s="871" t="s">
        <v>148</v>
      </c>
      <c r="E20" s="874" t="s">
        <v>77</v>
      </c>
      <c r="F20" s="871" t="s">
        <v>344</v>
      </c>
      <c r="G20" s="871" t="s">
        <v>344</v>
      </c>
      <c r="H20" s="872" t="s">
        <v>106</v>
      </c>
    </row>
    <row r="21" spans="1:8" ht="14.4">
      <c r="A21" s="871">
        <v>20</v>
      </c>
      <c r="B21" s="871" t="s">
        <v>359</v>
      </c>
      <c r="C21" s="871" t="s">
        <v>358</v>
      </c>
      <c r="D21" s="871" t="s">
        <v>148</v>
      </c>
      <c r="E21" s="875" t="s">
        <v>87</v>
      </c>
      <c r="F21" s="871" t="s">
        <v>78</v>
      </c>
      <c r="G21" s="871" t="s">
        <v>344</v>
      </c>
      <c r="H21" s="872" t="s">
        <v>106</v>
      </c>
    </row>
    <row r="22" spans="1:8" ht="14.4">
      <c r="A22" s="871">
        <v>21</v>
      </c>
      <c r="B22" s="871" t="s">
        <v>236</v>
      </c>
      <c r="C22" s="871" t="s">
        <v>346</v>
      </c>
      <c r="D22" s="871" t="s">
        <v>36</v>
      </c>
      <c r="E22" s="874" t="s">
        <v>77</v>
      </c>
      <c r="F22" s="871" t="s">
        <v>344</v>
      </c>
      <c r="G22" s="871" t="s">
        <v>344</v>
      </c>
      <c r="H22" s="872" t="s">
        <v>106</v>
      </c>
    </row>
    <row r="23" spans="1:8" ht="14.4">
      <c r="A23" s="871">
        <v>22</v>
      </c>
      <c r="B23" s="871" t="s">
        <v>360</v>
      </c>
      <c r="C23" s="871" t="s">
        <v>346</v>
      </c>
      <c r="D23" s="871" t="s">
        <v>36</v>
      </c>
      <c r="E23" s="875" t="s">
        <v>77</v>
      </c>
      <c r="F23" s="871" t="s">
        <v>344</v>
      </c>
      <c r="G23" s="871" t="s">
        <v>78</v>
      </c>
      <c r="H23" s="872" t="s">
        <v>106</v>
      </c>
    </row>
    <row r="24" spans="1:8" ht="14.4">
      <c r="A24" s="871">
        <v>193</v>
      </c>
      <c r="B24" s="876" t="s">
        <v>361</v>
      </c>
      <c r="C24" s="876" t="s">
        <v>346</v>
      </c>
      <c r="D24" s="876" t="s">
        <v>36</v>
      </c>
      <c r="E24" s="876" t="s">
        <v>74</v>
      </c>
      <c r="F24" s="876" t="s">
        <v>344</v>
      </c>
      <c r="G24" s="876" t="s">
        <v>344</v>
      </c>
      <c r="H24" s="872" t="s">
        <v>106</v>
      </c>
    </row>
    <row r="25" spans="1:8" ht="14.4">
      <c r="A25" s="871">
        <v>249</v>
      </c>
      <c r="B25" s="876" t="s">
        <v>362</v>
      </c>
      <c r="C25" s="876" t="s">
        <v>346</v>
      </c>
      <c r="D25" s="876" t="s">
        <v>36</v>
      </c>
      <c r="E25" s="876" t="s">
        <v>77</v>
      </c>
      <c r="F25" s="876" t="s">
        <v>344</v>
      </c>
      <c r="G25" s="876" t="s">
        <v>344</v>
      </c>
      <c r="H25" s="872" t="s">
        <v>106</v>
      </c>
    </row>
    <row r="26" spans="1:8" ht="14.4">
      <c r="A26" s="871">
        <v>250</v>
      </c>
      <c r="B26" s="877" t="s">
        <v>363</v>
      </c>
      <c r="C26" s="876" t="s">
        <v>346</v>
      </c>
      <c r="D26" s="876" t="s">
        <v>36</v>
      </c>
      <c r="E26" s="876" t="s">
        <v>87</v>
      </c>
      <c r="F26" s="876" t="s">
        <v>344</v>
      </c>
      <c r="G26" s="876" t="s">
        <v>344</v>
      </c>
      <c r="H26" s="872" t="s">
        <v>106</v>
      </c>
    </row>
    <row r="27" spans="1:8" ht="14.4">
      <c r="A27" s="871">
        <v>23</v>
      </c>
      <c r="B27" s="871" t="s">
        <v>212</v>
      </c>
      <c r="C27" s="871" t="s">
        <v>343</v>
      </c>
      <c r="D27" s="871" t="s">
        <v>148</v>
      </c>
      <c r="E27" s="871" t="s">
        <v>77</v>
      </c>
      <c r="F27" s="871" t="s">
        <v>344</v>
      </c>
      <c r="G27" s="871" t="s">
        <v>78</v>
      </c>
      <c r="H27" s="878" t="s">
        <v>79</v>
      </c>
    </row>
    <row r="28" spans="1:8" ht="14.4">
      <c r="A28" s="871">
        <v>24</v>
      </c>
      <c r="B28" s="873" t="s">
        <v>187</v>
      </c>
      <c r="C28" s="871" t="s">
        <v>343</v>
      </c>
      <c r="D28" s="871" t="s">
        <v>148</v>
      </c>
      <c r="E28" s="875" t="s">
        <v>74</v>
      </c>
      <c r="F28" s="871" t="s">
        <v>78</v>
      </c>
      <c r="G28" s="871" t="s">
        <v>344</v>
      </c>
      <c r="H28" s="878" t="s">
        <v>79</v>
      </c>
    </row>
    <row r="29" spans="1:8" ht="14.4">
      <c r="A29" s="871">
        <v>25</v>
      </c>
      <c r="B29" s="871" t="s">
        <v>364</v>
      </c>
      <c r="C29" s="871" t="s">
        <v>343</v>
      </c>
      <c r="D29" s="871" t="s">
        <v>148</v>
      </c>
      <c r="E29" s="871" t="s">
        <v>74</v>
      </c>
      <c r="F29" s="871" t="s">
        <v>344</v>
      </c>
      <c r="G29" s="871" t="s">
        <v>344</v>
      </c>
      <c r="H29" s="878" t="s">
        <v>79</v>
      </c>
    </row>
    <row r="30" spans="1:8" ht="14.4">
      <c r="A30" s="871">
        <v>26</v>
      </c>
      <c r="B30" s="874" t="s">
        <v>115</v>
      </c>
      <c r="C30" s="871" t="s">
        <v>346</v>
      </c>
      <c r="D30" s="871" t="s">
        <v>36</v>
      </c>
      <c r="E30" s="874" t="s">
        <v>339</v>
      </c>
      <c r="F30" s="871" t="s">
        <v>344</v>
      </c>
      <c r="G30" s="871" t="s">
        <v>344</v>
      </c>
      <c r="H30" s="878" t="s">
        <v>79</v>
      </c>
    </row>
    <row r="31" spans="1:8" ht="14.4">
      <c r="A31" s="871">
        <v>27</v>
      </c>
      <c r="B31" s="871" t="s">
        <v>365</v>
      </c>
      <c r="C31" s="871" t="s">
        <v>346</v>
      </c>
      <c r="D31" s="871" t="s">
        <v>36</v>
      </c>
      <c r="E31" s="871" t="s">
        <v>339</v>
      </c>
      <c r="F31" s="871" t="s">
        <v>344</v>
      </c>
      <c r="G31" s="871" t="s">
        <v>344</v>
      </c>
      <c r="H31" s="878" t="s">
        <v>79</v>
      </c>
    </row>
    <row r="32" spans="1:8" ht="14.4">
      <c r="A32" s="871">
        <v>28</v>
      </c>
      <c r="B32" s="875" t="s">
        <v>366</v>
      </c>
      <c r="C32" s="871" t="s">
        <v>358</v>
      </c>
      <c r="D32" s="871" t="s">
        <v>148</v>
      </c>
      <c r="E32" s="871" t="s">
        <v>74</v>
      </c>
      <c r="F32" s="871" t="s">
        <v>78</v>
      </c>
      <c r="G32" s="871" t="s">
        <v>344</v>
      </c>
      <c r="H32" s="878" t="s">
        <v>79</v>
      </c>
    </row>
    <row r="33" spans="1:8" ht="14.4">
      <c r="A33" s="871">
        <v>29</v>
      </c>
      <c r="B33" s="871" t="s">
        <v>367</v>
      </c>
      <c r="C33" s="871" t="s">
        <v>346</v>
      </c>
      <c r="D33" s="871" t="s">
        <v>36</v>
      </c>
      <c r="E33" s="871" t="s">
        <v>74</v>
      </c>
      <c r="F33" s="871" t="s">
        <v>344</v>
      </c>
      <c r="G33" s="871" t="s">
        <v>344</v>
      </c>
      <c r="H33" s="878" t="s">
        <v>79</v>
      </c>
    </row>
    <row r="34" spans="1:8" ht="14.4">
      <c r="A34" s="871">
        <v>30</v>
      </c>
      <c r="B34" s="874" t="s">
        <v>368</v>
      </c>
      <c r="C34" s="871" t="s">
        <v>346</v>
      </c>
      <c r="D34" s="871" t="s">
        <v>36</v>
      </c>
      <c r="E34" s="871" t="s">
        <v>77</v>
      </c>
      <c r="F34" s="871" t="s">
        <v>344</v>
      </c>
      <c r="G34" s="871" t="s">
        <v>344</v>
      </c>
      <c r="H34" s="878" t="s">
        <v>79</v>
      </c>
    </row>
    <row r="35" spans="1:8" ht="14.4">
      <c r="A35" s="871">
        <v>31</v>
      </c>
      <c r="B35" s="871" t="s">
        <v>209</v>
      </c>
      <c r="C35" s="871" t="s">
        <v>349</v>
      </c>
      <c r="D35" s="871" t="s">
        <v>148</v>
      </c>
      <c r="E35" s="871" t="s">
        <v>339</v>
      </c>
      <c r="F35" s="871" t="s">
        <v>344</v>
      </c>
      <c r="G35" s="871" t="s">
        <v>344</v>
      </c>
      <c r="H35" s="878" t="s">
        <v>79</v>
      </c>
    </row>
    <row r="36" spans="1:8" ht="14.4">
      <c r="A36" s="871">
        <v>32</v>
      </c>
      <c r="B36" s="871" t="s">
        <v>80</v>
      </c>
      <c r="C36" s="871" t="s">
        <v>349</v>
      </c>
      <c r="D36" s="871" t="s">
        <v>148</v>
      </c>
      <c r="E36" s="871" t="s">
        <v>74</v>
      </c>
      <c r="F36" s="871" t="s">
        <v>344</v>
      </c>
      <c r="G36" s="871" t="s">
        <v>344</v>
      </c>
      <c r="H36" s="878" t="s">
        <v>79</v>
      </c>
    </row>
    <row r="37" spans="1:8" ht="14.4">
      <c r="A37" s="871">
        <v>33</v>
      </c>
      <c r="B37" s="871" t="s">
        <v>76</v>
      </c>
      <c r="C37" s="871" t="s">
        <v>352</v>
      </c>
      <c r="D37" s="871" t="s">
        <v>148</v>
      </c>
      <c r="E37" s="871" t="s">
        <v>77</v>
      </c>
      <c r="F37" s="871" t="s">
        <v>78</v>
      </c>
      <c r="G37" s="871" t="s">
        <v>78</v>
      </c>
      <c r="H37" s="878" t="s">
        <v>79</v>
      </c>
    </row>
    <row r="38" spans="1:8" ht="14.4">
      <c r="A38" s="871">
        <v>34</v>
      </c>
      <c r="B38" s="871" t="s">
        <v>210</v>
      </c>
      <c r="C38" s="871" t="s">
        <v>346</v>
      </c>
      <c r="D38" s="871" t="s">
        <v>36</v>
      </c>
      <c r="E38" s="871" t="s">
        <v>77</v>
      </c>
      <c r="F38" s="871" t="s">
        <v>344</v>
      </c>
      <c r="G38" s="871" t="s">
        <v>78</v>
      </c>
      <c r="H38" s="878" t="s">
        <v>79</v>
      </c>
    </row>
    <row r="39" spans="1:8" ht="14.4">
      <c r="A39" s="871">
        <v>35</v>
      </c>
      <c r="B39" s="879" t="s">
        <v>156</v>
      </c>
      <c r="C39" s="880" t="s">
        <v>346</v>
      </c>
      <c r="D39" s="880" t="s">
        <v>36</v>
      </c>
      <c r="E39" s="880" t="s">
        <v>339</v>
      </c>
      <c r="F39" s="880" t="s">
        <v>344</v>
      </c>
      <c r="G39" s="880" t="s">
        <v>344</v>
      </c>
      <c r="H39" s="878" t="s">
        <v>79</v>
      </c>
    </row>
    <row r="40" spans="1:8" ht="14.4">
      <c r="A40" s="871">
        <v>36</v>
      </c>
      <c r="B40" s="871" t="s">
        <v>170</v>
      </c>
      <c r="C40" s="871" t="s">
        <v>349</v>
      </c>
      <c r="D40" s="871" t="s">
        <v>148</v>
      </c>
      <c r="E40" s="871" t="s">
        <v>339</v>
      </c>
      <c r="F40" s="871" t="s">
        <v>344</v>
      </c>
      <c r="G40" s="871" t="s">
        <v>344</v>
      </c>
      <c r="H40" s="878" t="s">
        <v>79</v>
      </c>
    </row>
    <row r="41" spans="1:8" ht="14.4">
      <c r="A41" s="871">
        <v>37</v>
      </c>
      <c r="B41" s="874" t="s">
        <v>369</v>
      </c>
      <c r="C41" s="871" t="s">
        <v>358</v>
      </c>
      <c r="D41" s="871" t="s">
        <v>148</v>
      </c>
      <c r="E41" s="871" t="s">
        <v>77</v>
      </c>
      <c r="F41" s="871" t="s">
        <v>78</v>
      </c>
      <c r="G41" s="871" t="s">
        <v>344</v>
      </c>
      <c r="H41" s="878" t="s">
        <v>79</v>
      </c>
    </row>
    <row r="42" spans="1:8" ht="14.4">
      <c r="A42" s="871">
        <v>38</v>
      </c>
      <c r="B42" s="871" t="s">
        <v>370</v>
      </c>
      <c r="C42" s="871" t="s">
        <v>343</v>
      </c>
      <c r="D42" s="871" t="s">
        <v>148</v>
      </c>
      <c r="E42" s="871" t="s">
        <v>74</v>
      </c>
      <c r="F42" s="871" t="s">
        <v>78</v>
      </c>
      <c r="G42" s="871" t="s">
        <v>344</v>
      </c>
      <c r="H42" s="878" t="s">
        <v>79</v>
      </c>
    </row>
    <row r="43" spans="1:8" ht="14.4">
      <c r="A43" s="871">
        <v>39</v>
      </c>
      <c r="B43" s="871" t="s">
        <v>371</v>
      </c>
      <c r="C43" s="871" t="s">
        <v>343</v>
      </c>
      <c r="D43" s="871" t="s">
        <v>148</v>
      </c>
      <c r="E43" s="871" t="s">
        <v>74</v>
      </c>
      <c r="F43" s="871" t="s">
        <v>78</v>
      </c>
      <c r="G43" s="871" t="s">
        <v>344</v>
      </c>
      <c r="H43" s="878" t="s">
        <v>79</v>
      </c>
    </row>
    <row r="44" spans="1:8" ht="14.4">
      <c r="A44" s="871">
        <v>40</v>
      </c>
      <c r="B44" s="875" t="s">
        <v>116</v>
      </c>
      <c r="C44" s="871" t="s">
        <v>343</v>
      </c>
      <c r="D44" s="871" t="s">
        <v>148</v>
      </c>
      <c r="E44" s="871" t="s">
        <v>77</v>
      </c>
      <c r="F44" s="871" t="s">
        <v>78</v>
      </c>
      <c r="G44" s="871" t="s">
        <v>344</v>
      </c>
      <c r="H44" s="878" t="s">
        <v>79</v>
      </c>
    </row>
    <row r="45" spans="1:8" ht="14.4">
      <c r="A45" s="871">
        <v>41</v>
      </c>
      <c r="B45" s="871" t="s">
        <v>125</v>
      </c>
      <c r="C45" s="871" t="s">
        <v>343</v>
      </c>
      <c r="D45" s="871" t="s">
        <v>148</v>
      </c>
      <c r="E45" s="871" t="s">
        <v>77</v>
      </c>
      <c r="F45" s="871" t="s">
        <v>78</v>
      </c>
      <c r="G45" s="871" t="s">
        <v>344</v>
      </c>
      <c r="H45" s="878" t="s">
        <v>79</v>
      </c>
    </row>
    <row r="46" spans="1:8" ht="14.4">
      <c r="A46" s="871">
        <v>42</v>
      </c>
      <c r="B46" s="873" t="s">
        <v>372</v>
      </c>
      <c r="C46" s="871" t="s">
        <v>358</v>
      </c>
      <c r="D46" s="871" t="s">
        <v>148</v>
      </c>
      <c r="E46" s="871" t="s">
        <v>77</v>
      </c>
      <c r="F46" s="871" t="s">
        <v>344</v>
      </c>
      <c r="G46" s="871" t="s">
        <v>344</v>
      </c>
      <c r="H46" s="878" t="s">
        <v>79</v>
      </c>
    </row>
    <row r="47" spans="1:8" ht="14.4">
      <c r="A47" s="871">
        <v>43</v>
      </c>
      <c r="B47" s="871" t="s">
        <v>373</v>
      </c>
      <c r="C47" s="871" t="s">
        <v>346</v>
      </c>
      <c r="D47" s="871" t="s">
        <v>36</v>
      </c>
      <c r="E47" s="871" t="s">
        <v>77</v>
      </c>
      <c r="F47" s="871" t="s">
        <v>344</v>
      </c>
      <c r="G47" s="871" t="s">
        <v>344</v>
      </c>
      <c r="H47" s="878" t="s">
        <v>79</v>
      </c>
    </row>
    <row r="48" spans="1:8" ht="14.4">
      <c r="A48" s="871">
        <v>192</v>
      </c>
      <c r="B48" s="876" t="s">
        <v>374</v>
      </c>
      <c r="C48" s="876" t="s">
        <v>343</v>
      </c>
      <c r="D48" s="876" t="s">
        <v>148</v>
      </c>
      <c r="E48" s="876" t="s">
        <v>74</v>
      </c>
      <c r="F48" s="876" t="s">
        <v>344</v>
      </c>
      <c r="G48" s="876" t="s">
        <v>344</v>
      </c>
      <c r="H48" s="878" t="s">
        <v>79</v>
      </c>
    </row>
    <row r="49" spans="1:8" ht="14.4">
      <c r="A49" s="871">
        <v>194</v>
      </c>
      <c r="B49" s="877" t="s">
        <v>375</v>
      </c>
      <c r="C49" s="876" t="s">
        <v>346</v>
      </c>
      <c r="D49" s="876" t="s">
        <v>36</v>
      </c>
      <c r="E49" s="876" t="s">
        <v>77</v>
      </c>
      <c r="F49" s="876" t="s">
        <v>344</v>
      </c>
      <c r="G49" s="876" t="s">
        <v>344</v>
      </c>
      <c r="H49" s="878" t="s">
        <v>79</v>
      </c>
    </row>
    <row r="50" spans="1:8" ht="14.4">
      <c r="A50" s="871">
        <v>195</v>
      </c>
      <c r="B50" s="876" t="s">
        <v>376</v>
      </c>
      <c r="C50" s="876" t="s">
        <v>346</v>
      </c>
      <c r="D50" s="876" t="s">
        <v>36</v>
      </c>
      <c r="E50" s="876" t="s">
        <v>74</v>
      </c>
      <c r="F50" s="876" t="s">
        <v>344</v>
      </c>
      <c r="G50" s="876" t="s">
        <v>344</v>
      </c>
      <c r="H50" s="878" t="s">
        <v>79</v>
      </c>
    </row>
    <row r="51" spans="1:8" ht="14.4">
      <c r="A51" s="871">
        <v>196</v>
      </c>
      <c r="B51" s="876" t="s">
        <v>377</v>
      </c>
      <c r="C51" s="876" t="s">
        <v>346</v>
      </c>
      <c r="D51" s="876" t="s">
        <v>36</v>
      </c>
      <c r="E51" s="877" t="s">
        <v>74</v>
      </c>
      <c r="F51" s="876" t="s">
        <v>344</v>
      </c>
      <c r="G51" s="876" t="s">
        <v>344</v>
      </c>
      <c r="H51" s="878" t="s">
        <v>79</v>
      </c>
    </row>
    <row r="52" spans="1:8" ht="14.4">
      <c r="A52" s="871">
        <v>44</v>
      </c>
      <c r="B52" s="874" t="s">
        <v>157</v>
      </c>
      <c r="C52" s="871" t="s">
        <v>343</v>
      </c>
      <c r="D52" s="871" t="s">
        <v>148</v>
      </c>
      <c r="E52" s="871" t="s">
        <v>77</v>
      </c>
      <c r="F52" s="871" t="s">
        <v>78</v>
      </c>
      <c r="G52" s="871" t="s">
        <v>78</v>
      </c>
      <c r="H52" s="881" t="s">
        <v>82</v>
      </c>
    </row>
    <row r="53" spans="1:8" ht="14.4">
      <c r="A53" s="871">
        <v>45</v>
      </c>
      <c r="B53" s="875" t="s">
        <v>83</v>
      </c>
      <c r="C53" s="871" t="s">
        <v>343</v>
      </c>
      <c r="D53" s="871" t="s">
        <v>148</v>
      </c>
      <c r="E53" s="871" t="s">
        <v>74</v>
      </c>
      <c r="F53" s="871" t="s">
        <v>344</v>
      </c>
      <c r="G53" s="871" t="s">
        <v>344</v>
      </c>
      <c r="H53" s="881" t="s">
        <v>82</v>
      </c>
    </row>
    <row r="54" spans="1:8" ht="14.4">
      <c r="A54" s="871">
        <v>46</v>
      </c>
      <c r="B54" s="871" t="s">
        <v>103</v>
      </c>
      <c r="C54" s="871" t="s">
        <v>343</v>
      </c>
      <c r="D54" s="871" t="s">
        <v>148</v>
      </c>
      <c r="E54" s="871" t="s">
        <v>74</v>
      </c>
      <c r="F54" s="871" t="s">
        <v>78</v>
      </c>
      <c r="G54" s="871" t="s">
        <v>344</v>
      </c>
      <c r="H54" s="881" t="s">
        <v>82</v>
      </c>
    </row>
    <row r="55" spans="1:8" ht="14.4">
      <c r="A55" s="871">
        <v>47</v>
      </c>
      <c r="B55" s="873" t="s">
        <v>158</v>
      </c>
      <c r="C55" s="871" t="s">
        <v>343</v>
      </c>
      <c r="D55" s="871" t="s">
        <v>148</v>
      </c>
      <c r="E55" s="871" t="s">
        <v>74</v>
      </c>
      <c r="F55" s="871" t="s">
        <v>344</v>
      </c>
      <c r="G55" s="871" t="s">
        <v>344</v>
      </c>
      <c r="H55" s="881" t="s">
        <v>82</v>
      </c>
    </row>
    <row r="56" spans="1:8" ht="14.4">
      <c r="A56" s="871">
        <v>48</v>
      </c>
      <c r="B56" s="871" t="s">
        <v>378</v>
      </c>
      <c r="C56" s="871" t="s">
        <v>343</v>
      </c>
      <c r="D56" s="871" t="s">
        <v>148</v>
      </c>
      <c r="E56" s="871" t="s">
        <v>339</v>
      </c>
      <c r="F56" s="871" t="s">
        <v>344</v>
      </c>
      <c r="G56" s="871" t="s">
        <v>344</v>
      </c>
      <c r="H56" s="881" t="s">
        <v>82</v>
      </c>
    </row>
    <row r="57" spans="1:8" ht="14.4">
      <c r="A57" s="871">
        <v>49</v>
      </c>
      <c r="B57" s="871" t="s">
        <v>379</v>
      </c>
      <c r="C57" s="871" t="s">
        <v>358</v>
      </c>
      <c r="D57" s="871" t="s">
        <v>148</v>
      </c>
      <c r="E57" s="874" t="s">
        <v>74</v>
      </c>
      <c r="F57" s="871" t="s">
        <v>344</v>
      </c>
      <c r="G57" s="871" t="s">
        <v>344</v>
      </c>
      <c r="H57" s="881" t="s">
        <v>82</v>
      </c>
    </row>
    <row r="58" spans="1:8" ht="14.4">
      <c r="A58" s="871">
        <v>50</v>
      </c>
      <c r="B58" s="871" t="s">
        <v>380</v>
      </c>
      <c r="C58" s="871" t="s">
        <v>346</v>
      </c>
      <c r="D58" s="871" t="s">
        <v>36</v>
      </c>
      <c r="E58" s="871" t="s">
        <v>74</v>
      </c>
      <c r="F58" s="871" t="s">
        <v>344</v>
      </c>
      <c r="G58" s="871" t="s">
        <v>344</v>
      </c>
      <c r="H58" s="881" t="s">
        <v>82</v>
      </c>
    </row>
    <row r="59" spans="1:8" ht="14.4">
      <c r="A59" s="871">
        <v>51</v>
      </c>
      <c r="B59" s="871" t="s">
        <v>381</v>
      </c>
      <c r="C59" s="871" t="s">
        <v>358</v>
      </c>
      <c r="D59" s="871" t="s">
        <v>148</v>
      </c>
      <c r="E59" s="871" t="s">
        <v>74</v>
      </c>
      <c r="F59" s="871" t="s">
        <v>344</v>
      </c>
      <c r="G59" s="871" t="s">
        <v>344</v>
      </c>
      <c r="H59" s="881" t="s">
        <v>82</v>
      </c>
    </row>
    <row r="60" spans="1:8" ht="14.4">
      <c r="A60" s="871">
        <v>52</v>
      </c>
      <c r="B60" s="871" t="s">
        <v>382</v>
      </c>
      <c r="C60" s="871" t="s">
        <v>346</v>
      </c>
      <c r="D60" s="871" t="s">
        <v>36</v>
      </c>
      <c r="E60" s="871" t="s">
        <v>77</v>
      </c>
      <c r="F60" s="871" t="s">
        <v>344</v>
      </c>
      <c r="G60" s="871" t="s">
        <v>78</v>
      </c>
      <c r="H60" s="881" t="s">
        <v>82</v>
      </c>
    </row>
    <row r="61" spans="1:8" ht="14.4">
      <c r="A61" s="871">
        <v>53</v>
      </c>
      <c r="B61" s="871" t="s">
        <v>213</v>
      </c>
      <c r="C61" s="871" t="s">
        <v>349</v>
      </c>
      <c r="D61" s="871" t="s">
        <v>148</v>
      </c>
      <c r="E61" s="871" t="s">
        <v>74</v>
      </c>
      <c r="F61" s="871" t="s">
        <v>78</v>
      </c>
      <c r="G61" s="871" t="s">
        <v>344</v>
      </c>
      <c r="H61" s="881" t="s">
        <v>82</v>
      </c>
    </row>
    <row r="62" spans="1:8" ht="14.4">
      <c r="A62" s="871">
        <v>54</v>
      </c>
      <c r="B62" s="875" t="s">
        <v>81</v>
      </c>
      <c r="C62" s="871" t="s">
        <v>349</v>
      </c>
      <c r="D62" s="871" t="s">
        <v>148</v>
      </c>
      <c r="E62" s="871" t="s">
        <v>77</v>
      </c>
      <c r="F62" s="871" t="s">
        <v>344</v>
      </c>
      <c r="G62" s="871" t="s">
        <v>344</v>
      </c>
      <c r="H62" s="881" t="s">
        <v>82</v>
      </c>
    </row>
    <row r="63" spans="1:8" ht="14.4">
      <c r="A63" s="871">
        <v>55</v>
      </c>
      <c r="B63" s="871" t="s">
        <v>130</v>
      </c>
      <c r="C63" s="871" t="s">
        <v>352</v>
      </c>
      <c r="D63" s="871" t="s">
        <v>148</v>
      </c>
      <c r="E63" s="871" t="s">
        <v>77</v>
      </c>
      <c r="F63" s="871" t="s">
        <v>344</v>
      </c>
      <c r="G63" s="871" t="s">
        <v>344</v>
      </c>
      <c r="H63" s="881" t="s">
        <v>82</v>
      </c>
    </row>
    <row r="64" spans="1:8" ht="14.4">
      <c r="A64" s="871">
        <v>56</v>
      </c>
      <c r="B64" s="871" t="s">
        <v>231</v>
      </c>
      <c r="C64" s="871" t="s">
        <v>358</v>
      </c>
      <c r="D64" s="871" t="s">
        <v>36</v>
      </c>
      <c r="E64" s="871" t="s">
        <v>339</v>
      </c>
      <c r="F64" s="871" t="s">
        <v>344</v>
      </c>
      <c r="G64" s="871" t="s">
        <v>344</v>
      </c>
      <c r="H64" s="881" t="s">
        <v>82</v>
      </c>
    </row>
    <row r="65" spans="1:8" ht="14.4">
      <c r="A65" s="871">
        <v>57</v>
      </c>
      <c r="B65" s="874" t="s">
        <v>383</v>
      </c>
      <c r="C65" s="871" t="s">
        <v>352</v>
      </c>
      <c r="D65" s="871" t="s">
        <v>36</v>
      </c>
      <c r="E65" s="871" t="s">
        <v>339</v>
      </c>
      <c r="F65" s="871" t="s">
        <v>344</v>
      </c>
      <c r="G65" s="871" t="s">
        <v>344</v>
      </c>
      <c r="H65" s="881" t="s">
        <v>82</v>
      </c>
    </row>
    <row r="66" spans="1:8" ht="14.4">
      <c r="A66" s="871">
        <v>58</v>
      </c>
      <c r="B66" s="871" t="s">
        <v>232</v>
      </c>
      <c r="C66" s="871" t="s">
        <v>343</v>
      </c>
      <c r="D66" s="871" t="s">
        <v>148</v>
      </c>
      <c r="E66" s="871" t="s">
        <v>339</v>
      </c>
      <c r="F66" s="871" t="s">
        <v>78</v>
      </c>
      <c r="G66" s="871" t="s">
        <v>344</v>
      </c>
      <c r="H66" s="881" t="s">
        <v>82</v>
      </c>
    </row>
    <row r="67" spans="1:8" ht="14.4">
      <c r="A67" s="871">
        <v>59</v>
      </c>
      <c r="B67" s="871" t="s">
        <v>384</v>
      </c>
      <c r="C67" s="871" t="s">
        <v>343</v>
      </c>
      <c r="D67" s="871" t="s">
        <v>148</v>
      </c>
      <c r="E67" s="871" t="s">
        <v>77</v>
      </c>
      <c r="F67" s="871" t="s">
        <v>78</v>
      </c>
      <c r="G67" s="871" t="s">
        <v>78</v>
      </c>
      <c r="H67" s="881" t="s">
        <v>82</v>
      </c>
    </row>
    <row r="68" spans="1:8" ht="14.4">
      <c r="A68" s="871">
        <v>60</v>
      </c>
      <c r="B68" s="871" t="s">
        <v>188</v>
      </c>
      <c r="C68" s="871" t="s">
        <v>349</v>
      </c>
      <c r="D68" s="871" t="s">
        <v>148</v>
      </c>
      <c r="E68" s="871" t="s">
        <v>77</v>
      </c>
      <c r="F68" s="871" t="s">
        <v>78</v>
      </c>
      <c r="G68" s="871" t="s">
        <v>344</v>
      </c>
      <c r="H68" s="881" t="s">
        <v>82</v>
      </c>
    </row>
    <row r="69" spans="1:8" ht="14.4">
      <c r="A69" s="871">
        <v>197</v>
      </c>
      <c r="B69" s="876" t="s">
        <v>385</v>
      </c>
      <c r="C69" s="876" t="s">
        <v>346</v>
      </c>
      <c r="D69" s="876" t="s">
        <v>36</v>
      </c>
      <c r="E69" s="876" t="s">
        <v>77</v>
      </c>
      <c r="F69" s="876" t="s">
        <v>344</v>
      </c>
      <c r="G69" s="876" t="s">
        <v>344</v>
      </c>
      <c r="H69" s="881" t="s">
        <v>82</v>
      </c>
    </row>
    <row r="70" spans="1:8" ht="14.4">
      <c r="A70" s="871">
        <v>198</v>
      </c>
      <c r="B70" s="882" t="s">
        <v>386</v>
      </c>
      <c r="C70" s="883" t="s">
        <v>358</v>
      </c>
      <c r="D70" s="883" t="s">
        <v>148</v>
      </c>
      <c r="E70" s="883" t="s">
        <v>339</v>
      </c>
      <c r="F70" s="883" t="s">
        <v>344</v>
      </c>
      <c r="G70" s="883" t="s">
        <v>344</v>
      </c>
      <c r="H70" s="881" t="s">
        <v>82</v>
      </c>
    </row>
    <row r="71" spans="1:8" ht="14.4">
      <c r="A71" s="871">
        <v>199</v>
      </c>
      <c r="B71" s="884" t="s">
        <v>387</v>
      </c>
      <c r="C71" s="883" t="s">
        <v>346</v>
      </c>
      <c r="D71" s="883" t="s">
        <v>36</v>
      </c>
      <c r="E71" s="883" t="s">
        <v>77</v>
      </c>
      <c r="F71" s="883" t="s">
        <v>344</v>
      </c>
      <c r="G71" s="883" t="s">
        <v>78</v>
      </c>
      <c r="H71" s="881" t="s">
        <v>82</v>
      </c>
    </row>
    <row r="72" spans="1:8" ht="14.4">
      <c r="A72" s="871">
        <v>200</v>
      </c>
      <c r="B72" s="876" t="s">
        <v>388</v>
      </c>
      <c r="C72" s="876" t="s">
        <v>346</v>
      </c>
      <c r="D72" s="876" t="s">
        <v>36</v>
      </c>
      <c r="E72" s="876" t="s">
        <v>339</v>
      </c>
      <c r="F72" s="876" t="s">
        <v>344</v>
      </c>
      <c r="G72" s="876" t="s">
        <v>344</v>
      </c>
      <c r="H72" s="881" t="s">
        <v>82</v>
      </c>
    </row>
    <row r="73" spans="1:8" ht="14.4">
      <c r="A73" s="871">
        <v>201</v>
      </c>
      <c r="B73" s="883" t="s">
        <v>389</v>
      </c>
      <c r="C73" s="883" t="s">
        <v>346</v>
      </c>
      <c r="D73" s="883" t="s">
        <v>36</v>
      </c>
      <c r="E73" s="883" t="s">
        <v>339</v>
      </c>
      <c r="F73" s="883" t="s">
        <v>344</v>
      </c>
      <c r="G73" s="883" t="s">
        <v>344</v>
      </c>
      <c r="H73" s="881" t="s">
        <v>82</v>
      </c>
    </row>
    <row r="74" spans="1:8" ht="14.4">
      <c r="A74" s="871">
        <v>202</v>
      </c>
      <c r="B74" s="877" t="s">
        <v>390</v>
      </c>
      <c r="C74" s="876" t="s">
        <v>346</v>
      </c>
      <c r="D74" s="876" t="s">
        <v>36</v>
      </c>
      <c r="E74" s="876" t="s">
        <v>74</v>
      </c>
      <c r="F74" s="876" t="s">
        <v>344</v>
      </c>
      <c r="G74" s="876" t="s">
        <v>344</v>
      </c>
      <c r="H74" s="881" t="s">
        <v>82</v>
      </c>
    </row>
    <row r="75" spans="1:8" ht="14.4">
      <c r="A75" s="871">
        <v>203</v>
      </c>
      <c r="B75" s="876" t="s">
        <v>391</v>
      </c>
      <c r="C75" s="876" t="s">
        <v>358</v>
      </c>
      <c r="D75" s="876" t="s">
        <v>148</v>
      </c>
      <c r="E75" s="876" t="s">
        <v>74</v>
      </c>
      <c r="F75" s="876" t="s">
        <v>78</v>
      </c>
      <c r="G75" s="876" t="s">
        <v>344</v>
      </c>
      <c r="H75" s="881" t="s">
        <v>82</v>
      </c>
    </row>
    <row r="76" spans="1:8" ht="14.4">
      <c r="A76" s="871">
        <v>204</v>
      </c>
      <c r="B76" s="876" t="s">
        <v>392</v>
      </c>
      <c r="C76" s="876" t="s">
        <v>346</v>
      </c>
      <c r="D76" s="876" t="s">
        <v>36</v>
      </c>
      <c r="E76" s="876" t="s">
        <v>74</v>
      </c>
      <c r="F76" s="876" t="s">
        <v>344</v>
      </c>
      <c r="G76" s="876" t="s">
        <v>344</v>
      </c>
      <c r="H76" s="881" t="s">
        <v>82</v>
      </c>
    </row>
    <row r="77" spans="1:8" ht="13.2">
      <c r="A77" s="871">
        <v>61</v>
      </c>
      <c r="B77" s="875" t="s">
        <v>84</v>
      </c>
      <c r="C77" s="871" t="s">
        <v>346</v>
      </c>
      <c r="D77" s="871" t="s">
        <v>36</v>
      </c>
      <c r="E77" s="871" t="s">
        <v>77</v>
      </c>
      <c r="F77" s="871" t="s">
        <v>344</v>
      </c>
      <c r="G77" s="871" t="s">
        <v>344</v>
      </c>
      <c r="H77" s="885" t="s">
        <v>85</v>
      </c>
    </row>
    <row r="78" spans="1:8" ht="13.2">
      <c r="A78" s="871">
        <v>62</v>
      </c>
      <c r="B78" s="871" t="s">
        <v>159</v>
      </c>
      <c r="C78" s="871" t="s">
        <v>346</v>
      </c>
      <c r="D78" s="871" t="s">
        <v>36</v>
      </c>
      <c r="E78" s="871" t="s">
        <v>74</v>
      </c>
      <c r="F78" s="871" t="s">
        <v>344</v>
      </c>
      <c r="G78" s="871" t="s">
        <v>344</v>
      </c>
      <c r="H78" s="885" t="s">
        <v>85</v>
      </c>
    </row>
    <row r="79" spans="1:8" ht="13.2">
      <c r="A79" s="871">
        <v>63</v>
      </c>
      <c r="B79" s="871" t="s">
        <v>190</v>
      </c>
      <c r="C79" s="871" t="s">
        <v>349</v>
      </c>
      <c r="D79" s="871" t="s">
        <v>148</v>
      </c>
      <c r="E79" s="871" t="s">
        <v>77</v>
      </c>
      <c r="F79" s="871" t="s">
        <v>344</v>
      </c>
      <c r="G79" s="871" t="s">
        <v>344</v>
      </c>
      <c r="H79" s="885" t="s">
        <v>85</v>
      </c>
    </row>
    <row r="80" spans="1:8" ht="14.4">
      <c r="A80" s="871">
        <v>64</v>
      </c>
      <c r="B80" s="874" t="s">
        <v>393</v>
      </c>
      <c r="C80" s="871" t="s">
        <v>349</v>
      </c>
      <c r="D80" s="871" t="s">
        <v>148</v>
      </c>
      <c r="E80" s="871" t="s">
        <v>339</v>
      </c>
      <c r="F80" s="871" t="s">
        <v>78</v>
      </c>
      <c r="G80" s="871" t="s">
        <v>344</v>
      </c>
      <c r="H80" s="885" t="s">
        <v>85</v>
      </c>
    </row>
    <row r="81" spans="1:8" ht="13.2">
      <c r="A81" s="871">
        <v>65</v>
      </c>
      <c r="B81" s="871" t="s">
        <v>394</v>
      </c>
      <c r="C81" s="871" t="s">
        <v>358</v>
      </c>
      <c r="D81" s="871" t="s">
        <v>148</v>
      </c>
      <c r="E81" s="871" t="s">
        <v>74</v>
      </c>
      <c r="F81" s="871" t="s">
        <v>344</v>
      </c>
      <c r="G81" s="871" t="s">
        <v>344</v>
      </c>
      <c r="H81" s="885" t="s">
        <v>85</v>
      </c>
    </row>
    <row r="82" spans="1:8" ht="13.2">
      <c r="A82" s="871">
        <v>66</v>
      </c>
      <c r="B82" s="871" t="s">
        <v>395</v>
      </c>
      <c r="C82" s="871" t="s">
        <v>358</v>
      </c>
      <c r="D82" s="871" t="s">
        <v>148</v>
      </c>
      <c r="E82" s="871" t="s">
        <v>77</v>
      </c>
      <c r="F82" s="871" t="s">
        <v>344</v>
      </c>
      <c r="G82" s="871" t="s">
        <v>344</v>
      </c>
      <c r="H82" s="885" t="s">
        <v>85</v>
      </c>
    </row>
    <row r="83" spans="1:8" ht="13.2">
      <c r="A83" s="871">
        <v>67</v>
      </c>
      <c r="B83" s="879" t="s">
        <v>396</v>
      </c>
      <c r="C83" s="880" t="s">
        <v>346</v>
      </c>
      <c r="D83" s="880" t="s">
        <v>36</v>
      </c>
      <c r="E83" s="880" t="s">
        <v>339</v>
      </c>
      <c r="F83" s="880" t="s">
        <v>344</v>
      </c>
      <c r="G83" s="880" t="s">
        <v>344</v>
      </c>
      <c r="H83" s="885" t="s">
        <v>85</v>
      </c>
    </row>
    <row r="84" spans="1:8" ht="13.2">
      <c r="A84" s="871">
        <v>68</v>
      </c>
      <c r="B84" s="871" t="s">
        <v>104</v>
      </c>
      <c r="C84" s="871" t="s">
        <v>358</v>
      </c>
      <c r="D84" s="871" t="s">
        <v>148</v>
      </c>
      <c r="E84" s="871" t="s">
        <v>77</v>
      </c>
      <c r="F84" s="871" t="s">
        <v>344</v>
      </c>
      <c r="G84" s="871" t="s">
        <v>344</v>
      </c>
      <c r="H84" s="885" t="s">
        <v>85</v>
      </c>
    </row>
    <row r="85" spans="1:8" ht="14.4">
      <c r="A85" s="871">
        <v>69</v>
      </c>
      <c r="B85" s="874" t="s">
        <v>215</v>
      </c>
      <c r="C85" s="871" t="s">
        <v>358</v>
      </c>
      <c r="D85" s="871" t="s">
        <v>148</v>
      </c>
      <c r="E85" s="871" t="s">
        <v>74</v>
      </c>
      <c r="F85" s="871" t="s">
        <v>344</v>
      </c>
      <c r="G85" s="871" t="s">
        <v>344</v>
      </c>
      <c r="H85" s="885" t="s">
        <v>85</v>
      </c>
    </row>
    <row r="86" spans="1:8" ht="13.2">
      <c r="A86" s="871">
        <v>70</v>
      </c>
      <c r="B86" s="871" t="s">
        <v>189</v>
      </c>
      <c r="C86" s="871" t="s">
        <v>343</v>
      </c>
      <c r="D86" s="871" t="s">
        <v>148</v>
      </c>
      <c r="E86" s="871" t="s">
        <v>339</v>
      </c>
      <c r="F86" s="871" t="s">
        <v>78</v>
      </c>
      <c r="G86" s="871" t="s">
        <v>344</v>
      </c>
      <c r="H86" s="885" t="s">
        <v>85</v>
      </c>
    </row>
    <row r="87" spans="1:8" ht="13.2">
      <c r="A87" s="871">
        <v>71</v>
      </c>
      <c r="B87" s="871" t="s">
        <v>397</v>
      </c>
      <c r="C87" s="871" t="s">
        <v>352</v>
      </c>
      <c r="D87" s="871" t="s">
        <v>148</v>
      </c>
      <c r="E87" s="871" t="s">
        <v>74</v>
      </c>
      <c r="F87" s="871" t="s">
        <v>344</v>
      </c>
      <c r="G87" s="871" t="s">
        <v>344</v>
      </c>
      <c r="H87" s="885" t="s">
        <v>85</v>
      </c>
    </row>
    <row r="88" spans="1:8" ht="14.4">
      <c r="A88" s="871">
        <v>72</v>
      </c>
      <c r="B88" s="873" t="s">
        <v>398</v>
      </c>
      <c r="C88" s="871" t="s">
        <v>352</v>
      </c>
      <c r="D88" s="871" t="s">
        <v>36</v>
      </c>
      <c r="E88" s="871" t="s">
        <v>339</v>
      </c>
      <c r="F88" s="871" t="s">
        <v>344</v>
      </c>
      <c r="G88" s="871" t="s">
        <v>344</v>
      </c>
      <c r="H88" s="885" t="s">
        <v>85</v>
      </c>
    </row>
    <row r="89" spans="1:8" ht="13.2">
      <c r="A89" s="871">
        <v>73</v>
      </c>
      <c r="B89" s="871" t="s">
        <v>214</v>
      </c>
      <c r="C89" s="871" t="s">
        <v>343</v>
      </c>
      <c r="D89" s="871" t="s">
        <v>148</v>
      </c>
      <c r="E89" s="871" t="s">
        <v>77</v>
      </c>
      <c r="F89" s="871" t="s">
        <v>78</v>
      </c>
      <c r="G89" s="871" t="s">
        <v>344</v>
      </c>
      <c r="H89" s="885" t="s">
        <v>85</v>
      </c>
    </row>
    <row r="90" spans="1:8" ht="13.2">
      <c r="A90" s="871">
        <v>74</v>
      </c>
      <c r="B90" s="871" t="s">
        <v>147</v>
      </c>
      <c r="C90" s="871" t="s">
        <v>343</v>
      </c>
      <c r="D90" s="871" t="s">
        <v>148</v>
      </c>
      <c r="E90" s="875" t="s">
        <v>74</v>
      </c>
      <c r="F90" s="871" t="s">
        <v>78</v>
      </c>
      <c r="G90" s="871" t="s">
        <v>344</v>
      </c>
      <c r="H90" s="885" t="s">
        <v>85</v>
      </c>
    </row>
    <row r="91" spans="1:8" ht="13.2">
      <c r="A91" s="871">
        <v>75</v>
      </c>
      <c r="B91" s="871" t="s">
        <v>399</v>
      </c>
      <c r="C91" s="871" t="s">
        <v>343</v>
      </c>
      <c r="D91" s="871" t="s">
        <v>148</v>
      </c>
      <c r="E91" s="871" t="s">
        <v>339</v>
      </c>
      <c r="F91" s="871" t="s">
        <v>78</v>
      </c>
      <c r="G91" s="871" t="s">
        <v>344</v>
      </c>
      <c r="H91" s="885" t="s">
        <v>85</v>
      </c>
    </row>
    <row r="92" spans="1:8" ht="13.2">
      <c r="A92" s="871">
        <v>76</v>
      </c>
      <c r="B92" s="875" t="s">
        <v>229</v>
      </c>
      <c r="C92" s="871" t="s">
        <v>343</v>
      </c>
      <c r="D92" s="871" t="s">
        <v>148</v>
      </c>
      <c r="E92" s="871" t="s">
        <v>77</v>
      </c>
      <c r="F92" s="871" t="s">
        <v>78</v>
      </c>
      <c r="G92" s="871" t="s">
        <v>78</v>
      </c>
      <c r="H92" s="885" t="s">
        <v>85</v>
      </c>
    </row>
    <row r="93" spans="1:8" ht="13.2">
      <c r="A93" s="871">
        <v>77</v>
      </c>
      <c r="B93" s="880" t="s">
        <v>400</v>
      </c>
      <c r="C93" s="880" t="s">
        <v>349</v>
      </c>
      <c r="D93" s="880" t="s">
        <v>148</v>
      </c>
      <c r="E93" s="880" t="s">
        <v>77</v>
      </c>
      <c r="F93" s="880" t="s">
        <v>78</v>
      </c>
      <c r="G93" s="880" t="s">
        <v>78</v>
      </c>
      <c r="H93" s="885" t="s">
        <v>85</v>
      </c>
    </row>
    <row r="94" spans="1:8" ht="14.4">
      <c r="A94" s="871">
        <v>78</v>
      </c>
      <c r="B94" s="874" t="s">
        <v>401</v>
      </c>
      <c r="C94" s="871" t="s">
        <v>353</v>
      </c>
      <c r="D94" s="871" t="s">
        <v>148</v>
      </c>
      <c r="E94" s="875" t="s">
        <v>74</v>
      </c>
      <c r="F94" s="871" t="s">
        <v>344</v>
      </c>
      <c r="G94" s="871" t="s">
        <v>344</v>
      </c>
      <c r="H94" s="885" t="s">
        <v>85</v>
      </c>
    </row>
    <row r="95" spans="1:8" ht="13.2">
      <c r="A95" s="871">
        <v>79</v>
      </c>
      <c r="B95" s="871" t="s">
        <v>402</v>
      </c>
      <c r="C95" s="871" t="s">
        <v>358</v>
      </c>
      <c r="D95" s="871" t="s">
        <v>148</v>
      </c>
      <c r="E95" s="871" t="s">
        <v>77</v>
      </c>
      <c r="F95" s="871" t="s">
        <v>344</v>
      </c>
      <c r="G95" s="871" t="s">
        <v>344</v>
      </c>
      <c r="H95" s="885" t="s">
        <v>85</v>
      </c>
    </row>
    <row r="96" spans="1:8" ht="13.2">
      <c r="A96" s="871">
        <v>205</v>
      </c>
      <c r="B96" s="876" t="s">
        <v>403</v>
      </c>
      <c r="C96" s="876" t="s">
        <v>343</v>
      </c>
      <c r="D96" s="876" t="s">
        <v>148</v>
      </c>
      <c r="E96" s="876" t="s">
        <v>74</v>
      </c>
      <c r="F96" s="876" t="s">
        <v>78</v>
      </c>
      <c r="G96" s="876" t="s">
        <v>344</v>
      </c>
      <c r="H96" s="885" t="s">
        <v>85</v>
      </c>
    </row>
    <row r="97" spans="1:8" ht="13.2">
      <c r="A97" s="871">
        <v>206</v>
      </c>
      <c r="B97" s="876" t="s">
        <v>404</v>
      </c>
      <c r="C97" s="876" t="s">
        <v>346</v>
      </c>
      <c r="D97" s="876" t="s">
        <v>36</v>
      </c>
      <c r="E97" s="876" t="s">
        <v>77</v>
      </c>
      <c r="F97" s="876" t="s">
        <v>344</v>
      </c>
      <c r="G97" s="876" t="s">
        <v>78</v>
      </c>
      <c r="H97" s="885" t="s">
        <v>85</v>
      </c>
    </row>
    <row r="98" spans="1:8" ht="13.2">
      <c r="A98" s="871">
        <v>207</v>
      </c>
      <c r="B98" s="876" t="s">
        <v>405</v>
      </c>
      <c r="C98" s="876" t="s">
        <v>346</v>
      </c>
      <c r="D98" s="876" t="s">
        <v>36</v>
      </c>
      <c r="E98" s="876" t="s">
        <v>339</v>
      </c>
      <c r="F98" s="876" t="s">
        <v>344</v>
      </c>
      <c r="G98" s="876" t="s">
        <v>344</v>
      </c>
      <c r="H98" s="885" t="s">
        <v>85</v>
      </c>
    </row>
    <row r="99" spans="1:8" ht="13.2">
      <c r="A99" s="871">
        <v>208</v>
      </c>
      <c r="B99" s="876" t="s">
        <v>406</v>
      </c>
      <c r="C99" s="876" t="s">
        <v>346</v>
      </c>
      <c r="D99" s="876" t="s">
        <v>36</v>
      </c>
      <c r="E99" s="876" t="s">
        <v>339</v>
      </c>
      <c r="F99" s="876" t="s">
        <v>344</v>
      </c>
      <c r="G99" s="876" t="s">
        <v>344</v>
      </c>
      <c r="H99" s="885" t="s">
        <v>85</v>
      </c>
    </row>
    <row r="100" spans="1:8" ht="13.2">
      <c r="A100" s="871">
        <v>209</v>
      </c>
      <c r="B100" s="876" t="s">
        <v>407</v>
      </c>
      <c r="C100" s="876" t="s">
        <v>346</v>
      </c>
      <c r="D100" s="876" t="s">
        <v>36</v>
      </c>
      <c r="E100" s="876" t="s">
        <v>74</v>
      </c>
      <c r="F100" s="876" t="s">
        <v>344</v>
      </c>
      <c r="G100" s="876" t="s">
        <v>344</v>
      </c>
      <c r="H100" s="885" t="s">
        <v>85</v>
      </c>
    </row>
    <row r="101" spans="1:8" ht="13.2">
      <c r="A101" s="871">
        <v>210</v>
      </c>
      <c r="B101" s="883" t="s">
        <v>408</v>
      </c>
      <c r="C101" s="883" t="s">
        <v>346</v>
      </c>
      <c r="D101" s="883" t="s">
        <v>36</v>
      </c>
      <c r="E101" s="883" t="s">
        <v>74</v>
      </c>
      <c r="F101" s="883" t="s">
        <v>344</v>
      </c>
      <c r="G101" s="883" t="s">
        <v>344</v>
      </c>
      <c r="H101" s="885" t="s">
        <v>85</v>
      </c>
    </row>
    <row r="102" spans="1:8" ht="14.4">
      <c r="A102" s="871">
        <v>80</v>
      </c>
      <c r="B102" s="875" t="s">
        <v>217</v>
      </c>
      <c r="C102" s="871" t="s">
        <v>343</v>
      </c>
      <c r="D102" s="871" t="s">
        <v>148</v>
      </c>
      <c r="E102" s="871" t="s">
        <v>77</v>
      </c>
      <c r="F102" s="871" t="s">
        <v>344</v>
      </c>
      <c r="G102" s="871" t="s">
        <v>78</v>
      </c>
      <c r="H102" s="886" t="s">
        <v>88</v>
      </c>
    </row>
    <row r="103" spans="1:8" ht="14.4">
      <c r="A103" s="871">
        <v>81</v>
      </c>
      <c r="B103" s="871" t="s">
        <v>409</v>
      </c>
      <c r="C103" s="871" t="s">
        <v>343</v>
      </c>
      <c r="D103" s="871" t="s">
        <v>148</v>
      </c>
      <c r="E103" s="871" t="s">
        <v>74</v>
      </c>
      <c r="F103" s="871" t="s">
        <v>344</v>
      </c>
      <c r="G103" s="871" t="s">
        <v>344</v>
      </c>
      <c r="H103" s="886" t="s">
        <v>88</v>
      </c>
    </row>
    <row r="104" spans="1:8" ht="14.4">
      <c r="A104" s="871">
        <v>82</v>
      </c>
      <c r="B104" s="874" t="s">
        <v>410</v>
      </c>
      <c r="C104" s="871" t="s">
        <v>346</v>
      </c>
      <c r="D104" s="871" t="s">
        <v>36</v>
      </c>
      <c r="E104" s="871" t="s">
        <v>339</v>
      </c>
      <c r="F104" s="871" t="s">
        <v>344</v>
      </c>
      <c r="G104" s="871" t="s">
        <v>344</v>
      </c>
      <c r="H104" s="886" t="s">
        <v>88</v>
      </c>
    </row>
    <row r="105" spans="1:8" ht="14.4">
      <c r="A105" s="871">
        <v>83</v>
      </c>
      <c r="B105" s="871" t="s">
        <v>86</v>
      </c>
      <c r="C105" s="871" t="s">
        <v>343</v>
      </c>
      <c r="D105" s="871" t="s">
        <v>148</v>
      </c>
      <c r="E105" s="871" t="s">
        <v>339</v>
      </c>
      <c r="F105" s="871" t="s">
        <v>78</v>
      </c>
      <c r="G105" s="871" t="s">
        <v>344</v>
      </c>
      <c r="H105" s="886" t="s">
        <v>88</v>
      </c>
    </row>
    <row r="106" spans="1:8" ht="14.4">
      <c r="A106" s="871">
        <v>84</v>
      </c>
      <c r="B106" s="871" t="s">
        <v>411</v>
      </c>
      <c r="C106" s="871" t="s">
        <v>353</v>
      </c>
      <c r="D106" s="871" t="s">
        <v>148</v>
      </c>
      <c r="E106" s="874" t="s">
        <v>339</v>
      </c>
      <c r="F106" s="871" t="s">
        <v>344</v>
      </c>
      <c r="G106" s="871" t="s">
        <v>344</v>
      </c>
      <c r="H106" s="886" t="s">
        <v>88</v>
      </c>
    </row>
    <row r="107" spans="1:8" ht="14.4">
      <c r="A107" s="871">
        <v>85</v>
      </c>
      <c r="B107" s="871" t="s">
        <v>160</v>
      </c>
      <c r="C107" s="871" t="s">
        <v>343</v>
      </c>
      <c r="D107" s="871" t="s">
        <v>148</v>
      </c>
      <c r="E107" s="875" t="s">
        <v>339</v>
      </c>
      <c r="F107" s="871" t="s">
        <v>78</v>
      </c>
      <c r="G107" s="871" t="s">
        <v>344</v>
      </c>
      <c r="H107" s="886" t="s">
        <v>88</v>
      </c>
    </row>
    <row r="108" spans="1:8" ht="14.4">
      <c r="A108" s="871">
        <v>86</v>
      </c>
      <c r="B108" s="874" t="s">
        <v>412</v>
      </c>
      <c r="C108" s="871" t="s">
        <v>358</v>
      </c>
      <c r="D108" s="871" t="s">
        <v>148</v>
      </c>
      <c r="E108" s="871" t="s">
        <v>77</v>
      </c>
      <c r="F108" s="871" t="s">
        <v>78</v>
      </c>
      <c r="G108" s="871" t="s">
        <v>344</v>
      </c>
      <c r="H108" s="886" t="s">
        <v>88</v>
      </c>
    </row>
    <row r="109" spans="1:8" ht="14.4">
      <c r="A109" s="871">
        <v>87</v>
      </c>
      <c r="B109" s="871" t="s">
        <v>413</v>
      </c>
      <c r="C109" s="871" t="s">
        <v>346</v>
      </c>
      <c r="D109" s="871" t="s">
        <v>36</v>
      </c>
      <c r="E109" s="871" t="s">
        <v>74</v>
      </c>
      <c r="F109" s="871" t="s">
        <v>344</v>
      </c>
      <c r="G109" s="871" t="s">
        <v>344</v>
      </c>
      <c r="H109" s="886" t="s">
        <v>88</v>
      </c>
    </row>
    <row r="110" spans="1:8" ht="14.4">
      <c r="A110" s="871">
        <v>88</v>
      </c>
      <c r="B110" s="871" t="s">
        <v>414</v>
      </c>
      <c r="C110" s="871" t="s">
        <v>346</v>
      </c>
      <c r="D110" s="871" t="s">
        <v>36</v>
      </c>
      <c r="E110" s="874" t="s">
        <v>74</v>
      </c>
      <c r="F110" s="871" t="s">
        <v>344</v>
      </c>
      <c r="G110" s="871" t="s">
        <v>344</v>
      </c>
      <c r="H110" s="886" t="s">
        <v>88</v>
      </c>
    </row>
    <row r="111" spans="1:8" ht="14.4">
      <c r="A111" s="871">
        <v>89</v>
      </c>
      <c r="B111" s="871" t="s">
        <v>415</v>
      </c>
      <c r="C111" s="871" t="s">
        <v>346</v>
      </c>
      <c r="D111" s="871" t="s">
        <v>36</v>
      </c>
      <c r="E111" s="875" t="s">
        <v>74</v>
      </c>
      <c r="F111" s="871" t="s">
        <v>344</v>
      </c>
      <c r="G111" s="871" t="s">
        <v>344</v>
      </c>
      <c r="H111" s="886" t="s">
        <v>88</v>
      </c>
    </row>
    <row r="112" spans="1:8" ht="14.4">
      <c r="A112" s="871">
        <v>90</v>
      </c>
      <c r="B112" s="871" t="s">
        <v>216</v>
      </c>
      <c r="C112" s="871" t="s">
        <v>346</v>
      </c>
      <c r="D112" s="871" t="s">
        <v>36</v>
      </c>
      <c r="E112" s="871" t="s">
        <v>74</v>
      </c>
      <c r="F112" s="871" t="s">
        <v>344</v>
      </c>
      <c r="G112" s="871" t="s">
        <v>344</v>
      </c>
      <c r="H112" s="886" t="s">
        <v>88</v>
      </c>
    </row>
    <row r="113" spans="1:8" ht="14.4">
      <c r="A113" s="871">
        <v>91</v>
      </c>
      <c r="B113" s="871" t="s">
        <v>89</v>
      </c>
      <c r="C113" s="871" t="s">
        <v>343</v>
      </c>
      <c r="D113" s="871" t="s">
        <v>148</v>
      </c>
      <c r="E113" s="871" t="s">
        <v>77</v>
      </c>
      <c r="F113" s="871" t="s">
        <v>78</v>
      </c>
      <c r="G113" s="871" t="s">
        <v>78</v>
      </c>
      <c r="H113" s="886" t="s">
        <v>88</v>
      </c>
    </row>
    <row r="114" spans="1:8" ht="14.4">
      <c r="A114" s="871">
        <v>92</v>
      </c>
      <c r="B114" s="875" t="s">
        <v>416</v>
      </c>
      <c r="C114" s="871" t="s">
        <v>346</v>
      </c>
      <c r="D114" s="871" t="s">
        <v>148</v>
      </c>
      <c r="E114" s="871" t="s">
        <v>74</v>
      </c>
      <c r="F114" s="871" t="s">
        <v>344</v>
      </c>
      <c r="G114" s="871" t="s">
        <v>344</v>
      </c>
      <c r="H114" s="886" t="s">
        <v>88</v>
      </c>
    </row>
    <row r="115" spans="1:8" ht="14.4">
      <c r="A115" s="871">
        <v>93</v>
      </c>
      <c r="B115" s="871" t="s">
        <v>131</v>
      </c>
      <c r="C115" s="871" t="s">
        <v>346</v>
      </c>
      <c r="D115" s="871" t="s">
        <v>36</v>
      </c>
      <c r="E115" s="871" t="s">
        <v>74</v>
      </c>
      <c r="F115" s="871" t="s">
        <v>344</v>
      </c>
      <c r="G115" s="871" t="s">
        <v>344</v>
      </c>
      <c r="H115" s="886" t="s">
        <v>88</v>
      </c>
    </row>
    <row r="116" spans="1:8" ht="14.4">
      <c r="A116" s="871">
        <v>94</v>
      </c>
      <c r="B116" s="871" t="s">
        <v>191</v>
      </c>
      <c r="C116" s="871" t="s">
        <v>352</v>
      </c>
      <c r="D116" s="871" t="s">
        <v>36</v>
      </c>
      <c r="E116" s="871" t="s">
        <v>339</v>
      </c>
      <c r="F116" s="871" t="s">
        <v>344</v>
      </c>
      <c r="G116" s="871" t="s">
        <v>344</v>
      </c>
      <c r="H116" s="886" t="s">
        <v>88</v>
      </c>
    </row>
    <row r="117" spans="1:8" ht="14.4">
      <c r="A117" s="871">
        <v>95</v>
      </c>
      <c r="B117" s="874" t="s">
        <v>99</v>
      </c>
      <c r="C117" s="871" t="s">
        <v>343</v>
      </c>
      <c r="D117" s="871" t="s">
        <v>148</v>
      </c>
      <c r="E117" s="871" t="s">
        <v>74</v>
      </c>
      <c r="F117" s="871" t="s">
        <v>344</v>
      </c>
      <c r="G117" s="871" t="s">
        <v>344</v>
      </c>
      <c r="H117" s="886" t="s">
        <v>88</v>
      </c>
    </row>
    <row r="118" spans="1:8" ht="14.4">
      <c r="A118" s="871">
        <v>96</v>
      </c>
      <c r="B118" s="871" t="s">
        <v>417</v>
      </c>
      <c r="C118" s="871" t="s">
        <v>343</v>
      </c>
      <c r="D118" s="871" t="s">
        <v>148</v>
      </c>
      <c r="E118" s="871" t="s">
        <v>77</v>
      </c>
      <c r="F118" s="871" t="s">
        <v>78</v>
      </c>
      <c r="G118" s="871" t="s">
        <v>78</v>
      </c>
      <c r="H118" s="886" t="s">
        <v>88</v>
      </c>
    </row>
    <row r="119" spans="1:8" ht="14.4">
      <c r="A119" s="871">
        <v>97</v>
      </c>
      <c r="B119" s="871" t="s">
        <v>418</v>
      </c>
      <c r="C119" s="871" t="s">
        <v>343</v>
      </c>
      <c r="D119" s="871" t="s">
        <v>148</v>
      </c>
      <c r="E119" s="871" t="s">
        <v>339</v>
      </c>
      <c r="F119" s="871" t="s">
        <v>78</v>
      </c>
      <c r="G119" s="871" t="s">
        <v>344</v>
      </c>
      <c r="H119" s="886" t="s">
        <v>88</v>
      </c>
    </row>
    <row r="120" spans="1:8" ht="14.4">
      <c r="A120" s="871">
        <v>98</v>
      </c>
      <c r="B120" s="875" t="s">
        <v>419</v>
      </c>
      <c r="C120" s="871" t="s">
        <v>343</v>
      </c>
      <c r="D120" s="871" t="s">
        <v>148</v>
      </c>
      <c r="E120" s="874" t="s">
        <v>74</v>
      </c>
      <c r="F120" s="871" t="s">
        <v>78</v>
      </c>
      <c r="G120" s="871" t="s">
        <v>344</v>
      </c>
      <c r="H120" s="886" t="s">
        <v>88</v>
      </c>
    </row>
    <row r="121" spans="1:8" ht="14.4">
      <c r="A121" s="871">
        <v>211</v>
      </c>
      <c r="B121" s="876" t="s">
        <v>420</v>
      </c>
      <c r="C121" s="876" t="s">
        <v>346</v>
      </c>
      <c r="D121" s="876" t="s">
        <v>36</v>
      </c>
      <c r="E121" s="876" t="s">
        <v>74</v>
      </c>
      <c r="F121" s="876" t="s">
        <v>344</v>
      </c>
      <c r="G121" s="876" t="s">
        <v>344</v>
      </c>
      <c r="H121" s="886" t="s">
        <v>88</v>
      </c>
    </row>
    <row r="122" spans="1:8" ht="14.4">
      <c r="A122" s="871">
        <v>212</v>
      </c>
      <c r="B122" s="883" t="s">
        <v>421</v>
      </c>
      <c r="C122" s="883" t="s">
        <v>346</v>
      </c>
      <c r="D122" s="883" t="s">
        <v>36</v>
      </c>
      <c r="E122" s="883" t="s">
        <v>339</v>
      </c>
      <c r="F122" s="883" t="s">
        <v>344</v>
      </c>
      <c r="G122" s="883" t="s">
        <v>344</v>
      </c>
      <c r="H122" s="886" t="s">
        <v>88</v>
      </c>
    </row>
    <row r="123" spans="1:8" ht="14.4">
      <c r="A123" s="871">
        <v>213</v>
      </c>
      <c r="B123" s="883" t="s">
        <v>422</v>
      </c>
      <c r="C123" s="883" t="s">
        <v>346</v>
      </c>
      <c r="D123" s="883" t="s">
        <v>36</v>
      </c>
      <c r="E123" s="883" t="s">
        <v>77</v>
      </c>
      <c r="F123" s="883" t="s">
        <v>344</v>
      </c>
      <c r="G123" s="883" t="s">
        <v>78</v>
      </c>
      <c r="H123" s="886" t="s">
        <v>88</v>
      </c>
    </row>
    <row r="124" spans="1:8" ht="14.4">
      <c r="A124" s="871">
        <v>214</v>
      </c>
      <c r="B124" s="883" t="s">
        <v>423</v>
      </c>
      <c r="C124" s="883" t="s">
        <v>346</v>
      </c>
      <c r="D124" s="883" t="s">
        <v>36</v>
      </c>
      <c r="E124" s="883" t="s">
        <v>77</v>
      </c>
      <c r="F124" s="883" t="s">
        <v>344</v>
      </c>
      <c r="G124" s="883" t="s">
        <v>344</v>
      </c>
      <c r="H124" s="886" t="s">
        <v>88</v>
      </c>
    </row>
    <row r="125" spans="1:8" ht="14.4">
      <c r="A125" s="871">
        <v>215</v>
      </c>
      <c r="B125" s="876" t="s">
        <v>424</v>
      </c>
      <c r="C125" s="876" t="s">
        <v>346</v>
      </c>
      <c r="D125" s="876" t="s">
        <v>36</v>
      </c>
      <c r="E125" s="876" t="s">
        <v>74</v>
      </c>
      <c r="F125" s="876" t="s">
        <v>344</v>
      </c>
      <c r="G125" s="876" t="s">
        <v>344</v>
      </c>
      <c r="H125" s="886" t="s">
        <v>88</v>
      </c>
    </row>
    <row r="126" spans="1:8" ht="14.4">
      <c r="A126" s="871">
        <v>216</v>
      </c>
      <c r="B126" s="883" t="s">
        <v>425</v>
      </c>
      <c r="C126" s="883" t="s">
        <v>346</v>
      </c>
      <c r="D126" s="883" t="s">
        <v>36</v>
      </c>
      <c r="E126" s="883" t="s">
        <v>74</v>
      </c>
      <c r="F126" s="883" t="s">
        <v>344</v>
      </c>
      <c r="G126" s="883" t="s">
        <v>344</v>
      </c>
      <c r="H126" s="886" t="s">
        <v>88</v>
      </c>
    </row>
    <row r="127" spans="1:8" ht="14.4">
      <c r="A127" s="871">
        <v>99</v>
      </c>
      <c r="B127" s="871" t="s">
        <v>172</v>
      </c>
      <c r="C127" s="871" t="s">
        <v>343</v>
      </c>
      <c r="D127" s="871" t="s">
        <v>148</v>
      </c>
      <c r="E127" s="871" t="s">
        <v>74</v>
      </c>
      <c r="F127" s="871" t="s">
        <v>78</v>
      </c>
      <c r="G127" s="871" t="s">
        <v>344</v>
      </c>
      <c r="H127" s="887" t="s">
        <v>118</v>
      </c>
    </row>
    <row r="128" spans="1:8" ht="14.4">
      <c r="A128" s="871">
        <v>100</v>
      </c>
      <c r="B128" s="871" t="s">
        <v>426</v>
      </c>
      <c r="C128" s="871" t="s">
        <v>343</v>
      </c>
      <c r="D128" s="871" t="s">
        <v>148</v>
      </c>
      <c r="E128" s="871" t="s">
        <v>74</v>
      </c>
      <c r="F128" s="871" t="s">
        <v>344</v>
      </c>
      <c r="G128" s="871" t="s">
        <v>344</v>
      </c>
      <c r="H128" s="887" t="s">
        <v>118</v>
      </c>
    </row>
    <row r="129" spans="1:8" ht="14.4">
      <c r="A129" s="871">
        <v>101</v>
      </c>
      <c r="B129" s="871" t="s">
        <v>161</v>
      </c>
      <c r="C129" s="871" t="s">
        <v>343</v>
      </c>
      <c r="D129" s="871" t="s">
        <v>148</v>
      </c>
      <c r="E129" s="874" t="s">
        <v>339</v>
      </c>
      <c r="F129" s="871" t="s">
        <v>78</v>
      </c>
      <c r="G129" s="871" t="s">
        <v>344</v>
      </c>
      <c r="H129" s="887" t="s">
        <v>118</v>
      </c>
    </row>
    <row r="130" spans="1:8" ht="14.4">
      <c r="A130" s="871">
        <v>102</v>
      </c>
      <c r="B130" s="871" t="s">
        <v>227</v>
      </c>
      <c r="C130" s="871" t="s">
        <v>346</v>
      </c>
      <c r="D130" s="871" t="s">
        <v>36</v>
      </c>
      <c r="E130" s="871" t="s">
        <v>77</v>
      </c>
      <c r="F130" s="871" t="s">
        <v>344</v>
      </c>
      <c r="G130" s="871" t="s">
        <v>344</v>
      </c>
      <c r="H130" s="887" t="s">
        <v>118</v>
      </c>
    </row>
    <row r="131" spans="1:8" ht="14.4">
      <c r="A131" s="871">
        <v>103</v>
      </c>
      <c r="B131" s="871" t="s">
        <v>427</v>
      </c>
      <c r="C131" s="871" t="s">
        <v>343</v>
      </c>
      <c r="D131" s="871" t="s">
        <v>148</v>
      </c>
      <c r="E131" s="871" t="s">
        <v>339</v>
      </c>
      <c r="F131" s="871" t="s">
        <v>78</v>
      </c>
      <c r="G131" s="871" t="s">
        <v>344</v>
      </c>
      <c r="H131" s="887" t="s">
        <v>118</v>
      </c>
    </row>
    <row r="132" spans="1:8" ht="14.4">
      <c r="A132" s="871">
        <v>104</v>
      </c>
      <c r="B132" s="874" t="s">
        <v>428</v>
      </c>
      <c r="C132" s="871" t="s">
        <v>353</v>
      </c>
      <c r="D132" s="871" t="s">
        <v>148</v>
      </c>
      <c r="E132" s="871" t="s">
        <v>77</v>
      </c>
      <c r="F132" s="871" t="s">
        <v>78</v>
      </c>
      <c r="G132" s="871" t="s">
        <v>78</v>
      </c>
      <c r="H132" s="887" t="s">
        <v>118</v>
      </c>
    </row>
    <row r="133" spans="1:8" ht="14.4">
      <c r="A133" s="871">
        <v>105</v>
      </c>
      <c r="B133" s="871" t="s">
        <v>429</v>
      </c>
      <c r="C133" s="871" t="s">
        <v>346</v>
      </c>
      <c r="D133" s="871" t="s">
        <v>36</v>
      </c>
      <c r="E133" s="871" t="s">
        <v>339</v>
      </c>
      <c r="F133" s="871" t="s">
        <v>344</v>
      </c>
      <c r="G133" s="871" t="s">
        <v>78</v>
      </c>
      <c r="H133" s="887" t="s">
        <v>118</v>
      </c>
    </row>
    <row r="134" spans="1:8" ht="14.4">
      <c r="A134" s="871">
        <v>106</v>
      </c>
      <c r="B134" s="871" t="s">
        <v>430</v>
      </c>
      <c r="C134" s="871" t="s">
        <v>346</v>
      </c>
      <c r="D134" s="871" t="s">
        <v>36</v>
      </c>
      <c r="E134" s="871" t="s">
        <v>74</v>
      </c>
      <c r="F134" s="871" t="s">
        <v>344</v>
      </c>
      <c r="G134" s="871" t="s">
        <v>344</v>
      </c>
      <c r="H134" s="887" t="s">
        <v>118</v>
      </c>
    </row>
    <row r="135" spans="1:8" ht="14.4">
      <c r="A135" s="871">
        <v>107</v>
      </c>
      <c r="B135" s="871" t="s">
        <v>134</v>
      </c>
      <c r="C135" s="871" t="s">
        <v>343</v>
      </c>
      <c r="D135" s="871" t="s">
        <v>148</v>
      </c>
      <c r="E135" s="871" t="s">
        <v>74</v>
      </c>
      <c r="F135" s="871" t="s">
        <v>344</v>
      </c>
      <c r="G135" s="871" t="s">
        <v>344</v>
      </c>
      <c r="H135" s="887" t="s">
        <v>118</v>
      </c>
    </row>
    <row r="136" spans="1:8" ht="14.4">
      <c r="A136" s="871">
        <v>108</v>
      </c>
      <c r="B136" s="871" t="s">
        <v>193</v>
      </c>
      <c r="C136" s="871" t="s">
        <v>343</v>
      </c>
      <c r="D136" s="871" t="s">
        <v>148</v>
      </c>
      <c r="E136" s="871" t="s">
        <v>77</v>
      </c>
      <c r="F136" s="871" t="s">
        <v>344</v>
      </c>
      <c r="G136" s="871" t="s">
        <v>344</v>
      </c>
      <c r="H136" s="887" t="s">
        <v>118</v>
      </c>
    </row>
    <row r="137" spans="1:8" ht="14.4">
      <c r="A137" s="871">
        <v>109</v>
      </c>
      <c r="B137" s="871" t="s">
        <v>192</v>
      </c>
      <c r="C137" s="871" t="s">
        <v>343</v>
      </c>
      <c r="D137" s="871" t="s">
        <v>148</v>
      </c>
      <c r="E137" s="871" t="s">
        <v>339</v>
      </c>
      <c r="F137" s="871" t="s">
        <v>344</v>
      </c>
      <c r="G137" s="871" t="s">
        <v>344</v>
      </c>
      <c r="H137" s="887" t="s">
        <v>118</v>
      </c>
    </row>
    <row r="138" spans="1:8" ht="14.4">
      <c r="A138" s="871">
        <v>110</v>
      </c>
      <c r="B138" s="874" t="s">
        <v>194</v>
      </c>
      <c r="C138" s="871" t="s">
        <v>343</v>
      </c>
      <c r="D138" s="871" t="s">
        <v>148</v>
      </c>
      <c r="E138" s="871" t="s">
        <v>77</v>
      </c>
      <c r="F138" s="871" t="s">
        <v>344</v>
      </c>
      <c r="G138" s="871" t="s">
        <v>344</v>
      </c>
      <c r="H138" s="887" t="s">
        <v>118</v>
      </c>
    </row>
    <row r="139" spans="1:8" ht="14.4">
      <c r="A139" s="871">
        <v>111</v>
      </c>
      <c r="B139" s="871" t="s">
        <v>132</v>
      </c>
      <c r="C139" s="871" t="s">
        <v>349</v>
      </c>
      <c r="D139" s="871" t="s">
        <v>148</v>
      </c>
      <c r="E139" s="871" t="s">
        <v>77</v>
      </c>
      <c r="F139" s="871" t="s">
        <v>344</v>
      </c>
      <c r="G139" s="871" t="s">
        <v>344</v>
      </c>
      <c r="H139" s="887" t="s">
        <v>118</v>
      </c>
    </row>
    <row r="140" spans="1:8" ht="14.4">
      <c r="A140" s="871">
        <v>112</v>
      </c>
      <c r="B140" s="871" t="s">
        <v>180</v>
      </c>
      <c r="C140" s="871" t="s">
        <v>358</v>
      </c>
      <c r="D140" s="871" t="s">
        <v>148</v>
      </c>
      <c r="E140" s="871" t="s">
        <v>339</v>
      </c>
      <c r="F140" s="871" t="s">
        <v>344</v>
      </c>
      <c r="G140" s="871" t="s">
        <v>344</v>
      </c>
      <c r="H140" s="887" t="s">
        <v>118</v>
      </c>
    </row>
    <row r="141" spans="1:8" ht="14.4">
      <c r="A141" s="871">
        <v>113</v>
      </c>
      <c r="B141" s="871" t="s">
        <v>117</v>
      </c>
      <c r="C141" s="871" t="s">
        <v>349</v>
      </c>
      <c r="D141" s="871" t="s">
        <v>148</v>
      </c>
      <c r="E141" s="871" t="s">
        <v>339</v>
      </c>
      <c r="F141" s="871" t="s">
        <v>78</v>
      </c>
      <c r="G141" s="871" t="s">
        <v>344</v>
      </c>
      <c r="H141" s="887" t="s">
        <v>118</v>
      </c>
    </row>
    <row r="142" spans="1:8" ht="14.4">
      <c r="A142" s="871">
        <v>114</v>
      </c>
      <c r="B142" s="871" t="s">
        <v>431</v>
      </c>
      <c r="C142" s="871" t="s">
        <v>349</v>
      </c>
      <c r="D142" s="871" t="s">
        <v>148</v>
      </c>
      <c r="E142" s="871" t="s">
        <v>77</v>
      </c>
      <c r="F142" s="871" t="s">
        <v>78</v>
      </c>
      <c r="G142" s="871" t="s">
        <v>344</v>
      </c>
      <c r="H142" s="887" t="s">
        <v>118</v>
      </c>
    </row>
    <row r="143" spans="1:8" ht="14.4">
      <c r="A143" s="871">
        <v>115</v>
      </c>
      <c r="B143" s="871" t="s">
        <v>133</v>
      </c>
      <c r="C143" s="871" t="s">
        <v>353</v>
      </c>
      <c r="D143" s="871" t="s">
        <v>148</v>
      </c>
      <c r="E143" s="871" t="s">
        <v>77</v>
      </c>
      <c r="F143" s="871" t="s">
        <v>344</v>
      </c>
      <c r="G143" s="871" t="s">
        <v>78</v>
      </c>
      <c r="H143" s="887" t="s">
        <v>118</v>
      </c>
    </row>
    <row r="144" spans="1:8" ht="14.4">
      <c r="A144" s="871">
        <v>116</v>
      </c>
      <c r="B144" s="871" t="s">
        <v>432</v>
      </c>
      <c r="C144" s="871" t="s">
        <v>346</v>
      </c>
      <c r="D144" s="871" t="s">
        <v>148</v>
      </c>
      <c r="E144" s="875" t="s">
        <v>74</v>
      </c>
      <c r="F144" s="871" t="s">
        <v>78</v>
      </c>
      <c r="G144" s="871" t="s">
        <v>344</v>
      </c>
      <c r="H144" s="887" t="s">
        <v>118</v>
      </c>
    </row>
    <row r="145" spans="1:8" ht="14.4">
      <c r="A145" s="871">
        <v>117</v>
      </c>
      <c r="B145" s="871" t="s">
        <v>433</v>
      </c>
      <c r="C145" s="871" t="s">
        <v>346</v>
      </c>
      <c r="D145" s="871" t="s">
        <v>148</v>
      </c>
      <c r="E145" s="871" t="s">
        <v>74</v>
      </c>
      <c r="F145" s="871" t="s">
        <v>344</v>
      </c>
      <c r="G145" s="871" t="s">
        <v>344</v>
      </c>
      <c r="H145" s="887" t="s">
        <v>118</v>
      </c>
    </row>
    <row r="146" spans="1:8" ht="14.4">
      <c r="A146" s="871">
        <v>217</v>
      </c>
      <c r="B146" s="883" t="s">
        <v>434</v>
      </c>
      <c r="C146" s="883" t="s">
        <v>346</v>
      </c>
      <c r="D146" s="883" t="s">
        <v>36</v>
      </c>
      <c r="E146" s="883" t="s">
        <v>339</v>
      </c>
      <c r="F146" s="883" t="s">
        <v>344</v>
      </c>
      <c r="G146" s="883" t="s">
        <v>344</v>
      </c>
      <c r="H146" s="887" t="s">
        <v>118</v>
      </c>
    </row>
    <row r="147" spans="1:8" ht="14.4">
      <c r="A147" s="871">
        <v>218</v>
      </c>
      <c r="B147" s="876" t="s">
        <v>435</v>
      </c>
      <c r="C147" s="876" t="s">
        <v>346</v>
      </c>
      <c r="D147" s="876" t="s">
        <v>36</v>
      </c>
      <c r="E147" s="876" t="s">
        <v>339</v>
      </c>
      <c r="F147" s="876" t="s">
        <v>344</v>
      </c>
      <c r="G147" s="876" t="s">
        <v>344</v>
      </c>
      <c r="H147" s="887" t="s">
        <v>118</v>
      </c>
    </row>
    <row r="148" spans="1:8" ht="14.4">
      <c r="A148" s="871">
        <v>219</v>
      </c>
      <c r="B148" s="876" t="s">
        <v>436</v>
      </c>
      <c r="C148" s="876" t="s">
        <v>346</v>
      </c>
      <c r="D148" s="876" t="s">
        <v>36</v>
      </c>
      <c r="E148" s="876" t="s">
        <v>339</v>
      </c>
      <c r="F148" s="876" t="s">
        <v>344</v>
      </c>
      <c r="G148" s="876" t="s">
        <v>344</v>
      </c>
      <c r="H148" s="887" t="s">
        <v>118</v>
      </c>
    </row>
    <row r="149" spans="1:8" ht="14.4">
      <c r="A149" s="871">
        <v>220</v>
      </c>
      <c r="B149" s="883" t="s">
        <v>437</v>
      </c>
      <c r="C149" s="883" t="s">
        <v>346</v>
      </c>
      <c r="D149" s="883" t="s">
        <v>36</v>
      </c>
      <c r="E149" s="883" t="s">
        <v>77</v>
      </c>
      <c r="F149" s="883" t="s">
        <v>344</v>
      </c>
      <c r="G149" s="883" t="s">
        <v>344</v>
      </c>
      <c r="H149" s="887" t="s">
        <v>118</v>
      </c>
    </row>
    <row r="150" spans="1:8" ht="14.4">
      <c r="A150" s="871">
        <v>221</v>
      </c>
      <c r="B150" s="876" t="s">
        <v>438</v>
      </c>
      <c r="C150" s="876" t="s">
        <v>346</v>
      </c>
      <c r="D150" s="876" t="s">
        <v>36</v>
      </c>
      <c r="E150" s="877" t="s">
        <v>74</v>
      </c>
      <c r="F150" s="876" t="s">
        <v>344</v>
      </c>
      <c r="G150" s="876" t="s">
        <v>344</v>
      </c>
      <c r="H150" s="887" t="s">
        <v>118</v>
      </c>
    </row>
    <row r="151" spans="1:8" ht="14.4">
      <c r="A151" s="871">
        <v>222</v>
      </c>
      <c r="B151" s="876" t="s">
        <v>439</v>
      </c>
      <c r="C151" s="876" t="s">
        <v>346</v>
      </c>
      <c r="D151" s="876" t="s">
        <v>36</v>
      </c>
      <c r="E151" s="876" t="s">
        <v>74</v>
      </c>
      <c r="F151" s="876" t="s">
        <v>344</v>
      </c>
      <c r="G151" s="876" t="s">
        <v>344</v>
      </c>
      <c r="H151" s="887" t="s">
        <v>118</v>
      </c>
    </row>
    <row r="152" spans="1:8" ht="14.4">
      <c r="A152" s="871">
        <v>118</v>
      </c>
      <c r="B152" s="875" t="s">
        <v>90</v>
      </c>
      <c r="C152" s="871" t="s">
        <v>343</v>
      </c>
      <c r="D152" s="871" t="s">
        <v>148</v>
      </c>
      <c r="E152" s="871" t="s">
        <v>87</v>
      </c>
      <c r="F152" s="875" t="s">
        <v>78</v>
      </c>
      <c r="G152" s="871" t="s">
        <v>344</v>
      </c>
      <c r="H152" s="888" t="s">
        <v>91</v>
      </c>
    </row>
    <row r="153" spans="1:8" ht="14.4">
      <c r="A153" s="871">
        <v>119</v>
      </c>
      <c r="B153" s="871" t="s">
        <v>205</v>
      </c>
      <c r="C153" s="871" t="s">
        <v>347</v>
      </c>
      <c r="D153" s="871" t="s">
        <v>148</v>
      </c>
      <c r="E153" s="871" t="s">
        <v>87</v>
      </c>
      <c r="F153" s="871" t="s">
        <v>78</v>
      </c>
      <c r="G153" s="871" t="s">
        <v>344</v>
      </c>
      <c r="H153" s="888" t="s">
        <v>91</v>
      </c>
    </row>
    <row r="154" spans="1:8" ht="14.4">
      <c r="A154" s="871">
        <v>120</v>
      </c>
      <c r="B154" s="871" t="s">
        <v>195</v>
      </c>
      <c r="C154" s="871" t="s">
        <v>346</v>
      </c>
      <c r="D154" s="871" t="s">
        <v>36</v>
      </c>
      <c r="E154" s="871" t="s">
        <v>87</v>
      </c>
      <c r="F154" s="871" t="s">
        <v>344</v>
      </c>
      <c r="G154" s="871" t="s">
        <v>344</v>
      </c>
      <c r="H154" s="888" t="s">
        <v>91</v>
      </c>
    </row>
    <row r="155" spans="1:8" ht="14.4">
      <c r="A155" s="871">
        <v>121</v>
      </c>
      <c r="B155" s="871" t="s">
        <v>440</v>
      </c>
      <c r="C155" s="871" t="s">
        <v>349</v>
      </c>
      <c r="D155" s="871" t="s">
        <v>148</v>
      </c>
      <c r="E155" s="871" t="s">
        <v>87</v>
      </c>
      <c r="F155" s="871" t="s">
        <v>78</v>
      </c>
      <c r="G155" s="871" t="s">
        <v>344</v>
      </c>
      <c r="H155" s="888" t="s">
        <v>91</v>
      </c>
    </row>
    <row r="156" spans="1:8" ht="14.4">
      <c r="A156" s="871">
        <v>122</v>
      </c>
      <c r="B156" s="871" t="s">
        <v>135</v>
      </c>
      <c r="C156" s="871" t="s">
        <v>346</v>
      </c>
      <c r="D156" s="871" t="s">
        <v>36</v>
      </c>
      <c r="E156" s="871" t="s">
        <v>87</v>
      </c>
      <c r="F156" s="875" t="s">
        <v>344</v>
      </c>
      <c r="G156" s="871" t="s">
        <v>344</v>
      </c>
      <c r="H156" s="888" t="s">
        <v>91</v>
      </c>
    </row>
    <row r="157" spans="1:8" ht="14.4">
      <c r="A157" s="871">
        <v>123</v>
      </c>
      <c r="B157" s="871" t="s">
        <v>163</v>
      </c>
      <c r="C157" s="871" t="s">
        <v>343</v>
      </c>
      <c r="D157" s="871" t="s">
        <v>148</v>
      </c>
      <c r="E157" s="871" t="s">
        <v>77</v>
      </c>
      <c r="F157" s="871" t="s">
        <v>344</v>
      </c>
      <c r="G157" s="871" t="s">
        <v>344</v>
      </c>
      <c r="H157" s="888" t="s">
        <v>91</v>
      </c>
    </row>
    <row r="158" spans="1:8" ht="14.4">
      <c r="A158" s="871">
        <v>124</v>
      </c>
      <c r="B158" s="875" t="s">
        <v>162</v>
      </c>
      <c r="C158" s="871" t="s">
        <v>346</v>
      </c>
      <c r="D158" s="871" t="s">
        <v>36</v>
      </c>
      <c r="E158" s="871" t="s">
        <v>77</v>
      </c>
      <c r="F158" s="871" t="s">
        <v>344</v>
      </c>
      <c r="G158" s="871" t="s">
        <v>344</v>
      </c>
      <c r="H158" s="888" t="s">
        <v>91</v>
      </c>
    </row>
    <row r="159" spans="1:8" ht="14.4">
      <c r="A159" s="871">
        <v>125</v>
      </c>
      <c r="B159" s="871" t="s">
        <v>93</v>
      </c>
      <c r="C159" s="871" t="s">
        <v>352</v>
      </c>
      <c r="D159" s="871" t="s">
        <v>36</v>
      </c>
      <c r="E159" s="871" t="s">
        <v>77</v>
      </c>
      <c r="F159" s="871" t="s">
        <v>344</v>
      </c>
      <c r="G159" s="871" t="s">
        <v>344</v>
      </c>
      <c r="H159" s="888" t="s">
        <v>91</v>
      </c>
    </row>
    <row r="160" spans="1:8" ht="14.4">
      <c r="A160" s="871">
        <v>126</v>
      </c>
      <c r="B160" s="871" t="s">
        <v>92</v>
      </c>
      <c r="C160" s="871" t="s">
        <v>352</v>
      </c>
      <c r="D160" s="871" t="s">
        <v>36</v>
      </c>
      <c r="E160" s="871" t="s">
        <v>77</v>
      </c>
      <c r="F160" s="871" t="s">
        <v>344</v>
      </c>
      <c r="G160" s="871" t="s">
        <v>78</v>
      </c>
      <c r="H160" s="888" t="s">
        <v>91</v>
      </c>
    </row>
    <row r="161" spans="1:8" ht="14.4">
      <c r="A161" s="871">
        <v>127</v>
      </c>
      <c r="B161" s="871" t="s">
        <v>136</v>
      </c>
      <c r="C161" s="871" t="s">
        <v>343</v>
      </c>
      <c r="D161" s="871" t="s">
        <v>148</v>
      </c>
      <c r="E161" s="871" t="s">
        <v>74</v>
      </c>
      <c r="F161" s="871" t="s">
        <v>344</v>
      </c>
      <c r="G161" s="871" t="s">
        <v>344</v>
      </c>
      <c r="H161" s="888" t="s">
        <v>91</v>
      </c>
    </row>
    <row r="162" spans="1:8" ht="14.4">
      <c r="A162" s="871">
        <v>128</v>
      </c>
      <c r="B162" s="871" t="s">
        <v>218</v>
      </c>
      <c r="C162" s="871" t="s">
        <v>343</v>
      </c>
      <c r="D162" s="871" t="s">
        <v>148</v>
      </c>
      <c r="E162" s="871" t="s">
        <v>74</v>
      </c>
      <c r="F162" s="871" t="s">
        <v>344</v>
      </c>
      <c r="G162" s="871" t="s">
        <v>344</v>
      </c>
      <c r="H162" s="888" t="s">
        <v>91</v>
      </c>
    </row>
    <row r="163" spans="1:8" ht="14.4">
      <c r="A163" s="871">
        <v>129</v>
      </c>
      <c r="B163" s="871" t="s">
        <v>441</v>
      </c>
      <c r="C163" s="871" t="s">
        <v>343</v>
      </c>
      <c r="D163" s="871" t="s">
        <v>148</v>
      </c>
      <c r="E163" s="871" t="s">
        <v>74</v>
      </c>
      <c r="F163" s="871" t="s">
        <v>78</v>
      </c>
      <c r="G163" s="871" t="s">
        <v>344</v>
      </c>
      <c r="H163" s="888" t="s">
        <v>91</v>
      </c>
    </row>
    <row r="164" spans="1:8" ht="14.4">
      <c r="A164" s="871">
        <v>130</v>
      </c>
      <c r="B164" s="880" t="s">
        <v>123</v>
      </c>
      <c r="C164" s="880" t="s">
        <v>346</v>
      </c>
      <c r="D164" s="880" t="s">
        <v>36</v>
      </c>
      <c r="E164" s="880" t="s">
        <v>74</v>
      </c>
      <c r="F164" s="880" t="s">
        <v>344</v>
      </c>
      <c r="G164" s="880" t="s">
        <v>344</v>
      </c>
      <c r="H164" s="888" t="s">
        <v>91</v>
      </c>
    </row>
    <row r="165" spans="1:8" ht="14.4">
      <c r="A165" s="871">
        <v>131</v>
      </c>
      <c r="B165" s="871" t="s">
        <v>442</v>
      </c>
      <c r="C165" s="871" t="s">
        <v>346</v>
      </c>
      <c r="D165" s="871" t="s">
        <v>36</v>
      </c>
      <c r="E165" s="874" t="s">
        <v>74</v>
      </c>
      <c r="F165" s="871" t="s">
        <v>344</v>
      </c>
      <c r="G165" s="871" t="s">
        <v>344</v>
      </c>
      <c r="H165" s="888" t="s">
        <v>91</v>
      </c>
    </row>
    <row r="166" spans="1:8" ht="14.4">
      <c r="A166" s="871">
        <v>132</v>
      </c>
      <c r="B166" s="871" t="s">
        <v>443</v>
      </c>
      <c r="C166" s="871" t="s">
        <v>353</v>
      </c>
      <c r="D166" s="871" t="s">
        <v>148</v>
      </c>
      <c r="E166" s="871" t="s">
        <v>87</v>
      </c>
      <c r="F166" s="871" t="s">
        <v>78</v>
      </c>
      <c r="G166" s="871" t="s">
        <v>344</v>
      </c>
      <c r="H166" s="888" t="s">
        <v>91</v>
      </c>
    </row>
    <row r="167" spans="1:8" ht="14.4">
      <c r="A167" s="871">
        <v>133</v>
      </c>
      <c r="B167" s="871" t="s">
        <v>444</v>
      </c>
      <c r="C167" s="871" t="s">
        <v>343</v>
      </c>
      <c r="D167" s="871" t="s">
        <v>148</v>
      </c>
      <c r="E167" s="871" t="s">
        <v>87</v>
      </c>
      <c r="F167" s="871" t="s">
        <v>78</v>
      </c>
      <c r="G167" s="871" t="s">
        <v>344</v>
      </c>
      <c r="H167" s="888" t="s">
        <v>91</v>
      </c>
    </row>
    <row r="168" spans="1:8" ht="14.4">
      <c r="A168" s="871">
        <v>134</v>
      </c>
      <c r="B168" s="871" t="s">
        <v>120</v>
      </c>
      <c r="C168" s="871" t="s">
        <v>343</v>
      </c>
      <c r="D168" s="871" t="s">
        <v>148</v>
      </c>
      <c r="E168" s="871" t="s">
        <v>87</v>
      </c>
      <c r="F168" s="871" t="s">
        <v>78</v>
      </c>
      <c r="G168" s="871" t="s">
        <v>344</v>
      </c>
      <c r="H168" s="888" t="s">
        <v>91</v>
      </c>
    </row>
    <row r="169" spans="1:8" ht="14.4">
      <c r="A169" s="871">
        <v>135</v>
      </c>
      <c r="B169" s="871" t="s">
        <v>445</v>
      </c>
      <c r="C169" s="871" t="s">
        <v>353</v>
      </c>
      <c r="D169" s="871" t="s">
        <v>148</v>
      </c>
      <c r="E169" s="871" t="s">
        <v>74</v>
      </c>
      <c r="F169" s="871" t="s">
        <v>78</v>
      </c>
      <c r="G169" s="871" t="s">
        <v>344</v>
      </c>
      <c r="H169" s="888" t="s">
        <v>91</v>
      </c>
    </row>
    <row r="170" spans="1:8" ht="14.4">
      <c r="A170" s="871">
        <v>223</v>
      </c>
      <c r="B170" s="876" t="s">
        <v>446</v>
      </c>
      <c r="C170" s="876" t="s">
        <v>346</v>
      </c>
      <c r="D170" s="876" t="s">
        <v>36</v>
      </c>
      <c r="E170" s="876" t="s">
        <v>77</v>
      </c>
      <c r="F170" s="876" t="s">
        <v>344</v>
      </c>
      <c r="G170" s="876" t="s">
        <v>78</v>
      </c>
      <c r="H170" s="888" t="s">
        <v>91</v>
      </c>
    </row>
    <row r="171" spans="1:8" ht="14.4">
      <c r="A171" s="871">
        <v>224</v>
      </c>
      <c r="B171" s="883" t="s">
        <v>447</v>
      </c>
      <c r="C171" s="883" t="s">
        <v>346</v>
      </c>
      <c r="D171" s="883" t="s">
        <v>36</v>
      </c>
      <c r="E171" s="883" t="s">
        <v>77</v>
      </c>
      <c r="F171" s="883" t="s">
        <v>344</v>
      </c>
      <c r="G171" s="883" t="s">
        <v>344</v>
      </c>
      <c r="H171" s="888" t="s">
        <v>91</v>
      </c>
    </row>
    <row r="172" spans="1:8" ht="14.4">
      <c r="A172" s="871">
        <v>225</v>
      </c>
      <c r="B172" s="883" t="s">
        <v>448</v>
      </c>
      <c r="C172" s="883" t="s">
        <v>346</v>
      </c>
      <c r="D172" s="889" t="s">
        <v>36</v>
      </c>
      <c r="E172" s="883" t="s">
        <v>77</v>
      </c>
      <c r="F172" s="883" t="s">
        <v>344</v>
      </c>
      <c r="G172" s="883" t="s">
        <v>344</v>
      </c>
      <c r="H172" s="888" t="s">
        <v>91</v>
      </c>
    </row>
    <row r="173" spans="1:8" ht="14.4">
      <c r="A173" s="871">
        <v>226</v>
      </c>
      <c r="B173" s="876" t="s">
        <v>449</v>
      </c>
      <c r="C173" s="876" t="s">
        <v>346</v>
      </c>
      <c r="D173" s="876" t="s">
        <v>36</v>
      </c>
      <c r="E173" s="876" t="s">
        <v>77</v>
      </c>
      <c r="F173" s="876" t="s">
        <v>344</v>
      </c>
      <c r="G173" s="876" t="s">
        <v>344</v>
      </c>
      <c r="H173" s="888" t="s">
        <v>91</v>
      </c>
    </row>
    <row r="174" spans="1:8" ht="14.4">
      <c r="A174" s="871">
        <v>227</v>
      </c>
      <c r="B174" s="883" t="s">
        <v>450</v>
      </c>
      <c r="C174" s="883" t="s">
        <v>346</v>
      </c>
      <c r="D174" s="883" t="s">
        <v>36</v>
      </c>
      <c r="E174" s="883" t="s">
        <v>74</v>
      </c>
      <c r="F174" s="883" t="s">
        <v>344</v>
      </c>
      <c r="G174" s="883" t="s">
        <v>344</v>
      </c>
      <c r="H174" s="888" t="s">
        <v>91</v>
      </c>
    </row>
    <row r="175" spans="1:8" ht="14.4">
      <c r="A175" s="871">
        <v>228</v>
      </c>
      <c r="B175" s="876" t="s">
        <v>451</v>
      </c>
      <c r="C175" s="876" t="s">
        <v>346</v>
      </c>
      <c r="D175" s="876" t="s">
        <v>36</v>
      </c>
      <c r="E175" s="876" t="s">
        <v>74</v>
      </c>
      <c r="F175" s="876" t="s">
        <v>344</v>
      </c>
      <c r="G175" s="876" t="s">
        <v>344</v>
      </c>
      <c r="H175" s="888" t="s">
        <v>91</v>
      </c>
    </row>
    <row r="176" spans="1:8" ht="14.4">
      <c r="A176" s="871">
        <v>229</v>
      </c>
      <c r="B176" s="877" t="s">
        <v>452</v>
      </c>
      <c r="C176" s="876" t="s">
        <v>346</v>
      </c>
      <c r="D176" s="876" t="s">
        <v>36</v>
      </c>
      <c r="E176" s="876" t="s">
        <v>74</v>
      </c>
      <c r="F176" s="876" t="s">
        <v>344</v>
      </c>
      <c r="G176" s="876" t="s">
        <v>344</v>
      </c>
      <c r="H176" s="888" t="s">
        <v>91</v>
      </c>
    </row>
    <row r="177" spans="1:8" ht="13.2">
      <c r="A177" s="871">
        <v>156</v>
      </c>
      <c r="B177" s="871" t="s">
        <v>219</v>
      </c>
      <c r="C177" s="871" t="s">
        <v>343</v>
      </c>
      <c r="D177" s="871" t="s">
        <v>148</v>
      </c>
      <c r="E177" s="875" t="s">
        <v>339</v>
      </c>
      <c r="F177" s="871" t="s">
        <v>344</v>
      </c>
      <c r="G177" s="871" t="s">
        <v>344</v>
      </c>
      <c r="H177" s="890" t="s">
        <v>95</v>
      </c>
    </row>
    <row r="178" spans="1:8" ht="14.4">
      <c r="A178" s="871">
        <v>157</v>
      </c>
      <c r="B178" s="875" t="s">
        <v>119</v>
      </c>
      <c r="C178" s="871" t="s">
        <v>343</v>
      </c>
      <c r="D178" s="891" t="s">
        <v>148</v>
      </c>
      <c r="E178" s="871" t="s">
        <v>339</v>
      </c>
      <c r="F178" s="871" t="s">
        <v>78</v>
      </c>
      <c r="G178" s="871" t="s">
        <v>344</v>
      </c>
      <c r="H178" s="890" t="s">
        <v>95</v>
      </c>
    </row>
    <row r="179" spans="1:8" ht="13.2">
      <c r="A179" s="871">
        <v>158</v>
      </c>
      <c r="B179" s="871" t="s">
        <v>453</v>
      </c>
      <c r="C179" s="871" t="s">
        <v>347</v>
      </c>
      <c r="D179" s="871" t="s">
        <v>148</v>
      </c>
      <c r="E179" s="871" t="s">
        <v>339</v>
      </c>
      <c r="F179" s="871" t="s">
        <v>78</v>
      </c>
      <c r="G179" s="871" t="s">
        <v>344</v>
      </c>
      <c r="H179" s="890" t="s">
        <v>95</v>
      </c>
    </row>
    <row r="180" spans="1:8" ht="13.2">
      <c r="A180" s="871">
        <v>159</v>
      </c>
      <c r="B180" s="871" t="s">
        <v>137</v>
      </c>
      <c r="C180" s="871" t="s">
        <v>349</v>
      </c>
      <c r="D180" s="871" t="s">
        <v>148</v>
      </c>
      <c r="E180" s="871" t="s">
        <v>339</v>
      </c>
      <c r="F180" s="871" t="s">
        <v>78</v>
      </c>
      <c r="G180" s="871" t="s">
        <v>344</v>
      </c>
      <c r="H180" s="890" t="s">
        <v>95</v>
      </c>
    </row>
    <row r="181" spans="1:8" ht="13.2">
      <c r="A181" s="871">
        <v>160</v>
      </c>
      <c r="B181" s="875" t="s">
        <v>454</v>
      </c>
      <c r="C181" s="871" t="s">
        <v>346</v>
      </c>
      <c r="D181" s="871" t="s">
        <v>36</v>
      </c>
      <c r="E181" s="871" t="s">
        <v>339</v>
      </c>
      <c r="F181" s="871" t="s">
        <v>344</v>
      </c>
      <c r="G181" s="871" t="s">
        <v>344</v>
      </c>
      <c r="H181" s="890" t="s">
        <v>95</v>
      </c>
    </row>
    <row r="182" spans="1:8" ht="14.4">
      <c r="A182" s="871">
        <v>161</v>
      </c>
      <c r="B182" s="874" t="s">
        <v>196</v>
      </c>
      <c r="C182" s="871" t="s">
        <v>343</v>
      </c>
      <c r="D182" s="871" t="s">
        <v>148</v>
      </c>
      <c r="E182" s="871" t="s">
        <v>77</v>
      </c>
      <c r="F182" s="871" t="s">
        <v>78</v>
      </c>
      <c r="G182" s="871" t="s">
        <v>78</v>
      </c>
      <c r="H182" s="890" t="s">
        <v>95</v>
      </c>
    </row>
    <row r="183" spans="1:8" ht="14.4">
      <c r="A183" s="871">
        <v>162</v>
      </c>
      <c r="B183" s="875" t="s">
        <v>94</v>
      </c>
      <c r="C183" s="871" t="s">
        <v>353</v>
      </c>
      <c r="D183" s="871" t="s">
        <v>148</v>
      </c>
      <c r="E183" s="874" t="s">
        <v>77</v>
      </c>
      <c r="F183" s="871" t="s">
        <v>344</v>
      </c>
      <c r="G183" s="871" t="s">
        <v>78</v>
      </c>
      <c r="H183" s="890" t="s">
        <v>95</v>
      </c>
    </row>
    <row r="184" spans="1:8" ht="14.4">
      <c r="A184" s="871">
        <v>163</v>
      </c>
      <c r="B184" s="874" t="s">
        <v>164</v>
      </c>
      <c r="C184" s="871" t="s">
        <v>343</v>
      </c>
      <c r="D184" s="871" t="s">
        <v>148</v>
      </c>
      <c r="E184" s="871" t="s">
        <v>77</v>
      </c>
      <c r="F184" s="871" t="s">
        <v>344</v>
      </c>
      <c r="G184" s="871" t="s">
        <v>344</v>
      </c>
      <c r="H184" s="890" t="s">
        <v>95</v>
      </c>
    </row>
    <row r="185" spans="1:8" ht="13.2">
      <c r="A185" s="871">
        <v>164</v>
      </c>
      <c r="B185" s="871" t="s">
        <v>165</v>
      </c>
      <c r="C185" s="871" t="s">
        <v>343</v>
      </c>
      <c r="D185" s="871" t="s">
        <v>148</v>
      </c>
      <c r="E185" s="871" t="s">
        <v>77</v>
      </c>
      <c r="F185" s="871" t="s">
        <v>344</v>
      </c>
      <c r="G185" s="871" t="s">
        <v>344</v>
      </c>
      <c r="H185" s="890" t="s">
        <v>95</v>
      </c>
    </row>
    <row r="186" spans="1:8" ht="13.2">
      <c r="A186" s="871">
        <v>165</v>
      </c>
      <c r="B186" s="875" t="s">
        <v>220</v>
      </c>
      <c r="C186" s="871" t="s">
        <v>358</v>
      </c>
      <c r="D186" s="871" t="s">
        <v>148</v>
      </c>
      <c r="E186" s="871" t="s">
        <v>77</v>
      </c>
      <c r="F186" s="871" t="s">
        <v>344</v>
      </c>
      <c r="G186" s="871" t="s">
        <v>344</v>
      </c>
      <c r="H186" s="890" t="s">
        <v>95</v>
      </c>
    </row>
    <row r="187" spans="1:8" ht="14.4">
      <c r="A187" s="871">
        <v>166</v>
      </c>
      <c r="B187" s="874" t="s">
        <v>198</v>
      </c>
      <c r="C187" s="871" t="s">
        <v>343</v>
      </c>
      <c r="D187" s="871" t="s">
        <v>148</v>
      </c>
      <c r="E187" s="871" t="s">
        <v>74</v>
      </c>
      <c r="F187" s="871" t="s">
        <v>78</v>
      </c>
      <c r="G187" s="871" t="s">
        <v>344</v>
      </c>
      <c r="H187" s="890" t="s">
        <v>95</v>
      </c>
    </row>
    <row r="188" spans="1:8" ht="13.2">
      <c r="A188" s="871">
        <v>167</v>
      </c>
      <c r="B188" s="871" t="s">
        <v>197</v>
      </c>
      <c r="C188" s="871" t="s">
        <v>343</v>
      </c>
      <c r="D188" s="871" t="s">
        <v>148</v>
      </c>
      <c r="E188" s="871" t="s">
        <v>74</v>
      </c>
      <c r="F188" s="871" t="s">
        <v>344</v>
      </c>
      <c r="G188" s="871" t="s">
        <v>344</v>
      </c>
      <c r="H188" s="890" t="s">
        <v>95</v>
      </c>
    </row>
    <row r="189" spans="1:8" ht="14.4">
      <c r="A189" s="871">
        <v>168</v>
      </c>
      <c r="B189" s="874" t="s">
        <v>145</v>
      </c>
      <c r="C189" s="871" t="s">
        <v>346</v>
      </c>
      <c r="D189" s="871" t="s">
        <v>36</v>
      </c>
      <c r="E189" s="871" t="s">
        <v>74</v>
      </c>
      <c r="F189" s="871" t="s">
        <v>344</v>
      </c>
      <c r="G189" s="871" t="s">
        <v>344</v>
      </c>
      <c r="H189" s="890" t="s">
        <v>95</v>
      </c>
    </row>
    <row r="190" spans="1:8" ht="13.2">
      <c r="A190" s="871">
        <v>169</v>
      </c>
      <c r="B190" s="871" t="s">
        <v>124</v>
      </c>
      <c r="C190" s="871" t="s">
        <v>346</v>
      </c>
      <c r="D190" s="871" t="s">
        <v>36</v>
      </c>
      <c r="E190" s="871" t="s">
        <v>74</v>
      </c>
      <c r="F190" s="871" t="s">
        <v>344</v>
      </c>
      <c r="G190" s="871" t="s">
        <v>344</v>
      </c>
      <c r="H190" s="890" t="s">
        <v>95</v>
      </c>
    </row>
    <row r="191" spans="1:8" ht="13.2">
      <c r="A191" s="871">
        <v>170</v>
      </c>
      <c r="B191" s="871" t="s">
        <v>340</v>
      </c>
      <c r="C191" s="871" t="s">
        <v>352</v>
      </c>
      <c r="D191" s="871" t="s">
        <v>36</v>
      </c>
      <c r="E191" s="871" t="s">
        <v>74</v>
      </c>
      <c r="F191" s="871" t="s">
        <v>344</v>
      </c>
      <c r="G191" s="871" t="s">
        <v>344</v>
      </c>
      <c r="H191" s="890" t="s">
        <v>95</v>
      </c>
    </row>
    <row r="192" spans="1:8" ht="14.4">
      <c r="A192" s="871">
        <v>171</v>
      </c>
      <c r="B192" s="874" t="s">
        <v>174</v>
      </c>
      <c r="C192" s="871" t="s">
        <v>343</v>
      </c>
      <c r="D192" s="871" t="s">
        <v>148</v>
      </c>
      <c r="E192" s="871" t="s">
        <v>339</v>
      </c>
      <c r="F192" s="871" t="s">
        <v>344</v>
      </c>
      <c r="G192" s="871" t="s">
        <v>344</v>
      </c>
      <c r="H192" s="890" t="s">
        <v>95</v>
      </c>
    </row>
    <row r="193" spans="1:8" ht="13.2">
      <c r="A193" s="871">
        <v>172</v>
      </c>
      <c r="B193" s="880" t="s">
        <v>455</v>
      </c>
      <c r="C193" s="880" t="s">
        <v>346</v>
      </c>
      <c r="D193" s="880" t="s">
        <v>36</v>
      </c>
      <c r="E193" s="880" t="s">
        <v>339</v>
      </c>
      <c r="F193" s="880" t="s">
        <v>344</v>
      </c>
      <c r="G193" s="880" t="s">
        <v>344</v>
      </c>
      <c r="H193" s="890" t="s">
        <v>95</v>
      </c>
    </row>
    <row r="194" spans="1:8" ht="13.2">
      <c r="A194" s="871">
        <v>173</v>
      </c>
      <c r="B194" s="871" t="s">
        <v>456</v>
      </c>
      <c r="C194" s="871" t="s">
        <v>457</v>
      </c>
      <c r="D194" s="871" t="s">
        <v>36</v>
      </c>
      <c r="E194" s="871" t="s">
        <v>339</v>
      </c>
      <c r="F194" s="871" t="s">
        <v>344</v>
      </c>
      <c r="G194" s="871" t="s">
        <v>344</v>
      </c>
      <c r="H194" s="890" t="s">
        <v>95</v>
      </c>
    </row>
    <row r="195" spans="1:8" ht="13.2">
      <c r="A195" s="871">
        <v>174</v>
      </c>
      <c r="B195" s="871" t="s">
        <v>458</v>
      </c>
      <c r="C195" s="871" t="s">
        <v>343</v>
      </c>
      <c r="D195" s="871" t="s">
        <v>148</v>
      </c>
      <c r="E195" s="871" t="s">
        <v>77</v>
      </c>
      <c r="F195" s="871" t="s">
        <v>78</v>
      </c>
      <c r="G195" s="871" t="s">
        <v>78</v>
      </c>
      <c r="H195" s="890" t="s">
        <v>95</v>
      </c>
    </row>
    <row r="196" spans="1:8" ht="13.2">
      <c r="A196" s="871">
        <v>175</v>
      </c>
      <c r="B196" s="871" t="s">
        <v>459</v>
      </c>
      <c r="C196" s="871" t="s">
        <v>358</v>
      </c>
      <c r="D196" s="871" t="s">
        <v>148</v>
      </c>
      <c r="E196" s="871" t="s">
        <v>74</v>
      </c>
      <c r="F196" s="871" t="s">
        <v>78</v>
      </c>
      <c r="G196" s="871" t="s">
        <v>344</v>
      </c>
      <c r="H196" s="890" t="s">
        <v>95</v>
      </c>
    </row>
    <row r="197" spans="1:8" ht="13.2">
      <c r="A197" s="871">
        <v>235</v>
      </c>
      <c r="B197" s="876" t="s">
        <v>460</v>
      </c>
      <c r="C197" s="876" t="s">
        <v>358</v>
      </c>
      <c r="D197" s="876" t="s">
        <v>148</v>
      </c>
      <c r="E197" s="876" t="s">
        <v>74</v>
      </c>
      <c r="F197" s="876" t="s">
        <v>78</v>
      </c>
      <c r="G197" s="876" t="s">
        <v>344</v>
      </c>
      <c r="H197" s="890" t="s">
        <v>95</v>
      </c>
    </row>
    <row r="198" spans="1:8" ht="13.2">
      <c r="A198" s="871">
        <v>236</v>
      </c>
      <c r="B198" s="876" t="s">
        <v>461</v>
      </c>
      <c r="C198" s="876" t="s">
        <v>346</v>
      </c>
      <c r="D198" s="876" t="s">
        <v>36</v>
      </c>
      <c r="E198" s="876" t="s">
        <v>74</v>
      </c>
      <c r="F198" s="876" t="s">
        <v>344</v>
      </c>
      <c r="G198" s="876" t="s">
        <v>344</v>
      </c>
      <c r="H198" s="890" t="s">
        <v>95</v>
      </c>
    </row>
    <row r="199" spans="1:8" ht="13.2">
      <c r="A199" s="871">
        <v>237</v>
      </c>
      <c r="B199" s="883" t="s">
        <v>462</v>
      </c>
      <c r="C199" s="883" t="s">
        <v>463</v>
      </c>
      <c r="D199" s="883" t="s">
        <v>36</v>
      </c>
      <c r="E199" s="883" t="s">
        <v>339</v>
      </c>
      <c r="F199" s="883" t="s">
        <v>344</v>
      </c>
      <c r="G199" s="883" t="s">
        <v>344</v>
      </c>
      <c r="H199" s="890" t="s">
        <v>95</v>
      </c>
    </row>
    <row r="200" spans="1:8" ht="13.2">
      <c r="A200" s="871">
        <v>238</v>
      </c>
      <c r="B200" s="877" t="s">
        <v>464</v>
      </c>
      <c r="C200" s="876" t="s">
        <v>465</v>
      </c>
      <c r="D200" s="876" t="s">
        <v>36</v>
      </c>
      <c r="E200" s="876" t="s">
        <v>339</v>
      </c>
      <c r="F200" s="876" t="s">
        <v>344</v>
      </c>
      <c r="G200" s="876" t="s">
        <v>344</v>
      </c>
      <c r="H200" s="890" t="s">
        <v>95</v>
      </c>
    </row>
    <row r="201" spans="1:8" ht="13.2">
      <c r="A201" s="871">
        <v>239</v>
      </c>
      <c r="B201" s="876" t="s">
        <v>466</v>
      </c>
      <c r="C201" s="876" t="s">
        <v>467</v>
      </c>
      <c r="D201" s="877" t="s">
        <v>36</v>
      </c>
      <c r="E201" s="876" t="s">
        <v>339</v>
      </c>
      <c r="F201" s="876" t="s">
        <v>344</v>
      </c>
      <c r="G201" s="876" t="s">
        <v>344</v>
      </c>
      <c r="H201" s="890" t="s">
        <v>95</v>
      </c>
    </row>
    <row r="202" spans="1:8" ht="14.4">
      <c r="A202" s="871">
        <v>136</v>
      </c>
      <c r="B202" s="871" t="s">
        <v>138</v>
      </c>
      <c r="C202" s="871" t="s">
        <v>346</v>
      </c>
      <c r="D202" s="871" t="s">
        <v>36</v>
      </c>
      <c r="E202" s="874" t="s">
        <v>339</v>
      </c>
      <c r="F202" s="871" t="s">
        <v>344</v>
      </c>
      <c r="G202" s="871" t="s">
        <v>344</v>
      </c>
      <c r="H202" s="892" t="s">
        <v>97</v>
      </c>
    </row>
    <row r="203" spans="1:8" ht="13.2">
      <c r="A203" s="871">
        <v>137</v>
      </c>
      <c r="B203" s="871" t="s">
        <v>468</v>
      </c>
      <c r="C203" s="871" t="s">
        <v>346</v>
      </c>
      <c r="D203" s="871" t="s">
        <v>36</v>
      </c>
      <c r="E203" s="871" t="s">
        <v>339</v>
      </c>
      <c r="F203" s="871" t="s">
        <v>344</v>
      </c>
      <c r="G203" s="871" t="s">
        <v>344</v>
      </c>
      <c r="H203" s="892" t="s">
        <v>97</v>
      </c>
    </row>
    <row r="204" spans="1:8" ht="14.4">
      <c r="A204" s="871">
        <v>138</v>
      </c>
      <c r="B204" s="874" t="s">
        <v>166</v>
      </c>
      <c r="C204" s="871" t="s">
        <v>358</v>
      </c>
      <c r="D204" s="871" t="s">
        <v>148</v>
      </c>
      <c r="E204" s="871" t="s">
        <v>339</v>
      </c>
      <c r="F204" s="891" t="s">
        <v>344</v>
      </c>
      <c r="G204" s="871" t="s">
        <v>344</v>
      </c>
      <c r="H204" s="892" t="s">
        <v>97</v>
      </c>
    </row>
    <row r="205" spans="1:8" ht="13.2">
      <c r="A205" s="871">
        <v>139</v>
      </c>
      <c r="B205" s="871" t="s">
        <v>469</v>
      </c>
      <c r="C205" s="871" t="s">
        <v>349</v>
      </c>
      <c r="D205" s="871" t="s">
        <v>148</v>
      </c>
      <c r="E205" s="871" t="s">
        <v>339</v>
      </c>
      <c r="F205" s="871" t="s">
        <v>344</v>
      </c>
      <c r="G205" s="871" t="s">
        <v>78</v>
      </c>
      <c r="H205" s="892" t="s">
        <v>97</v>
      </c>
    </row>
    <row r="206" spans="1:8" ht="13.2">
      <c r="A206" s="871">
        <v>140</v>
      </c>
      <c r="B206" s="871" t="s">
        <v>221</v>
      </c>
      <c r="C206" s="871" t="s">
        <v>349</v>
      </c>
      <c r="D206" s="871" t="s">
        <v>148</v>
      </c>
      <c r="E206" s="871" t="s">
        <v>77</v>
      </c>
      <c r="F206" s="871" t="s">
        <v>344</v>
      </c>
      <c r="G206" s="871" t="s">
        <v>344</v>
      </c>
      <c r="H206" s="892" t="s">
        <v>97</v>
      </c>
    </row>
    <row r="207" spans="1:8" ht="13.2">
      <c r="A207" s="871">
        <v>141</v>
      </c>
      <c r="B207" s="871" t="s">
        <v>199</v>
      </c>
      <c r="C207" s="871" t="s">
        <v>358</v>
      </c>
      <c r="D207" s="871" t="s">
        <v>148</v>
      </c>
      <c r="E207" s="871" t="s">
        <v>77</v>
      </c>
      <c r="F207" s="871" t="s">
        <v>78</v>
      </c>
      <c r="G207" s="871" t="s">
        <v>344</v>
      </c>
      <c r="H207" s="892" t="s">
        <v>97</v>
      </c>
    </row>
    <row r="208" spans="1:8" ht="14.4">
      <c r="A208" s="871">
        <v>142</v>
      </c>
      <c r="B208" s="871" t="s">
        <v>96</v>
      </c>
      <c r="C208" s="871" t="s">
        <v>343</v>
      </c>
      <c r="D208" s="871" t="s">
        <v>148</v>
      </c>
      <c r="E208" s="871" t="s">
        <v>74</v>
      </c>
      <c r="F208" s="891" t="s">
        <v>78</v>
      </c>
      <c r="G208" s="871" t="s">
        <v>344</v>
      </c>
      <c r="H208" s="892" t="s">
        <v>97</v>
      </c>
    </row>
    <row r="209" spans="1:8" ht="13.2">
      <c r="A209" s="871">
        <v>143</v>
      </c>
      <c r="B209" s="871" t="s">
        <v>470</v>
      </c>
      <c r="C209" s="871" t="s">
        <v>353</v>
      </c>
      <c r="D209" s="871" t="s">
        <v>148</v>
      </c>
      <c r="E209" s="871" t="s">
        <v>74</v>
      </c>
      <c r="F209" s="871" t="s">
        <v>344</v>
      </c>
      <c r="G209" s="871" t="s">
        <v>344</v>
      </c>
      <c r="H209" s="892" t="s">
        <v>97</v>
      </c>
    </row>
    <row r="210" spans="1:8" ht="14.4">
      <c r="A210" s="871">
        <v>144</v>
      </c>
      <c r="B210" s="874" t="s">
        <v>203</v>
      </c>
      <c r="C210" s="871" t="s">
        <v>358</v>
      </c>
      <c r="D210" s="871" t="s">
        <v>148</v>
      </c>
      <c r="E210" s="871" t="s">
        <v>74</v>
      </c>
      <c r="F210" s="871" t="s">
        <v>344</v>
      </c>
      <c r="G210" s="871" t="s">
        <v>344</v>
      </c>
      <c r="H210" s="892" t="s">
        <v>97</v>
      </c>
    </row>
    <row r="211" spans="1:8" ht="13.2">
      <c r="A211" s="871">
        <v>145</v>
      </c>
      <c r="B211" s="871" t="s">
        <v>98</v>
      </c>
      <c r="C211" s="871" t="s">
        <v>343</v>
      </c>
      <c r="D211" s="871" t="s">
        <v>148</v>
      </c>
      <c r="E211" s="871" t="s">
        <v>339</v>
      </c>
      <c r="F211" s="871" t="s">
        <v>344</v>
      </c>
      <c r="G211" s="871" t="s">
        <v>344</v>
      </c>
      <c r="H211" s="892" t="s">
        <v>97</v>
      </c>
    </row>
    <row r="212" spans="1:8" ht="13.2">
      <c r="A212" s="871">
        <v>146</v>
      </c>
      <c r="B212" s="871" t="s">
        <v>471</v>
      </c>
      <c r="C212" s="871" t="s">
        <v>353</v>
      </c>
      <c r="D212" s="871" t="s">
        <v>148</v>
      </c>
      <c r="E212" s="871" t="s">
        <v>339</v>
      </c>
      <c r="F212" s="871" t="s">
        <v>78</v>
      </c>
      <c r="G212" s="871" t="s">
        <v>344</v>
      </c>
      <c r="H212" s="892" t="s">
        <v>97</v>
      </c>
    </row>
    <row r="213" spans="1:8" ht="13.2">
      <c r="A213" s="871">
        <v>147</v>
      </c>
      <c r="B213" s="871" t="s">
        <v>153</v>
      </c>
      <c r="C213" s="871" t="s">
        <v>346</v>
      </c>
      <c r="D213" s="871" t="s">
        <v>36</v>
      </c>
      <c r="E213" s="871" t="s">
        <v>339</v>
      </c>
      <c r="F213" s="871" t="s">
        <v>344</v>
      </c>
      <c r="G213" s="871" t="s">
        <v>344</v>
      </c>
      <c r="H213" s="892" t="s">
        <v>97</v>
      </c>
    </row>
    <row r="214" spans="1:8" ht="13.2">
      <c r="A214" s="871">
        <v>148</v>
      </c>
      <c r="B214" s="871" t="s">
        <v>472</v>
      </c>
      <c r="C214" s="871" t="s">
        <v>353</v>
      </c>
      <c r="D214" s="871" t="s">
        <v>148</v>
      </c>
      <c r="E214" s="871" t="s">
        <v>77</v>
      </c>
      <c r="F214" s="871" t="s">
        <v>78</v>
      </c>
      <c r="G214" s="871" t="s">
        <v>78</v>
      </c>
      <c r="H214" s="892" t="s">
        <v>97</v>
      </c>
    </row>
    <row r="215" spans="1:8" ht="13.2">
      <c r="A215" s="871">
        <v>149</v>
      </c>
      <c r="B215" s="871" t="s">
        <v>473</v>
      </c>
      <c r="C215" s="871" t="s">
        <v>353</v>
      </c>
      <c r="D215" s="871" t="s">
        <v>148</v>
      </c>
      <c r="E215" s="871" t="s">
        <v>77</v>
      </c>
      <c r="F215" s="871" t="s">
        <v>78</v>
      </c>
      <c r="G215" s="871" t="s">
        <v>344</v>
      </c>
      <c r="H215" s="892" t="s">
        <v>97</v>
      </c>
    </row>
    <row r="216" spans="1:8" ht="13.2">
      <c r="A216" s="871">
        <v>150</v>
      </c>
      <c r="B216" s="871" t="s">
        <v>139</v>
      </c>
      <c r="C216" s="871" t="s">
        <v>343</v>
      </c>
      <c r="D216" s="871" t="s">
        <v>148</v>
      </c>
      <c r="E216" s="871" t="s">
        <v>74</v>
      </c>
      <c r="F216" s="871" t="s">
        <v>344</v>
      </c>
      <c r="G216" s="871" t="s">
        <v>344</v>
      </c>
      <c r="H216" s="892" t="s">
        <v>97</v>
      </c>
    </row>
    <row r="217" spans="1:8" ht="13.2">
      <c r="A217" s="871">
        <v>151</v>
      </c>
      <c r="B217" s="871" t="s">
        <v>474</v>
      </c>
      <c r="C217" s="871" t="s">
        <v>349</v>
      </c>
      <c r="D217" s="871" t="s">
        <v>148</v>
      </c>
      <c r="E217" s="871" t="s">
        <v>74</v>
      </c>
      <c r="F217" s="871" t="s">
        <v>78</v>
      </c>
      <c r="G217" s="871" t="s">
        <v>344</v>
      </c>
      <c r="H217" s="892" t="s">
        <v>97</v>
      </c>
    </row>
    <row r="218" spans="1:8" ht="13.2">
      <c r="A218" s="871">
        <v>152</v>
      </c>
      <c r="B218" s="871" t="s">
        <v>475</v>
      </c>
      <c r="C218" s="871" t="s">
        <v>343</v>
      </c>
      <c r="D218" s="871" t="s">
        <v>148</v>
      </c>
      <c r="E218" s="871" t="s">
        <v>74</v>
      </c>
      <c r="F218" s="871" t="s">
        <v>78</v>
      </c>
      <c r="G218" s="871" t="s">
        <v>344</v>
      </c>
      <c r="H218" s="892" t="s">
        <v>97</v>
      </c>
    </row>
    <row r="219" spans="1:8" ht="13.2">
      <c r="A219" s="871">
        <v>153</v>
      </c>
      <c r="B219" s="871" t="s">
        <v>476</v>
      </c>
      <c r="C219" s="871" t="s">
        <v>353</v>
      </c>
      <c r="D219" s="871" t="s">
        <v>148</v>
      </c>
      <c r="E219" s="871" t="s">
        <v>74</v>
      </c>
      <c r="F219" s="871" t="s">
        <v>78</v>
      </c>
      <c r="G219" s="871" t="s">
        <v>344</v>
      </c>
      <c r="H219" s="892" t="s">
        <v>97</v>
      </c>
    </row>
    <row r="220" spans="1:8" ht="13.2">
      <c r="A220" s="871">
        <v>154</v>
      </c>
      <c r="B220" s="871" t="s">
        <v>477</v>
      </c>
      <c r="C220" s="871" t="s">
        <v>358</v>
      </c>
      <c r="D220" s="871" t="s">
        <v>148</v>
      </c>
      <c r="E220" s="871" t="s">
        <v>74</v>
      </c>
      <c r="F220" s="871" t="s">
        <v>344</v>
      </c>
      <c r="G220" s="871" t="s">
        <v>344</v>
      </c>
      <c r="H220" s="892" t="s">
        <v>97</v>
      </c>
    </row>
    <row r="221" spans="1:8" ht="13.2">
      <c r="A221" s="871">
        <v>155</v>
      </c>
      <c r="B221" s="871" t="s">
        <v>478</v>
      </c>
      <c r="C221" s="871" t="s">
        <v>346</v>
      </c>
      <c r="D221" s="871" t="s">
        <v>36</v>
      </c>
      <c r="E221" s="871" t="s">
        <v>74</v>
      </c>
      <c r="F221" s="871" t="s">
        <v>344</v>
      </c>
      <c r="G221" s="871" t="s">
        <v>344</v>
      </c>
      <c r="H221" s="892" t="s">
        <v>97</v>
      </c>
    </row>
    <row r="222" spans="1:8" ht="13.2">
      <c r="A222" s="871">
        <v>230</v>
      </c>
      <c r="B222" s="883" t="s">
        <v>479</v>
      </c>
      <c r="C222" s="883" t="s">
        <v>346</v>
      </c>
      <c r="D222" s="883" t="s">
        <v>36</v>
      </c>
      <c r="E222" s="883" t="s">
        <v>77</v>
      </c>
      <c r="F222" s="883" t="s">
        <v>344</v>
      </c>
      <c r="G222" s="883" t="s">
        <v>78</v>
      </c>
      <c r="H222" s="892" t="s">
        <v>97</v>
      </c>
    </row>
    <row r="223" spans="1:8" ht="13.2">
      <c r="A223" s="871">
        <v>231</v>
      </c>
      <c r="B223" s="876" t="s">
        <v>480</v>
      </c>
      <c r="C223" s="876" t="s">
        <v>346</v>
      </c>
      <c r="D223" s="876" t="s">
        <v>36</v>
      </c>
      <c r="E223" s="876" t="s">
        <v>77</v>
      </c>
      <c r="F223" s="876" t="s">
        <v>344</v>
      </c>
      <c r="G223" s="876" t="s">
        <v>344</v>
      </c>
      <c r="H223" s="892" t="s">
        <v>97</v>
      </c>
    </row>
    <row r="224" spans="1:8" ht="13.2">
      <c r="A224" s="871">
        <v>232</v>
      </c>
      <c r="B224" s="876" t="s">
        <v>481</v>
      </c>
      <c r="C224" s="876" t="s">
        <v>346</v>
      </c>
      <c r="D224" s="876" t="s">
        <v>36</v>
      </c>
      <c r="E224" s="876" t="s">
        <v>74</v>
      </c>
      <c r="F224" s="876" t="s">
        <v>344</v>
      </c>
      <c r="G224" s="876" t="s">
        <v>344</v>
      </c>
      <c r="H224" s="892" t="s">
        <v>97</v>
      </c>
    </row>
    <row r="225" spans="1:8" ht="13.2">
      <c r="A225" s="871">
        <v>233</v>
      </c>
      <c r="B225" s="876" t="s">
        <v>482</v>
      </c>
      <c r="C225" s="876" t="s">
        <v>346</v>
      </c>
      <c r="D225" s="876" t="s">
        <v>36</v>
      </c>
      <c r="E225" s="876" t="s">
        <v>74</v>
      </c>
      <c r="F225" s="876" t="s">
        <v>344</v>
      </c>
      <c r="G225" s="876" t="s">
        <v>344</v>
      </c>
      <c r="H225" s="892" t="s">
        <v>97</v>
      </c>
    </row>
    <row r="226" spans="1:8" ht="13.2">
      <c r="A226" s="871">
        <v>234</v>
      </c>
      <c r="B226" s="876" t="s">
        <v>483</v>
      </c>
      <c r="C226" s="876" t="s">
        <v>346</v>
      </c>
      <c r="D226" s="876" t="s">
        <v>36</v>
      </c>
      <c r="E226" s="876" t="s">
        <v>74</v>
      </c>
      <c r="F226" s="876" t="s">
        <v>344</v>
      </c>
      <c r="G226" s="876" t="s">
        <v>344</v>
      </c>
      <c r="H226" s="892" t="s">
        <v>97</v>
      </c>
    </row>
    <row r="227" spans="1:8" ht="14.4">
      <c r="A227" s="871">
        <v>176</v>
      </c>
      <c r="B227" s="871" t="s">
        <v>167</v>
      </c>
      <c r="C227" s="871" t="s">
        <v>343</v>
      </c>
      <c r="D227" s="871" t="s">
        <v>148</v>
      </c>
      <c r="E227" s="871" t="s">
        <v>339</v>
      </c>
      <c r="F227" s="871" t="s">
        <v>344</v>
      </c>
      <c r="G227" s="871" t="s">
        <v>344</v>
      </c>
      <c r="H227" s="893" t="s">
        <v>122</v>
      </c>
    </row>
    <row r="228" spans="1:8" ht="14.4">
      <c r="A228" s="871">
        <v>177</v>
      </c>
      <c r="B228" s="871" t="s">
        <v>484</v>
      </c>
      <c r="C228" s="871" t="s">
        <v>358</v>
      </c>
      <c r="D228" s="871" t="s">
        <v>148</v>
      </c>
      <c r="E228" s="871" t="s">
        <v>339</v>
      </c>
      <c r="F228" s="871" t="s">
        <v>78</v>
      </c>
      <c r="G228" s="871" t="s">
        <v>344</v>
      </c>
      <c r="H228" s="893" t="s">
        <v>122</v>
      </c>
    </row>
    <row r="229" spans="1:8" ht="14.4">
      <c r="A229" s="871">
        <v>178</v>
      </c>
      <c r="B229" s="871" t="s">
        <v>485</v>
      </c>
      <c r="C229" s="871" t="s">
        <v>346</v>
      </c>
      <c r="D229" s="871" t="s">
        <v>36</v>
      </c>
      <c r="E229" s="871" t="s">
        <v>339</v>
      </c>
      <c r="F229" s="871" t="s">
        <v>344</v>
      </c>
      <c r="G229" s="871" t="s">
        <v>344</v>
      </c>
      <c r="H229" s="893" t="s">
        <v>122</v>
      </c>
    </row>
    <row r="230" spans="1:8" ht="14.4">
      <c r="A230" s="871">
        <v>179</v>
      </c>
      <c r="B230" s="871" t="s">
        <v>142</v>
      </c>
      <c r="C230" s="871" t="s">
        <v>343</v>
      </c>
      <c r="D230" s="871" t="s">
        <v>148</v>
      </c>
      <c r="E230" s="871" t="s">
        <v>339</v>
      </c>
      <c r="F230" s="871" t="s">
        <v>78</v>
      </c>
      <c r="G230" s="871" t="s">
        <v>344</v>
      </c>
      <c r="H230" s="893" t="s">
        <v>122</v>
      </c>
    </row>
    <row r="231" spans="1:8" ht="14.4">
      <c r="A231" s="871">
        <v>180</v>
      </c>
      <c r="B231" s="871" t="s">
        <v>140</v>
      </c>
      <c r="C231" s="871" t="s">
        <v>353</v>
      </c>
      <c r="D231" s="871" t="s">
        <v>148</v>
      </c>
      <c r="E231" s="871" t="s">
        <v>339</v>
      </c>
      <c r="F231" s="871" t="s">
        <v>344</v>
      </c>
      <c r="G231" s="871" t="s">
        <v>344</v>
      </c>
      <c r="H231" s="893" t="s">
        <v>122</v>
      </c>
    </row>
    <row r="232" spans="1:8" ht="14.4">
      <c r="A232" s="871">
        <v>181</v>
      </c>
      <c r="B232" s="871" t="s">
        <v>141</v>
      </c>
      <c r="C232" s="871" t="s">
        <v>343</v>
      </c>
      <c r="D232" s="871" t="s">
        <v>148</v>
      </c>
      <c r="E232" s="871" t="s">
        <v>77</v>
      </c>
      <c r="F232" s="871" t="s">
        <v>344</v>
      </c>
      <c r="G232" s="871" t="s">
        <v>78</v>
      </c>
      <c r="H232" s="893" t="s">
        <v>122</v>
      </c>
    </row>
    <row r="233" spans="1:8" ht="14.4">
      <c r="A233" s="871">
        <v>182</v>
      </c>
      <c r="B233" s="871" t="s">
        <v>225</v>
      </c>
      <c r="C233" s="871" t="s">
        <v>358</v>
      </c>
      <c r="D233" s="871" t="s">
        <v>148</v>
      </c>
      <c r="E233" s="871" t="s">
        <v>77</v>
      </c>
      <c r="F233" s="871" t="s">
        <v>344</v>
      </c>
      <c r="G233" s="871" t="s">
        <v>344</v>
      </c>
      <c r="H233" s="893" t="s">
        <v>122</v>
      </c>
    </row>
    <row r="234" spans="1:8" ht="14.4">
      <c r="A234" s="871">
        <v>183</v>
      </c>
      <c r="B234" s="871" t="s">
        <v>168</v>
      </c>
      <c r="C234" s="871" t="s">
        <v>343</v>
      </c>
      <c r="D234" s="871" t="s">
        <v>148</v>
      </c>
      <c r="E234" s="871" t="s">
        <v>77</v>
      </c>
      <c r="F234" s="871" t="s">
        <v>78</v>
      </c>
      <c r="G234" s="871" t="s">
        <v>78</v>
      </c>
      <c r="H234" s="893" t="s">
        <v>122</v>
      </c>
    </row>
    <row r="235" spans="1:8" ht="14.4">
      <c r="A235" s="871">
        <v>184</v>
      </c>
      <c r="B235" s="871" t="s">
        <v>222</v>
      </c>
      <c r="C235" s="871" t="s">
        <v>349</v>
      </c>
      <c r="D235" s="871" t="s">
        <v>148</v>
      </c>
      <c r="E235" s="871" t="s">
        <v>77</v>
      </c>
      <c r="F235" s="871" t="s">
        <v>78</v>
      </c>
      <c r="G235" s="871" t="s">
        <v>344</v>
      </c>
      <c r="H235" s="893" t="s">
        <v>122</v>
      </c>
    </row>
    <row r="236" spans="1:8" ht="14.4">
      <c r="A236" s="871">
        <v>185</v>
      </c>
      <c r="B236" s="871" t="s">
        <v>486</v>
      </c>
      <c r="C236" s="871" t="s">
        <v>353</v>
      </c>
      <c r="D236" s="871" t="s">
        <v>148</v>
      </c>
      <c r="E236" s="871" t="s">
        <v>74</v>
      </c>
      <c r="F236" s="871" t="s">
        <v>344</v>
      </c>
      <c r="G236" s="871" t="s">
        <v>344</v>
      </c>
      <c r="H236" s="893" t="s">
        <v>122</v>
      </c>
    </row>
    <row r="237" spans="1:8" ht="14.4">
      <c r="A237" s="871">
        <v>186</v>
      </c>
      <c r="B237" s="880" t="s">
        <v>487</v>
      </c>
      <c r="C237" s="880" t="s">
        <v>346</v>
      </c>
      <c r="D237" s="880" t="s">
        <v>36</v>
      </c>
      <c r="E237" s="880" t="s">
        <v>74</v>
      </c>
      <c r="F237" s="880" t="s">
        <v>344</v>
      </c>
      <c r="G237" s="880" t="s">
        <v>344</v>
      </c>
      <c r="H237" s="893" t="s">
        <v>122</v>
      </c>
    </row>
    <row r="238" spans="1:8" ht="14.4">
      <c r="A238" s="871">
        <v>187</v>
      </c>
      <c r="B238" s="871" t="s">
        <v>121</v>
      </c>
      <c r="C238" s="871" t="s">
        <v>343</v>
      </c>
      <c r="D238" s="871" t="s">
        <v>148</v>
      </c>
      <c r="E238" s="871" t="s">
        <v>339</v>
      </c>
      <c r="F238" s="871" t="s">
        <v>78</v>
      </c>
      <c r="G238" s="871" t="s">
        <v>344</v>
      </c>
      <c r="H238" s="893" t="s">
        <v>122</v>
      </c>
    </row>
    <row r="239" spans="1:8" ht="14.4">
      <c r="A239" s="871">
        <v>188</v>
      </c>
      <c r="B239" s="871" t="s">
        <v>488</v>
      </c>
      <c r="C239" s="871" t="s">
        <v>346</v>
      </c>
      <c r="D239" s="891" t="s">
        <v>36</v>
      </c>
      <c r="E239" s="871" t="s">
        <v>339</v>
      </c>
      <c r="F239" s="871" t="s">
        <v>344</v>
      </c>
      <c r="G239" s="871" t="s">
        <v>344</v>
      </c>
      <c r="H239" s="893" t="s">
        <v>122</v>
      </c>
    </row>
    <row r="240" spans="1:8" ht="14.4">
      <c r="A240" s="871">
        <v>189</v>
      </c>
      <c r="B240" s="871" t="s">
        <v>489</v>
      </c>
      <c r="C240" s="871" t="s">
        <v>346</v>
      </c>
      <c r="D240" s="871" t="s">
        <v>36</v>
      </c>
      <c r="E240" s="871" t="s">
        <v>77</v>
      </c>
      <c r="F240" s="871" t="s">
        <v>344</v>
      </c>
      <c r="G240" s="871" t="s">
        <v>78</v>
      </c>
      <c r="H240" s="893" t="s">
        <v>122</v>
      </c>
    </row>
    <row r="241" spans="1:8" ht="14.4">
      <c r="A241" s="871">
        <v>190</v>
      </c>
      <c r="B241" s="871" t="s">
        <v>490</v>
      </c>
      <c r="C241" s="871" t="s">
        <v>346</v>
      </c>
      <c r="D241" s="871" t="s">
        <v>36</v>
      </c>
      <c r="E241" s="871" t="s">
        <v>74</v>
      </c>
      <c r="F241" s="871" t="s">
        <v>78</v>
      </c>
      <c r="G241" s="871" t="s">
        <v>344</v>
      </c>
      <c r="H241" s="893" t="s">
        <v>122</v>
      </c>
    </row>
    <row r="242" spans="1:8" ht="14.4">
      <c r="A242" s="871">
        <v>191</v>
      </c>
      <c r="B242" s="871" t="s">
        <v>491</v>
      </c>
      <c r="C242" s="871" t="s">
        <v>358</v>
      </c>
      <c r="D242" s="871" t="s">
        <v>148</v>
      </c>
      <c r="E242" s="871" t="s">
        <v>74</v>
      </c>
      <c r="F242" s="871" t="s">
        <v>344</v>
      </c>
      <c r="G242" s="871" t="s">
        <v>344</v>
      </c>
      <c r="H242" s="893" t="s">
        <v>122</v>
      </c>
    </row>
    <row r="243" spans="1:8" ht="14.4">
      <c r="A243" s="871">
        <v>240</v>
      </c>
      <c r="B243" s="876" t="s">
        <v>492</v>
      </c>
      <c r="C243" s="876" t="s">
        <v>352</v>
      </c>
      <c r="D243" s="876" t="s">
        <v>36</v>
      </c>
      <c r="E243" s="876" t="s">
        <v>339</v>
      </c>
      <c r="F243" s="876" t="s">
        <v>78</v>
      </c>
      <c r="G243" s="876" t="s">
        <v>344</v>
      </c>
      <c r="H243" s="893" t="s">
        <v>122</v>
      </c>
    </row>
    <row r="244" spans="1:8" ht="14.4">
      <c r="A244" s="871">
        <v>241</v>
      </c>
      <c r="B244" s="876" t="s">
        <v>493</v>
      </c>
      <c r="C244" s="876" t="s">
        <v>353</v>
      </c>
      <c r="D244" s="876" t="s">
        <v>148</v>
      </c>
      <c r="E244" s="876" t="s">
        <v>339</v>
      </c>
      <c r="F244" s="876" t="s">
        <v>78</v>
      </c>
      <c r="G244" s="876" t="s">
        <v>344</v>
      </c>
      <c r="H244" s="893" t="s">
        <v>122</v>
      </c>
    </row>
    <row r="245" spans="1:8" ht="14.4">
      <c r="A245" s="871">
        <v>242</v>
      </c>
      <c r="B245" s="884" t="s">
        <v>494</v>
      </c>
      <c r="C245" s="883" t="s">
        <v>346</v>
      </c>
      <c r="D245" s="883" t="s">
        <v>36</v>
      </c>
      <c r="E245" s="883" t="s">
        <v>339</v>
      </c>
      <c r="F245" s="883" t="s">
        <v>344</v>
      </c>
      <c r="G245" s="883" t="s">
        <v>344</v>
      </c>
      <c r="H245" s="893" t="s">
        <v>122</v>
      </c>
    </row>
    <row r="246" spans="1:8" ht="14.4">
      <c r="A246" s="871">
        <v>243</v>
      </c>
      <c r="B246" s="876" t="s">
        <v>495</v>
      </c>
      <c r="C246" s="876" t="s">
        <v>346</v>
      </c>
      <c r="D246" s="876" t="s">
        <v>36</v>
      </c>
      <c r="E246" s="876" t="s">
        <v>339</v>
      </c>
      <c r="F246" s="876" t="s">
        <v>344</v>
      </c>
      <c r="G246" s="876" t="s">
        <v>344</v>
      </c>
      <c r="H246" s="893" t="s">
        <v>122</v>
      </c>
    </row>
    <row r="247" spans="1:8" ht="14.4">
      <c r="A247" s="871">
        <v>244</v>
      </c>
      <c r="B247" s="876" t="s">
        <v>496</v>
      </c>
      <c r="C247" s="876" t="s">
        <v>346</v>
      </c>
      <c r="D247" s="876" t="s">
        <v>36</v>
      </c>
      <c r="E247" s="876" t="s">
        <v>77</v>
      </c>
      <c r="F247" s="876" t="s">
        <v>344</v>
      </c>
      <c r="G247" s="876" t="s">
        <v>344</v>
      </c>
      <c r="H247" s="893" t="s">
        <v>122</v>
      </c>
    </row>
    <row r="248" spans="1:8" ht="14.4">
      <c r="A248" s="871">
        <v>245</v>
      </c>
      <c r="B248" s="876" t="s">
        <v>497</v>
      </c>
      <c r="C248" s="876" t="s">
        <v>346</v>
      </c>
      <c r="D248" s="876" t="s">
        <v>36</v>
      </c>
      <c r="E248" s="876" t="s">
        <v>74</v>
      </c>
      <c r="F248" s="876" t="s">
        <v>344</v>
      </c>
      <c r="G248" s="876" t="s">
        <v>344</v>
      </c>
      <c r="H248" s="893" t="s">
        <v>122</v>
      </c>
    </row>
    <row r="249" spans="1:8" ht="14.4">
      <c r="A249" s="871">
        <v>246</v>
      </c>
      <c r="B249" s="876" t="s">
        <v>498</v>
      </c>
      <c r="C249" s="876" t="s">
        <v>346</v>
      </c>
      <c r="D249" s="876" t="s">
        <v>36</v>
      </c>
      <c r="E249" s="876" t="s">
        <v>74</v>
      </c>
      <c r="F249" s="876" t="s">
        <v>344</v>
      </c>
      <c r="G249" s="876" t="s">
        <v>344</v>
      </c>
      <c r="H249" s="893" t="s">
        <v>122</v>
      </c>
    </row>
    <row r="250" spans="1:8" ht="14.4">
      <c r="A250" s="871">
        <v>247</v>
      </c>
      <c r="B250" s="876" t="s">
        <v>499</v>
      </c>
      <c r="C250" s="876" t="s">
        <v>346</v>
      </c>
      <c r="D250" s="876" t="s">
        <v>36</v>
      </c>
      <c r="E250" s="876" t="s">
        <v>74</v>
      </c>
      <c r="F250" s="876" t="s">
        <v>344</v>
      </c>
      <c r="G250" s="876" t="s">
        <v>344</v>
      </c>
      <c r="H250" s="893" t="s">
        <v>122</v>
      </c>
    </row>
    <row r="251" spans="1:8" ht="14.4">
      <c r="A251" s="871">
        <v>248</v>
      </c>
      <c r="B251" s="876" t="s">
        <v>500</v>
      </c>
      <c r="C251" s="876" t="s">
        <v>346</v>
      </c>
      <c r="D251" s="876" t="s">
        <v>36</v>
      </c>
      <c r="E251" s="876" t="s">
        <v>74</v>
      </c>
      <c r="F251" s="876" t="s">
        <v>344</v>
      </c>
      <c r="G251" s="876" t="s">
        <v>344</v>
      </c>
      <c r="H251" s="893" t="s">
        <v>122</v>
      </c>
    </row>
  </sheetData>
  <autoFilter ref="A1:H25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7BB8A"/>
    <outlinePr summaryBelow="0" summaryRight="0"/>
  </sheetPr>
  <dimension ref="A1:F33"/>
  <sheetViews>
    <sheetView workbookViewId="0"/>
  </sheetViews>
  <sheetFormatPr defaultColWidth="12.6640625" defaultRowHeight="15.75" customHeight="1"/>
  <cols>
    <col min="2" max="2" width="15.33203125" customWidth="1"/>
  </cols>
  <sheetData>
    <row r="1" spans="1:6" ht="13.2">
      <c r="A1" s="518"/>
      <c r="C1" s="519"/>
      <c r="D1" s="519"/>
      <c r="E1" s="519"/>
    </row>
    <row r="2" spans="1:6" ht="13.2">
      <c r="A2" s="673" t="s">
        <v>501</v>
      </c>
    </row>
    <row r="3" spans="1:6" ht="13.2">
      <c r="C3" s="525"/>
      <c r="D3" s="525"/>
      <c r="E3" s="525"/>
    </row>
    <row r="4" spans="1:6" ht="13.8">
      <c r="A4" s="894" t="s">
        <v>281</v>
      </c>
      <c r="B4" s="895" t="s">
        <v>282</v>
      </c>
      <c r="C4" s="896" t="s">
        <v>283</v>
      </c>
      <c r="D4" s="896" t="s">
        <v>284</v>
      </c>
      <c r="E4" s="895" t="s">
        <v>285</v>
      </c>
      <c r="F4" s="897" t="s">
        <v>68</v>
      </c>
    </row>
    <row r="5" spans="1:6" ht="14.4">
      <c r="A5" s="898">
        <v>1</v>
      </c>
      <c r="B5" s="641" t="s">
        <v>115</v>
      </c>
      <c r="C5" s="180">
        <f>Points!F100</f>
        <v>286</v>
      </c>
      <c r="D5" s="180">
        <f>Points!G100</f>
        <v>0</v>
      </c>
      <c r="E5" s="180">
        <f>Points!H100</f>
        <v>286</v>
      </c>
      <c r="F5" s="899" t="s">
        <v>79</v>
      </c>
    </row>
    <row r="6" spans="1:6" ht="14.4">
      <c r="A6" s="898">
        <v>2</v>
      </c>
      <c r="B6" s="641" t="s">
        <v>116</v>
      </c>
      <c r="C6" s="180">
        <v>0</v>
      </c>
      <c r="D6" s="180">
        <v>0</v>
      </c>
      <c r="E6" s="180">
        <v>0</v>
      </c>
      <c r="F6" s="899" t="s">
        <v>79</v>
      </c>
    </row>
    <row r="7" spans="1:6" ht="14.4">
      <c r="A7" s="898">
        <v>3</v>
      </c>
      <c r="B7" s="641" t="s">
        <v>117</v>
      </c>
      <c r="C7" s="180">
        <f>Points!F101</f>
        <v>507</v>
      </c>
      <c r="D7" s="180">
        <f>Points!G101</f>
        <v>0</v>
      </c>
      <c r="E7" s="180">
        <f>Points!H101</f>
        <v>507</v>
      </c>
      <c r="F7" s="900" t="s">
        <v>118</v>
      </c>
    </row>
    <row r="8" spans="1:6" ht="14.4">
      <c r="A8" s="898">
        <v>4</v>
      </c>
      <c r="B8" s="641" t="s">
        <v>502</v>
      </c>
      <c r="C8" s="180">
        <f>Points!F102</f>
        <v>475</v>
      </c>
      <c r="D8" s="180">
        <f>Points!G102</f>
        <v>35</v>
      </c>
      <c r="E8" s="180">
        <f>Points!H102</f>
        <v>510</v>
      </c>
      <c r="F8" s="901" t="s">
        <v>95</v>
      </c>
    </row>
    <row r="9" spans="1:6" ht="14.4">
      <c r="A9" s="898">
        <v>5</v>
      </c>
      <c r="B9" s="641" t="s">
        <v>120</v>
      </c>
      <c r="C9" s="180">
        <f>Points!F103</f>
        <v>790</v>
      </c>
      <c r="D9" s="180">
        <f>Points!G103</f>
        <v>0</v>
      </c>
      <c r="E9" s="180">
        <f>Points!H103</f>
        <v>790</v>
      </c>
      <c r="F9" s="902" t="s">
        <v>91</v>
      </c>
    </row>
    <row r="10" spans="1:6" ht="14.4">
      <c r="A10" s="898">
        <v>6</v>
      </c>
      <c r="B10" s="641" t="s">
        <v>121</v>
      </c>
      <c r="C10" s="180">
        <f>Points!F104</f>
        <v>57</v>
      </c>
      <c r="D10" s="180">
        <f>Points!G104</f>
        <v>0</v>
      </c>
      <c r="E10" s="180">
        <f>Points!H104</f>
        <v>57</v>
      </c>
      <c r="F10" s="903" t="s">
        <v>122</v>
      </c>
    </row>
    <row r="11" spans="1:6" ht="14.4">
      <c r="A11" s="898">
        <v>7</v>
      </c>
      <c r="B11" s="641" t="s">
        <v>316</v>
      </c>
      <c r="C11" s="180">
        <f>Points!F105</f>
        <v>267</v>
      </c>
      <c r="D11" s="180">
        <f>Points!G105</f>
        <v>0</v>
      </c>
      <c r="E11" s="180">
        <f>Points!H105</f>
        <v>267</v>
      </c>
      <c r="F11" s="902" t="s">
        <v>91</v>
      </c>
    </row>
    <row r="12" spans="1:6" ht="14.4">
      <c r="A12" s="898">
        <v>8</v>
      </c>
      <c r="B12" s="641" t="s">
        <v>124</v>
      </c>
      <c r="C12" s="180">
        <f>Points!F106</f>
        <v>350</v>
      </c>
      <c r="D12" s="180">
        <f>Points!G106</f>
        <v>0</v>
      </c>
      <c r="E12" s="180">
        <f>Points!H106</f>
        <v>350</v>
      </c>
      <c r="F12" s="904" t="s">
        <v>95</v>
      </c>
    </row>
    <row r="13" spans="1:6" ht="14.4">
      <c r="A13" s="898">
        <v>9</v>
      </c>
      <c r="B13" s="641" t="s">
        <v>125</v>
      </c>
      <c r="C13" s="180">
        <f>Points!F107</f>
        <v>384</v>
      </c>
      <c r="D13" s="180">
        <f>Points!G107</f>
        <v>0</v>
      </c>
      <c r="E13" s="180">
        <f>Points!H107</f>
        <v>384</v>
      </c>
      <c r="F13" s="905" t="s">
        <v>79</v>
      </c>
    </row>
    <row r="14" spans="1:6" ht="14.4">
      <c r="A14" s="593">
        <v>10</v>
      </c>
      <c r="B14" s="594" t="s">
        <v>231</v>
      </c>
      <c r="C14" s="180">
        <f>Points!F59</f>
        <v>308</v>
      </c>
      <c r="D14" s="180">
        <f>Points!G59</f>
        <v>12</v>
      </c>
      <c r="E14" s="180">
        <f>Points!H59</f>
        <v>320</v>
      </c>
      <c r="F14" s="906" t="s">
        <v>82</v>
      </c>
    </row>
    <row r="15" spans="1:6" ht="14.4">
      <c r="A15" s="593">
        <v>11</v>
      </c>
      <c r="B15" s="594" t="s">
        <v>232</v>
      </c>
      <c r="C15" s="180">
        <f>Points!F60</f>
        <v>752</v>
      </c>
      <c r="D15" s="180">
        <f>Points!G60</f>
        <v>17</v>
      </c>
      <c r="E15" s="180">
        <f>Points!H60</f>
        <v>769</v>
      </c>
      <c r="F15" s="906" t="s">
        <v>82</v>
      </c>
    </row>
    <row r="16" spans="1:6" ht="14.4">
      <c r="A16" s="596">
        <v>12</v>
      </c>
      <c r="B16" s="597" t="s">
        <v>153</v>
      </c>
      <c r="C16" s="180">
        <f>Points!F23</f>
        <v>0</v>
      </c>
      <c r="D16" s="180">
        <f>Points!G23</f>
        <v>0</v>
      </c>
      <c r="E16" s="180">
        <f>Points!H23</f>
        <v>0</v>
      </c>
      <c r="F16" s="907" t="s">
        <v>97</v>
      </c>
    </row>
    <row r="17" spans="1:6" ht="14.4">
      <c r="A17" s="908">
        <v>13</v>
      </c>
      <c r="B17" s="775" t="s">
        <v>340</v>
      </c>
      <c r="C17" s="180">
        <f>Points!F79</f>
        <v>0</v>
      </c>
      <c r="D17" s="180">
        <f>Points!G79</f>
        <v>0</v>
      </c>
      <c r="E17" s="180">
        <f>Points!H79</f>
        <v>0</v>
      </c>
      <c r="F17" s="901" t="s">
        <v>95</v>
      </c>
    </row>
    <row r="18" spans="1:6" ht="14.4">
      <c r="A18" s="908">
        <v>14</v>
      </c>
      <c r="B18" s="775" t="s">
        <v>180</v>
      </c>
      <c r="C18" s="180">
        <f>Points!F80</f>
        <v>402</v>
      </c>
      <c r="D18" s="180">
        <f>Points!G80</f>
        <v>0</v>
      </c>
      <c r="E18" s="180">
        <f>Points!H80</f>
        <v>402</v>
      </c>
      <c r="F18" s="900" t="s">
        <v>118</v>
      </c>
    </row>
    <row r="19" spans="1:6" ht="14.4">
      <c r="A19" s="908">
        <v>15</v>
      </c>
      <c r="B19" s="775" t="s">
        <v>181</v>
      </c>
      <c r="C19" s="180">
        <f>Points!F81</f>
        <v>12</v>
      </c>
      <c r="D19" s="180">
        <f>Points!G81</f>
        <v>0</v>
      </c>
      <c r="E19" s="180">
        <f>Points!H81</f>
        <v>12</v>
      </c>
      <c r="F19" s="909" t="s">
        <v>106</v>
      </c>
    </row>
    <row r="20" spans="1:6" ht="14.4">
      <c r="A20" s="908">
        <v>16</v>
      </c>
      <c r="B20" s="775" t="s">
        <v>170</v>
      </c>
      <c r="C20" s="180">
        <f>Points!F76</f>
        <v>381</v>
      </c>
      <c r="D20" s="180">
        <f>Points!G76</f>
        <v>0</v>
      </c>
      <c r="E20" s="180">
        <f>Points!H76</f>
        <v>381</v>
      </c>
      <c r="F20" s="899" t="s">
        <v>79</v>
      </c>
    </row>
    <row r="21" spans="1:6" ht="14.4" hidden="1">
      <c r="A21" s="898">
        <v>17</v>
      </c>
      <c r="B21" s="641" t="s">
        <v>103</v>
      </c>
      <c r="C21" s="910">
        <f>Points!L97</f>
        <v>935</v>
      </c>
      <c r="D21" s="910">
        <f>Points!G97</f>
        <v>49</v>
      </c>
      <c r="E21" s="910">
        <f>Points!H97</f>
        <v>1109</v>
      </c>
      <c r="F21" s="906" t="s">
        <v>82</v>
      </c>
    </row>
    <row r="22" spans="1:6" ht="14.4">
      <c r="A22" s="621">
        <v>18</v>
      </c>
      <c r="B22" s="622" t="s">
        <v>205</v>
      </c>
      <c r="C22" s="910">
        <f>Points!F40</f>
        <v>473</v>
      </c>
      <c r="D22" s="910">
        <f>Points!G40</f>
        <v>0</v>
      </c>
      <c r="E22" s="910">
        <f>Points!H40</f>
        <v>473</v>
      </c>
      <c r="F22" s="902" t="s">
        <v>91</v>
      </c>
    </row>
    <row r="23" spans="1:6" ht="14.4">
      <c r="A23" s="898">
        <v>19</v>
      </c>
      <c r="B23" s="641" t="s">
        <v>105</v>
      </c>
      <c r="C23" s="910">
        <f>Points!F99</f>
        <v>439</v>
      </c>
      <c r="D23" s="910">
        <f>Points!G99</f>
        <v>0</v>
      </c>
      <c r="E23" s="910">
        <f>Points!H99</f>
        <v>439</v>
      </c>
      <c r="F23" s="909" t="s">
        <v>106</v>
      </c>
    </row>
    <row r="24" spans="1:6" ht="14.4">
      <c r="A24" s="596">
        <v>20</v>
      </c>
      <c r="B24" s="597" t="s">
        <v>150</v>
      </c>
      <c r="C24" s="910">
        <f>Points!F22</f>
        <v>0</v>
      </c>
      <c r="D24" s="910">
        <f>Points!G22</f>
        <v>0</v>
      </c>
      <c r="E24" s="910">
        <f>Points!H22</f>
        <v>0</v>
      </c>
      <c r="F24" s="909" t="s">
        <v>106</v>
      </c>
    </row>
    <row r="25" spans="1:6" ht="14.4">
      <c r="A25" s="596">
        <v>21</v>
      </c>
      <c r="B25" s="597" t="s">
        <v>288</v>
      </c>
      <c r="C25" s="910">
        <f>Points!F20</f>
        <v>511</v>
      </c>
      <c r="D25" s="910">
        <f>Points!G20</f>
        <v>93</v>
      </c>
      <c r="E25" s="910">
        <f>Points!H20</f>
        <v>604</v>
      </c>
      <c r="F25" s="901" t="s">
        <v>95</v>
      </c>
    </row>
    <row r="26" spans="1:6" ht="14.4">
      <c r="A26" s="908">
        <v>22</v>
      </c>
      <c r="B26" s="775" t="s">
        <v>174</v>
      </c>
      <c r="C26" s="910">
        <f>Points!F78</f>
        <v>278</v>
      </c>
      <c r="D26" s="910">
        <f>Points!G78</f>
        <v>54</v>
      </c>
      <c r="E26" s="910">
        <f>Points!H78</f>
        <v>332</v>
      </c>
      <c r="F26" s="901" t="s">
        <v>95</v>
      </c>
    </row>
    <row r="27" spans="1:6" ht="14.4">
      <c r="A27" s="621">
        <v>23</v>
      </c>
      <c r="B27" s="622" t="s">
        <v>203</v>
      </c>
      <c r="C27" s="910">
        <f>Points!J39</f>
        <v>1</v>
      </c>
      <c r="D27" s="910">
        <f>Points!K39</f>
        <v>192</v>
      </c>
      <c r="E27" s="910">
        <f>Points!L39</f>
        <v>1</v>
      </c>
      <c r="F27" s="907" t="s">
        <v>97</v>
      </c>
    </row>
    <row r="28" spans="1:6" ht="14.4">
      <c r="A28" s="898">
        <v>24</v>
      </c>
      <c r="B28" s="641" t="s">
        <v>104</v>
      </c>
      <c r="C28" s="910">
        <f>Points!F98</f>
        <v>536</v>
      </c>
      <c r="D28" s="910">
        <f>Points!G98</f>
        <v>0</v>
      </c>
      <c r="E28" s="910">
        <f>Points!H98</f>
        <v>536</v>
      </c>
      <c r="F28" s="911" t="s">
        <v>85</v>
      </c>
    </row>
    <row r="29" spans="1:6" ht="14.4">
      <c r="A29" s="593">
        <v>25</v>
      </c>
      <c r="B29" s="594" t="s">
        <v>229</v>
      </c>
      <c r="C29" s="910">
        <f>Points!F58</f>
        <v>552</v>
      </c>
      <c r="D29" s="910">
        <f>Points!G58</f>
        <v>0</v>
      </c>
      <c r="E29" s="910">
        <f>Points!H58</f>
        <v>552</v>
      </c>
      <c r="F29" s="911" t="s">
        <v>85</v>
      </c>
    </row>
    <row r="30" spans="1:6" ht="14.4">
      <c r="A30" s="596">
        <v>26</v>
      </c>
      <c r="B30" s="597" t="s">
        <v>147</v>
      </c>
      <c r="C30" s="910">
        <f>Points!F21</f>
        <v>8</v>
      </c>
      <c r="D30" s="910">
        <f>Points!G21</f>
        <v>0</v>
      </c>
      <c r="E30" s="910">
        <f>Points!H21</f>
        <v>8</v>
      </c>
      <c r="F30" s="911" t="s">
        <v>85</v>
      </c>
    </row>
    <row r="31" spans="1:6" ht="14.4">
      <c r="A31" s="593">
        <v>27</v>
      </c>
      <c r="B31" s="594" t="s">
        <v>225</v>
      </c>
      <c r="C31" s="910">
        <f>Points!F56</f>
        <v>798</v>
      </c>
      <c r="D31" s="910">
        <f>Points!G56</f>
        <v>0</v>
      </c>
      <c r="E31" s="910">
        <f>Points!H56</f>
        <v>798</v>
      </c>
      <c r="F31" s="903" t="s">
        <v>122</v>
      </c>
    </row>
    <row r="32" spans="1:6" ht="14.4">
      <c r="A32" s="593">
        <v>28</v>
      </c>
      <c r="B32" s="594" t="s">
        <v>227</v>
      </c>
      <c r="C32" s="910">
        <f>Points!F57</f>
        <v>553</v>
      </c>
      <c r="D32" s="910">
        <f>Points!G57</f>
        <v>0</v>
      </c>
      <c r="E32" s="910">
        <f>Points!H57</f>
        <v>553</v>
      </c>
      <c r="F32" s="900" t="s">
        <v>118</v>
      </c>
    </row>
    <row r="33" spans="1:6" ht="14.4">
      <c r="A33" s="912">
        <v>29</v>
      </c>
      <c r="B33" s="913" t="s">
        <v>172</v>
      </c>
      <c r="C33" s="914">
        <v>40</v>
      </c>
      <c r="D33" s="910">
        <f>Points!G58</f>
        <v>0</v>
      </c>
      <c r="E33" s="914">
        <v>40</v>
      </c>
      <c r="F33" s="915" t="s">
        <v>118</v>
      </c>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B0F00"/>
    <outlinePr summaryBelow="0" summaryRight="0"/>
  </sheetPr>
  <dimension ref="A1:L1002"/>
  <sheetViews>
    <sheetView workbookViewId="0"/>
  </sheetViews>
  <sheetFormatPr defaultColWidth="12.6640625" defaultRowHeight="15.75" customHeight="1"/>
  <cols>
    <col min="1" max="1" width="10.109375" customWidth="1"/>
    <col min="2" max="2" width="18.77734375" customWidth="1"/>
  </cols>
  <sheetData>
    <row r="1" spans="1:12">
      <c r="A1" s="518"/>
      <c r="G1" s="686"/>
    </row>
    <row r="2" spans="1:12">
      <c r="A2" s="673" t="s">
        <v>503</v>
      </c>
      <c r="G2" s="686"/>
    </row>
    <row r="3" spans="1:12">
      <c r="G3" s="686"/>
    </row>
    <row r="4" spans="1:12">
      <c r="A4" s="916" t="s">
        <v>4</v>
      </c>
      <c r="B4" s="917" t="s">
        <v>63</v>
      </c>
      <c r="C4" s="917" t="s">
        <v>68</v>
      </c>
      <c r="D4" s="917" t="s">
        <v>308</v>
      </c>
      <c r="E4" s="917" t="s">
        <v>309</v>
      </c>
      <c r="F4" s="917" t="s">
        <v>306</v>
      </c>
      <c r="G4" s="686"/>
      <c r="K4" s="518" t="s">
        <v>4</v>
      </c>
      <c r="L4" s="518" t="s">
        <v>286</v>
      </c>
    </row>
    <row r="5" spans="1:12" ht="15.75" customHeight="1">
      <c r="A5" s="700" t="s">
        <v>14</v>
      </c>
      <c r="B5" s="700" t="s">
        <v>128</v>
      </c>
      <c r="C5" s="918" t="s">
        <v>106</v>
      </c>
      <c r="D5" s="919">
        <v>2</v>
      </c>
      <c r="E5" s="920">
        <f t="shared" ref="E5:E96" si="0">F5-D5</f>
        <v>0</v>
      </c>
      <c r="F5" s="919">
        <v>2</v>
      </c>
      <c r="G5" s="698">
        <v>1</v>
      </c>
      <c r="K5" s="534" t="s">
        <v>8</v>
      </c>
      <c r="L5" s="535">
        <f ca="1">SUM(E82:E97)</f>
        <v>7</v>
      </c>
    </row>
    <row r="6" spans="1:12" ht="15.75" customHeight="1">
      <c r="A6" s="700" t="s">
        <v>14</v>
      </c>
      <c r="B6" s="700" t="s">
        <v>129</v>
      </c>
      <c r="C6" s="921" t="s">
        <v>106</v>
      </c>
      <c r="D6" s="922">
        <v>0</v>
      </c>
      <c r="E6" s="923">
        <f t="shared" si="0"/>
        <v>0</v>
      </c>
      <c r="F6" s="922">
        <v>0</v>
      </c>
      <c r="G6" s="698">
        <v>2</v>
      </c>
      <c r="K6" s="538" t="s">
        <v>10</v>
      </c>
      <c r="L6" s="535">
        <f>SUM(E24:E38)</f>
        <v>16</v>
      </c>
    </row>
    <row r="7" spans="1:12" ht="15.75" customHeight="1">
      <c r="A7" s="700" t="s">
        <v>14</v>
      </c>
      <c r="B7" s="700" t="s">
        <v>130</v>
      </c>
      <c r="C7" s="924" t="s">
        <v>82</v>
      </c>
      <c r="D7" s="922">
        <v>0</v>
      </c>
      <c r="E7" s="923">
        <f t="shared" si="0"/>
        <v>0</v>
      </c>
      <c r="F7" s="922">
        <v>0</v>
      </c>
      <c r="G7" s="698">
        <v>3</v>
      </c>
      <c r="K7" s="539" t="s">
        <v>12</v>
      </c>
      <c r="L7" s="535">
        <f>SUM(E41:E55)</f>
        <v>12</v>
      </c>
    </row>
    <row r="8" spans="1:12" ht="15.75" customHeight="1">
      <c r="A8" s="700" t="s">
        <v>14</v>
      </c>
      <c r="B8" s="700" t="s">
        <v>131</v>
      </c>
      <c r="C8" s="925" t="s">
        <v>88</v>
      </c>
      <c r="D8" s="922">
        <v>15</v>
      </c>
      <c r="E8" s="923">
        <f t="shared" si="0"/>
        <v>0</v>
      </c>
      <c r="F8" s="922">
        <v>15</v>
      </c>
      <c r="G8" s="698">
        <v>4</v>
      </c>
      <c r="K8" s="540" t="s">
        <v>14</v>
      </c>
      <c r="L8" s="535">
        <f>SUM(E5:E19)</f>
        <v>1</v>
      </c>
    </row>
    <row r="9" spans="1:12" ht="15.75" customHeight="1">
      <c r="A9" s="700" t="s">
        <v>14</v>
      </c>
      <c r="B9" s="700" t="s">
        <v>132</v>
      </c>
      <c r="C9" s="926" t="s">
        <v>118</v>
      </c>
      <c r="D9" s="922">
        <v>0</v>
      </c>
      <c r="E9" s="923">
        <f t="shared" si="0"/>
        <v>0</v>
      </c>
      <c r="F9" s="922">
        <v>0</v>
      </c>
      <c r="G9" s="698">
        <v>5</v>
      </c>
      <c r="K9" s="542" t="s">
        <v>16</v>
      </c>
      <c r="L9" s="535">
        <f>SUM(E61:E75)</f>
        <v>9</v>
      </c>
    </row>
    <row r="10" spans="1:12" ht="15.75" customHeight="1">
      <c r="A10" s="700" t="s">
        <v>14</v>
      </c>
      <c r="B10" s="700" t="s">
        <v>133</v>
      </c>
      <c r="C10" s="926" t="s">
        <v>118</v>
      </c>
      <c r="D10" s="922">
        <v>0</v>
      </c>
      <c r="E10" s="923">
        <f t="shared" si="0"/>
        <v>0</v>
      </c>
      <c r="F10" s="922">
        <v>0</v>
      </c>
      <c r="G10" s="698">
        <v>6</v>
      </c>
    </row>
    <row r="11" spans="1:12" ht="15.75" customHeight="1">
      <c r="A11" s="700" t="s">
        <v>14</v>
      </c>
      <c r="B11" s="700" t="s">
        <v>134</v>
      </c>
      <c r="C11" s="926" t="s">
        <v>118</v>
      </c>
      <c r="D11" s="922">
        <v>38</v>
      </c>
      <c r="E11" s="923">
        <f t="shared" si="0"/>
        <v>0</v>
      </c>
      <c r="F11" s="922">
        <v>38</v>
      </c>
      <c r="G11" s="698">
        <v>7</v>
      </c>
    </row>
    <row r="12" spans="1:12" ht="15.75" customHeight="1">
      <c r="A12" s="700" t="s">
        <v>14</v>
      </c>
      <c r="B12" s="700" t="s">
        <v>135</v>
      </c>
      <c r="C12" s="927" t="s">
        <v>91</v>
      </c>
      <c r="D12" s="922">
        <v>0</v>
      </c>
      <c r="E12" s="923">
        <f t="shared" si="0"/>
        <v>0</v>
      </c>
      <c r="F12" s="922">
        <v>0</v>
      </c>
      <c r="G12" s="698">
        <v>8</v>
      </c>
    </row>
    <row r="13" spans="1:12" ht="15.75" customHeight="1">
      <c r="A13" s="700" t="s">
        <v>14</v>
      </c>
      <c r="B13" s="700" t="s">
        <v>136</v>
      </c>
      <c r="C13" s="928" t="s">
        <v>91</v>
      </c>
      <c r="D13" s="922">
        <v>19</v>
      </c>
      <c r="E13" s="923">
        <f t="shared" si="0"/>
        <v>0</v>
      </c>
      <c r="F13" s="922">
        <v>19</v>
      </c>
      <c r="G13" s="698">
        <v>9</v>
      </c>
    </row>
    <row r="14" spans="1:12" ht="15.75" customHeight="1">
      <c r="A14" s="700" t="s">
        <v>14</v>
      </c>
      <c r="B14" s="700" t="s">
        <v>137</v>
      </c>
      <c r="C14" s="929" t="s">
        <v>95</v>
      </c>
      <c r="D14" s="922">
        <v>7</v>
      </c>
      <c r="E14" s="923">
        <f t="shared" si="0"/>
        <v>1</v>
      </c>
      <c r="F14" s="922">
        <v>8</v>
      </c>
      <c r="G14" s="698">
        <v>10</v>
      </c>
    </row>
    <row r="15" spans="1:12" ht="15.75" customHeight="1">
      <c r="A15" s="700" t="s">
        <v>14</v>
      </c>
      <c r="B15" s="700" t="s">
        <v>297</v>
      </c>
      <c r="C15" s="930" t="s">
        <v>97</v>
      </c>
      <c r="D15" s="922">
        <v>0</v>
      </c>
      <c r="E15" s="923">
        <f t="shared" si="0"/>
        <v>0</v>
      </c>
      <c r="F15" s="922">
        <v>0</v>
      </c>
      <c r="G15" s="698">
        <v>11</v>
      </c>
    </row>
    <row r="16" spans="1:12" ht="15.75" customHeight="1">
      <c r="A16" s="700" t="s">
        <v>14</v>
      </c>
      <c r="B16" s="700" t="s">
        <v>139</v>
      </c>
      <c r="C16" s="930" t="s">
        <v>97</v>
      </c>
      <c r="D16" s="922">
        <v>28</v>
      </c>
      <c r="E16" s="923">
        <f t="shared" si="0"/>
        <v>0</v>
      </c>
      <c r="F16" s="922">
        <v>28</v>
      </c>
      <c r="G16" s="698">
        <v>12</v>
      </c>
    </row>
    <row r="17" spans="1:7" ht="15.75" customHeight="1">
      <c r="A17" s="700" t="s">
        <v>14</v>
      </c>
      <c r="B17" s="700" t="s">
        <v>140</v>
      </c>
      <c r="C17" s="931" t="s">
        <v>122</v>
      </c>
      <c r="D17" s="922">
        <v>2</v>
      </c>
      <c r="E17" s="923">
        <f t="shared" si="0"/>
        <v>0</v>
      </c>
      <c r="F17" s="922">
        <v>2</v>
      </c>
      <c r="G17" s="698">
        <v>13</v>
      </c>
    </row>
    <row r="18" spans="1:7" ht="15.75" customHeight="1">
      <c r="A18" s="700" t="s">
        <v>14</v>
      </c>
      <c r="B18" s="700" t="s">
        <v>141</v>
      </c>
      <c r="C18" s="931" t="s">
        <v>122</v>
      </c>
      <c r="D18" s="922">
        <v>0</v>
      </c>
      <c r="E18" s="923">
        <f t="shared" si="0"/>
        <v>0</v>
      </c>
      <c r="F18" s="922">
        <v>0</v>
      </c>
      <c r="G18" s="698">
        <v>14</v>
      </c>
    </row>
    <row r="19" spans="1:7" ht="15.75" customHeight="1">
      <c r="A19" s="700" t="s">
        <v>14</v>
      </c>
      <c r="B19" s="700" t="s">
        <v>142</v>
      </c>
      <c r="C19" s="932" t="s">
        <v>122</v>
      </c>
      <c r="D19" s="933">
        <v>0</v>
      </c>
      <c r="E19" s="934">
        <f t="shared" si="0"/>
        <v>0</v>
      </c>
      <c r="F19" s="933">
        <v>0</v>
      </c>
      <c r="G19" s="698">
        <v>15</v>
      </c>
    </row>
    <row r="20" spans="1:7" ht="15.75" customHeight="1">
      <c r="A20" s="700" t="s">
        <v>14</v>
      </c>
      <c r="B20" s="700" t="s">
        <v>288</v>
      </c>
      <c r="C20" s="935" t="s">
        <v>95</v>
      </c>
      <c r="D20" s="936">
        <v>0</v>
      </c>
      <c r="E20" s="937">
        <f t="shared" si="0"/>
        <v>0</v>
      </c>
      <c r="F20" s="936">
        <v>0</v>
      </c>
      <c r="G20" s="724"/>
    </row>
    <row r="21" spans="1:7" ht="15.75" customHeight="1">
      <c r="A21" s="700" t="s">
        <v>14</v>
      </c>
      <c r="B21" s="700" t="s">
        <v>147</v>
      </c>
      <c r="C21" s="938" t="s">
        <v>85</v>
      </c>
      <c r="D21" s="939">
        <v>0</v>
      </c>
      <c r="E21" s="940">
        <f t="shared" si="0"/>
        <v>0</v>
      </c>
      <c r="F21" s="939">
        <v>0</v>
      </c>
      <c r="G21" s="724"/>
    </row>
    <row r="22" spans="1:7" ht="15.75" customHeight="1">
      <c r="A22" s="700" t="s">
        <v>14</v>
      </c>
      <c r="B22" s="700" t="s">
        <v>150</v>
      </c>
      <c r="C22" s="941" t="s">
        <v>106</v>
      </c>
      <c r="D22" s="939">
        <v>0</v>
      </c>
      <c r="E22" s="940">
        <f t="shared" si="0"/>
        <v>0</v>
      </c>
      <c r="F22" s="939">
        <v>0</v>
      </c>
      <c r="G22" s="724"/>
    </row>
    <row r="23" spans="1:7" ht="15.75" customHeight="1">
      <c r="A23" s="729" t="s">
        <v>14</v>
      </c>
      <c r="B23" s="729" t="s">
        <v>153</v>
      </c>
      <c r="C23" s="930" t="s">
        <v>97</v>
      </c>
      <c r="D23" s="942">
        <v>0</v>
      </c>
      <c r="E23" s="943">
        <f t="shared" si="0"/>
        <v>0</v>
      </c>
      <c r="F23" s="942">
        <v>0</v>
      </c>
      <c r="G23" s="724"/>
    </row>
    <row r="24" spans="1:7" ht="15.75" customHeight="1">
      <c r="A24" s="622" t="s">
        <v>10</v>
      </c>
      <c r="B24" s="622" t="s">
        <v>236</v>
      </c>
      <c r="C24" s="944" t="s">
        <v>106</v>
      </c>
      <c r="D24" s="945">
        <v>0</v>
      </c>
      <c r="E24" s="946">
        <f t="shared" si="0"/>
        <v>0</v>
      </c>
      <c r="F24" s="945">
        <v>0</v>
      </c>
      <c r="G24" s="698">
        <v>1</v>
      </c>
    </row>
    <row r="25" spans="1:7" ht="15.75" customHeight="1">
      <c r="A25" s="622" t="s">
        <v>10</v>
      </c>
      <c r="B25" s="622" t="s">
        <v>185</v>
      </c>
      <c r="C25" s="947" t="s">
        <v>106</v>
      </c>
      <c r="D25" s="948">
        <v>0</v>
      </c>
      <c r="E25" s="949">
        <f t="shared" si="0"/>
        <v>0</v>
      </c>
      <c r="F25" s="948">
        <v>0</v>
      </c>
      <c r="G25" s="698">
        <v>2</v>
      </c>
    </row>
    <row r="26" spans="1:7" ht="15.75" customHeight="1">
      <c r="A26" s="622" t="s">
        <v>10</v>
      </c>
      <c r="B26" s="622" t="s">
        <v>187</v>
      </c>
      <c r="C26" s="950" t="s">
        <v>79</v>
      </c>
      <c r="D26" s="948">
        <v>0</v>
      </c>
      <c r="E26" s="949">
        <f t="shared" si="0"/>
        <v>0</v>
      </c>
      <c r="F26" s="948">
        <v>0</v>
      </c>
      <c r="G26" s="698">
        <v>3</v>
      </c>
    </row>
    <row r="27" spans="1:7" ht="15.75" customHeight="1">
      <c r="A27" s="622" t="s">
        <v>10</v>
      </c>
      <c r="B27" s="622" t="s">
        <v>188</v>
      </c>
      <c r="C27" s="951" t="s">
        <v>82</v>
      </c>
      <c r="D27" s="948">
        <v>0</v>
      </c>
      <c r="E27" s="949">
        <f t="shared" si="0"/>
        <v>0</v>
      </c>
      <c r="F27" s="948">
        <v>0</v>
      </c>
      <c r="G27" s="698">
        <v>4</v>
      </c>
    </row>
    <row r="28" spans="1:7" ht="15.75" customHeight="1">
      <c r="A28" s="622" t="s">
        <v>10</v>
      </c>
      <c r="B28" s="622" t="s">
        <v>189</v>
      </c>
      <c r="C28" s="952" t="s">
        <v>85</v>
      </c>
      <c r="D28" s="948">
        <v>48</v>
      </c>
      <c r="E28" s="949">
        <f t="shared" si="0"/>
        <v>0</v>
      </c>
      <c r="F28" s="948">
        <v>48</v>
      </c>
      <c r="G28" s="698">
        <v>5</v>
      </c>
    </row>
    <row r="29" spans="1:7" ht="15.75" customHeight="1">
      <c r="A29" s="622" t="s">
        <v>10</v>
      </c>
      <c r="B29" s="622" t="s">
        <v>190</v>
      </c>
      <c r="C29" s="952" t="s">
        <v>85</v>
      </c>
      <c r="D29" s="948">
        <v>0</v>
      </c>
      <c r="E29" s="949">
        <f t="shared" si="0"/>
        <v>0</v>
      </c>
      <c r="F29" s="948">
        <v>0</v>
      </c>
      <c r="G29" s="698">
        <v>6</v>
      </c>
    </row>
    <row r="30" spans="1:7" ht="15.75" customHeight="1">
      <c r="A30" s="622" t="s">
        <v>10</v>
      </c>
      <c r="B30" s="622" t="s">
        <v>191</v>
      </c>
      <c r="C30" s="953" t="s">
        <v>88</v>
      </c>
      <c r="D30" s="948">
        <v>0</v>
      </c>
      <c r="E30" s="949">
        <f t="shared" si="0"/>
        <v>0</v>
      </c>
      <c r="F30" s="948">
        <v>0</v>
      </c>
      <c r="G30" s="698">
        <v>7</v>
      </c>
    </row>
    <row r="31" spans="1:7" ht="15.75" customHeight="1">
      <c r="A31" s="622" t="s">
        <v>10</v>
      </c>
      <c r="B31" s="622" t="s">
        <v>192</v>
      </c>
      <c r="C31" s="954" t="s">
        <v>118</v>
      </c>
      <c r="D31" s="948">
        <v>20</v>
      </c>
      <c r="E31" s="949">
        <f t="shared" si="0"/>
        <v>0</v>
      </c>
      <c r="F31" s="948">
        <v>20</v>
      </c>
      <c r="G31" s="698">
        <v>8</v>
      </c>
    </row>
    <row r="32" spans="1:7" ht="15.75" customHeight="1">
      <c r="A32" s="622" t="s">
        <v>10</v>
      </c>
      <c r="B32" s="622" t="s">
        <v>193</v>
      </c>
      <c r="C32" s="954" t="s">
        <v>118</v>
      </c>
      <c r="D32" s="948">
        <v>0</v>
      </c>
      <c r="E32" s="949">
        <f t="shared" si="0"/>
        <v>0</v>
      </c>
      <c r="F32" s="948">
        <v>0</v>
      </c>
      <c r="G32" s="698">
        <v>9</v>
      </c>
    </row>
    <row r="33" spans="1:7" ht="15.75" customHeight="1">
      <c r="A33" s="622" t="s">
        <v>10</v>
      </c>
      <c r="B33" s="622" t="s">
        <v>194</v>
      </c>
      <c r="C33" s="954" t="s">
        <v>118</v>
      </c>
      <c r="D33" s="948">
        <v>0</v>
      </c>
      <c r="E33" s="949">
        <f t="shared" si="0"/>
        <v>0</v>
      </c>
      <c r="F33" s="948">
        <v>0</v>
      </c>
      <c r="G33" s="698">
        <v>10</v>
      </c>
    </row>
    <row r="34" spans="1:7" ht="15.75" customHeight="1">
      <c r="A34" s="622" t="s">
        <v>10</v>
      </c>
      <c r="B34" s="622" t="s">
        <v>195</v>
      </c>
      <c r="C34" s="928" t="s">
        <v>91</v>
      </c>
      <c r="D34" s="948">
        <v>0</v>
      </c>
      <c r="E34" s="949">
        <f t="shared" si="0"/>
        <v>0</v>
      </c>
      <c r="F34" s="948">
        <v>0</v>
      </c>
      <c r="G34" s="698">
        <v>11</v>
      </c>
    </row>
    <row r="35" spans="1:7" ht="15.75" customHeight="1">
      <c r="A35" s="622" t="s">
        <v>10</v>
      </c>
      <c r="B35" s="622" t="s">
        <v>196</v>
      </c>
      <c r="C35" s="955" t="s">
        <v>95</v>
      </c>
      <c r="D35" s="948">
        <v>0</v>
      </c>
      <c r="E35" s="949">
        <f t="shared" si="0"/>
        <v>0</v>
      </c>
      <c r="F35" s="948">
        <v>0</v>
      </c>
      <c r="G35" s="698">
        <v>12</v>
      </c>
    </row>
    <row r="36" spans="1:7" ht="15.75" customHeight="1">
      <c r="A36" s="622" t="s">
        <v>10</v>
      </c>
      <c r="B36" s="622" t="s">
        <v>197</v>
      </c>
      <c r="C36" s="955" t="s">
        <v>95</v>
      </c>
      <c r="D36" s="948">
        <v>43</v>
      </c>
      <c r="E36" s="949">
        <f t="shared" si="0"/>
        <v>8</v>
      </c>
      <c r="F36" s="948">
        <v>51</v>
      </c>
      <c r="G36" s="698">
        <v>13</v>
      </c>
    </row>
    <row r="37" spans="1:7" ht="15.75" customHeight="1">
      <c r="A37" s="622" t="s">
        <v>10</v>
      </c>
      <c r="B37" s="622" t="s">
        <v>198</v>
      </c>
      <c r="C37" s="955" t="s">
        <v>95</v>
      </c>
      <c r="D37" s="948">
        <v>21</v>
      </c>
      <c r="E37" s="949">
        <f t="shared" si="0"/>
        <v>8</v>
      </c>
      <c r="F37" s="948">
        <v>29</v>
      </c>
      <c r="G37" s="698">
        <v>14</v>
      </c>
    </row>
    <row r="38" spans="1:7" ht="15.75" customHeight="1">
      <c r="A38" s="622" t="s">
        <v>10</v>
      </c>
      <c r="B38" s="622" t="s">
        <v>199</v>
      </c>
      <c r="C38" s="956" t="s">
        <v>97</v>
      </c>
      <c r="D38" s="957">
        <v>0</v>
      </c>
      <c r="E38" s="958">
        <f t="shared" si="0"/>
        <v>0</v>
      </c>
      <c r="F38" s="957">
        <v>0</v>
      </c>
      <c r="G38" s="698">
        <v>15</v>
      </c>
    </row>
    <row r="39" spans="1:7" ht="15.75" customHeight="1">
      <c r="A39" s="622" t="s">
        <v>10</v>
      </c>
      <c r="B39" s="622" t="s">
        <v>203</v>
      </c>
      <c r="C39" s="959" t="s">
        <v>97</v>
      </c>
      <c r="D39" s="937">
        <v>29</v>
      </c>
      <c r="E39" s="937">
        <f t="shared" si="0"/>
        <v>0</v>
      </c>
      <c r="F39" s="937">
        <v>29</v>
      </c>
      <c r="G39" s="724"/>
    </row>
    <row r="40" spans="1:7" ht="15.75" customHeight="1">
      <c r="A40" s="622" t="s">
        <v>10</v>
      </c>
      <c r="B40" s="622" t="s">
        <v>205</v>
      </c>
      <c r="C40" s="960" t="s">
        <v>91</v>
      </c>
      <c r="D40" s="961">
        <v>32</v>
      </c>
      <c r="E40" s="961">
        <f t="shared" si="0"/>
        <v>0</v>
      </c>
      <c r="F40" s="961">
        <v>32</v>
      </c>
      <c r="G40" s="724"/>
    </row>
    <row r="41" spans="1:7" ht="14.4">
      <c r="A41" s="756" t="s">
        <v>12</v>
      </c>
      <c r="B41" s="756" t="s">
        <v>207</v>
      </c>
      <c r="C41" s="962" t="s">
        <v>106</v>
      </c>
      <c r="D41" s="963">
        <v>0</v>
      </c>
      <c r="E41" s="964">
        <f t="shared" si="0"/>
        <v>0</v>
      </c>
      <c r="F41" s="963">
        <v>0</v>
      </c>
      <c r="G41" s="698">
        <v>1</v>
      </c>
    </row>
    <row r="42" spans="1:7" ht="14.4">
      <c r="A42" s="762" t="s">
        <v>12</v>
      </c>
      <c r="B42" s="762" t="s">
        <v>208</v>
      </c>
      <c r="C42" s="965" t="s">
        <v>106</v>
      </c>
      <c r="D42" s="966">
        <v>0</v>
      </c>
      <c r="E42" s="949">
        <f t="shared" si="0"/>
        <v>0</v>
      </c>
      <c r="F42" s="966">
        <v>0</v>
      </c>
      <c r="G42" s="698">
        <v>2</v>
      </c>
    </row>
    <row r="43" spans="1:7" ht="14.4">
      <c r="A43" s="762" t="s">
        <v>12</v>
      </c>
      <c r="B43" s="762" t="s">
        <v>209</v>
      </c>
      <c r="C43" s="924" t="s">
        <v>79</v>
      </c>
      <c r="D43" s="966">
        <v>24</v>
      </c>
      <c r="E43" s="949">
        <f t="shared" si="0"/>
        <v>7</v>
      </c>
      <c r="F43" s="966">
        <v>31</v>
      </c>
      <c r="G43" s="698">
        <v>3</v>
      </c>
    </row>
    <row r="44" spans="1:7" ht="14.4">
      <c r="A44" s="762" t="s">
        <v>12</v>
      </c>
      <c r="B44" s="762" t="s">
        <v>300</v>
      </c>
      <c r="C44" s="924" t="s">
        <v>79</v>
      </c>
      <c r="D44" s="966">
        <v>0</v>
      </c>
      <c r="E44" s="949">
        <f t="shared" si="0"/>
        <v>0</v>
      </c>
      <c r="F44" s="966">
        <v>0</v>
      </c>
      <c r="G44" s="698">
        <v>4</v>
      </c>
    </row>
    <row r="45" spans="1:7" ht="14.4">
      <c r="A45" s="762" t="s">
        <v>12</v>
      </c>
      <c r="B45" s="762" t="s">
        <v>212</v>
      </c>
      <c r="C45" s="924" t="s">
        <v>79</v>
      </c>
      <c r="D45" s="966">
        <v>0</v>
      </c>
      <c r="E45" s="949">
        <f t="shared" si="0"/>
        <v>0</v>
      </c>
      <c r="F45" s="966">
        <v>0</v>
      </c>
      <c r="G45" s="698">
        <v>5</v>
      </c>
    </row>
    <row r="46" spans="1:7" ht="14.4">
      <c r="A46" s="762" t="s">
        <v>12</v>
      </c>
      <c r="B46" s="762" t="s">
        <v>213</v>
      </c>
      <c r="C46" s="967" t="s">
        <v>82</v>
      </c>
      <c r="D46" s="966">
        <v>43</v>
      </c>
      <c r="E46" s="949">
        <f t="shared" si="0"/>
        <v>0</v>
      </c>
      <c r="F46" s="966">
        <v>43</v>
      </c>
      <c r="G46" s="698">
        <v>6</v>
      </c>
    </row>
    <row r="47" spans="1:7" ht="14.4">
      <c r="A47" s="762" t="s">
        <v>12</v>
      </c>
      <c r="B47" s="762" t="s">
        <v>214</v>
      </c>
      <c r="C47" s="968" t="s">
        <v>85</v>
      </c>
      <c r="D47" s="966">
        <v>7</v>
      </c>
      <c r="E47" s="949">
        <f t="shared" si="0"/>
        <v>0</v>
      </c>
      <c r="F47" s="966">
        <v>7</v>
      </c>
      <c r="G47" s="698">
        <v>7</v>
      </c>
    </row>
    <row r="48" spans="1:7" ht="14.4">
      <c r="A48" s="762" t="s">
        <v>12</v>
      </c>
      <c r="B48" s="762" t="s">
        <v>215</v>
      </c>
      <c r="C48" s="968" t="s">
        <v>85</v>
      </c>
      <c r="D48" s="966">
        <v>17</v>
      </c>
      <c r="E48" s="949">
        <f t="shared" si="0"/>
        <v>0</v>
      </c>
      <c r="F48" s="966">
        <v>17</v>
      </c>
      <c r="G48" s="698">
        <v>8</v>
      </c>
    </row>
    <row r="49" spans="1:7" ht="14.4">
      <c r="A49" s="762" t="s">
        <v>12</v>
      </c>
      <c r="B49" s="762" t="s">
        <v>216</v>
      </c>
      <c r="C49" s="969" t="s">
        <v>88</v>
      </c>
      <c r="D49" s="966">
        <v>24</v>
      </c>
      <c r="E49" s="949">
        <f t="shared" si="0"/>
        <v>0</v>
      </c>
      <c r="F49" s="966">
        <v>24</v>
      </c>
      <c r="G49" s="698">
        <v>9</v>
      </c>
    </row>
    <row r="50" spans="1:7" ht="14.4">
      <c r="A50" s="762" t="s">
        <v>12</v>
      </c>
      <c r="B50" s="762" t="s">
        <v>217</v>
      </c>
      <c r="C50" s="969" t="s">
        <v>88</v>
      </c>
      <c r="D50" s="966">
        <v>0</v>
      </c>
      <c r="E50" s="949">
        <f t="shared" si="0"/>
        <v>0</v>
      </c>
      <c r="F50" s="966">
        <v>0</v>
      </c>
      <c r="G50" s="698">
        <v>10</v>
      </c>
    </row>
    <row r="51" spans="1:7" ht="14.4">
      <c r="A51" s="762" t="s">
        <v>12</v>
      </c>
      <c r="B51" s="762" t="s">
        <v>218</v>
      </c>
      <c r="C51" s="928" t="s">
        <v>91</v>
      </c>
      <c r="D51" s="966">
        <v>43</v>
      </c>
      <c r="E51" s="949">
        <f t="shared" si="0"/>
        <v>0</v>
      </c>
      <c r="F51" s="966">
        <v>43</v>
      </c>
      <c r="G51" s="698">
        <v>11</v>
      </c>
    </row>
    <row r="52" spans="1:7" ht="14.4">
      <c r="A52" s="762" t="s">
        <v>12</v>
      </c>
      <c r="B52" s="762" t="s">
        <v>219</v>
      </c>
      <c r="C52" s="929" t="s">
        <v>95</v>
      </c>
      <c r="D52" s="966">
        <v>32</v>
      </c>
      <c r="E52" s="949">
        <f t="shared" si="0"/>
        <v>5</v>
      </c>
      <c r="F52" s="966">
        <v>37</v>
      </c>
      <c r="G52" s="698">
        <v>12</v>
      </c>
    </row>
    <row r="53" spans="1:7" ht="14.4">
      <c r="A53" s="762" t="s">
        <v>12</v>
      </c>
      <c r="B53" s="762" t="s">
        <v>220</v>
      </c>
      <c r="C53" s="929" t="s">
        <v>95</v>
      </c>
      <c r="D53" s="966">
        <v>0</v>
      </c>
      <c r="E53" s="949">
        <f t="shared" si="0"/>
        <v>0</v>
      </c>
      <c r="F53" s="966">
        <v>0</v>
      </c>
      <c r="G53" s="698">
        <v>13</v>
      </c>
    </row>
    <row r="54" spans="1:7" ht="14.4">
      <c r="A54" s="762" t="s">
        <v>12</v>
      </c>
      <c r="B54" s="762" t="s">
        <v>296</v>
      </c>
      <c r="C54" s="956" t="s">
        <v>97</v>
      </c>
      <c r="D54" s="966">
        <v>0</v>
      </c>
      <c r="E54" s="949">
        <f t="shared" si="0"/>
        <v>0</v>
      </c>
      <c r="F54" s="966">
        <v>0</v>
      </c>
      <c r="G54" s="698">
        <v>14</v>
      </c>
    </row>
    <row r="55" spans="1:7" ht="14.4">
      <c r="A55" s="762" t="s">
        <v>12</v>
      </c>
      <c r="B55" s="762" t="s">
        <v>222</v>
      </c>
      <c r="C55" s="970" t="s">
        <v>122</v>
      </c>
      <c r="D55" s="971">
        <v>0</v>
      </c>
      <c r="E55" s="972">
        <f t="shared" si="0"/>
        <v>0</v>
      </c>
      <c r="F55" s="971">
        <v>0</v>
      </c>
      <c r="G55" s="698">
        <v>15</v>
      </c>
    </row>
    <row r="56" spans="1:7" ht="14.4">
      <c r="A56" s="762" t="s">
        <v>12</v>
      </c>
      <c r="B56" s="762" t="s">
        <v>225</v>
      </c>
      <c r="C56" s="973" t="s">
        <v>122</v>
      </c>
      <c r="D56" s="937">
        <v>15</v>
      </c>
      <c r="E56" s="937">
        <f t="shared" si="0"/>
        <v>9</v>
      </c>
      <c r="F56" s="937">
        <v>24</v>
      </c>
      <c r="G56" s="724"/>
    </row>
    <row r="57" spans="1:7" ht="14.4">
      <c r="A57" s="762" t="s">
        <v>12</v>
      </c>
      <c r="B57" s="762" t="s">
        <v>227</v>
      </c>
      <c r="C57" s="954" t="s">
        <v>118</v>
      </c>
      <c r="D57" s="937">
        <v>0</v>
      </c>
      <c r="E57" s="937">
        <f t="shared" si="0"/>
        <v>0</v>
      </c>
      <c r="F57" s="937">
        <v>0</v>
      </c>
      <c r="G57" s="724"/>
    </row>
    <row r="58" spans="1:7" ht="14.4">
      <c r="A58" s="762" t="s">
        <v>12</v>
      </c>
      <c r="B58" s="762" t="s">
        <v>229</v>
      </c>
      <c r="C58" s="968" t="s">
        <v>85</v>
      </c>
      <c r="D58" s="937">
        <v>0</v>
      </c>
      <c r="E58" s="937">
        <f t="shared" si="0"/>
        <v>0</v>
      </c>
      <c r="F58" s="937">
        <v>0</v>
      </c>
      <c r="G58" s="724"/>
    </row>
    <row r="59" spans="1:7" ht="14.4">
      <c r="A59" s="762" t="s">
        <v>12</v>
      </c>
      <c r="B59" s="762" t="s">
        <v>231</v>
      </c>
      <c r="C59" s="974" t="s">
        <v>82</v>
      </c>
      <c r="D59" s="937">
        <v>0</v>
      </c>
      <c r="E59" s="937">
        <f t="shared" si="0"/>
        <v>0</v>
      </c>
      <c r="F59" s="937">
        <v>0</v>
      </c>
      <c r="G59" s="724"/>
    </row>
    <row r="60" spans="1:7" ht="14.4">
      <c r="A60" s="774" t="s">
        <v>12</v>
      </c>
      <c r="B60" s="774" t="s">
        <v>232</v>
      </c>
      <c r="C60" s="967" t="s">
        <v>82</v>
      </c>
      <c r="D60" s="937">
        <v>0</v>
      </c>
      <c r="E60" s="937">
        <f t="shared" si="0"/>
        <v>0</v>
      </c>
      <c r="F60" s="937">
        <v>0</v>
      </c>
      <c r="G60" s="724"/>
    </row>
    <row r="61" spans="1:7" ht="14.4">
      <c r="A61" s="775" t="s">
        <v>16</v>
      </c>
      <c r="B61" s="775" t="s">
        <v>154</v>
      </c>
      <c r="C61" s="944" t="s">
        <v>106</v>
      </c>
      <c r="D61" s="975">
        <v>0</v>
      </c>
      <c r="E61" s="976">
        <f t="shared" si="0"/>
        <v>0</v>
      </c>
      <c r="F61" s="975">
        <v>0</v>
      </c>
      <c r="G61" s="698">
        <v>1</v>
      </c>
    </row>
    <row r="62" spans="1:7" ht="14.4">
      <c r="A62" s="775" t="s">
        <v>16</v>
      </c>
      <c r="B62" s="775" t="s">
        <v>155</v>
      </c>
      <c r="C62" s="977" t="s">
        <v>106</v>
      </c>
      <c r="D62" s="978">
        <v>28</v>
      </c>
      <c r="E62" s="949">
        <f t="shared" si="0"/>
        <v>7</v>
      </c>
      <c r="F62" s="978">
        <v>35</v>
      </c>
      <c r="G62" s="698">
        <v>2</v>
      </c>
    </row>
    <row r="63" spans="1:7" ht="14.4">
      <c r="A63" s="775" t="s">
        <v>16</v>
      </c>
      <c r="B63" s="775" t="s">
        <v>156</v>
      </c>
      <c r="C63" s="979" t="s">
        <v>79</v>
      </c>
      <c r="D63" s="978">
        <v>4</v>
      </c>
      <c r="E63" s="949">
        <f t="shared" si="0"/>
        <v>2</v>
      </c>
      <c r="F63" s="978">
        <v>6</v>
      </c>
      <c r="G63" s="698">
        <v>3</v>
      </c>
    </row>
    <row r="64" spans="1:7" ht="14.4">
      <c r="A64" s="775" t="s">
        <v>16</v>
      </c>
      <c r="B64" s="775" t="s">
        <v>157</v>
      </c>
      <c r="C64" s="980" t="s">
        <v>82</v>
      </c>
      <c r="D64" s="978">
        <v>0</v>
      </c>
      <c r="E64" s="949">
        <f t="shared" si="0"/>
        <v>0</v>
      </c>
      <c r="F64" s="978">
        <v>0</v>
      </c>
      <c r="G64" s="698">
        <v>4</v>
      </c>
    </row>
    <row r="65" spans="1:7" ht="14.4">
      <c r="A65" s="775" t="s">
        <v>16</v>
      </c>
      <c r="B65" s="775" t="s">
        <v>158</v>
      </c>
      <c r="C65" s="980" t="s">
        <v>82</v>
      </c>
      <c r="D65" s="978">
        <v>48</v>
      </c>
      <c r="E65" s="949">
        <f t="shared" si="0"/>
        <v>0</v>
      </c>
      <c r="F65" s="978">
        <v>48</v>
      </c>
      <c r="G65" s="698">
        <v>5</v>
      </c>
    </row>
    <row r="66" spans="1:7" ht="14.4">
      <c r="A66" s="775" t="s">
        <v>16</v>
      </c>
      <c r="B66" s="775" t="s">
        <v>159</v>
      </c>
      <c r="C66" s="981" t="s">
        <v>85</v>
      </c>
      <c r="D66" s="978">
        <v>43</v>
      </c>
      <c r="E66" s="949">
        <f t="shared" si="0"/>
        <v>0</v>
      </c>
      <c r="F66" s="978">
        <v>43</v>
      </c>
      <c r="G66" s="698">
        <v>6</v>
      </c>
    </row>
    <row r="67" spans="1:7" ht="14.4">
      <c r="A67" s="775" t="s">
        <v>16</v>
      </c>
      <c r="B67" s="775" t="s">
        <v>160</v>
      </c>
      <c r="C67" s="982" t="s">
        <v>88</v>
      </c>
      <c r="D67" s="978">
        <v>4</v>
      </c>
      <c r="E67" s="949">
        <f t="shared" si="0"/>
        <v>0</v>
      </c>
      <c r="F67" s="978">
        <v>4</v>
      </c>
      <c r="G67" s="698">
        <v>7</v>
      </c>
    </row>
    <row r="68" spans="1:7" ht="14.4">
      <c r="A68" s="775" t="s">
        <v>16</v>
      </c>
      <c r="B68" s="775" t="s">
        <v>161</v>
      </c>
      <c r="C68" s="983" t="s">
        <v>118</v>
      </c>
      <c r="D68" s="978">
        <v>0</v>
      </c>
      <c r="E68" s="949">
        <f t="shared" si="0"/>
        <v>0</v>
      </c>
      <c r="F68" s="978">
        <v>0</v>
      </c>
      <c r="G68" s="698">
        <v>8</v>
      </c>
    </row>
    <row r="69" spans="1:7" ht="14.4">
      <c r="A69" s="775" t="s">
        <v>16</v>
      </c>
      <c r="B69" s="775" t="s">
        <v>162</v>
      </c>
      <c r="C69" s="984" t="s">
        <v>91</v>
      </c>
      <c r="D69" s="978">
        <v>0</v>
      </c>
      <c r="E69" s="949">
        <f t="shared" si="0"/>
        <v>0</v>
      </c>
      <c r="F69" s="978">
        <v>0</v>
      </c>
      <c r="G69" s="698">
        <v>9</v>
      </c>
    </row>
    <row r="70" spans="1:7" ht="14.4">
      <c r="A70" s="775" t="s">
        <v>16</v>
      </c>
      <c r="B70" s="775" t="s">
        <v>163</v>
      </c>
      <c r="C70" s="984" t="s">
        <v>91</v>
      </c>
      <c r="D70" s="978">
        <v>0</v>
      </c>
      <c r="E70" s="949">
        <f t="shared" si="0"/>
        <v>0</v>
      </c>
      <c r="F70" s="978">
        <v>0</v>
      </c>
      <c r="G70" s="698">
        <v>10</v>
      </c>
    </row>
    <row r="71" spans="1:7" ht="14.4">
      <c r="A71" s="775" t="s">
        <v>16</v>
      </c>
      <c r="B71" s="775" t="s">
        <v>164</v>
      </c>
      <c r="C71" s="985" t="s">
        <v>95</v>
      </c>
      <c r="D71" s="978">
        <v>0</v>
      </c>
      <c r="E71" s="949">
        <f t="shared" si="0"/>
        <v>0</v>
      </c>
      <c r="F71" s="978">
        <v>0</v>
      </c>
      <c r="G71" s="698">
        <v>11</v>
      </c>
    </row>
    <row r="72" spans="1:7" ht="14.4">
      <c r="A72" s="775" t="s">
        <v>16</v>
      </c>
      <c r="B72" s="775" t="s">
        <v>165</v>
      </c>
      <c r="C72" s="985" t="s">
        <v>95</v>
      </c>
      <c r="D72" s="978">
        <v>0</v>
      </c>
      <c r="E72" s="949">
        <f t="shared" si="0"/>
        <v>0</v>
      </c>
      <c r="F72" s="978">
        <v>0</v>
      </c>
      <c r="G72" s="698">
        <v>12</v>
      </c>
    </row>
    <row r="73" spans="1:7" ht="14.4">
      <c r="A73" s="775" t="s">
        <v>16</v>
      </c>
      <c r="B73" s="775" t="s">
        <v>166</v>
      </c>
      <c r="C73" s="986" t="s">
        <v>97</v>
      </c>
      <c r="D73" s="978">
        <v>4</v>
      </c>
      <c r="E73" s="949">
        <f t="shared" si="0"/>
        <v>0</v>
      </c>
      <c r="F73" s="978">
        <v>4</v>
      </c>
      <c r="G73" s="698">
        <v>13</v>
      </c>
    </row>
    <row r="74" spans="1:7" ht="14.4">
      <c r="A74" s="775" t="s">
        <v>16</v>
      </c>
      <c r="B74" s="775" t="s">
        <v>167</v>
      </c>
      <c r="C74" s="987" t="s">
        <v>122</v>
      </c>
      <c r="D74" s="978">
        <v>11</v>
      </c>
      <c r="E74" s="949">
        <f t="shared" si="0"/>
        <v>0</v>
      </c>
      <c r="F74" s="978">
        <v>11</v>
      </c>
      <c r="G74" s="698">
        <v>14</v>
      </c>
    </row>
    <row r="75" spans="1:7" ht="14.4">
      <c r="A75" s="775" t="s">
        <v>16</v>
      </c>
      <c r="B75" s="775" t="s">
        <v>168</v>
      </c>
      <c r="C75" s="987" t="s">
        <v>122</v>
      </c>
      <c r="D75" s="988">
        <v>0</v>
      </c>
      <c r="E75" s="989">
        <f t="shared" si="0"/>
        <v>0</v>
      </c>
      <c r="F75" s="988">
        <v>0</v>
      </c>
      <c r="G75" s="698">
        <v>15</v>
      </c>
    </row>
    <row r="76" spans="1:7" ht="14.4">
      <c r="A76" s="775" t="s">
        <v>16</v>
      </c>
      <c r="B76" s="775" t="s">
        <v>170</v>
      </c>
      <c r="C76" s="990" t="s">
        <v>79</v>
      </c>
      <c r="D76" s="748">
        <v>0</v>
      </c>
      <c r="E76" s="748">
        <f t="shared" si="0"/>
        <v>0</v>
      </c>
      <c r="F76" s="748">
        <v>0</v>
      </c>
      <c r="G76" s="724"/>
    </row>
    <row r="77" spans="1:7" ht="14.4">
      <c r="A77" s="775" t="s">
        <v>16</v>
      </c>
      <c r="B77" s="775" t="s">
        <v>172</v>
      </c>
      <c r="C77" s="983" t="s">
        <v>118</v>
      </c>
      <c r="D77" s="748">
        <v>12</v>
      </c>
      <c r="E77" s="748">
        <f t="shared" si="0"/>
        <v>0</v>
      </c>
      <c r="F77" s="748">
        <v>12</v>
      </c>
      <c r="G77" s="724"/>
    </row>
    <row r="78" spans="1:7" ht="14.4">
      <c r="A78" s="775" t="s">
        <v>16</v>
      </c>
      <c r="B78" s="775" t="s">
        <v>174</v>
      </c>
      <c r="C78" s="985" t="s">
        <v>95</v>
      </c>
      <c r="D78" s="748">
        <v>0</v>
      </c>
      <c r="E78" s="748">
        <f t="shared" si="0"/>
        <v>0</v>
      </c>
      <c r="F78" s="748">
        <v>0</v>
      </c>
      <c r="G78" s="724"/>
    </row>
    <row r="79" spans="1:7" ht="14.4">
      <c r="A79" s="775" t="s">
        <v>16</v>
      </c>
      <c r="B79" s="775" t="s">
        <v>179</v>
      </c>
      <c r="C79" s="985" t="s">
        <v>95</v>
      </c>
      <c r="D79" s="748">
        <v>0</v>
      </c>
      <c r="E79" s="748">
        <f t="shared" si="0"/>
        <v>0</v>
      </c>
      <c r="F79" s="748">
        <v>0</v>
      </c>
      <c r="G79" s="724"/>
    </row>
    <row r="80" spans="1:7" ht="14.4">
      <c r="A80" s="775" t="s">
        <v>16</v>
      </c>
      <c r="B80" s="775" t="s">
        <v>180</v>
      </c>
      <c r="C80" s="983" t="s">
        <v>118</v>
      </c>
      <c r="D80" s="748">
        <v>17</v>
      </c>
      <c r="E80" s="748">
        <f t="shared" si="0"/>
        <v>0</v>
      </c>
      <c r="F80" s="748">
        <v>17</v>
      </c>
      <c r="G80" s="724"/>
    </row>
    <row r="81" spans="1:10" ht="14.4">
      <c r="A81" s="775" t="s">
        <v>16</v>
      </c>
      <c r="B81" s="775" t="s">
        <v>181</v>
      </c>
      <c r="C81" s="977" t="s">
        <v>106</v>
      </c>
      <c r="D81" s="748">
        <v>4</v>
      </c>
      <c r="E81" s="748">
        <f t="shared" si="0"/>
        <v>0</v>
      </c>
      <c r="F81" s="748">
        <v>4</v>
      </c>
      <c r="G81" s="724"/>
    </row>
    <row r="82" spans="1:10" ht="14.4">
      <c r="A82" s="791" t="s">
        <v>8</v>
      </c>
      <c r="B82" s="791" t="s">
        <v>304</v>
      </c>
      <c r="C82" s="991" t="s">
        <v>106</v>
      </c>
      <c r="D82" s="992">
        <v>43</v>
      </c>
      <c r="E82" s="993">
        <f t="shared" si="0"/>
        <v>0</v>
      </c>
      <c r="F82" s="992">
        <v>43</v>
      </c>
      <c r="G82" s="698">
        <v>1</v>
      </c>
    </row>
    <row r="83" spans="1:10" ht="14.4">
      <c r="A83" s="796" t="s">
        <v>8</v>
      </c>
      <c r="B83" s="796" t="s">
        <v>76</v>
      </c>
      <c r="C83" s="994" t="s">
        <v>79</v>
      </c>
      <c r="D83" s="995">
        <v>0</v>
      </c>
      <c r="E83" s="949">
        <f t="shared" si="0"/>
        <v>0</v>
      </c>
      <c r="F83" s="995">
        <v>0</v>
      </c>
      <c r="G83" s="698">
        <v>2</v>
      </c>
    </row>
    <row r="84" spans="1:10" ht="14.4">
      <c r="A84" s="796" t="s">
        <v>8</v>
      </c>
      <c r="B84" s="796" t="s">
        <v>80</v>
      </c>
      <c r="C84" s="994" t="s">
        <v>79</v>
      </c>
      <c r="D84" s="995">
        <v>18</v>
      </c>
      <c r="E84" s="949">
        <f t="shared" si="0"/>
        <v>7</v>
      </c>
      <c r="F84" s="995">
        <v>25</v>
      </c>
      <c r="G84" s="698">
        <v>3</v>
      </c>
    </row>
    <row r="85" spans="1:10" ht="14.4">
      <c r="A85" s="796" t="s">
        <v>8</v>
      </c>
      <c r="B85" s="796" t="s">
        <v>81</v>
      </c>
      <c r="C85" s="996" t="s">
        <v>82</v>
      </c>
      <c r="D85" s="995">
        <v>0</v>
      </c>
      <c r="E85" s="949">
        <f t="shared" si="0"/>
        <v>0</v>
      </c>
      <c r="F85" s="995">
        <v>0</v>
      </c>
      <c r="G85" s="698">
        <v>4</v>
      </c>
    </row>
    <row r="86" spans="1:10" ht="14.4">
      <c r="A86" s="796" t="s">
        <v>8</v>
      </c>
      <c r="B86" s="796" t="s">
        <v>293</v>
      </c>
      <c r="C86" s="996" t="s">
        <v>82</v>
      </c>
      <c r="D86" s="995">
        <v>52</v>
      </c>
      <c r="E86" s="949">
        <f t="shared" si="0"/>
        <v>0</v>
      </c>
      <c r="F86" s="995">
        <v>52</v>
      </c>
      <c r="G86" s="698">
        <v>5</v>
      </c>
    </row>
    <row r="87" spans="1:10" ht="14.4">
      <c r="A87" s="796" t="s">
        <v>8</v>
      </c>
      <c r="B87" s="796" t="s">
        <v>84</v>
      </c>
      <c r="C87" s="997" t="s">
        <v>85</v>
      </c>
      <c r="D87" s="995">
        <v>0</v>
      </c>
      <c r="E87" s="949">
        <f t="shared" si="0"/>
        <v>0</v>
      </c>
      <c r="F87" s="995">
        <v>0</v>
      </c>
      <c r="G87" s="698">
        <v>6</v>
      </c>
    </row>
    <row r="88" spans="1:10" ht="14.4">
      <c r="A88" s="796" t="s">
        <v>8</v>
      </c>
      <c r="B88" s="796" t="s">
        <v>86</v>
      </c>
      <c r="C88" s="998" t="s">
        <v>88</v>
      </c>
      <c r="D88" s="995">
        <v>0</v>
      </c>
      <c r="E88" s="949">
        <f t="shared" si="0"/>
        <v>0</v>
      </c>
      <c r="F88" s="995">
        <v>0</v>
      </c>
      <c r="G88" s="698">
        <v>7</v>
      </c>
    </row>
    <row r="89" spans="1:10" ht="14.4">
      <c r="A89" s="796" t="s">
        <v>8</v>
      </c>
      <c r="B89" s="796" t="s">
        <v>89</v>
      </c>
      <c r="C89" s="998" t="s">
        <v>88</v>
      </c>
      <c r="D89" s="995">
        <v>0</v>
      </c>
      <c r="E89" s="949">
        <f t="shared" si="0"/>
        <v>0</v>
      </c>
      <c r="F89" s="995">
        <v>0</v>
      </c>
      <c r="G89" s="698">
        <v>8</v>
      </c>
    </row>
    <row r="90" spans="1:10" ht="14.4">
      <c r="A90" s="796" t="s">
        <v>8</v>
      </c>
      <c r="B90" s="796" t="s">
        <v>90</v>
      </c>
      <c r="C90" s="999" t="s">
        <v>91</v>
      </c>
      <c r="D90" s="995">
        <v>1</v>
      </c>
      <c r="E90" s="949">
        <f t="shared" si="0"/>
        <v>0</v>
      </c>
      <c r="F90" s="995">
        <v>1</v>
      </c>
      <c r="G90" s="698">
        <v>9</v>
      </c>
    </row>
    <row r="91" spans="1:10" ht="14.4">
      <c r="A91" s="796" t="s">
        <v>8</v>
      </c>
      <c r="B91" s="796" t="s">
        <v>92</v>
      </c>
      <c r="C91" s="999" t="s">
        <v>91</v>
      </c>
      <c r="D91" s="995">
        <v>0</v>
      </c>
      <c r="E91" s="949">
        <f t="shared" si="0"/>
        <v>0</v>
      </c>
      <c r="F91" s="995">
        <v>0</v>
      </c>
      <c r="G91" s="698">
        <v>10</v>
      </c>
    </row>
    <row r="92" spans="1:10" ht="14.4">
      <c r="A92" s="796" t="s">
        <v>8</v>
      </c>
      <c r="B92" s="796" t="s">
        <v>93</v>
      </c>
      <c r="C92" s="999" t="s">
        <v>91</v>
      </c>
      <c r="D92" s="995">
        <v>10</v>
      </c>
      <c r="E92" s="949">
        <f t="shared" si="0"/>
        <v>0</v>
      </c>
      <c r="F92" s="995">
        <v>10</v>
      </c>
      <c r="G92" s="698">
        <v>11</v>
      </c>
    </row>
    <row r="93" spans="1:10" ht="14.4">
      <c r="A93" s="796" t="s">
        <v>8</v>
      </c>
      <c r="B93" s="796" t="s">
        <v>94</v>
      </c>
      <c r="C93" s="1000" t="s">
        <v>95</v>
      </c>
      <c r="D93" s="995">
        <v>0</v>
      </c>
      <c r="E93" s="949">
        <f t="shared" si="0"/>
        <v>0</v>
      </c>
      <c r="F93" s="995">
        <v>0</v>
      </c>
      <c r="G93" s="698">
        <v>12</v>
      </c>
    </row>
    <row r="94" spans="1:10" ht="14.4">
      <c r="A94" s="796" t="s">
        <v>8</v>
      </c>
      <c r="B94" s="796" t="s">
        <v>96</v>
      </c>
      <c r="C94" s="1001" t="s">
        <v>97</v>
      </c>
      <c r="D94" s="995">
        <v>49</v>
      </c>
      <c r="E94" s="949">
        <f t="shared" si="0"/>
        <v>0</v>
      </c>
      <c r="F94" s="995">
        <v>49</v>
      </c>
      <c r="G94" s="698">
        <v>13</v>
      </c>
    </row>
    <row r="95" spans="1:10" ht="14.4">
      <c r="A95" s="796" t="s">
        <v>8</v>
      </c>
      <c r="B95" s="796" t="s">
        <v>98</v>
      </c>
      <c r="C95" s="1001" t="s">
        <v>97</v>
      </c>
      <c r="D95" s="995">
        <v>14</v>
      </c>
      <c r="E95" s="949">
        <f t="shared" si="0"/>
        <v>0</v>
      </c>
      <c r="F95" s="995">
        <v>14</v>
      </c>
      <c r="G95" s="698">
        <v>14</v>
      </c>
    </row>
    <row r="96" spans="1:10" ht="14.4">
      <c r="A96" s="796" t="s">
        <v>8</v>
      </c>
      <c r="B96" s="796" t="s">
        <v>303</v>
      </c>
      <c r="C96" s="998" t="s">
        <v>88</v>
      </c>
      <c r="D96" s="1002">
        <v>58</v>
      </c>
      <c r="E96" s="1003">
        <f t="shared" si="0"/>
        <v>0</v>
      </c>
      <c r="F96" s="1002">
        <v>58</v>
      </c>
      <c r="G96" s="698">
        <v>15</v>
      </c>
      <c r="H96" s="519" t="s">
        <v>12</v>
      </c>
      <c r="I96" s="519" t="s">
        <v>311</v>
      </c>
      <c r="J96" s="519" t="s">
        <v>312</v>
      </c>
    </row>
    <row r="97" spans="1:10" ht="14.4">
      <c r="A97" s="796" t="s">
        <v>8</v>
      </c>
      <c r="B97" s="796" t="s">
        <v>103</v>
      </c>
      <c r="C97" s="1004" t="s">
        <v>82</v>
      </c>
      <c r="D97" s="806">
        <v>47</v>
      </c>
      <c r="E97" s="806">
        <f ca="1">J97-H97</f>
        <v>0</v>
      </c>
      <c r="F97" s="806">
        <v>47</v>
      </c>
      <c r="G97" s="698">
        <v>16</v>
      </c>
      <c r="H97" s="1005">
        <f ca="1">F97-I97-E97</f>
        <v>13</v>
      </c>
      <c r="I97" s="1005">
        <v>34</v>
      </c>
      <c r="J97" s="1005">
        <f>F97-I97</f>
        <v>13</v>
      </c>
    </row>
    <row r="98" spans="1:10" ht="14.4">
      <c r="A98" s="796" t="s">
        <v>8</v>
      </c>
      <c r="B98" s="796" t="s">
        <v>104</v>
      </c>
      <c r="C98" s="997" t="s">
        <v>85</v>
      </c>
      <c r="D98" s="748">
        <v>0</v>
      </c>
      <c r="E98" s="748">
        <f t="shared" ref="E98:E107" si="1">F98-D98</f>
        <v>0</v>
      </c>
      <c r="F98" s="748">
        <v>0</v>
      </c>
      <c r="G98" s="724"/>
    </row>
    <row r="99" spans="1:10" ht="14.4">
      <c r="A99" s="796" t="s">
        <v>8</v>
      </c>
      <c r="B99" s="796" t="s">
        <v>105</v>
      </c>
      <c r="C99" s="1006" t="s">
        <v>106</v>
      </c>
      <c r="D99" s="748">
        <v>0</v>
      </c>
      <c r="E99" s="748">
        <f t="shared" si="1"/>
        <v>0</v>
      </c>
      <c r="F99" s="748">
        <v>0</v>
      </c>
      <c r="G99" s="724"/>
    </row>
    <row r="100" spans="1:10" ht="14.4">
      <c r="A100" s="796" t="s">
        <v>8</v>
      </c>
      <c r="B100" s="796" t="s">
        <v>115</v>
      </c>
      <c r="C100" s="1007" t="s">
        <v>79</v>
      </c>
      <c r="D100" s="748">
        <v>0</v>
      </c>
      <c r="E100" s="748">
        <f t="shared" si="1"/>
        <v>0</v>
      </c>
      <c r="F100" s="748">
        <v>0</v>
      </c>
      <c r="G100" s="724"/>
    </row>
    <row r="101" spans="1:10" ht="14.4">
      <c r="A101" s="796" t="s">
        <v>8</v>
      </c>
      <c r="B101" s="796" t="s">
        <v>117</v>
      </c>
      <c r="C101" s="1008" t="s">
        <v>118</v>
      </c>
      <c r="D101" s="748">
        <v>6</v>
      </c>
      <c r="E101" s="748">
        <f t="shared" si="1"/>
        <v>0</v>
      </c>
      <c r="F101" s="748">
        <v>6</v>
      </c>
      <c r="G101" s="724"/>
    </row>
    <row r="102" spans="1:10" ht="14.4">
      <c r="A102" s="796" t="s">
        <v>8</v>
      </c>
      <c r="B102" s="796" t="s">
        <v>119</v>
      </c>
      <c r="C102" s="1000" t="s">
        <v>95</v>
      </c>
      <c r="D102" s="748">
        <v>1</v>
      </c>
      <c r="E102" s="748">
        <f t="shared" si="1"/>
        <v>0</v>
      </c>
      <c r="F102" s="748">
        <v>1</v>
      </c>
      <c r="G102" s="724"/>
    </row>
    <row r="103" spans="1:10" ht="14.4">
      <c r="A103" s="796" t="s">
        <v>8</v>
      </c>
      <c r="B103" s="796" t="s">
        <v>120</v>
      </c>
      <c r="C103" s="999" t="s">
        <v>91</v>
      </c>
      <c r="D103" s="748">
        <v>0</v>
      </c>
      <c r="E103" s="748">
        <f t="shared" si="1"/>
        <v>0</v>
      </c>
      <c r="F103" s="748">
        <v>0</v>
      </c>
      <c r="G103" s="724"/>
    </row>
    <row r="104" spans="1:10" ht="14.4">
      <c r="A104" s="796" t="s">
        <v>8</v>
      </c>
      <c r="B104" s="796" t="s">
        <v>121</v>
      </c>
      <c r="C104" s="1009" t="s">
        <v>122</v>
      </c>
      <c r="D104" s="748">
        <v>0</v>
      </c>
      <c r="E104" s="748">
        <f t="shared" si="1"/>
        <v>0</v>
      </c>
      <c r="F104" s="748">
        <v>0</v>
      </c>
      <c r="G104" s="724"/>
    </row>
    <row r="105" spans="1:10" ht="14.4">
      <c r="A105" s="796" t="s">
        <v>8</v>
      </c>
      <c r="B105" s="796" t="s">
        <v>316</v>
      </c>
      <c r="C105" s="999" t="s">
        <v>91</v>
      </c>
      <c r="D105" s="748">
        <v>0</v>
      </c>
      <c r="E105" s="748">
        <f t="shared" si="1"/>
        <v>0</v>
      </c>
      <c r="F105" s="748">
        <v>0</v>
      </c>
      <c r="G105" s="724"/>
    </row>
    <row r="106" spans="1:10" ht="14.4">
      <c r="A106" s="796" t="s">
        <v>8</v>
      </c>
      <c r="B106" s="796" t="s">
        <v>124</v>
      </c>
      <c r="C106" s="1000" t="s">
        <v>95</v>
      </c>
      <c r="D106" s="748">
        <v>28</v>
      </c>
      <c r="E106" s="748">
        <f t="shared" si="1"/>
        <v>3</v>
      </c>
      <c r="F106" s="748">
        <v>31</v>
      </c>
      <c r="G106" s="724"/>
    </row>
    <row r="107" spans="1:10" ht="14.4">
      <c r="A107" s="796" t="s">
        <v>8</v>
      </c>
      <c r="B107" s="796" t="s">
        <v>125</v>
      </c>
      <c r="C107" s="994" t="s">
        <v>79</v>
      </c>
      <c r="D107" s="748">
        <v>0</v>
      </c>
      <c r="E107" s="748">
        <f t="shared" si="1"/>
        <v>0</v>
      </c>
      <c r="F107" s="748">
        <v>0</v>
      </c>
      <c r="G107" s="724"/>
    </row>
    <row r="108" spans="1:10" ht="13.2">
      <c r="G108" s="686"/>
    </row>
    <row r="109" spans="1:10" ht="13.2">
      <c r="G109" s="686"/>
    </row>
    <row r="110" spans="1:10" ht="13.2">
      <c r="G110" s="686"/>
    </row>
    <row r="111" spans="1:10" ht="13.2">
      <c r="G111" s="686"/>
    </row>
    <row r="112" spans="1:10" ht="13.2">
      <c r="G112" s="686"/>
    </row>
    <row r="113" spans="7:7" ht="13.2">
      <c r="G113" s="686"/>
    </row>
    <row r="114" spans="7:7" ht="13.2">
      <c r="G114" s="686"/>
    </row>
    <row r="115" spans="7:7" ht="13.2">
      <c r="G115" s="686"/>
    </row>
    <row r="116" spans="7:7" ht="13.2">
      <c r="G116" s="686"/>
    </row>
    <row r="117" spans="7:7" ht="13.2">
      <c r="G117" s="686"/>
    </row>
    <row r="118" spans="7:7" ht="13.2">
      <c r="G118" s="686"/>
    </row>
    <row r="119" spans="7:7" ht="13.2">
      <c r="G119" s="686"/>
    </row>
    <row r="120" spans="7:7" ht="13.2">
      <c r="G120" s="686"/>
    </row>
    <row r="121" spans="7:7" ht="13.2">
      <c r="G121" s="686"/>
    </row>
    <row r="122" spans="7:7" ht="13.2">
      <c r="G122" s="686"/>
    </row>
    <row r="123" spans="7:7" ht="13.2">
      <c r="G123" s="686"/>
    </row>
    <row r="124" spans="7:7" ht="13.2">
      <c r="G124" s="686"/>
    </row>
    <row r="125" spans="7:7" ht="13.2">
      <c r="G125" s="686"/>
    </row>
    <row r="126" spans="7:7" ht="13.2">
      <c r="G126" s="686"/>
    </row>
    <row r="127" spans="7:7" ht="13.2">
      <c r="G127" s="686"/>
    </row>
    <row r="128" spans="7:7" ht="13.2">
      <c r="G128" s="686"/>
    </row>
    <row r="129" spans="7:7" ht="13.2">
      <c r="G129" s="686"/>
    </row>
    <row r="130" spans="7:7" ht="13.2">
      <c r="G130" s="686"/>
    </row>
    <row r="131" spans="7:7" ht="13.2">
      <c r="G131" s="686"/>
    </row>
    <row r="132" spans="7:7" ht="13.2">
      <c r="G132" s="686"/>
    </row>
    <row r="133" spans="7:7" ht="13.2">
      <c r="G133" s="686"/>
    </row>
    <row r="134" spans="7:7" ht="13.2">
      <c r="G134" s="686"/>
    </row>
    <row r="135" spans="7:7" ht="13.2">
      <c r="G135" s="686"/>
    </row>
    <row r="136" spans="7:7" ht="13.2">
      <c r="G136" s="686"/>
    </row>
    <row r="137" spans="7:7" ht="13.2">
      <c r="G137" s="686"/>
    </row>
    <row r="138" spans="7:7" ht="13.2">
      <c r="G138" s="686"/>
    </row>
    <row r="139" spans="7:7" ht="13.2">
      <c r="G139" s="686"/>
    </row>
    <row r="140" spans="7:7" ht="13.2">
      <c r="G140" s="686"/>
    </row>
    <row r="141" spans="7:7" ht="13.2">
      <c r="G141" s="686"/>
    </row>
    <row r="142" spans="7:7" ht="13.2">
      <c r="G142" s="686"/>
    </row>
    <row r="143" spans="7:7" ht="13.2">
      <c r="G143" s="686"/>
    </row>
    <row r="144" spans="7:7" ht="13.2">
      <c r="G144" s="686"/>
    </row>
    <row r="145" spans="7:7" ht="13.2">
      <c r="G145" s="686"/>
    </row>
    <row r="146" spans="7:7" ht="13.2">
      <c r="G146" s="686"/>
    </row>
    <row r="147" spans="7:7" ht="13.2">
      <c r="G147" s="686"/>
    </row>
    <row r="148" spans="7:7" ht="13.2">
      <c r="G148" s="686"/>
    </row>
    <row r="149" spans="7:7" ht="13.2">
      <c r="G149" s="686"/>
    </row>
    <row r="150" spans="7:7" ht="13.2">
      <c r="G150" s="686"/>
    </row>
    <row r="151" spans="7:7" ht="13.2">
      <c r="G151" s="686"/>
    </row>
    <row r="152" spans="7:7" ht="13.2">
      <c r="G152" s="686"/>
    </row>
    <row r="153" spans="7:7" ht="13.2">
      <c r="G153" s="686"/>
    </row>
    <row r="154" spans="7:7" ht="13.2">
      <c r="G154" s="686"/>
    </row>
    <row r="155" spans="7:7" ht="13.2">
      <c r="G155" s="686"/>
    </row>
    <row r="156" spans="7:7" ht="13.2">
      <c r="G156" s="686"/>
    </row>
    <row r="157" spans="7:7" ht="13.2">
      <c r="G157" s="686"/>
    </row>
    <row r="158" spans="7:7" ht="13.2">
      <c r="G158" s="686"/>
    </row>
    <row r="159" spans="7:7" ht="13.2">
      <c r="G159" s="686"/>
    </row>
    <row r="160" spans="7:7" ht="13.2">
      <c r="G160" s="686"/>
    </row>
    <row r="161" spans="7:7" ht="13.2">
      <c r="G161" s="686"/>
    </row>
    <row r="162" spans="7:7" ht="13.2">
      <c r="G162" s="686"/>
    </row>
    <row r="163" spans="7:7" ht="13.2">
      <c r="G163" s="686"/>
    </row>
    <row r="164" spans="7:7" ht="13.2">
      <c r="G164" s="686"/>
    </row>
    <row r="165" spans="7:7" ht="13.2">
      <c r="G165" s="686"/>
    </row>
    <row r="166" spans="7:7" ht="13.2">
      <c r="G166" s="686"/>
    </row>
    <row r="167" spans="7:7" ht="13.2">
      <c r="G167" s="686"/>
    </row>
    <row r="168" spans="7:7" ht="13.2">
      <c r="G168" s="686"/>
    </row>
    <row r="169" spans="7:7" ht="13.2">
      <c r="G169" s="686"/>
    </row>
    <row r="170" spans="7:7" ht="13.2">
      <c r="G170" s="686"/>
    </row>
    <row r="171" spans="7:7" ht="13.2">
      <c r="G171" s="686"/>
    </row>
    <row r="172" spans="7:7" ht="13.2">
      <c r="G172" s="686"/>
    </row>
    <row r="173" spans="7:7" ht="13.2">
      <c r="G173" s="686"/>
    </row>
    <row r="174" spans="7:7" ht="13.2">
      <c r="G174" s="686"/>
    </row>
    <row r="175" spans="7:7" ht="13.2">
      <c r="G175" s="686"/>
    </row>
    <row r="176" spans="7:7" ht="13.2">
      <c r="G176" s="686"/>
    </row>
    <row r="177" spans="7:7" ht="13.2">
      <c r="G177" s="686"/>
    </row>
    <row r="178" spans="7:7" ht="13.2">
      <c r="G178" s="686"/>
    </row>
    <row r="179" spans="7:7" ht="13.2">
      <c r="G179" s="686"/>
    </row>
    <row r="180" spans="7:7" ht="13.2">
      <c r="G180" s="686"/>
    </row>
    <row r="181" spans="7:7" ht="13.2">
      <c r="G181" s="686"/>
    </row>
    <row r="182" spans="7:7" ht="13.2">
      <c r="G182" s="686"/>
    </row>
    <row r="183" spans="7:7" ht="13.2">
      <c r="G183" s="686"/>
    </row>
    <row r="184" spans="7:7" ht="13.2">
      <c r="G184" s="686"/>
    </row>
    <row r="185" spans="7:7" ht="13.2">
      <c r="G185" s="686"/>
    </row>
    <row r="186" spans="7:7" ht="13.2">
      <c r="G186" s="686"/>
    </row>
    <row r="187" spans="7:7" ht="13.2">
      <c r="G187" s="686"/>
    </row>
    <row r="188" spans="7:7" ht="13.2">
      <c r="G188" s="686"/>
    </row>
    <row r="189" spans="7:7" ht="13.2">
      <c r="G189" s="686"/>
    </row>
    <row r="190" spans="7:7" ht="13.2">
      <c r="G190" s="686"/>
    </row>
    <row r="191" spans="7:7" ht="13.2">
      <c r="G191" s="686"/>
    </row>
    <row r="192" spans="7:7" ht="13.2">
      <c r="G192" s="686"/>
    </row>
    <row r="193" spans="7:7" ht="13.2">
      <c r="G193" s="686"/>
    </row>
    <row r="194" spans="7:7" ht="13.2">
      <c r="G194" s="686"/>
    </row>
    <row r="195" spans="7:7" ht="13.2">
      <c r="G195" s="686"/>
    </row>
    <row r="196" spans="7:7" ht="13.2">
      <c r="G196" s="686"/>
    </row>
    <row r="197" spans="7:7" ht="13.2">
      <c r="G197" s="686"/>
    </row>
    <row r="198" spans="7:7" ht="13.2">
      <c r="G198" s="686"/>
    </row>
    <row r="199" spans="7:7" ht="13.2">
      <c r="G199" s="686"/>
    </row>
    <row r="200" spans="7:7" ht="13.2">
      <c r="G200" s="686"/>
    </row>
    <row r="201" spans="7:7" ht="13.2">
      <c r="G201" s="686"/>
    </row>
    <row r="202" spans="7:7" ht="13.2">
      <c r="G202" s="686"/>
    </row>
    <row r="203" spans="7:7" ht="13.2">
      <c r="G203" s="686"/>
    </row>
    <row r="204" spans="7:7" ht="13.2">
      <c r="G204" s="686"/>
    </row>
    <row r="205" spans="7:7" ht="13.2">
      <c r="G205" s="686"/>
    </row>
    <row r="206" spans="7:7" ht="13.2">
      <c r="G206" s="686"/>
    </row>
    <row r="207" spans="7:7" ht="13.2">
      <c r="G207" s="686"/>
    </row>
    <row r="208" spans="7:7" ht="13.2">
      <c r="G208" s="686"/>
    </row>
    <row r="209" spans="7:7" ht="13.2">
      <c r="G209" s="686"/>
    </row>
    <row r="210" spans="7:7" ht="13.2">
      <c r="G210" s="686"/>
    </row>
    <row r="211" spans="7:7" ht="13.2">
      <c r="G211" s="686"/>
    </row>
    <row r="212" spans="7:7" ht="13.2">
      <c r="G212" s="686"/>
    </row>
    <row r="213" spans="7:7" ht="13.2">
      <c r="G213" s="686"/>
    </row>
    <row r="214" spans="7:7" ht="13.2">
      <c r="G214" s="686"/>
    </row>
    <row r="215" spans="7:7" ht="13.2">
      <c r="G215" s="686"/>
    </row>
    <row r="216" spans="7:7" ht="13.2">
      <c r="G216" s="686"/>
    </row>
    <row r="217" spans="7:7" ht="13.2">
      <c r="G217" s="686"/>
    </row>
    <row r="218" spans="7:7" ht="13.2">
      <c r="G218" s="686"/>
    </row>
    <row r="219" spans="7:7" ht="13.2">
      <c r="G219" s="686"/>
    </row>
    <row r="220" spans="7:7" ht="13.2">
      <c r="G220" s="686"/>
    </row>
    <row r="221" spans="7:7" ht="13.2">
      <c r="G221" s="686"/>
    </row>
    <row r="222" spans="7:7" ht="13.2">
      <c r="G222" s="686"/>
    </row>
    <row r="223" spans="7:7" ht="13.2">
      <c r="G223" s="686"/>
    </row>
    <row r="224" spans="7:7" ht="13.2">
      <c r="G224" s="686"/>
    </row>
    <row r="225" spans="7:7" ht="13.2">
      <c r="G225" s="686"/>
    </row>
    <row r="226" spans="7:7" ht="13.2">
      <c r="G226" s="686"/>
    </row>
    <row r="227" spans="7:7" ht="13.2">
      <c r="G227" s="686"/>
    </row>
    <row r="228" spans="7:7" ht="13.2">
      <c r="G228" s="686"/>
    </row>
    <row r="229" spans="7:7" ht="13.2">
      <c r="G229" s="686"/>
    </row>
    <row r="230" spans="7:7" ht="13.2">
      <c r="G230" s="686"/>
    </row>
    <row r="231" spans="7:7" ht="13.2">
      <c r="G231" s="686"/>
    </row>
    <row r="232" spans="7:7" ht="13.2">
      <c r="G232" s="686"/>
    </row>
    <row r="233" spans="7:7" ht="13.2">
      <c r="G233" s="686"/>
    </row>
    <row r="234" spans="7:7" ht="13.2">
      <c r="G234" s="686"/>
    </row>
    <row r="235" spans="7:7" ht="13.2">
      <c r="G235" s="686"/>
    </row>
    <row r="236" spans="7:7" ht="13.2">
      <c r="G236" s="686"/>
    </row>
    <row r="237" spans="7:7" ht="13.2">
      <c r="G237" s="686"/>
    </row>
    <row r="238" spans="7:7" ht="13.2">
      <c r="G238" s="686"/>
    </row>
    <row r="239" spans="7:7" ht="13.2">
      <c r="G239" s="686"/>
    </row>
    <row r="240" spans="7:7" ht="13.2">
      <c r="G240" s="686"/>
    </row>
    <row r="241" spans="7:7" ht="13.2">
      <c r="G241" s="686"/>
    </row>
    <row r="242" spans="7:7" ht="13.2">
      <c r="G242" s="686"/>
    </row>
    <row r="243" spans="7:7" ht="13.2">
      <c r="G243" s="686"/>
    </row>
    <row r="244" spans="7:7" ht="13.2">
      <c r="G244" s="686"/>
    </row>
    <row r="245" spans="7:7" ht="13.2">
      <c r="G245" s="686"/>
    </row>
    <row r="246" spans="7:7" ht="13.2">
      <c r="G246" s="686"/>
    </row>
    <row r="247" spans="7:7" ht="13.2">
      <c r="G247" s="686"/>
    </row>
    <row r="248" spans="7:7" ht="13.2">
      <c r="G248" s="686"/>
    </row>
    <row r="249" spans="7:7" ht="13.2">
      <c r="G249" s="686"/>
    </row>
    <row r="250" spans="7:7" ht="13.2">
      <c r="G250" s="686"/>
    </row>
    <row r="251" spans="7:7" ht="13.2">
      <c r="G251" s="686"/>
    </row>
    <row r="252" spans="7:7" ht="13.2">
      <c r="G252" s="686"/>
    </row>
    <row r="253" spans="7:7" ht="13.2">
      <c r="G253" s="686"/>
    </row>
    <row r="254" spans="7:7" ht="13.2">
      <c r="G254" s="686"/>
    </row>
    <row r="255" spans="7:7" ht="13.2">
      <c r="G255" s="686"/>
    </row>
    <row r="256" spans="7:7" ht="13.2">
      <c r="G256" s="686"/>
    </row>
    <row r="257" spans="7:7" ht="13.2">
      <c r="G257" s="686"/>
    </row>
    <row r="258" spans="7:7" ht="13.2">
      <c r="G258" s="686"/>
    </row>
    <row r="259" spans="7:7" ht="13.2">
      <c r="G259" s="686"/>
    </row>
    <row r="260" spans="7:7" ht="13.2">
      <c r="G260" s="686"/>
    </row>
    <row r="261" spans="7:7" ht="13.2">
      <c r="G261" s="686"/>
    </row>
    <row r="262" spans="7:7" ht="13.2">
      <c r="G262" s="686"/>
    </row>
    <row r="263" spans="7:7" ht="13.2">
      <c r="G263" s="686"/>
    </row>
    <row r="264" spans="7:7" ht="13.2">
      <c r="G264" s="686"/>
    </row>
    <row r="265" spans="7:7" ht="13.2">
      <c r="G265" s="686"/>
    </row>
    <row r="266" spans="7:7" ht="13.2">
      <c r="G266" s="686"/>
    </row>
    <row r="267" spans="7:7" ht="13.2">
      <c r="G267" s="686"/>
    </row>
    <row r="268" spans="7:7" ht="13.2">
      <c r="G268" s="686"/>
    </row>
    <row r="269" spans="7:7" ht="13.2">
      <c r="G269" s="686"/>
    </row>
    <row r="270" spans="7:7" ht="13.2">
      <c r="G270" s="686"/>
    </row>
    <row r="271" spans="7:7" ht="13.2">
      <c r="G271" s="686"/>
    </row>
    <row r="272" spans="7:7" ht="13.2">
      <c r="G272" s="686"/>
    </row>
    <row r="273" spans="7:7" ht="13.2">
      <c r="G273" s="686"/>
    </row>
    <row r="274" spans="7:7" ht="13.2">
      <c r="G274" s="686"/>
    </row>
    <row r="275" spans="7:7" ht="13.2">
      <c r="G275" s="686"/>
    </row>
    <row r="276" spans="7:7" ht="13.2">
      <c r="G276" s="686"/>
    </row>
    <row r="277" spans="7:7" ht="13.2">
      <c r="G277" s="686"/>
    </row>
    <row r="278" spans="7:7" ht="13.2">
      <c r="G278" s="686"/>
    </row>
    <row r="279" spans="7:7" ht="13.2">
      <c r="G279" s="686"/>
    </row>
    <row r="280" spans="7:7" ht="13.2">
      <c r="G280" s="686"/>
    </row>
    <row r="281" spans="7:7" ht="13.2">
      <c r="G281" s="686"/>
    </row>
    <row r="282" spans="7:7" ht="13.2">
      <c r="G282" s="686"/>
    </row>
    <row r="283" spans="7:7" ht="13.2">
      <c r="G283" s="686"/>
    </row>
    <row r="284" spans="7:7" ht="13.2">
      <c r="G284" s="686"/>
    </row>
    <row r="285" spans="7:7" ht="13.2">
      <c r="G285" s="686"/>
    </row>
    <row r="286" spans="7:7" ht="13.2">
      <c r="G286" s="686"/>
    </row>
    <row r="287" spans="7:7" ht="13.2">
      <c r="G287" s="686"/>
    </row>
    <row r="288" spans="7:7" ht="13.2">
      <c r="G288" s="686"/>
    </row>
    <row r="289" spans="7:7" ht="13.2">
      <c r="G289" s="686"/>
    </row>
    <row r="290" spans="7:7" ht="13.2">
      <c r="G290" s="686"/>
    </row>
    <row r="291" spans="7:7" ht="13.2">
      <c r="G291" s="686"/>
    </row>
    <row r="292" spans="7:7" ht="13.2">
      <c r="G292" s="686"/>
    </row>
    <row r="293" spans="7:7" ht="13.2">
      <c r="G293" s="686"/>
    </row>
    <row r="294" spans="7:7" ht="13.2">
      <c r="G294" s="686"/>
    </row>
    <row r="295" spans="7:7" ht="13.2">
      <c r="G295" s="686"/>
    </row>
    <row r="296" spans="7:7" ht="13.2">
      <c r="G296" s="686"/>
    </row>
    <row r="297" spans="7:7" ht="13.2">
      <c r="G297" s="686"/>
    </row>
    <row r="298" spans="7:7" ht="13.2">
      <c r="G298" s="686"/>
    </row>
    <row r="299" spans="7:7" ht="13.2">
      <c r="G299" s="686"/>
    </row>
    <row r="300" spans="7:7" ht="13.2">
      <c r="G300" s="686"/>
    </row>
    <row r="301" spans="7:7" ht="13.2">
      <c r="G301" s="686"/>
    </row>
    <row r="302" spans="7:7" ht="13.2">
      <c r="G302" s="686"/>
    </row>
    <row r="303" spans="7:7" ht="13.2">
      <c r="G303" s="686"/>
    </row>
    <row r="304" spans="7:7" ht="13.2">
      <c r="G304" s="686"/>
    </row>
    <row r="305" spans="7:7" ht="13.2">
      <c r="G305" s="686"/>
    </row>
    <row r="306" spans="7:7" ht="13.2">
      <c r="G306" s="686"/>
    </row>
    <row r="307" spans="7:7" ht="13.2">
      <c r="G307" s="686"/>
    </row>
    <row r="308" spans="7:7" ht="13.2">
      <c r="G308" s="686"/>
    </row>
    <row r="309" spans="7:7" ht="13.2">
      <c r="G309" s="686"/>
    </row>
    <row r="310" spans="7:7" ht="13.2">
      <c r="G310" s="686"/>
    </row>
    <row r="311" spans="7:7" ht="13.2">
      <c r="G311" s="686"/>
    </row>
    <row r="312" spans="7:7" ht="13.2">
      <c r="G312" s="686"/>
    </row>
    <row r="313" spans="7:7" ht="13.2">
      <c r="G313" s="686"/>
    </row>
    <row r="314" spans="7:7" ht="13.2">
      <c r="G314" s="686"/>
    </row>
    <row r="315" spans="7:7" ht="13.2">
      <c r="G315" s="686"/>
    </row>
    <row r="316" spans="7:7" ht="13.2">
      <c r="G316" s="686"/>
    </row>
    <row r="317" spans="7:7" ht="13.2">
      <c r="G317" s="686"/>
    </row>
    <row r="318" spans="7:7" ht="13.2">
      <c r="G318" s="686"/>
    </row>
    <row r="319" spans="7:7" ht="13.2">
      <c r="G319" s="686"/>
    </row>
    <row r="320" spans="7:7" ht="13.2">
      <c r="G320" s="686"/>
    </row>
    <row r="321" spans="7:7" ht="13.2">
      <c r="G321" s="686"/>
    </row>
    <row r="322" spans="7:7" ht="13.2">
      <c r="G322" s="686"/>
    </row>
    <row r="323" spans="7:7" ht="13.2">
      <c r="G323" s="686"/>
    </row>
    <row r="324" spans="7:7" ht="13.2">
      <c r="G324" s="686"/>
    </row>
    <row r="325" spans="7:7" ht="13.2">
      <c r="G325" s="686"/>
    </row>
    <row r="326" spans="7:7" ht="13.2">
      <c r="G326" s="686"/>
    </row>
    <row r="327" spans="7:7" ht="13.2">
      <c r="G327" s="686"/>
    </row>
    <row r="328" spans="7:7" ht="13.2">
      <c r="G328" s="686"/>
    </row>
    <row r="329" spans="7:7" ht="13.2">
      <c r="G329" s="686"/>
    </row>
    <row r="330" spans="7:7" ht="13.2">
      <c r="G330" s="686"/>
    </row>
    <row r="331" spans="7:7" ht="13.2">
      <c r="G331" s="686"/>
    </row>
    <row r="332" spans="7:7" ht="13.2">
      <c r="G332" s="686"/>
    </row>
    <row r="333" spans="7:7" ht="13.2">
      <c r="G333" s="686"/>
    </row>
    <row r="334" spans="7:7" ht="13.2">
      <c r="G334" s="686"/>
    </row>
    <row r="335" spans="7:7" ht="13.2">
      <c r="G335" s="686"/>
    </row>
    <row r="336" spans="7:7" ht="13.2">
      <c r="G336" s="686"/>
    </row>
    <row r="337" spans="7:7" ht="13.2">
      <c r="G337" s="686"/>
    </row>
    <row r="338" spans="7:7" ht="13.2">
      <c r="G338" s="686"/>
    </row>
    <row r="339" spans="7:7" ht="13.2">
      <c r="G339" s="686"/>
    </row>
    <row r="340" spans="7:7" ht="13.2">
      <c r="G340" s="686"/>
    </row>
    <row r="341" spans="7:7" ht="13.2">
      <c r="G341" s="686"/>
    </row>
    <row r="342" spans="7:7" ht="13.2">
      <c r="G342" s="686"/>
    </row>
    <row r="343" spans="7:7" ht="13.2">
      <c r="G343" s="686"/>
    </row>
    <row r="344" spans="7:7" ht="13.2">
      <c r="G344" s="686"/>
    </row>
    <row r="345" spans="7:7" ht="13.2">
      <c r="G345" s="686"/>
    </row>
    <row r="346" spans="7:7" ht="13.2">
      <c r="G346" s="686"/>
    </row>
    <row r="347" spans="7:7" ht="13.2">
      <c r="G347" s="686"/>
    </row>
    <row r="348" spans="7:7" ht="13.2">
      <c r="G348" s="686"/>
    </row>
    <row r="349" spans="7:7" ht="13.2">
      <c r="G349" s="686"/>
    </row>
    <row r="350" spans="7:7" ht="13.2">
      <c r="G350" s="686"/>
    </row>
    <row r="351" spans="7:7" ht="13.2">
      <c r="G351" s="686"/>
    </row>
    <row r="352" spans="7:7" ht="13.2">
      <c r="G352" s="686"/>
    </row>
    <row r="353" spans="7:7" ht="13.2">
      <c r="G353" s="686"/>
    </row>
    <row r="354" spans="7:7" ht="13.2">
      <c r="G354" s="686"/>
    </row>
    <row r="355" spans="7:7" ht="13.2">
      <c r="G355" s="686"/>
    </row>
    <row r="356" spans="7:7" ht="13.2">
      <c r="G356" s="686"/>
    </row>
    <row r="357" spans="7:7" ht="13.2">
      <c r="G357" s="686"/>
    </row>
    <row r="358" spans="7:7" ht="13.2">
      <c r="G358" s="686"/>
    </row>
    <row r="359" spans="7:7" ht="13.2">
      <c r="G359" s="686"/>
    </row>
    <row r="360" spans="7:7" ht="13.2">
      <c r="G360" s="686"/>
    </row>
    <row r="361" spans="7:7" ht="13.2">
      <c r="G361" s="686"/>
    </row>
    <row r="362" spans="7:7" ht="13.2">
      <c r="G362" s="686"/>
    </row>
    <row r="363" spans="7:7" ht="13.2">
      <c r="G363" s="686"/>
    </row>
    <row r="364" spans="7:7" ht="13.2">
      <c r="G364" s="686"/>
    </row>
    <row r="365" spans="7:7" ht="13.2">
      <c r="G365" s="686"/>
    </row>
    <row r="366" spans="7:7" ht="13.2">
      <c r="G366" s="686"/>
    </row>
    <row r="367" spans="7:7" ht="13.2">
      <c r="G367" s="686"/>
    </row>
    <row r="368" spans="7:7" ht="13.2">
      <c r="G368" s="686"/>
    </row>
    <row r="369" spans="7:7" ht="13.2">
      <c r="G369" s="686"/>
    </row>
    <row r="370" spans="7:7" ht="13.2">
      <c r="G370" s="686"/>
    </row>
    <row r="371" spans="7:7" ht="13.2">
      <c r="G371" s="686"/>
    </row>
    <row r="372" spans="7:7" ht="13.2">
      <c r="G372" s="686"/>
    </row>
    <row r="373" spans="7:7" ht="13.2">
      <c r="G373" s="686"/>
    </row>
    <row r="374" spans="7:7" ht="13.2">
      <c r="G374" s="686"/>
    </row>
    <row r="375" spans="7:7" ht="13.2">
      <c r="G375" s="686"/>
    </row>
    <row r="376" spans="7:7" ht="13.2">
      <c r="G376" s="686"/>
    </row>
    <row r="377" spans="7:7" ht="13.2">
      <c r="G377" s="686"/>
    </row>
    <row r="378" spans="7:7" ht="13.2">
      <c r="G378" s="686"/>
    </row>
    <row r="379" spans="7:7" ht="13.2">
      <c r="G379" s="686"/>
    </row>
    <row r="380" spans="7:7" ht="13.2">
      <c r="G380" s="686"/>
    </row>
    <row r="381" spans="7:7" ht="13.2">
      <c r="G381" s="686"/>
    </row>
    <row r="382" spans="7:7" ht="13.2">
      <c r="G382" s="686"/>
    </row>
    <row r="383" spans="7:7" ht="13.2">
      <c r="G383" s="686"/>
    </row>
    <row r="384" spans="7:7" ht="13.2">
      <c r="G384" s="686"/>
    </row>
    <row r="385" spans="7:7" ht="13.2">
      <c r="G385" s="686"/>
    </row>
    <row r="386" spans="7:7" ht="13.2">
      <c r="G386" s="686"/>
    </row>
    <row r="387" spans="7:7" ht="13.2">
      <c r="G387" s="686"/>
    </row>
    <row r="388" spans="7:7" ht="13.2">
      <c r="G388" s="686"/>
    </row>
    <row r="389" spans="7:7" ht="13.2">
      <c r="G389" s="686"/>
    </row>
    <row r="390" spans="7:7" ht="13.2">
      <c r="G390" s="686"/>
    </row>
    <row r="391" spans="7:7" ht="13.2">
      <c r="G391" s="686"/>
    </row>
    <row r="392" spans="7:7" ht="13.2">
      <c r="G392" s="686"/>
    </row>
    <row r="393" spans="7:7" ht="13.2">
      <c r="G393" s="686"/>
    </row>
    <row r="394" spans="7:7" ht="13.2">
      <c r="G394" s="686"/>
    </row>
    <row r="395" spans="7:7" ht="13.2">
      <c r="G395" s="686"/>
    </row>
    <row r="396" spans="7:7" ht="13.2">
      <c r="G396" s="686"/>
    </row>
    <row r="397" spans="7:7" ht="13.2">
      <c r="G397" s="686"/>
    </row>
    <row r="398" spans="7:7" ht="13.2">
      <c r="G398" s="686"/>
    </row>
    <row r="399" spans="7:7" ht="13.2">
      <c r="G399" s="686"/>
    </row>
    <row r="400" spans="7:7" ht="13.2">
      <c r="G400" s="686"/>
    </row>
    <row r="401" spans="7:7" ht="13.2">
      <c r="G401" s="686"/>
    </row>
    <row r="402" spans="7:7" ht="13.2">
      <c r="G402" s="686"/>
    </row>
    <row r="403" spans="7:7" ht="13.2">
      <c r="G403" s="686"/>
    </row>
    <row r="404" spans="7:7" ht="13.2">
      <c r="G404" s="686"/>
    </row>
    <row r="405" spans="7:7" ht="13.2">
      <c r="G405" s="686"/>
    </row>
    <row r="406" spans="7:7" ht="13.2">
      <c r="G406" s="686"/>
    </row>
    <row r="407" spans="7:7" ht="13.2">
      <c r="G407" s="686"/>
    </row>
    <row r="408" spans="7:7" ht="13.2">
      <c r="G408" s="686"/>
    </row>
    <row r="409" spans="7:7" ht="13.2">
      <c r="G409" s="686"/>
    </row>
    <row r="410" spans="7:7" ht="13.2">
      <c r="G410" s="686"/>
    </row>
    <row r="411" spans="7:7" ht="13.2">
      <c r="G411" s="686"/>
    </row>
    <row r="412" spans="7:7" ht="13.2">
      <c r="G412" s="686"/>
    </row>
    <row r="413" spans="7:7" ht="13.2">
      <c r="G413" s="686"/>
    </row>
    <row r="414" spans="7:7" ht="13.2">
      <c r="G414" s="686"/>
    </row>
    <row r="415" spans="7:7" ht="13.2">
      <c r="G415" s="686"/>
    </row>
    <row r="416" spans="7:7" ht="13.2">
      <c r="G416" s="686"/>
    </row>
    <row r="417" spans="7:7" ht="13.2">
      <c r="G417" s="686"/>
    </row>
    <row r="418" spans="7:7" ht="13.2">
      <c r="G418" s="686"/>
    </row>
    <row r="419" spans="7:7" ht="13.2">
      <c r="G419" s="686"/>
    </row>
    <row r="420" spans="7:7" ht="13.2">
      <c r="G420" s="686"/>
    </row>
    <row r="421" spans="7:7" ht="13.2">
      <c r="G421" s="686"/>
    </row>
    <row r="422" spans="7:7" ht="13.2">
      <c r="G422" s="686"/>
    </row>
    <row r="423" spans="7:7" ht="13.2">
      <c r="G423" s="686"/>
    </row>
    <row r="424" spans="7:7" ht="13.2">
      <c r="G424" s="686"/>
    </row>
    <row r="425" spans="7:7" ht="13.2">
      <c r="G425" s="686"/>
    </row>
    <row r="426" spans="7:7" ht="13.2">
      <c r="G426" s="686"/>
    </row>
    <row r="427" spans="7:7" ht="13.2">
      <c r="G427" s="686"/>
    </row>
    <row r="428" spans="7:7" ht="13.2">
      <c r="G428" s="686"/>
    </row>
    <row r="429" spans="7:7" ht="13.2">
      <c r="G429" s="686"/>
    </row>
    <row r="430" spans="7:7" ht="13.2">
      <c r="G430" s="686"/>
    </row>
    <row r="431" spans="7:7" ht="13.2">
      <c r="G431" s="686"/>
    </row>
    <row r="432" spans="7:7" ht="13.2">
      <c r="G432" s="686"/>
    </row>
    <row r="433" spans="7:7" ht="13.2">
      <c r="G433" s="686"/>
    </row>
    <row r="434" spans="7:7" ht="13.2">
      <c r="G434" s="686"/>
    </row>
    <row r="435" spans="7:7" ht="13.2">
      <c r="G435" s="686"/>
    </row>
    <row r="436" spans="7:7" ht="13.2">
      <c r="G436" s="686"/>
    </row>
    <row r="437" spans="7:7" ht="13.2">
      <c r="G437" s="686"/>
    </row>
    <row r="438" spans="7:7" ht="13.2">
      <c r="G438" s="686"/>
    </row>
    <row r="439" spans="7:7" ht="13.2">
      <c r="G439" s="686"/>
    </row>
    <row r="440" spans="7:7" ht="13.2">
      <c r="G440" s="686"/>
    </row>
    <row r="441" spans="7:7" ht="13.2">
      <c r="G441" s="686"/>
    </row>
    <row r="442" spans="7:7" ht="13.2">
      <c r="G442" s="686"/>
    </row>
    <row r="443" spans="7:7" ht="13.2">
      <c r="G443" s="686"/>
    </row>
    <row r="444" spans="7:7" ht="13.2">
      <c r="G444" s="686"/>
    </row>
    <row r="445" spans="7:7" ht="13.2">
      <c r="G445" s="686"/>
    </row>
    <row r="446" spans="7:7" ht="13.2">
      <c r="G446" s="686"/>
    </row>
    <row r="447" spans="7:7" ht="13.2">
      <c r="G447" s="686"/>
    </row>
    <row r="448" spans="7:7" ht="13.2">
      <c r="G448" s="686"/>
    </row>
    <row r="449" spans="7:7" ht="13.2">
      <c r="G449" s="686"/>
    </row>
    <row r="450" spans="7:7" ht="13.2">
      <c r="G450" s="686"/>
    </row>
    <row r="451" spans="7:7" ht="13.2">
      <c r="G451" s="686"/>
    </row>
    <row r="452" spans="7:7" ht="13.2">
      <c r="G452" s="686"/>
    </row>
    <row r="453" spans="7:7" ht="13.2">
      <c r="G453" s="686"/>
    </row>
    <row r="454" spans="7:7" ht="13.2">
      <c r="G454" s="686"/>
    </row>
    <row r="455" spans="7:7" ht="13.2">
      <c r="G455" s="686"/>
    </row>
    <row r="456" spans="7:7" ht="13.2">
      <c r="G456" s="686"/>
    </row>
    <row r="457" spans="7:7" ht="13.2">
      <c r="G457" s="686"/>
    </row>
    <row r="458" spans="7:7" ht="13.2">
      <c r="G458" s="686"/>
    </row>
    <row r="459" spans="7:7" ht="13.2">
      <c r="G459" s="686"/>
    </row>
    <row r="460" spans="7:7" ht="13.2">
      <c r="G460" s="686"/>
    </row>
    <row r="461" spans="7:7" ht="13.2">
      <c r="G461" s="686"/>
    </row>
    <row r="462" spans="7:7" ht="13.2">
      <c r="G462" s="686"/>
    </row>
    <row r="463" spans="7:7" ht="13.2">
      <c r="G463" s="686"/>
    </row>
    <row r="464" spans="7:7" ht="13.2">
      <c r="G464" s="686"/>
    </row>
    <row r="465" spans="7:7" ht="13.2">
      <c r="G465" s="686"/>
    </row>
    <row r="466" spans="7:7" ht="13.2">
      <c r="G466" s="686"/>
    </row>
    <row r="467" spans="7:7" ht="13.2">
      <c r="G467" s="686"/>
    </row>
    <row r="468" spans="7:7" ht="13.2">
      <c r="G468" s="686"/>
    </row>
    <row r="469" spans="7:7" ht="13.2">
      <c r="G469" s="686"/>
    </row>
    <row r="470" spans="7:7" ht="13.2">
      <c r="G470" s="686"/>
    </row>
    <row r="471" spans="7:7" ht="13.2">
      <c r="G471" s="686"/>
    </row>
    <row r="472" spans="7:7" ht="13.2">
      <c r="G472" s="686"/>
    </row>
    <row r="473" spans="7:7" ht="13.2">
      <c r="G473" s="686"/>
    </row>
    <row r="474" spans="7:7" ht="13.2">
      <c r="G474" s="686"/>
    </row>
    <row r="475" spans="7:7" ht="13.2">
      <c r="G475" s="686"/>
    </row>
    <row r="476" spans="7:7" ht="13.2">
      <c r="G476" s="686"/>
    </row>
    <row r="477" spans="7:7" ht="13.2">
      <c r="G477" s="686"/>
    </row>
    <row r="478" spans="7:7" ht="13.2">
      <c r="G478" s="686"/>
    </row>
    <row r="479" spans="7:7" ht="13.2">
      <c r="G479" s="686"/>
    </row>
    <row r="480" spans="7:7" ht="13.2">
      <c r="G480" s="686"/>
    </row>
    <row r="481" spans="7:7" ht="13.2">
      <c r="G481" s="686"/>
    </row>
    <row r="482" spans="7:7" ht="13.2">
      <c r="G482" s="686"/>
    </row>
    <row r="483" spans="7:7" ht="13.2">
      <c r="G483" s="686"/>
    </row>
    <row r="484" spans="7:7" ht="13.2">
      <c r="G484" s="686"/>
    </row>
    <row r="485" spans="7:7" ht="13.2">
      <c r="G485" s="686"/>
    </row>
    <row r="486" spans="7:7" ht="13.2">
      <c r="G486" s="686"/>
    </row>
    <row r="487" spans="7:7" ht="13.2">
      <c r="G487" s="686"/>
    </row>
    <row r="488" spans="7:7" ht="13.2">
      <c r="G488" s="686"/>
    </row>
    <row r="489" spans="7:7" ht="13.2">
      <c r="G489" s="686"/>
    </row>
    <row r="490" spans="7:7" ht="13.2">
      <c r="G490" s="686"/>
    </row>
    <row r="491" spans="7:7" ht="13.2">
      <c r="G491" s="686"/>
    </row>
    <row r="492" spans="7:7" ht="13.2">
      <c r="G492" s="686"/>
    </row>
    <row r="493" spans="7:7" ht="13.2">
      <c r="G493" s="686"/>
    </row>
    <row r="494" spans="7:7" ht="13.2">
      <c r="G494" s="686"/>
    </row>
    <row r="495" spans="7:7" ht="13.2">
      <c r="G495" s="686"/>
    </row>
    <row r="496" spans="7:7" ht="13.2">
      <c r="G496" s="686"/>
    </row>
    <row r="497" spans="7:7" ht="13.2">
      <c r="G497" s="686"/>
    </row>
    <row r="498" spans="7:7" ht="13.2">
      <c r="G498" s="686"/>
    </row>
    <row r="499" spans="7:7" ht="13.2">
      <c r="G499" s="686"/>
    </row>
    <row r="500" spans="7:7" ht="13.2">
      <c r="G500" s="686"/>
    </row>
    <row r="501" spans="7:7" ht="13.2">
      <c r="G501" s="686"/>
    </row>
    <row r="502" spans="7:7" ht="13.2">
      <c r="G502" s="686"/>
    </row>
    <row r="503" spans="7:7" ht="13.2">
      <c r="G503" s="686"/>
    </row>
    <row r="504" spans="7:7" ht="13.2">
      <c r="G504" s="686"/>
    </row>
    <row r="505" spans="7:7" ht="13.2">
      <c r="G505" s="686"/>
    </row>
    <row r="506" spans="7:7" ht="13.2">
      <c r="G506" s="686"/>
    </row>
    <row r="507" spans="7:7" ht="13.2">
      <c r="G507" s="686"/>
    </row>
    <row r="508" spans="7:7" ht="13.2">
      <c r="G508" s="686"/>
    </row>
    <row r="509" spans="7:7" ht="13.2">
      <c r="G509" s="686"/>
    </row>
    <row r="510" spans="7:7" ht="13.2">
      <c r="G510" s="686"/>
    </row>
    <row r="511" spans="7:7" ht="13.2">
      <c r="G511" s="686"/>
    </row>
    <row r="512" spans="7:7" ht="13.2">
      <c r="G512" s="686"/>
    </row>
    <row r="513" spans="7:7" ht="13.2">
      <c r="G513" s="686"/>
    </row>
    <row r="514" spans="7:7" ht="13.2">
      <c r="G514" s="686"/>
    </row>
    <row r="515" spans="7:7" ht="13.2">
      <c r="G515" s="686"/>
    </row>
    <row r="516" spans="7:7" ht="13.2">
      <c r="G516" s="686"/>
    </row>
    <row r="517" spans="7:7" ht="13.2">
      <c r="G517" s="686"/>
    </row>
    <row r="518" spans="7:7" ht="13.2">
      <c r="G518" s="686"/>
    </row>
    <row r="519" spans="7:7" ht="13.2">
      <c r="G519" s="686"/>
    </row>
    <row r="520" spans="7:7" ht="13.2">
      <c r="G520" s="686"/>
    </row>
    <row r="521" spans="7:7" ht="13.2">
      <c r="G521" s="686"/>
    </row>
    <row r="522" spans="7:7" ht="13.2">
      <c r="G522" s="686"/>
    </row>
    <row r="523" spans="7:7" ht="13.2">
      <c r="G523" s="686"/>
    </row>
    <row r="524" spans="7:7" ht="13.2">
      <c r="G524" s="686"/>
    </row>
    <row r="525" spans="7:7" ht="13.2">
      <c r="G525" s="686"/>
    </row>
    <row r="526" spans="7:7" ht="13.2">
      <c r="G526" s="686"/>
    </row>
    <row r="527" spans="7:7" ht="13.2">
      <c r="G527" s="686"/>
    </row>
    <row r="528" spans="7:7" ht="13.2">
      <c r="G528" s="686"/>
    </row>
    <row r="529" spans="7:7" ht="13.2">
      <c r="G529" s="686"/>
    </row>
    <row r="530" spans="7:7" ht="13.2">
      <c r="G530" s="686"/>
    </row>
    <row r="531" spans="7:7" ht="13.2">
      <c r="G531" s="686"/>
    </row>
    <row r="532" spans="7:7" ht="13.2">
      <c r="G532" s="686"/>
    </row>
    <row r="533" spans="7:7" ht="13.2">
      <c r="G533" s="686"/>
    </row>
    <row r="534" spans="7:7" ht="13.2">
      <c r="G534" s="686"/>
    </row>
    <row r="535" spans="7:7" ht="13.2">
      <c r="G535" s="686"/>
    </row>
    <row r="536" spans="7:7" ht="13.2">
      <c r="G536" s="686"/>
    </row>
    <row r="537" spans="7:7" ht="13.2">
      <c r="G537" s="686"/>
    </row>
    <row r="538" spans="7:7" ht="13.2">
      <c r="G538" s="686"/>
    </row>
    <row r="539" spans="7:7" ht="13.2">
      <c r="G539" s="686"/>
    </row>
    <row r="540" spans="7:7" ht="13.2">
      <c r="G540" s="686"/>
    </row>
    <row r="541" spans="7:7" ht="13.2">
      <c r="G541" s="686"/>
    </row>
    <row r="542" spans="7:7" ht="13.2">
      <c r="G542" s="686"/>
    </row>
    <row r="543" spans="7:7" ht="13.2">
      <c r="G543" s="686"/>
    </row>
    <row r="544" spans="7:7" ht="13.2">
      <c r="G544" s="686"/>
    </row>
    <row r="545" spans="7:7" ht="13.2">
      <c r="G545" s="686"/>
    </row>
    <row r="546" spans="7:7" ht="13.2">
      <c r="G546" s="686"/>
    </row>
    <row r="547" spans="7:7" ht="13.2">
      <c r="G547" s="686"/>
    </row>
    <row r="548" spans="7:7" ht="13.2">
      <c r="G548" s="686"/>
    </row>
    <row r="549" spans="7:7" ht="13.2">
      <c r="G549" s="686"/>
    </row>
    <row r="550" spans="7:7" ht="13.2">
      <c r="G550" s="686"/>
    </row>
    <row r="551" spans="7:7" ht="13.2">
      <c r="G551" s="686"/>
    </row>
    <row r="552" spans="7:7" ht="13.2">
      <c r="G552" s="686"/>
    </row>
    <row r="553" spans="7:7" ht="13.2">
      <c r="G553" s="686"/>
    </row>
    <row r="554" spans="7:7" ht="13.2">
      <c r="G554" s="686"/>
    </row>
    <row r="555" spans="7:7" ht="13.2">
      <c r="G555" s="686"/>
    </row>
    <row r="556" spans="7:7" ht="13.2">
      <c r="G556" s="686"/>
    </row>
    <row r="557" spans="7:7" ht="13.2">
      <c r="G557" s="686"/>
    </row>
    <row r="558" spans="7:7" ht="13.2">
      <c r="G558" s="686"/>
    </row>
    <row r="559" spans="7:7" ht="13.2">
      <c r="G559" s="686"/>
    </row>
    <row r="560" spans="7:7" ht="13.2">
      <c r="G560" s="686"/>
    </row>
    <row r="561" spans="7:7" ht="13.2">
      <c r="G561" s="686"/>
    </row>
    <row r="562" spans="7:7" ht="13.2">
      <c r="G562" s="686"/>
    </row>
    <row r="563" spans="7:7" ht="13.2">
      <c r="G563" s="686"/>
    </row>
    <row r="564" spans="7:7" ht="13.2">
      <c r="G564" s="686"/>
    </row>
    <row r="565" spans="7:7" ht="13.2">
      <c r="G565" s="686"/>
    </row>
    <row r="566" spans="7:7" ht="13.2">
      <c r="G566" s="686"/>
    </row>
    <row r="567" spans="7:7" ht="13.2">
      <c r="G567" s="686"/>
    </row>
    <row r="568" spans="7:7" ht="13.2">
      <c r="G568" s="686"/>
    </row>
    <row r="569" spans="7:7" ht="13.2">
      <c r="G569" s="686"/>
    </row>
    <row r="570" spans="7:7" ht="13.2">
      <c r="G570" s="686"/>
    </row>
    <row r="571" spans="7:7" ht="13.2">
      <c r="G571" s="686"/>
    </row>
    <row r="572" spans="7:7" ht="13.2">
      <c r="G572" s="686"/>
    </row>
    <row r="573" spans="7:7" ht="13.2">
      <c r="G573" s="686"/>
    </row>
    <row r="574" spans="7:7" ht="13.2">
      <c r="G574" s="686"/>
    </row>
    <row r="575" spans="7:7" ht="13.2">
      <c r="G575" s="686"/>
    </row>
    <row r="576" spans="7:7" ht="13.2">
      <c r="G576" s="686"/>
    </row>
    <row r="577" spans="7:7" ht="13.2">
      <c r="G577" s="686"/>
    </row>
    <row r="578" spans="7:7" ht="13.2">
      <c r="G578" s="686"/>
    </row>
    <row r="579" spans="7:7" ht="13.2">
      <c r="G579" s="686"/>
    </row>
    <row r="580" spans="7:7" ht="13.2">
      <c r="G580" s="686"/>
    </row>
    <row r="581" spans="7:7" ht="13.2">
      <c r="G581" s="686"/>
    </row>
    <row r="582" spans="7:7" ht="13.2">
      <c r="G582" s="686"/>
    </row>
    <row r="583" spans="7:7" ht="13.2">
      <c r="G583" s="686"/>
    </row>
    <row r="584" spans="7:7" ht="13.2">
      <c r="G584" s="686"/>
    </row>
    <row r="585" spans="7:7" ht="13.2">
      <c r="G585" s="686"/>
    </row>
    <row r="586" spans="7:7" ht="13.2">
      <c r="G586" s="686"/>
    </row>
    <row r="587" spans="7:7" ht="13.2">
      <c r="G587" s="686"/>
    </row>
    <row r="588" spans="7:7" ht="13.2">
      <c r="G588" s="686"/>
    </row>
    <row r="589" spans="7:7" ht="13.2">
      <c r="G589" s="686"/>
    </row>
    <row r="590" spans="7:7" ht="13.2">
      <c r="G590" s="686"/>
    </row>
    <row r="591" spans="7:7" ht="13.2">
      <c r="G591" s="686"/>
    </row>
    <row r="592" spans="7:7" ht="13.2">
      <c r="G592" s="686"/>
    </row>
    <row r="593" spans="7:7" ht="13.2">
      <c r="G593" s="686"/>
    </row>
    <row r="594" spans="7:7" ht="13.2">
      <c r="G594" s="686"/>
    </row>
    <row r="595" spans="7:7" ht="13.2">
      <c r="G595" s="686"/>
    </row>
    <row r="596" spans="7:7" ht="13.2">
      <c r="G596" s="686"/>
    </row>
    <row r="597" spans="7:7" ht="13.2">
      <c r="G597" s="686"/>
    </row>
    <row r="598" spans="7:7" ht="13.2">
      <c r="G598" s="686"/>
    </row>
    <row r="599" spans="7:7" ht="13.2">
      <c r="G599" s="686"/>
    </row>
    <row r="600" spans="7:7" ht="13.2">
      <c r="G600" s="686"/>
    </row>
    <row r="601" spans="7:7" ht="13.2">
      <c r="G601" s="686"/>
    </row>
    <row r="602" spans="7:7" ht="13.2">
      <c r="G602" s="686"/>
    </row>
    <row r="603" spans="7:7" ht="13.2">
      <c r="G603" s="686"/>
    </row>
    <row r="604" spans="7:7" ht="13.2">
      <c r="G604" s="686"/>
    </row>
    <row r="605" spans="7:7" ht="13.2">
      <c r="G605" s="686"/>
    </row>
    <row r="606" spans="7:7" ht="13.2">
      <c r="G606" s="686"/>
    </row>
    <row r="607" spans="7:7" ht="13.2">
      <c r="G607" s="686"/>
    </row>
    <row r="608" spans="7:7" ht="13.2">
      <c r="G608" s="686"/>
    </row>
    <row r="609" spans="7:7" ht="13.2">
      <c r="G609" s="686"/>
    </row>
    <row r="610" spans="7:7" ht="13.2">
      <c r="G610" s="686"/>
    </row>
    <row r="611" spans="7:7" ht="13.2">
      <c r="G611" s="686"/>
    </row>
    <row r="612" spans="7:7" ht="13.2">
      <c r="G612" s="686"/>
    </row>
    <row r="613" spans="7:7" ht="13.2">
      <c r="G613" s="686"/>
    </row>
    <row r="614" spans="7:7" ht="13.2">
      <c r="G614" s="686"/>
    </row>
    <row r="615" spans="7:7" ht="13.2">
      <c r="G615" s="686"/>
    </row>
    <row r="616" spans="7:7" ht="13.2">
      <c r="G616" s="686"/>
    </row>
    <row r="617" spans="7:7" ht="13.2">
      <c r="G617" s="686"/>
    </row>
    <row r="618" spans="7:7" ht="13.2">
      <c r="G618" s="686"/>
    </row>
    <row r="619" spans="7:7" ht="13.2">
      <c r="G619" s="686"/>
    </row>
    <row r="620" spans="7:7" ht="13.2">
      <c r="G620" s="686"/>
    </row>
    <row r="621" spans="7:7" ht="13.2">
      <c r="G621" s="686"/>
    </row>
    <row r="622" spans="7:7" ht="13.2">
      <c r="G622" s="686"/>
    </row>
    <row r="623" spans="7:7" ht="13.2">
      <c r="G623" s="686"/>
    </row>
    <row r="624" spans="7:7" ht="13.2">
      <c r="G624" s="686"/>
    </row>
    <row r="625" spans="7:7" ht="13.2">
      <c r="G625" s="686"/>
    </row>
    <row r="626" spans="7:7" ht="13.2">
      <c r="G626" s="686"/>
    </row>
    <row r="627" spans="7:7" ht="13.2">
      <c r="G627" s="686"/>
    </row>
    <row r="628" spans="7:7" ht="13.2">
      <c r="G628" s="686"/>
    </row>
    <row r="629" spans="7:7" ht="13.2">
      <c r="G629" s="686"/>
    </row>
    <row r="630" spans="7:7" ht="13.2">
      <c r="G630" s="686"/>
    </row>
    <row r="631" spans="7:7" ht="13.2">
      <c r="G631" s="686"/>
    </row>
    <row r="632" spans="7:7" ht="13.2">
      <c r="G632" s="686"/>
    </row>
    <row r="633" spans="7:7" ht="13.2">
      <c r="G633" s="686"/>
    </row>
    <row r="634" spans="7:7" ht="13.2">
      <c r="G634" s="686"/>
    </row>
    <row r="635" spans="7:7" ht="13.2">
      <c r="G635" s="686"/>
    </row>
    <row r="636" spans="7:7" ht="13.2">
      <c r="G636" s="686"/>
    </row>
    <row r="637" spans="7:7" ht="13.2">
      <c r="G637" s="686"/>
    </row>
    <row r="638" spans="7:7" ht="13.2">
      <c r="G638" s="686"/>
    </row>
    <row r="639" spans="7:7" ht="13.2">
      <c r="G639" s="686"/>
    </row>
    <row r="640" spans="7:7" ht="13.2">
      <c r="G640" s="686"/>
    </row>
    <row r="641" spans="7:7" ht="13.2">
      <c r="G641" s="686"/>
    </row>
    <row r="642" spans="7:7" ht="13.2">
      <c r="G642" s="686"/>
    </row>
    <row r="643" spans="7:7" ht="13.2">
      <c r="G643" s="686"/>
    </row>
    <row r="644" spans="7:7" ht="13.2">
      <c r="G644" s="686"/>
    </row>
    <row r="645" spans="7:7" ht="13.2">
      <c r="G645" s="686"/>
    </row>
    <row r="646" spans="7:7" ht="13.2">
      <c r="G646" s="686"/>
    </row>
    <row r="647" spans="7:7" ht="13.2">
      <c r="G647" s="686"/>
    </row>
    <row r="648" spans="7:7" ht="13.2">
      <c r="G648" s="686"/>
    </row>
    <row r="649" spans="7:7" ht="13.2">
      <c r="G649" s="686"/>
    </row>
    <row r="650" spans="7:7" ht="13.2">
      <c r="G650" s="686"/>
    </row>
    <row r="651" spans="7:7" ht="13.2">
      <c r="G651" s="686"/>
    </row>
    <row r="652" spans="7:7" ht="13.2">
      <c r="G652" s="686"/>
    </row>
    <row r="653" spans="7:7" ht="13.2">
      <c r="G653" s="686"/>
    </row>
    <row r="654" spans="7:7" ht="13.2">
      <c r="G654" s="686"/>
    </row>
    <row r="655" spans="7:7" ht="13.2">
      <c r="G655" s="686"/>
    </row>
    <row r="656" spans="7:7" ht="13.2">
      <c r="G656" s="686"/>
    </row>
    <row r="657" spans="7:7" ht="13.2">
      <c r="G657" s="686"/>
    </row>
    <row r="658" spans="7:7" ht="13.2">
      <c r="G658" s="686"/>
    </row>
    <row r="659" spans="7:7" ht="13.2">
      <c r="G659" s="686"/>
    </row>
    <row r="660" spans="7:7" ht="13.2">
      <c r="G660" s="686"/>
    </row>
    <row r="661" spans="7:7" ht="13.2">
      <c r="G661" s="686"/>
    </row>
    <row r="662" spans="7:7" ht="13.2">
      <c r="G662" s="686"/>
    </row>
    <row r="663" spans="7:7" ht="13.2">
      <c r="G663" s="686"/>
    </row>
    <row r="664" spans="7:7" ht="13.2">
      <c r="G664" s="686"/>
    </row>
    <row r="665" spans="7:7" ht="13.2">
      <c r="G665" s="686"/>
    </row>
    <row r="666" spans="7:7" ht="13.2">
      <c r="G666" s="686"/>
    </row>
    <row r="667" spans="7:7" ht="13.2">
      <c r="G667" s="686"/>
    </row>
    <row r="668" spans="7:7" ht="13.2">
      <c r="G668" s="686"/>
    </row>
    <row r="669" spans="7:7" ht="13.2">
      <c r="G669" s="686"/>
    </row>
    <row r="670" spans="7:7" ht="13.2">
      <c r="G670" s="686"/>
    </row>
    <row r="671" spans="7:7" ht="13.2">
      <c r="G671" s="686"/>
    </row>
    <row r="672" spans="7:7" ht="13.2">
      <c r="G672" s="686"/>
    </row>
    <row r="673" spans="7:7" ht="13.2">
      <c r="G673" s="686"/>
    </row>
    <row r="674" spans="7:7" ht="13.2">
      <c r="G674" s="686"/>
    </row>
    <row r="675" spans="7:7" ht="13.2">
      <c r="G675" s="686"/>
    </row>
    <row r="676" spans="7:7" ht="13.2">
      <c r="G676" s="686"/>
    </row>
    <row r="677" spans="7:7" ht="13.2">
      <c r="G677" s="686"/>
    </row>
    <row r="678" spans="7:7" ht="13.2">
      <c r="G678" s="686"/>
    </row>
    <row r="679" spans="7:7" ht="13.2">
      <c r="G679" s="686"/>
    </row>
    <row r="680" spans="7:7" ht="13.2">
      <c r="G680" s="686"/>
    </row>
    <row r="681" spans="7:7" ht="13.2">
      <c r="G681" s="686"/>
    </row>
    <row r="682" spans="7:7" ht="13.2">
      <c r="G682" s="686"/>
    </row>
    <row r="683" spans="7:7" ht="13.2">
      <c r="G683" s="686"/>
    </row>
    <row r="684" spans="7:7" ht="13.2">
      <c r="G684" s="686"/>
    </row>
    <row r="685" spans="7:7" ht="13.2">
      <c r="G685" s="686"/>
    </row>
    <row r="686" spans="7:7" ht="13.2">
      <c r="G686" s="686"/>
    </row>
    <row r="687" spans="7:7" ht="13.2">
      <c r="G687" s="686"/>
    </row>
    <row r="688" spans="7:7" ht="13.2">
      <c r="G688" s="686"/>
    </row>
    <row r="689" spans="7:7" ht="13.2">
      <c r="G689" s="686"/>
    </row>
    <row r="690" spans="7:7" ht="13.2">
      <c r="G690" s="686"/>
    </row>
    <row r="691" spans="7:7" ht="13.2">
      <c r="G691" s="686"/>
    </row>
    <row r="692" spans="7:7" ht="13.2">
      <c r="G692" s="686"/>
    </row>
    <row r="693" spans="7:7" ht="13.2">
      <c r="G693" s="686"/>
    </row>
    <row r="694" spans="7:7" ht="13.2">
      <c r="G694" s="686"/>
    </row>
    <row r="695" spans="7:7" ht="13.2">
      <c r="G695" s="686"/>
    </row>
    <row r="696" spans="7:7" ht="13.2">
      <c r="G696" s="686"/>
    </row>
    <row r="697" spans="7:7" ht="13.2">
      <c r="G697" s="686"/>
    </row>
    <row r="698" spans="7:7" ht="13.2">
      <c r="G698" s="686"/>
    </row>
    <row r="699" spans="7:7" ht="13.2">
      <c r="G699" s="686"/>
    </row>
    <row r="700" spans="7:7" ht="13.2">
      <c r="G700" s="686"/>
    </row>
    <row r="701" spans="7:7" ht="13.2">
      <c r="G701" s="686"/>
    </row>
    <row r="702" spans="7:7" ht="13.2">
      <c r="G702" s="686"/>
    </row>
    <row r="703" spans="7:7" ht="13.2">
      <c r="G703" s="686"/>
    </row>
    <row r="704" spans="7:7" ht="13.2">
      <c r="G704" s="686"/>
    </row>
    <row r="705" spans="7:7" ht="13.2">
      <c r="G705" s="686"/>
    </row>
    <row r="706" spans="7:7" ht="13.2">
      <c r="G706" s="686"/>
    </row>
    <row r="707" spans="7:7" ht="13.2">
      <c r="G707" s="686"/>
    </row>
    <row r="708" spans="7:7" ht="13.2">
      <c r="G708" s="686"/>
    </row>
    <row r="709" spans="7:7" ht="13.2">
      <c r="G709" s="686"/>
    </row>
    <row r="710" spans="7:7" ht="13.2">
      <c r="G710" s="686"/>
    </row>
    <row r="711" spans="7:7" ht="13.2">
      <c r="G711" s="686"/>
    </row>
    <row r="712" spans="7:7" ht="13.2">
      <c r="G712" s="686"/>
    </row>
    <row r="713" spans="7:7" ht="13.2">
      <c r="G713" s="686"/>
    </row>
    <row r="714" spans="7:7" ht="13.2">
      <c r="G714" s="686"/>
    </row>
    <row r="715" spans="7:7" ht="13.2">
      <c r="G715" s="686"/>
    </row>
    <row r="716" spans="7:7" ht="13.2">
      <c r="G716" s="686"/>
    </row>
    <row r="717" spans="7:7" ht="13.2">
      <c r="G717" s="686"/>
    </row>
    <row r="718" spans="7:7" ht="13.2">
      <c r="G718" s="686"/>
    </row>
    <row r="719" spans="7:7" ht="13.2">
      <c r="G719" s="686"/>
    </row>
    <row r="720" spans="7:7" ht="13.2">
      <c r="G720" s="686"/>
    </row>
    <row r="721" spans="7:7" ht="13.2">
      <c r="G721" s="686"/>
    </row>
    <row r="722" spans="7:7" ht="13.2">
      <c r="G722" s="686"/>
    </row>
    <row r="723" spans="7:7" ht="13.2">
      <c r="G723" s="686"/>
    </row>
    <row r="724" spans="7:7" ht="13.2">
      <c r="G724" s="686"/>
    </row>
    <row r="725" spans="7:7" ht="13.2">
      <c r="G725" s="686"/>
    </row>
    <row r="726" spans="7:7" ht="13.2">
      <c r="G726" s="686"/>
    </row>
    <row r="727" spans="7:7" ht="13.2">
      <c r="G727" s="686"/>
    </row>
    <row r="728" spans="7:7" ht="13.2">
      <c r="G728" s="686"/>
    </row>
    <row r="729" spans="7:7" ht="13.2">
      <c r="G729" s="686"/>
    </row>
    <row r="730" spans="7:7" ht="13.2">
      <c r="G730" s="686"/>
    </row>
    <row r="731" spans="7:7" ht="13.2">
      <c r="G731" s="686"/>
    </row>
    <row r="732" spans="7:7" ht="13.2">
      <c r="G732" s="686"/>
    </row>
    <row r="733" spans="7:7" ht="13.2">
      <c r="G733" s="686"/>
    </row>
    <row r="734" spans="7:7" ht="13.2">
      <c r="G734" s="686"/>
    </row>
    <row r="735" spans="7:7" ht="13.2">
      <c r="G735" s="686"/>
    </row>
    <row r="736" spans="7:7" ht="13.2">
      <c r="G736" s="686"/>
    </row>
    <row r="737" spans="7:7" ht="13.2">
      <c r="G737" s="686"/>
    </row>
    <row r="738" spans="7:7" ht="13.2">
      <c r="G738" s="686"/>
    </row>
    <row r="739" spans="7:7" ht="13.2">
      <c r="G739" s="686"/>
    </row>
    <row r="740" spans="7:7" ht="13.2">
      <c r="G740" s="686"/>
    </row>
    <row r="741" spans="7:7" ht="13.2">
      <c r="G741" s="686"/>
    </row>
    <row r="742" spans="7:7" ht="13.2">
      <c r="G742" s="686"/>
    </row>
    <row r="743" spans="7:7" ht="13.2">
      <c r="G743" s="686"/>
    </row>
    <row r="744" spans="7:7" ht="13.2">
      <c r="G744" s="686"/>
    </row>
    <row r="745" spans="7:7" ht="13.2">
      <c r="G745" s="686"/>
    </row>
    <row r="746" spans="7:7" ht="13.2">
      <c r="G746" s="686"/>
    </row>
    <row r="747" spans="7:7" ht="13.2">
      <c r="G747" s="686"/>
    </row>
    <row r="748" spans="7:7" ht="13.2">
      <c r="G748" s="686"/>
    </row>
    <row r="749" spans="7:7" ht="13.2">
      <c r="G749" s="686"/>
    </row>
    <row r="750" spans="7:7" ht="13.2">
      <c r="G750" s="686"/>
    </row>
    <row r="751" spans="7:7" ht="13.2">
      <c r="G751" s="686"/>
    </row>
    <row r="752" spans="7:7" ht="13.2">
      <c r="G752" s="686"/>
    </row>
    <row r="753" spans="7:7" ht="13.2">
      <c r="G753" s="686"/>
    </row>
    <row r="754" spans="7:7" ht="13.2">
      <c r="G754" s="686"/>
    </row>
    <row r="755" spans="7:7" ht="13.2">
      <c r="G755" s="686"/>
    </row>
    <row r="756" spans="7:7" ht="13.2">
      <c r="G756" s="686"/>
    </row>
    <row r="757" spans="7:7" ht="13.2">
      <c r="G757" s="686"/>
    </row>
    <row r="758" spans="7:7" ht="13.2">
      <c r="G758" s="686"/>
    </row>
    <row r="759" spans="7:7" ht="13.2">
      <c r="G759" s="686"/>
    </row>
    <row r="760" spans="7:7" ht="13.2">
      <c r="G760" s="686"/>
    </row>
    <row r="761" spans="7:7" ht="13.2">
      <c r="G761" s="686"/>
    </row>
    <row r="762" spans="7:7" ht="13.2">
      <c r="G762" s="686"/>
    </row>
    <row r="763" spans="7:7" ht="13.2">
      <c r="G763" s="686"/>
    </row>
    <row r="764" spans="7:7" ht="13.2">
      <c r="G764" s="686"/>
    </row>
    <row r="765" spans="7:7" ht="13.2">
      <c r="G765" s="686"/>
    </row>
    <row r="766" spans="7:7" ht="13.2">
      <c r="G766" s="686"/>
    </row>
    <row r="767" spans="7:7" ht="13.2">
      <c r="G767" s="686"/>
    </row>
    <row r="768" spans="7:7" ht="13.2">
      <c r="G768" s="686"/>
    </row>
    <row r="769" spans="7:7" ht="13.2">
      <c r="G769" s="686"/>
    </row>
    <row r="770" spans="7:7" ht="13.2">
      <c r="G770" s="686"/>
    </row>
    <row r="771" spans="7:7" ht="13.2">
      <c r="G771" s="686"/>
    </row>
    <row r="772" spans="7:7" ht="13.2">
      <c r="G772" s="686"/>
    </row>
    <row r="773" spans="7:7" ht="13.2">
      <c r="G773" s="686"/>
    </row>
    <row r="774" spans="7:7" ht="13.2">
      <c r="G774" s="686"/>
    </row>
    <row r="775" spans="7:7" ht="13.2">
      <c r="G775" s="686"/>
    </row>
    <row r="776" spans="7:7" ht="13.2">
      <c r="G776" s="686"/>
    </row>
    <row r="777" spans="7:7" ht="13.2">
      <c r="G777" s="686"/>
    </row>
    <row r="778" spans="7:7" ht="13.2">
      <c r="G778" s="686"/>
    </row>
    <row r="779" spans="7:7" ht="13.2">
      <c r="G779" s="686"/>
    </row>
    <row r="780" spans="7:7" ht="13.2">
      <c r="G780" s="686"/>
    </row>
    <row r="781" spans="7:7" ht="13.2">
      <c r="G781" s="686"/>
    </row>
    <row r="782" spans="7:7" ht="13.2">
      <c r="G782" s="686"/>
    </row>
    <row r="783" spans="7:7" ht="13.2">
      <c r="G783" s="686"/>
    </row>
    <row r="784" spans="7:7" ht="13.2">
      <c r="G784" s="686"/>
    </row>
    <row r="785" spans="7:7" ht="13.2">
      <c r="G785" s="686"/>
    </row>
    <row r="786" spans="7:7" ht="13.2">
      <c r="G786" s="686"/>
    </row>
    <row r="787" spans="7:7" ht="13.2">
      <c r="G787" s="686"/>
    </row>
    <row r="788" spans="7:7" ht="13.2">
      <c r="G788" s="686"/>
    </row>
    <row r="789" spans="7:7" ht="13.2">
      <c r="G789" s="686"/>
    </row>
    <row r="790" spans="7:7" ht="13.2">
      <c r="G790" s="686"/>
    </row>
    <row r="791" spans="7:7" ht="13.2">
      <c r="G791" s="686"/>
    </row>
    <row r="792" spans="7:7" ht="13.2">
      <c r="G792" s="686"/>
    </row>
    <row r="793" spans="7:7" ht="13.2">
      <c r="G793" s="686"/>
    </row>
    <row r="794" spans="7:7" ht="13.2">
      <c r="G794" s="686"/>
    </row>
    <row r="795" spans="7:7" ht="13.2">
      <c r="G795" s="686"/>
    </row>
    <row r="796" spans="7:7" ht="13.2">
      <c r="G796" s="686"/>
    </row>
    <row r="797" spans="7:7" ht="13.2">
      <c r="G797" s="686"/>
    </row>
    <row r="798" spans="7:7" ht="13.2">
      <c r="G798" s="686"/>
    </row>
    <row r="799" spans="7:7" ht="13.2">
      <c r="G799" s="686"/>
    </row>
    <row r="800" spans="7:7" ht="13.2">
      <c r="G800" s="686"/>
    </row>
    <row r="801" spans="7:7" ht="13.2">
      <c r="G801" s="686"/>
    </row>
    <row r="802" spans="7:7" ht="13.2">
      <c r="G802" s="686"/>
    </row>
    <row r="803" spans="7:7" ht="13.2">
      <c r="G803" s="686"/>
    </row>
    <row r="804" spans="7:7" ht="13.2">
      <c r="G804" s="686"/>
    </row>
    <row r="805" spans="7:7" ht="13.2">
      <c r="G805" s="686"/>
    </row>
    <row r="806" spans="7:7" ht="13.2">
      <c r="G806" s="686"/>
    </row>
    <row r="807" spans="7:7" ht="13.2">
      <c r="G807" s="686"/>
    </row>
    <row r="808" spans="7:7" ht="13.2">
      <c r="G808" s="686"/>
    </row>
    <row r="809" spans="7:7" ht="13.2">
      <c r="G809" s="686"/>
    </row>
    <row r="810" spans="7:7" ht="13.2">
      <c r="G810" s="686"/>
    </row>
    <row r="811" spans="7:7" ht="13.2">
      <c r="G811" s="686"/>
    </row>
    <row r="812" spans="7:7" ht="13.2">
      <c r="G812" s="686"/>
    </row>
    <row r="813" spans="7:7" ht="13.2">
      <c r="G813" s="686"/>
    </row>
    <row r="814" spans="7:7" ht="13.2">
      <c r="G814" s="686"/>
    </row>
    <row r="815" spans="7:7" ht="13.2">
      <c r="G815" s="686"/>
    </row>
    <row r="816" spans="7:7" ht="13.2">
      <c r="G816" s="686"/>
    </row>
    <row r="817" spans="7:7" ht="13.2">
      <c r="G817" s="686"/>
    </row>
    <row r="818" spans="7:7" ht="13.2">
      <c r="G818" s="686"/>
    </row>
    <row r="819" spans="7:7" ht="13.2">
      <c r="G819" s="686"/>
    </row>
    <row r="820" spans="7:7" ht="13.2">
      <c r="G820" s="686"/>
    </row>
    <row r="821" spans="7:7" ht="13.2">
      <c r="G821" s="686"/>
    </row>
    <row r="822" spans="7:7" ht="13.2">
      <c r="G822" s="686"/>
    </row>
    <row r="823" spans="7:7" ht="13.2">
      <c r="G823" s="686"/>
    </row>
    <row r="824" spans="7:7" ht="13.2">
      <c r="G824" s="686"/>
    </row>
    <row r="825" spans="7:7" ht="13.2">
      <c r="G825" s="686"/>
    </row>
    <row r="826" spans="7:7" ht="13.2">
      <c r="G826" s="686"/>
    </row>
    <row r="827" spans="7:7" ht="13.2">
      <c r="G827" s="686"/>
    </row>
    <row r="828" spans="7:7" ht="13.2">
      <c r="G828" s="686"/>
    </row>
    <row r="829" spans="7:7" ht="13.2">
      <c r="G829" s="686"/>
    </row>
    <row r="830" spans="7:7" ht="13.2">
      <c r="G830" s="686"/>
    </row>
    <row r="831" spans="7:7" ht="13.2">
      <c r="G831" s="686"/>
    </row>
    <row r="832" spans="7:7" ht="13.2">
      <c r="G832" s="686"/>
    </row>
    <row r="833" spans="7:7" ht="13.2">
      <c r="G833" s="686"/>
    </row>
    <row r="834" spans="7:7" ht="13.2">
      <c r="G834" s="686"/>
    </row>
    <row r="835" spans="7:7" ht="13.2">
      <c r="G835" s="686"/>
    </row>
    <row r="836" spans="7:7" ht="13.2">
      <c r="G836" s="686"/>
    </row>
    <row r="837" spans="7:7" ht="13.2">
      <c r="G837" s="686"/>
    </row>
    <row r="838" spans="7:7" ht="13.2">
      <c r="G838" s="686"/>
    </row>
    <row r="839" spans="7:7" ht="13.2">
      <c r="G839" s="686"/>
    </row>
    <row r="840" spans="7:7" ht="13.2">
      <c r="G840" s="686"/>
    </row>
    <row r="841" spans="7:7" ht="13.2">
      <c r="G841" s="686"/>
    </row>
    <row r="842" spans="7:7" ht="13.2">
      <c r="G842" s="686"/>
    </row>
    <row r="843" spans="7:7" ht="13.2">
      <c r="G843" s="686"/>
    </row>
    <row r="844" spans="7:7" ht="13.2">
      <c r="G844" s="686"/>
    </row>
    <row r="845" spans="7:7" ht="13.2">
      <c r="G845" s="686"/>
    </row>
    <row r="846" spans="7:7" ht="13.2">
      <c r="G846" s="686"/>
    </row>
    <row r="847" spans="7:7" ht="13.2">
      <c r="G847" s="686"/>
    </row>
    <row r="848" spans="7:7" ht="13.2">
      <c r="G848" s="686"/>
    </row>
    <row r="849" spans="7:7" ht="13.2">
      <c r="G849" s="686"/>
    </row>
    <row r="850" spans="7:7" ht="13.2">
      <c r="G850" s="686"/>
    </row>
    <row r="851" spans="7:7" ht="13.2">
      <c r="G851" s="686"/>
    </row>
    <row r="852" spans="7:7" ht="13.2">
      <c r="G852" s="686"/>
    </row>
    <row r="853" spans="7:7" ht="13.2">
      <c r="G853" s="686"/>
    </row>
    <row r="854" spans="7:7" ht="13.2">
      <c r="G854" s="686"/>
    </row>
    <row r="855" spans="7:7" ht="13.2">
      <c r="G855" s="686"/>
    </row>
    <row r="856" spans="7:7" ht="13.2">
      <c r="G856" s="686"/>
    </row>
    <row r="857" spans="7:7" ht="13.2">
      <c r="G857" s="686"/>
    </row>
    <row r="858" spans="7:7" ht="13.2">
      <c r="G858" s="686"/>
    </row>
    <row r="859" spans="7:7" ht="13.2">
      <c r="G859" s="686"/>
    </row>
    <row r="860" spans="7:7" ht="13.2">
      <c r="G860" s="686"/>
    </row>
    <row r="861" spans="7:7" ht="13.2">
      <c r="G861" s="686"/>
    </row>
    <row r="862" spans="7:7" ht="13.2">
      <c r="G862" s="686"/>
    </row>
    <row r="863" spans="7:7" ht="13.2">
      <c r="G863" s="686"/>
    </row>
    <row r="864" spans="7:7" ht="13.2">
      <c r="G864" s="686"/>
    </row>
    <row r="865" spans="7:7" ht="13.2">
      <c r="G865" s="686"/>
    </row>
    <row r="866" spans="7:7" ht="13.2">
      <c r="G866" s="686"/>
    </row>
    <row r="867" spans="7:7" ht="13.2">
      <c r="G867" s="686"/>
    </row>
    <row r="868" spans="7:7" ht="13.2">
      <c r="G868" s="686"/>
    </row>
    <row r="869" spans="7:7" ht="13.2">
      <c r="G869" s="686"/>
    </row>
    <row r="870" spans="7:7" ht="13.2">
      <c r="G870" s="686"/>
    </row>
    <row r="871" spans="7:7" ht="13.2">
      <c r="G871" s="686"/>
    </row>
    <row r="872" spans="7:7" ht="13.2">
      <c r="G872" s="686"/>
    </row>
    <row r="873" spans="7:7" ht="13.2">
      <c r="G873" s="686"/>
    </row>
    <row r="874" spans="7:7" ht="13.2">
      <c r="G874" s="686"/>
    </row>
    <row r="875" spans="7:7" ht="13.2">
      <c r="G875" s="686"/>
    </row>
    <row r="876" spans="7:7" ht="13.2">
      <c r="G876" s="686"/>
    </row>
    <row r="877" spans="7:7" ht="13.2">
      <c r="G877" s="686"/>
    </row>
    <row r="878" spans="7:7" ht="13.2">
      <c r="G878" s="686"/>
    </row>
    <row r="879" spans="7:7" ht="13.2">
      <c r="G879" s="686"/>
    </row>
    <row r="880" spans="7:7" ht="13.2">
      <c r="G880" s="686"/>
    </row>
    <row r="881" spans="7:7" ht="13.2">
      <c r="G881" s="686"/>
    </row>
    <row r="882" spans="7:7" ht="13.2">
      <c r="G882" s="686"/>
    </row>
    <row r="883" spans="7:7" ht="13.2">
      <c r="G883" s="686"/>
    </row>
    <row r="884" spans="7:7" ht="13.2">
      <c r="G884" s="686"/>
    </row>
    <row r="885" spans="7:7" ht="13.2">
      <c r="G885" s="686"/>
    </row>
    <row r="886" spans="7:7" ht="13.2">
      <c r="G886" s="686"/>
    </row>
    <row r="887" spans="7:7" ht="13.2">
      <c r="G887" s="686"/>
    </row>
    <row r="888" spans="7:7" ht="13.2">
      <c r="G888" s="686"/>
    </row>
    <row r="889" spans="7:7" ht="13.2">
      <c r="G889" s="686"/>
    </row>
    <row r="890" spans="7:7" ht="13.2">
      <c r="G890" s="686"/>
    </row>
    <row r="891" spans="7:7" ht="13.2">
      <c r="G891" s="686"/>
    </row>
    <row r="892" spans="7:7" ht="13.2">
      <c r="G892" s="686"/>
    </row>
    <row r="893" spans="7:7" ht="13.2">
      <c r="G893" s="686"/>
    </row>
    <row r="894" spans="7:7" ht="13.2">
      <c r="G894" s="686"/>
    </row>
    <row r="895" spans="7:7" ht="13.2">
      <c r="G895" s="686"/>
    </row>
    <row r="896" spans="7:7" ht="13.2">
      <c r="G896" s="686"/>
    </row>
    <row r="897" spans="7:7" ht="13.2">
      <c r="G897" s="686"/>
    </row>
    <row r="898" spans="7:7" ht="13.2">
      <c r="G898" s="686"/>
    </row>
    <row r="899" spans="7:7" ht="13.2">
      <c r="G899" s="686"/>
    </row>
    <row r="900" spans="7:7" ht="13.2">
      <c r="G900" s="686"/>
    </row>
    <row r="901" spans="7:7" ht="13.2">
      <c r="G901" s="686"/>
    </row>
    <row r="902" spans="7:7" ht="13.2">
      <c r="G902" s="686"/>
    </row>
    <row r="903" spans="7:7" ht="13.2">
      <c r="G903" s="686"/>
    </row>
    <row r="904" spans="7:7" ht="13.2">
      <c r="G904" s="686"/>
    </row>
    <row r="905" spans="7:7" ht="13.2">
      <c r="G905" s="686"/>
    </row>
    <row r="906" spans="7:7" ht="13.2">
      <c r="G906" s="686"/>
    </row>
    <row r="907" spans="7:7" ht="13.2">
      <c r="G907" s="686"/>
    </row>
    <row r="908" spans="7:7" ht="13.2">
      <c r="G908" s="686"/>
    </row>
    <row r="909" spans="7:7" ht="13.2">
      <c r="G909" s="686"/>
    </row>
    <row r="910" spans="7:7" ht="13.2">
      <c r="G910" s="686"/>
    </row>
    <row r="911" spans="7:7" ht="13.2">
      <c r="G911" s="686"/>
    </row>
    <row r="912" spans="7:7" ht="13.2">
      <c r="G912" s="686"/>
    </row>
    <row r="913" spans="7:7" ht="13.2">
      <c r="G913" s="686"/>
    </row>
    <row r="914" spans="7:7" ht="13.2">
      <c r="G914" s="686"/>
    </row>
    <row r="915" spans="7:7" ht="13.2">
      <c r="G915" s="686"/>
    </row>
    <row r="916" spans="7:7" ht="13.2">
      <c r="G916" s="686"/>
    </row>
    <row r="917" spans="7:7" ht="13.2">
      <c r="G917" s="686"/>
    </row>
    <row r="918" spans="7:7" ht="13.2">
      <c r="G918" s="686"/>
    </row>
    <row r="919" spans="7:7" ht="13.2">
      <c r="G919" s="686"/>
    </row>
    <row r="920" spans="7:7" ht="13.2">
      <c r="G920" s="686"/>
    </row>
    <row r="921" spans="7:7" ht="13.2">
      <c r="G921" s="686"/>
    </row>
    <row r="922" spans="7:7" ht="13.2">
      <c r="G922" s="686"/>
    </row>
    <row r="923" spans="7:7" ht="13.2">
      <c r="G923" s="686"/>
    </row>
    <row r="924" spans="7:7" ht="13.2">
      <c r="G924" s="686"/>
    </row>
    <row r="925" spans="7:7" ht="13.2">
      <c r="G925" s="686"/>
    </row>
    <row r="926" spans="7:7" ht="13.2">
      <c r="G926" s="686"/>
    </row>
    <row r="927" spans="7:7" ht="13.2">
      <c r="G927" s="686"/>
    </row>
    <row r="928" spans="7:7" ht="13.2">
      <c r="G928" s="686"/>
    </row>
    <row r="929" spans="7:7" ht="13.2">
      <c r="G929" s="686"/>
    </row>
    <row r="930" spans="7:7" ht="13.2">
      <c r="G930" s="686"/>
    </row>
    <row r="931" spans="7:7" ht="13.2">
      <c r="G931" s="686"/>
    </row>
    <row r="932" spans="7:7" ht="13.2">
      <c r="G932" s="686"/>
    </row>
    <row r="933" spans="7:7" ht="13.2">
      <c r="G933" s="686"/>
    </row>
    <row r="934" spans="7:7" ht="13.2">
      <c r="G934" s="686"/>
    </row>
    <row r="935" spans="7:7" ht="13.2">
      <c r="G935" s="686"/>
    </row>
    <row r="936" spans="7:7" ht="13.2">
      <c r="G936" s="686"/>
    </row>
    <row r="937" spans="7:7" ht="13.2">
      <c r="G937" s="686"/>
    </row>
    <row r="938" spans="7:7" ht="13.2">
      <c r="G938" s="686"/>
    </row>
    <row r="939" spans="7:7" ht="13.2">
      <c r="G939" s="686"/>
    </row>
    <row r="940" spans="7:7" ht="13.2">
      <c r="G940" s="686"/>
    </row>
    <row r="941" spans="7:7" ht="13.2">
      <c r="G941" s="686"/>
    </row>
    <row r="942" spans="7:7" ht="13.2">
      <c r="G942" s="686"/>
    </row>
    <row r="943" spans="7:7" ht="13.2">
      <c r="G943" s="686"/>
    </row>
    <row r="944" spans="7:7" ht="13.2">
      <c r="G944" s="686"/>
    </row>
    <row r="945" spans="7:7" ht="13.2">
      <c r="G945" s="686"/>
    </row>
    <row r="946" spans="7:7" ht="13.2">
      <c r="G946" s="686"/>
    </row>
    <row r="947" spans="7:7" ht="13.2">
      <c r="G947" s="686"/>
    </row>
    <row r="948" spans="7:7" ht="13.2">
      <c r="G948" s="686"/>
    </row>
    <row r="949" spans="7:7" ht="13.2">
      <c r="G949" s="686"/>
    </row>
    <row r="950" spans="7:7" ht="13.2">
      <c r="G950" s="686"/>
    </row>
    <row r="951" spans="7:7" ht="13.2">
      <c r="G951" s="686"/>
    </row>
    <row r="952" spans="7:7" ht="13.2">
      <c r="G952" s="686"/>
    </row>
    <row r="953" spans="7:7" ht="13.2">
      <c r="G953" s="686"/>
    </row>
    <row r="954" spans="7:7" ht="13.2">
      <c r="G954" s="686"/>
    </row>
    <row r="955" spans="7:7" ht="13.2">
      <c r="G955" s="686"/>
    </row>
    <row r="956" spans="7:7" ht="13.2">
      <c r="G956" s="686"/>
    </row>
    <row r="957" spans="7:7" ht="13.2">
      <c r="G957" s="686"/>
    </row>
    <row r="958" spans="7:7" ht="13.2">
      <c r="G958" s="686"/>
    </row>
    <row r="959" spans="7:7" ht="13.2">
      <c r="G959" s="686"/>
    </row>
    <row r="960" spans="7:7" ht="13.2">
      <c r="G960" s="686"/>
    </row>
    <row r="961" spans="7:7" ht="13.2">
      <c r="G961" s="686"/>
    </row>
    <row r="962" spans="7:7" ht="13.2">
      <c r="G962" s="686"/>
    </row>
    <row r="963" spans="7:7" ht="13.2">
      <c r="G963" s="686"/>
    </row>
    <row r="964" spans="7:7" ht="13.2">
      <c r="G964" s="686"/>
    </row>
    <row r="965" spans="7:7" ht="13.2">
      <c r="G965" s="686"/>
    </row>
    <row r="966" spans="7:7" ht="13.2">
      <c r="G966" s="686"/>
    </row>
    <row r="967" spans="7:7" ht="13.2">
      <c r="G967" s="686"/>
    </row>
    <row r="968" spans="7:7" ht="13.2">
      <c r="G968" s="686"/>
    </row>
    <row r="969" spans="7:7" ht="13.2">
      <c r="G969" s="686"/>
    </row>
    <row r="970" spans="7:7" ht="13.2">
      <c r="G970" s="686"/>
    </row>
    <row r="971" spans="7:7" ht="13.2">
      <c r="G971" s="686"/>
    </row>
    <row r="972" spans="7:7" ht="13.2">
      <c r="G972" s="686"/>
    </row>
    <row r="973" spans="7:7" ht="13.2">
      <c r="G973" s="686"/>
    </row>
    <row r="974" spans="7:7" ht="13.2">
      <c r="G974" s="686"/>
    </row>
    <row r="975" spans="7:7" ht="13.2">
      <c r="G975" s="686"/>
    </row>
    <row r="976" spans="7:7" ht="13.2">
      <c r="G976" s="686"/>
    </row>
    <row r="977" spans="7:7" ht="13.2">
      <c r="G977" s="686"/>
    </row>
    <row r="978" spans="7:7" ht="13.2">
      <c r="G978" s="686"/>
    </row>
    <row r="979" spans="7:7" ht="13.2">
      <c r="G979" s="686"/>
    </row>
    <row r="980" spans="7:7" ht="13.2">
      <c r="G980" s="686"/>
    </row>
    <row r="981" spans="7:7" ht="13.2">
      <c r="G981" s="686"/>
    </row>
    <row r="982" spans="7:7" ht="13.2">
      <c r="G982" s="686"/>
    </row>
    <row r="983" spans="7:7" ht="13.2">
      <c r="G983" s="686"/>
    </row>
    <row r="984" spans="7:7" ht="13.2">
      <c r="G984" s="686"/>
    </row>
    <row r="985" spans="7:7" ht="13.2">
      <c r="G985" s="686"/>
    </row>
    <row r="986" spans="7:7" ht="13.2">
      <c r="G986" s="686"/>
    </row>
    <row r="987" spans="7:7" ht="13.2">
      <c r="G987" s="686"/>
    </row>
    <row r="988" spans="7:7" ht="13.2">
      <c r="G988" s="686"/>
    </row>
    <row r="989" spans="7:7" ht="13.2">
      <c r="G989" s="686"/>
    </row>
    <row r="990" spans="7:7" ht="13.2">
      <c r="G990" s="686"/>
    </row>
    <row r="991" spans="7:7" ht="13.2">
      <c r="G991" s="686"/>
    </row>
    <row r="992" spans="7:7" ht="13.2">
      <c r="G992" s="686"/>
    </row>
    <row r="993" spans="7:7" ht="13.2">
      <c r="G993" s="686"/>
    </row>
    <row r="994" spans="7:7" ht="13.2">
      <c r="G994" s="686"/>
    </row>
    <row r="995" spans="7:7" ht="13.2">
      <c r="G995" s="686"/>
    </row>
    <row r="996" spans="7:7" ht="13.2">
      <c r="G996" s="686"/>
    </row>
    <row r="997" spans="7:7" ht="13.2">
      <c r="G997" s="686"/>
    </row>
    <row r="998" spans="7:7" ht="13.2">
      <c r="G998" s="686"/>
    </row>
    <row r="999" spans="7:7" ht="13.2">
      <c r="G999" s="686"/>
    </row>
    <row r="1000" spans="7:7" ht="13.2">
      <c r="G1000" s="686"/>
    </row>
    <row r="1001" spans="7:7" ht="13.2">
      <c r="G1001" s="686"/>
    </row>
    <row r="1002" spans="7:7" ht="13.2">
      <c r="G1002" s="686"/>
    </row>
  </sheetData>
  <autoFilter ref="A4:F107">
    <sortState ref="A4:F107">
      <sortCondition descending="1" ref="A4:A107"/>
      <sortCondition descending="1" ref="F4:F107"/>
    </sortState>
  </autoFilter>
  <conditionalFormatting sqref="L5:L9">
    <cfRule type="cellIs" dxfId="1" priority="1" operator="greaterThan">
      <formula>0</formula>
    </cfRule>
  </conditionalFormatting>
  <conditionalFormatting sqref="L5:L9">
    <cfRule type="cellIs" dxfId="0" priority="2" operator="lessThan">
      <formula>0</formula>
    </cfRule>
  </conditionalFormatting>
  <conditionalFormatting sqref="B1:B4 B108 B133:B1002">
    <cfRule type="colorScale" priority="3">
      <colorScale>
        <cfvo type="min"/>
        <cfvo type="max"/>
        <color rgb="FFFFFFFF"/>
        <color rgb="FF57BB8A"/>
      </colorScale>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20"/>
  <sheetViews>
    <sheetView workbookViewId="0"/>
  </sheetViews>
  <sheetFormatPr defaultColWidth="12.6640625" defaultRowHeight="15.75" customHeight="1"/>
  <cols>
    <col min="1" max="1" width="25.109375" customWidth="1"/>
    <col min="2" max="3" width="12.6640625" customWidth="1"/>
    <col min="4" max="4" width="31.33203125" customWidth="1"/>
    <col min="5" max="5" width="50.109375" customWidth="1"/>
    <col min="7" max="7" width="25.109375" customWidth="1"/>
  </cols>
  <sheetData>
    <row r="1" spans="1:7">
      <c r="A1" s="1010" t="s">
        <v>504</v>
      </c>
      <c r="B1" s="1010" t="s">
        <v>505</v>
      </c>
      <c r="C1" s="1010" t="s">
        <v>506</v>
      </c>
      <c r="D1" s="1010" t="s">
        <v>507</v>
      </c>
      <c r="E1" s="1010" t="s">
        <v>508</v>
      </c>
    </row>
    <row r="2" spans="1:7">
      <c r="A2" s="1011" t="s">
        <v>509</v>
      </c>
      <c r="B2" s="1011" t="s">
        <v>510</v>
      </c>
      <c r="C2" s="1011" t="s">
        <v>510</v>
      </c>
      <c r="D2" s="1011" t="s">
        <v>511</v>
      </c>
      <c r="E2" s="1012" t="s">
        <v>512</v>
      </c>
      <c r="G2" s="1013" t="s">
        <v>513</v>
      </c>
    </row>
    <row r="3" spans="1:7">
      <c r="A3" s="1011" t="s">
        <v>514</v>
      </c>
      <c r="B3" s="1011" t="s">
        <v>515</v>
      </c>
      <c r="C3" s="1011" t="s">
        <v>516</v>
      </c>
      <c r="D3" s="1011" t="s">
        <v>511</v>
      </c>
      <c r="E3" s="1012" t="s">
        <v>517</v>
      </c>
    </row>
    <row r="4" spans="1:7">
      <c r="A4" s="1011" t="s">
        <v>518</v>
      </c>
      <c r="B4" s="1011" t="s">
        <v>519</v>
      </c>
      <c r="C4" s="1011" t="s">
        <v>519</v>
      </c>
      <c r="D4" s="1011" t="s">
        <v>511</v>
      </c>
      <c r="E4" s="1012" t="s">
        <v>520</v>
      </c>
    </row>
    <row r="5" spans="1:7">
      <c r="A5" s="1011" t="s">
        <v>521</v>
      </c>
      <c r="B5" s="1011" t="s">
        <v>522</v>
      </c>
      <c r="C5" s="1011" t="s">
        <v>522</v>
      </c>
      <c r="D5" s="1011" t="s">
        <v>511</v>
      </c>
      <c r="E5" s="1012" t="s">
        <v>523</v>
      </c>
    </row>
    <row r="6" spans="1:7">
      <c r="A6" s="1011" t="s">
        <v>524</v>
      </c>
      <c r="B6" s="1011" t="s">
        <v>525</v>
      </c>
      <c r="C6" s="1011" t="s">
        <v>525</v>
      </c>
      <c r="D6" s="1011" t="s">
        <v>526</v>
      </c>
      <c r="E6" s="1012" t="s">
        <v>527</v>
      </c>
    </row>
    <row r="7" spans="1:7">
      <c r="A7" s="1011" t="s">
        <v>528</v>
      </c>
      <c r="B7" s="1011" t="s">
        <v>525</v>
      </c>
      <c r="C7" s="1011" t="s">
        <v>529</v>
      </c>
      <c r="D7" s="1011" t="s">
        <v>526</v>
      </c>
      <c r="E7" s="1012" t="s">
        <v>530</v>
      </c>
    </row>
    <row r="8" spans="1:7">
      <c r="A8" s="1011" t="s">
        <v>531</v>
      </c>
      <c r="B8" s="1011" t="s">
        <v>532</v>
      </c>
      <c r="C8" s="1011" t="s">
        <v>532</v>
      </c>
      <c r="D8" s="1011" t="s">
        <v>533</v>
      </c>
      <c r="E8" s="1012" t="s">
        <v>534</v>
      </c>
    </row>
    <row r="9" spans="1:7">
      <c r="A9" s="1011" t="s">
        <v>535</v>
      </c>
      <c r="B9" s="1011" t="s">
        <v>536</v>
      </c>
      <c r="C9" s="1011" t="s">
        <v>537</v>
      </c>
      <c r="D9" s="1011" t="s">
        <v>533</v>
      </c>
      <c r="E9" s="1012" t="s">
        <v>538</v>
      </c>
    </row>
    <row r="10" spans="1:7">
      <c r="A10" s="1011" t="s">
        <v>539</v>
      </c>
      <c r="B10" s="1011" t="s">
        <v>540</v>
      </c>
      <c r="C10" s="1011" t="s">
        <v>540</v>
      </c>
      <c r="D10" s="1011" t="s">
        <v>541</v>
      </c>
      <c r="E10" s="1012" t="s">
        <v>542</v>
      </c>
    </row>
    <row r="11" spans="1:7">
      <c r="A11" s="1011" t="s">
        <v>543</v>
      </c>
      <c r="B11" s="1011" t="s">
        <v>544</v>
      </c>
      <c r="C11" s="1011" t="s">
        <v>545</v>
      </c>
      <c r="D11" s="1011" t="s">
        <v>541</v>
      </c>
      <c r="E11" s="1012" t="s">
        <v>546</v>
      </c>
    </row>
    <row r="12" spans="1:7">
      <c r="A12" s="1011" t="s">
        <v>547</v>
      </c>
      <c r="B12" s="1011" t="s">
        <v>548</v>
      </c>
      <c r="C12" s="1011" t="s">
        <v>548</v>
      </c>
      <c r="D12" s="1011" t="s">
        <v>541</v>
      </c>
      <c r="E12" s="1012" t="s">
        <v>549</v>
      </c>
    </row>
    <row r="13" spans="1:7">
      <c r="A13" s="1011" t="s">
        <v>550</v>
      </c>
      <c r="B13" s="1011" t="s">
        <v>551</v>
      </c>
      <c r="C13" s="1011" t="s">
        <v>551</v>
      </c>
      <c r="D13" s="1011" t="s">
        <v>541</v>
      </c>
      <c r="E13" s="1012" t="s">
        <v>552</v>
      </c>
    </row>
    <row r="14" spans="1:7">
      <c r="A14" s="1011" t="s">
        <v>553</v>
      </c>
      <c r="B14" s="1011" t="s">
        <v>554</v>
      </c>
      <c r="C14" s="1011" t="s">
        <v>555</v>
      </c>
      <c r="D14" s="1011" t="s">
        <v>541</v>
      </c>
      <c r="E14" s="1012" t="s">
        <v>556</v>
      </c>
    </row>
    <row r="15" spans="1:7">
      <c r="A15" s="1011" t="s">
        <v>557</v>
      </c>
      <c r="B15" s="1011" t="s">
        <v>558</v>
      </c>
      <c r="C15" s="1011" t="s">
        <v>558</v>
      </c>
      <c r="D15" s="1011" t="s">
        <v>559</v>
      </c>
      <c r="E15" s="1012" t="s">
        <v>560</v>
      </c>
    </row>
    <row r="16" spans="1:7">
      <c r="A16" s="1011" t="s">
        <v>561</v>
      </c>
      <c r="B16" s="1011" t="s">
        <v>562</v>
      </c>
      <c r="C16" s="1011" t="s">
        <v>563</v>
      </c>
      <c r="D16" s="1011" t="s">
        <v>559</v>
      </c>
      <c r="E16" s="1012" t="s">
        <v>564</v>
      </c>
    </row>
    <row r="17" spans="1:5">
      <c r="A17" s="1011" t="s">
        <v>565</v>
      </c>
      <c r="B17" s="1011" t="s">
        <v>566</v>
      </c>
      <c r="C17" s="1011" t="s">
        <v>566</v>
      </c>
      <c r="D17" s="1011" t="s">
        <v>559</v>
      </c>
      <c r="E17" s="1012" t="s">
        <v>567</v>
      </c>
    </row>
    <row r="18" spans="1:5">
      <c r="A18" s="1011" t="s">
        <v>568</v>
      </c>
      <c r="B18" s="1011" t="s">
        <v>569</v>
      </c>
      <c r="C18" s="1011" t="s">
        <v>570</v>
      </c>
      <c r="D18" s="1011" t="s">
        <v>571</v>
      </c>
      <c r="E18" s="1012" t="s">
        <v>572</v>
      </c>
    </row>
    <row r="19" spans="1:5">
      <c r="A19" s="1011" t="s">
        <v>573</v>
      </c>
      <c r="B19" s="1011" t="s">
        <v>574</v>
      </c>
      <c r="C19" s="1011" t="s">
        <v>575</v>
      </c>
      <c r="D19" s="1011" t="s">
        <v>571</v>
      </c>
      <c r="E19" s="1012" t="s">
        <v>576</v>
      </c>
    </row>
    <row r="20" spans="1:5">
      <c r="A20" s="1011" t="s">
        <v>577</v>
      </c>
      <c r="B20" s="1011" t="s">
        <v>578</v>
      </c>
      <c r="C20" s="1011" t="s">
        <v>579</v>
      </c>
      <c r="D20" s="1011" t="s">
        <v>571</v>
      </c>
      <c r="E20" s="1012" t="s">
        <v>580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Home</vt:lpstr>
      <vt:lpstr>HW</vt:lpstr>
      <vt:lpstr>AS</vt:lpstr>
      <vt:lpstr>PA</vt:lpstr>
      <vt:lpstr>MC</vt:lpstr>
      <vt:lpstr>OL</vt:lpstr>
      <vt:lpstr>Performance</vt:lpstr>
      <vt:lpstr>STATS</vt:lpstr>
      <vt:lpstr>RCB</vt:lpstr>
      <vt:lpstr>GT</vt:lpstr>
      <vt:lpstr>SRH</vt:lpstr>
      <vt:lpstr>RR</vt:lpstr>
      <vt:lpstr>MI</vt:lpstr>
      <vt:lpstr>KKR</vt:lpstr>
      <vt:lpstr>DC</vt:lpstr>
      <vt:lpstr>PBSK</vt:lpstr>
      <vt:lpstr>LSG</vt:lpstr>
      <vt:lpstr>CSK</vt:lpstr>
      <vt:lpstr>Points</vt:lpstr>
      <vt:lpstr>Data</vt:lpstr>
      <vt:lpstr>SOLD Players</vt:lpstr>
      <vt:lpstr>IPLMaster</vt:lpstr>
      <vt:lpstr>Extra</vt:lpstr>
      <vt:lpstr>Bowler</vt:lpstr>
      <vt:lpstr>Timeline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dc:creator>
  <cp:lastModifiedBy>himanshu.sankhala04@gmail.com</cp:lastModifiedBy>
  <dcterms:modified xsi:type="dcterms:W3CDTF">2026-06-09T17:50:42Z</dcterms:modified>
</cp:coreProperties>
</file>