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drawings/drawing3.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trlProps/ctrlProp2.xml" ContentType="application/vnd.ms-excel.controlproperties+xml"/>
  <Override PartName="/xl/drawings/drawing5.xml" ContentType="application/vnd.openxmlformats-officedocument.drawing+xml"/>
  <Override PartName="/xl/ctrlProps/ctrlProp3.xml" ContentType="application/vnd.ms-excel.controlproperties+xml"/>
  <Override PartName="/xl/drawings/drawing6.xml" ContentType="application/vnd.openxmlformats-officedocument.drawing+xml"/>
  <Override PartName="/xl/ctrlProps/ctrlProp4.xml" ContentType="application/vnd.ms-excel.controlproperties+xml"/>
  <Override PartName="/xl/drawings/drawing7.xml" ContentType="application/vnd.openxmlformats-officedocument.drawing+xml"/>
  <Override PartName="/xl/ctrlProps/ctrlProp5.xml" ContentType="application/vnd.ms-excel.controlproperties+xml"/>
  <Override PartName="/xl/drawings/drawing8.xml" ContentType="application/vnd.openxmlformats-officedocument.drawing+xml"/>
  <Override PartName="/xl/drawings/drawing9.xml" ContentType="application/vnd.openxmlformats-officedocument.drawing+xml"/>
  <Override PartName="/xl/ctrlProps/ctrlProp6.xml" ContentType="application/vnd.ms-excel.controlproperties+xml"/>
  <Override PartName="/xl/drawings/drawing10.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1.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11.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fileSharing readOnlyRecommended="1"/>
  <workbookPr defaultThemeVersion="166925"/>
  <mc:AlternateContent xmlns:mc="http://schemas.openxmlformats.org/markup-compatibility/2006">
    <mc:Choice Requires="x15">
      <x15ac:absPath xmlns:x15ac="http://schemas.microsoft.com/office/spreadsheetml/2010/11/ac" url="D:\Himanshu\DOC\EPIGRAL\"/>
    </mc:Choice>
  </mc:AlternateContent>
  <xr:revisionPtr revIDLastSave="0" documentId="13_ncr:1_{C5FC4BE4-A97E-49FE-9E53-DE755D900024}" xr6:coauthVersionLast="47" xr6:coauthVersionMax="47" xr10:uidLastSave="{00000000-0000-0000-0000-000000000000}"/>
  <workbookProtection workbookAlgorithmName="SHA-512" workbookHashValue="LOKwHdEGULaqQEmUr4PvDkT6uT5OLr3DdmsrMcOYUclnLCj5Lakf4AcOxFXXdVRUk/AQzrQRPIg3ilQCk6th6Q==" workbookSaltValue="Pcwdw40NjPMQMFvJ1FI4kA==" workbookSpinCount="100000" lockStructure="1"/>
  <bookViews>
    <workbookView xWindow="-120" yWindow="-120" windowWidth="20730" windowHeight="11040" tabRatio="929" xr2:uid="{5DB57AB0-0760-4DA3-ADAE-3983A06AD74C}"/>
  </bookViews>
  <sheets>
    <sheet name="Cover" sheetId="8" r:id="rId1"/>
    <sheet name="Input Sheet" sheetId="23" r:id="rId2"/>
    <sheet name="Valuation Summary" sheetId="34" r:id="rId3"/>
    <sheet name="Beta Calculation" sheetId="26" r:id="rId4"/>
    <sheet name="Damodaran Data" sheetId="24" r:id="rId5"/>
    <sheet name="Control Sheet" sheetId="7" r:id="rId6"/>
    <sheet name="Assumptions Working" sheetId="19" r:id="rId7"/>
    <sheet name="Schedules" sheetId="11" r:id="rId8"/>
    <sheet name="3 Statement Model" sheetId="12" r:id="rId9"/>
    <sheet name="CommonSizeStatement" sheetId="21" r:id="rId10"/>
    <sheet name="Ratio Analysis" sheetId="14" r:id="rId11"/>
    <sheet name="DCF&gt;" sheetId="28" r:id="rId12"/>
    <sheet name="Wacc" sheetId="25" r:id="rId13"/>
    <sheet name="DCF Value" sheetId="15" r:id="rId14"/>
    <sheet name="Relative&gt;" sheetId="31" r:id="rId15"/>
    <sheet name="BenchMarking" sheetId="27" r:id="rId16"/>
    <sheet name="Relative Value" sheetId="32" r:id="rId17"/>
    <sheet name="Workings&gt;" sheetId="22" r:id="rId18"/>
    <sheet name="Report" sheetId="33" r:id="rId19"/>
    <sheet name="Growth Drivers" sheetId="20" r:id="rId20"/>
    <sheet name="Client Data&lt;" sheetId="3" r:id="rId21"/>
    <sheet name=" Income Statement" sheetId="1" r:id="rId22"/>
    <sheet name=" Balance Sheet" sheetId="2" r:id="rId23"/>
    <sheet name="Cash Flow" sheetId="18" r:id="rId24"/>
  </sheets>
  <definedNames>
    <definedName name="_xlnm._FilterDatabase" localSheetId="4" hidden="1">'Damodaran Data'!$B$4:$E$4</definedName>
    <definedName name="_xlnm._FilterDatabase" localSheetId="19" hidden="1">'Growth Drivers'!$E$24:$I$24</definedName>
    <definedName name="CIQWBGuid" localSheetId="22" hidden="1">"96240483-c32e-4a08-b79f-43f13c36ee0e"</definedName>
    <definedName name="CIQWBGuid" localSheetId="21" hidden="1">"96240483-c32e-4a08-b79f-43f13c36ee0e"</definedName>
    <definedName name="CIQWBGuid" localSheetId="23" hidden="1">"96240483-c32e-4a08-b79f-43f13c36ee0e"</definedName>
    <definedName name="CIQWBGuid" hidden="1">"9bd8df8b-044c-4dd6-a0df-b0c3f83b8dd9"</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"06/08/2021 20:37:46"</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22">' Balance Sheet'!$B$2:$F$52</definedName>
    <definedName name="_xlnm.Print_Area" localSheetId="21">' Income Statement'!$B$2:$F$7</definedName>
    <definedName name="_xlnm.Print_Area" localSheetId="23">'Cash Flow'!$B$2:$F$53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3" i="15" l="1"/>
  <c r="H113" i="12"/>
  <c r="G731" i="19"/>
  <c r="K71" i="11"/>
  <c r="I963" i="19" l="1"/>
  <c r="D146" i="11"/>
  <c r="E146" i="11"/>
  <c r="E130" i="11"/>
  <c r="E135" i="11"/>
  <c r="F135" i="11"/>
  <c r="D943" i="19" a="1"/>
  <c r="D943" i="19" s="1"/>
  <c r="H83" i="11"/>
  <c r="Q83" i="11"/>
  <c r="G726" i="19"/>
  <c r="H726" i="19"/>
  <c r="F726" i="19"/>
  <c r="E726" i="19"/>
  <c r="G73" i="11"/>
  <c r="H73" i="11"/>
  <c r="G10" i="34"/>
  <c r="G9" i="34"/>
  <c r="H9" i="34" s="1"/>
  <c r="G8" i="34"/>
  <c r="H8" i="34" s="1"/>
  <c r="G7" i="34"/>
  <c r="H7" i="34" s="1"/>
  <c r="G6" i="34"/>
  <c r="H6" i="34" s="1"/>
  <c r="H10" i="34"/>
  <c r="I7" i="32"/>
  <c r="AC7" i="32"/>
  <c r="H495" i="19" l="1"/>
  <c r="G495" i="19"/>
  <c r="F495" i="19"/>
  <c r="E495" i="19"/>
  <c r="D495" i="19"/>
  <c r="T195" i="33"/>
  <c r="S195" i="33"/>
  <c r="R195" i="33"/>
  <c r="Q195" i="33"/>
  <c r="P195" i="33"/>
  <c r="O195" i="33"/>
  <c r="N195" i="33"/>
  <c r="M195" i="33"/>
  <c r="L195" i="33"/>
  <c r="K195" i="33"/>
  <c r="J195" i="33"/>
  <c r="I195" i="33"/>
  <c r="H195" i="33"/>
  <c r="G195" i="33"/>
  <c r="F195" i="33"/>
  <c r="D388" i="19"/>
  <c r="T170" i="33"/>
  <c r="S170" i="33"/>
  <c r="R170" i="33"/>
  <c r="Q170" i="33"/>
  <c r="P170" i="33"/>
  <c r="O170" i="33"/>
  <c r="N170" i="33"/>
  <c r="M170" i="33"/>
  <c r="L170" i="33"/>
  <c r="K170" i="33"/>
  <c r="J170" i="33"/>
  <c r="I170" i="33"/>
  <c r="H170" i="33"/>
  <c r="G170" i="33"/>
  <c r="G146" i="33"/>
  <c r="H146" i="33"/>
  <c r="I146" i="33"/>
  <c r="J146" i="33"/>
  <c r="K146" i="33"/>
  <c r="L146" i="33"/>
  <c r="M146" i="33"/>
  <c r="N146" i="33"/>
  <c r="O146" i="33"/>
  <c r="P146" i="33"/>
  <c r="Q146" i="33"/>
  <c r="R146" i="33"/>
  <c r="S146" i="33"/>
  <c r="T146" i="33"/>
  <c r="U146" i="33"/>
  <c r="V146" i="33"/>
  <c r="W146" i="33"/>
  <c r="F149" i="33"/>
  <c r="G149" i="33"/>
  <c r="H149" i="33"/>
  <c r="I149" i="33"/>
  <c r="J149" i="33"/>
  <c r="K149" i="33"/>
  <c r="L149" i="33"/>
  <c r="M149" i="33"/>
  <c r="N149" i="33"/>
  <c r="O149" i="33"/>
  <c r="P149" i="33"/>
  <c r="Q149" i="33"/>
  <c r="R149" i="33"/>
  <c r="S149" i="33"/>
  <c r="T149" i="33"/>
  <c r="U149" i="33"/>
  <c r="V149" i="33"/>
  <c r="W149" i="33"/>
  <c r="E107" i="12"/>
  <c r="E119" i="33"/>
  <c r="E120" i="33" s="1"/>
  <c r="E121" i="33" s="1"/>
  <c r="E122" i="33" s="1"/>
  <c r="E123" i="33" s="1"/>
  <c r="E124" i="33" s="1"/>
  <c r="E125" i="33" s="1"/>
  <c r="E126" i="33" s="1"/>
  <c r="E127" i="33" s="1"/>
  <c r="E128" i="33" s="1"/>
  <c r="M139" i="19"/>
  <c r="N139" i="19" s="1"/>
  <c r="O139" i="19" s="1"/>
  <c r="E7" i="26"/>
  <c r="D31" i="32"/>
  <c r="D28" i="32"/>
  <c r="B32" i="32"/>
  <c r="B31" i="32"/>
  <c r="B30" i="32"/>
  <c r="B29" i="32"/>
  <c r="B28" i="32"/>
  <c r="B27" i="32"/>
  <c r="B26" i="32"/>
  <c r="B24" i="32"/>
  <c r="B25" i="32" s="1"/>
  <c r="D22" i="32"/>
  <c r="D21" i="32"/>
  <c r="D20" i="32"/>
  <c r="AD17" i="32"/>
  <c r="AE17" i="32"/>
  <c r="AF17" i="32"/>
  <c r="AG17" i="32"/>
  <c r="AH17" i="32"/>
  <c r="AI17" i="32"/>
  <c r="AJ17" i="32"/>
  <c r="AK17" i="32"/>
  <c r="AC17" i="32"/>
  <c r="AD16" i="32"/>
  <c r="AE16" i="32"/>
  <c r="AF16" i="32"/>
  <c r="AG16" i="32"/>
  <c r="AH16" i="32"/>
  <c r="AI16" i="32"/>
  <c r="AJ16" i="32"/>
  <c r="AK16" i="32"/>
  <c r="AC16" i="32"/>
  <c r="AK15" i="32"/>
  <c r="AJ15" i="32"/>
  <c r="AI15" i="32"/>
  <c r="AH15" i="32"/>
  <c r="AG15" i="32"/>
  <c r="AF15" i="32"/>
  <c r="AE15" i="32"/>
  <c r="AD15" i="32"/>
  <c r="AC15" i="32"/>
  <c r="AK14" i="32"/>
  <c r="AJ14" i="32"/>
  <c r="AI14" i="32"/>
  <c r="AH14" i="32"/>
  <c r="AG14" i="32"/>
  <c r="AF14" i="32"/>
  <c r="AE14" i="32"/>
  <c r="AD14" i="32"/>
  <c r="AC14" i="32"/>
  <c r="AK13" i="32"/>
  <c r="AJ13" i="32"/>
  <c r="AI13" i="32"/>
  <c r="AH13" i="32"/>
  <c r="AG13" i="32"/>
  <c r="AF13" i="32"/>
  <c r="AE13" i="32"/>
  <c r="AD13" i="32"/>
  <c r="AC13" i="32"/>
  <c r="AK12" i="32"/>
  <c r="AJ12" i="32"/>
  <c r="AI12" i="32"/>
  <c r="AH12" i="32"/>
  <c r="AG12" i="32"/>
  <c r="AF12" i="32"/>
  <c r="AE12" i="32"/>
  <c r="AD12" i="32"/>
  <c r="AC12" i="32"/>
  <c r="AK10" i="32"/>
  <c r="AJ10" i="32"/>
  <c r="AI10" i="32"/>
  <c r="AK9" i="32"/>
  <c r="AK8" i="32"/>
  <c r="AJ8" i="32"/>
  <c r="AI8" i="32"/>
  <c r="AI7" i="32"/>
  <c r="AK7" i="32"/>
  <c r="AJ7" i="32"/>
  <c r="AJ9" i="32"/>
  <c r="AI9" i="32"/>
  <c r="AG10" i="32"/>
  <c r="AG9" i="32"/>
  <c r="AG7" i="32"/>
  <c r="AF7" i="32"/>
  <c r="AD10" i="32"/>
  <c r="AC10" i="32"/>
  <c r="AD7" i="32"/>
  <c r="AI4" i="32"/>
  <c r="AJ4" i="32" s="1"/>
  <c r="AK4" i="32" s="1"/>
  <c r="AC4" i="32"/>
  <c r="AD4" i="32" s="1"/>
  <c r="AE4" i="32" s="1"/>
  <c r="AF4" i="32"/>
  <c r="AG4" i="32" s="1"/>
  <c r="AH4" i="32" s="1"/>
  <c r="O10" i="32"/>
  <c r="N10" i="32"/>
  <c r="AA10" i="32"/>
  <c r="Z10" i="32"/>
  <c r="Y10" i="32"/>
  <c r="AA9" i="32"/>
  <c r="Z9" i="32"/>
  <c r="Y9" i="32"/>
  <c r="Y8" i="32"/>
  <c r="AA7" i="32"/>
  <c r="Z7" i="32"/>
  <c r="Y7" i="32"/>
  <c r="U10" i="32"/>
  <c r="T10" i="32"/>
  <c r="S10" i="32"/>
  <c r="U9" i="32"/>
  <c r="T9" i="32"/>
  <c r="S9" i="32"/>
  <c r="S8" i="32"/>
  <c r="U7" i="32"/>
  <c r="T7" i="32"/>
  <c r="S7" i="32"/>
  <c r="O9" i="32"/>
  <c r="N9" i="32"/>
  <c r="O7" i="32"/>
  <c r="N7" i="32"/>
  <c r="S4" i="32"/>
  <c r="T4" i="32" s="1"/>
  <c r="U4" i="32" s="1"/>
  <c r="M4" i="32"/>
  <c r="I10" i="32"/>
  <c r="AH10" i="32" s="1"/>
  <c r="I9" i="32"/>
  <c r="I8" i="32"/>
  <c r="H13" i="25"/>
  <c r="F8" i="25"/>
  <c r="D8" i="25"/>
  <c r="E8" i="25"/>
  <c r="V4" i="32"/>
  <c r="W4" i="32" s="1"/>
  <c r="X4" i="32" s="1"/>
  <c r="P4" i="32"/>
  <c r="Q4" i="32" s="1"/>
  <c r="R4" i="32" s="1"/>
  <c r="K4" i="32"/>
  <c r="L4" i="32" s="1"/>
  <c r="O4" i="32" s="1"/>
  <c r="C26" i="27"/>
  <c r="C10" i="27" s="1"/>
  <c r="G26" i="27"/>
  <c r="G10" i="27" s="1"/>
  <c r="G62" i="27"/>
  <c r="G7" i="27" s="1"/>
  <c r="F62" i="27"/>
  <c r="F7" i="27" s="1"/>
  <c r="E62" i="27"/>
  <c r="E7" i="27" s="1"/>
  <c r="D62" i="27"/>
  <c r="D7" i="27" s="1"/>
  <c r="C62" i="27"/>
  <c r="C7" i="27" s="1"/>
  <c r="G53" i="27"/>
  <c r="G8" i="27" s="1"/>
  <c r="F53" i="27"/>
  <c r="F8" i="27" s="1"/>
  <c r="E53" i="27"/>
  <c r="E8" i="27" s="1"/>
  <c r="D53" i="27"/>
  <c r="D8" i="27" s="1"/>
  <c r="C53" i="27"/>
  <c r="C8" i="27" s="1"/>
  <c r="G44" i="27"/>
  <c r="G6" i="27" s="1"/>
  <c r="F44" i="27"/>
  <c r="F6" i="27" s="1"/>
  <c r="E44" i="27"/>
  <c r="E6" i="27" s="1"/>
  <c r="D44" i="27"/>
  <c r="D6" i="27" s="1"/>
  <c r="C44" i="27"/>
  <c r="C6" i="27" s="1"/>
  <c r="G35" i="27"/>
  <c r="G5" i="27" s="1"/>
  <c r="F35" i="27"/>
  <c r="F5" i="27" s="1"/>
  <c r="E35" i="27"/>
  <c r="E5" i="27" s="1"/>
  <c r="D35" i="27"/>
  <c r="D5" i="27" s="1"/>
  <c r="C35" i="27"/>
  <c r="C5" i="27" s="1"/>
  <c r="G25" i="27"/>
  <c r="G4" i="27" s="1"/>
  <c r="F25" i="27"/>
  <c r="F4" i="27" s="1"/>
  <c r="E25" i="27"/>
  <c r="E4" i="27" s="1"/>
  <c r="D25" i="27"/>
  <c r="D4" i="27" s="1"/>
  <c r="C25" i="27"/>
  <c r="C4" i="27" s="1"/>
  <c r="C3" i="27"/>
  <c r="G63" i="27"/>
  <c r="G13" i="27" s="1"/>
  <c r="F63" i="27"/>
  <c r="F13" i="27" s="1"/>
  <c r="E63" i="27"/>
  <c r="E13" i="27" s="1"/>
  <c r="D63" i="27"/>
  <c r="D13" i="27" s="1"/>
  <c r="C63" i="27"/>
  <c r="C13" i="27" s="1"/>
  <c r="G54" i="27"/>
  <c r="G14" i="27" s="1"/>
  <c r="F54" i="27"/>
  <c r="F14" i="27" s="1"/>
  <c r="E54" i="27"/>
  <c r="E14" i="27" s="1"/>
  <c r="D54" i="27"/>
  <c r="D14" i="27" s="1"/>
  <c r="C54" i="27"/>
  <c r="C14" i="27" s="1"/>
  <c r="G45" i="27"/>
  <c r="G12" i="27" s="1"/>
  <c r="F45" i="27"/>
  <c r="F12" i="27" s="1"/>
  <c r="E45" i="27"/>
  <c r="E12" i="27" s="1"/>
  <c r="D45" i="27"/>
  <c r="D12" i="27" s="1"/>
  <c r="C45" i="27"/>
  <c r="C12" i="27" s="1"/>
  <c r="G36" i="27"/>
  <c r="G11" i="27" s="1"/>
  <c r="F36" i="27"/>
  <c r="F11" i="27" s="1"/>
  <c r="E36" i="27"/>
  <c r="E11" i="27" s="1"/>
  <c r="D36" i="27"/>
  <c r="D11" i="27" s="1"/>
  <c r="C36" i="27"/>
  <c r="C11" i="27" s="1"/>
  <c r="F26" i="27"/>
  <c r="F10" i="27" s="1"/>
  <c r="E26" i="27"/>
  <c r="E10" i="27" s="1"/>
  <c r="D26" i="27"/>
  <c r="D10" i="27" s="1"/>
  <c r="D57" i="27"/>
  <c r="E57" i="27" s="1"/>
  <c r="F57" i="27" s="1"/>
  <c r="G57" i="27" s="1"/>
  <c r="D48" i="27"/>
  <c r="E48" i="27" s="1"/>
  <c r="F48" i="27" s="1"/>
  <c r="G48" i="27" s="1"/>
  <c r="D39" i="27"/>
  <c r="E39" i="27" s="1"/>
  <c r="F39" i="27" s="1"/>
  <c r="G39" i="27" s="1"/>
  <c r="D30" i="27"/>
  <c r="E30" i="27" s="1"/>
  <c r="F30" i="27" s="1"/>
  <c r="G30" i="27" s="1"/>
  <c r="D20" i="27"/>
  <c r="E20" i="27" s="1"/>
  <c r="F20" i="27" s="1"/>
  <c r="G20" i="27" s="1"/>
  <c r="D24" i="32" l="1"/>
  <c r="D25" i="32" s="1"/>
  <c r="K495" i="19"/>
  <c r="J495" i="19"/>
  <c r="P139" i="19"/>
  <c r="P140" i="19"/>
  <c r="AF9" i="32"/>
  <c r="AE7" i="32"/>
  <c r="AE10" i="32"/>
  <c r="AD9" i="32"/>
  <c r="AF10" i="32"/>
  <c r="AH7" i="32"/>
  <c r="AG8" i="32"/>
  <c r="AE8" i="32"/>
  <c r="AE9" i="32"/>
  <c r="AF8" i="32"/>
  <c r="AC8" i="32"/>
  <c r="AD8" i="32"/>
  <c r="AC9" i="32"/>
  <c r="AH9" i="32"/>
  <c r="AH8" i="32"/>
  <c r="Y4" i="32"/>
  <c r="Z4" i="32" s="1"/>
  <c r="AA4" i="32" s="1"/>
  <c r="N4" i="32"/>
  <c r="H14" i="27"/>
  <c r="H10" i="27"/>
  <c r="H13" i="27"/>
  <c r="H6" i="27"/>
  <c r="H11" i="27"/>
  <c r="H8" i="27"/>
  <c r="H5" i="27"/>
  <c r="H4" i="27"/>
  <c r="H7" i="27"/>
  <c r="H12" i="27"/>
  <c r="E3" i="27"/>
  <c r="F3" i="27"/>
  <c r="G3" i="27"/>
  <c r="D3" i="27"/>
  <c r="P103" i="7"/>
  <c r="Q7" i="14"/>
  <c r="D101" i="12"/>
  <c r="E101" i="12"/>
  <c r="F101" i="12"/>
  <c r="G101" i="12"/>
  <c r="H101" i="12"/>
  <c r="D59" i="12"/>
  <c r="E59" i="12"/>
  <c r="F59" i="12"/>
  <c r="G59" i="12"/>
  <c r="H59" i="12"/>
  <c r="I59" i="12"/>
  <c r="J59" i="12"/>
  <c r="K59" i="12"/>
  <c r="L59" i="12"/>
  <c r="M59" i="12"/>
  <c r="N59" i="12"/>
  <c r="P59" i="12"/>
  <c r="Q59" i="12"/>
  <c r="R59" i="12"/>
  <c r="S59" i="12"/>
  <c r="T59" i="12"/>
  <c r="U59" i="12"/>
  <c r="V59" i="12"/>
  <c r="D30" i="12"/>
  <c r="E30" i="12"/>
  <c r="F30" i="12"/>
  <c r="G30" i="12"/>
  <c r="H30" i="12"/>
  <c r="I30" i="12"/>
  <c r="I101" i="12" s="1"/>
  <c r="J30" i="12"/>
  <c r="J101" i="12" s="1"/>
  <c r="K30" i="12"/>
  <c r="K101" i="12" s="1"/>
  <c r="L30" i="12"/>
  <c r="L101" i="12" s="1"/>
  <c r="M30" i="12"/>
  <c r="M101" i="12" s="1"/>
  <c r="N30" i="12"/>
  <c r="N101" i="12" s="1"/>
  <c r="O30" i="12"/>
  <c r="O101" i="12" s="1"/>
  <c r="P30" i="12"/>
  <c r="P101" i="12" s="1"/>
  <c r="Q30" i="12"/>
  <c r="Q101" i="12" s="1"/>
  <c r="R30" i="12"/>
  <c r="R101" i="12" s="1"/>
  <c r="S30" i="12"/>
  <c r="S101" i="12" s="1"/>
  <c r="T30" i="12"/>
  <c r="T101" i="12" s="1"/>
  <c r="U30" i="12"/>
  <c r="U101" i="12" s="1"/>
  <c r="V30" i="12"/>
  <c r="V101" i="12" s="1"/>
  <c r="Q79" i="12"/>
  <c r="N78" i="11"/>
  <c r="N77" i="11"/>
  <c r="I77" i="11"/>
  <c r="J77" i="11"/>
  <c r="K77" i="11" s="1"/>
  <c r="L77" i="11" s="1"/>
  <c r="M77" i="11" s="1"/>
  <c r="I75" i="11"/>
  <c r="J75" i="11"/>
  <c r="K75" i="11"/>
  <c r="L75" i="11"/>
  <c r="M75" i="11"/>
  <c r="P75" i="11"/>
  <c r="Q75" i="11"/>
  <c r="R75" i="11"/>
  <c r="S75" i="11"/>
  <c r="T75" i="11"/>
  <c r="U75" i="11"/>
  <c r="V75" i="11"/>
  <c r="I66" i="11"/>
  <c r="I65" i="11" s="1"/>
  <c r="J66" i="11"/>
  <c r="K66" i="11"/>
  <c r="L66" i="11"/>
  <c r="M66" i="11"/>
  <c r="N66" i="11"/>
  <c r="N65" i="11" s="1"/>
  <c r="O65" i="11" s="1"/>
  <c r="P65" i="11" s="1"/>
  <c r="Q65" i="11" s="1"/>
  <c r="R65" i="11" s="1"/>
  <c r="S65" i="11" s="1"/>
  <c r="T65" i="11" s="1"/>
  <c r="U65" i="11" s="1"/>
  <c r="V65" i="11" s="1"/>
  <c r="J60" i="12"/>
  <c r="G52" i="11"/>
  <c r="F52" i="11"/>
  <c r="E52" i="11"/>
  <c r="D52" i="11"/>
  <c r="H52" i="11"/>
  <c r="H58" i="12"/>
  <c r="F58" i="12"/>
  <c r="E58" i="12"/>
  <c r="D58" i="12"/>
  <c r="H53" i="11"/>
  <c r="G53" i="11"/>
  <c r="G58" i="12" s="1"/>
  <c r="F53" i="11"/>
  <c r="E53" i="11"/>
  <c r="D53" i="11"/>
  <c r="F73" i="11"/>
  <c r="E73" i="11"/>
  <c r="D73" i="11"/>
  <c r="B92" i="11"/>
  <c r="B93" i="11" s="1"/>
  <c r="B94" i="11" s="1"/>
  <c r="B95" i="11" s="1"/>
  <c r="B96" i="11" s="1"/>
  <c r="B97" i="11" s="1"/>
  <c r="M731" i="19"/>
  <c r="N731" i="19" s="1"/>
  <c r="R51" i="11" s="1"/>
  <c r="R71" i="11" s="1"/>
  <c r="V127" i="7"/>
  <c r="V198" i="11" s="1"/>
  <c r="U127" i="7"/>
  <c r="U198" i="11" s="1"/>
  <c r="T127" i="7"/>
  <c r="T198" i="11" s="1"/>
  <c r="S127" i="7"/>
  <c r="S198" i="11" s="1"/>
  <c r="R127" i="7"/>
  <c r="R198" i="11" s="1"/>
  <c r="Q127" i="7"/>
  <c r="Q198" i="11" s="1"/>
  <c r="V119" i="7"/>
  <c r="V123" i="11" s="1"/>
  <c r="U119" i="7"/>
  <c r="U123" i="11" s="1"/>
  <c r="T119" i="7"/>
  <c r="T123" i="11" s="1"/>
  <c r="S119" i="7"/>
  <c r="S123" i="11" s="1"/>
  <c r="R119" i="7"/>
  <c r="R123" i="11" s="1"/>
  <c r="Q119" i="7"/>
  <c r="Q123" i="11" s="1"/>
  <c r="V111" i="7"/>
  <c r="V189" i="11" s="1"/>
  <c r="U111" i="7"/>
  <c r="U189" i="11" s="1"/>
  <c r="T111" i="7"/>
  <c r="T189" i="11" s="1"/>
  <c r="S111" i="7"/>
  <c r="S189" i="11" s="1"/>
  <c r="R111" i="7"/>
  <c r="R189" i="11" s="1"/>
  <c r="Q111" i="7"/>
  <c r="Q189" i="11" s="1"/>
  <c r="V103" i="7"/>
  <c r="V151" i="11" s="1"/>
  <c r="U103" i="7"/>
  <c r="U151" i="11" s="1"/>
  <c r="T103" i="7"/>
  <c r="T151" i="11" s="1"/>
  <c r="S103" i="7"/>
  <c r="S151" i="11" s="1"/>
  <c r="R103" i="7"/>
  <c r="R151" i="11" s="1"/>
  <c r="Q103" i="7"/>
  <c r="Q151" i="11" s="1"/>
  <c r="V95" i="7"/>
  <c r="V180" i="11" s="1"/>
  <c r="U95" i="7"/>
  <c r="U180" i="11" s="1"/>
  <c r="T95" i="7"/>
  <c r="T180" i="11" s="1"/>
  <c r="S95" i="7"/>
  <c r="S180" i="11" s="1"/>
  <c r="R95" i="7"/>
  <c r="R180" i="11" s="1"/>
  <c r="Q95" i="7"/>
  <c r="Q180" i="11" s="1"/>
  <c r="V87" i="7"/>
  <c r="V114" i="11" s="1"/>
  <c r="U87" i="7"/>
  <c r="U114" i="11" s="1"/>
  <c r="T87" i="7"/>
  <c r="T114" i="11" s="1"/>
  <c r="S87" i="7"/>
  <c r="S114" i="11" s="1"/>
  <c r="R87" i="7"/>
  <c r="R114" i="11" s="1"/>
  <c r="Q87" i="7"/>
  <c r="Q114" i="11" s="1"/>
  <c r="V79" i="7"/>
  <c r="U79" i="7"/>
  <c r="T79" i="7"/>
  <c r="S79" i="7"/>
  <c r="R79" i="7"/>
  <c r="Q79" i="7"/>
  <c r="V71" i="7"/>
  <c r="V62" i="11" s="1"/>
  <c r="U71" i="7"/>
  <c r="U62" i="11" s="1"/>
  <c r="T71" i="7"/>
  <c r="T62" i="11" s="1"/>
  <c r="S71" i="7"/>
  <c r="S62" i="11" s="1"/>
  <c r="R71" i="7"/>
  <c r="R62" i="11" s="1"/>
  <c r="Q71" i="7"/>
  <c r="Q62" i="11" s="1"/>
  <c r="V65" i="7"/>
  <c r="V58" i="11" s="1"/>
  <c r="U65" i="7"/>
  <c r="U58" i="11" s="1"/>
  <c r="T65" i="7"/>
  <c r="T58" i="11" s="1"/>
  <c r="S65" i="7"/>
  <c r="S58" i="11" s="1"/>
  <c r="R65" i="7"/>
  <c r="R58" i="11" s="1"/>
  <c r="Q65" i="7"/>
  <c r="Q58" i="11" s="1"/>
  <c r="V56" i="7"/>
  <c r="U56" i="7"/>
  <c r="T56" i="7"/>
  <c r="S56" i="7"/>
  <c r="R56" i="7"/>
  <c r="Q56" i="7"/>
  <c r="V54" i="7"/>
  <c r="V42" i="11" s="1"/>
  <c r="U54" i="7"/>
  <c r="U42" i="11" s="1"/>
  <c r="T54" i="7"/>
  <c r="T42" i="11" s="1"/>
  <c r="S54" i="7"/>
  <c r="S42" i="11" s="1"/>
  <c r="R54" i="7"/>
  <c r="R42" i="11" s="1"/>
  <c r="Q54" i="7"/>
  <c r="Q42" i="11" s="1"/>
  <c r="V48" i="7"/>
  <c r="V37" i="11" s="1"/>
  <c r="U48" i="7"/>
  <c r="U37" i="11" s="1"/>
  <c r="T48" i="7"/>
  <c r="T37" i="11" s="1"/>
  <c r="S48" i="7"/>
  <c r="S37" i="11" s="1"/>
  <c r="R48" i="7"/>
  <c r="R37" i="11" s="1"/>
  <c r="Q48" i="7"/>
  <c r="Q37" i="11" s="1"/>
  <c r="V42" i="7"/>
  <c r="V32" i="11" s="1"/>
  <c r="U42" i="7"/>
  <c r="U32" i="11" s="1"/>
  <c r="T42" i="7"/>
  <c r="T32" i="11" s="1"/>
  <c r="S42" i="7"/>
  <c r="S32" i="11" s="1"/>
  <c r="R42" i="7"/>
  <c r="R32" i="11" s="1"/>
  <c r="Q42" i="7"/>
  <c r="Q32" i="11" s="1"/>
  <c r="V36" i="7"/>
  <c r="V27" i="11" s="1"/>
  <c r="U36" i="7"/>
  <c r="U27" i="11" s="1"/>
  <c r="T36" i="7"/>
  <c r="T27" i="11" s="1"/>
  <c r="S36" i="7"/>
  <c r="S27" i="11" s="1"/>
  <c r="R36" i="7"/>
  <c r="R27" i="11" s="1"/>
  <c r="Q36" i="7"/>
  <c r="Q27" i="11" s="1"/>
  <c r="V26" i="7"/>
  <c r="V28" i="7" s="1"/>
  <c r="V20" i="11" s="1"/>
  <c r="U26" i="7"/>
  <c r="U28" i="7" s="1"/>
  <c r="U20" i="11" s="1"/>
  <c r="T26" i="7"/>
  <c r="T28" i="7" s="1"/>
  <c r="T20" i="11" s="1"/>
  <c r="S26" i="7"/>
  <c r="S28" i="7" s="1"/>
  <c r="S20" i="11" s="1"/>
  <c r="R26" i="7"/>
  <c r="R28" i="7" s="1"/>
  <c r="R20" i="11" s="1"/>
  <c r="Q26" i="7"/>
  <c r="Q28" i="7" s="1"/>
  <c r="Q20" i="11" s="1"/>
  <c r="V18" i="7"/>
  <c r="V14" i="11" s="1"/>
  <c r="U18" i="7"/>
  <c r="U14" i="11" s="1"/>
  <c r="T18" i="7"/>
  <c r="T14" i="11" s="1"/>
  <c r="S18" i="7"/>
  <c r="S14" i="11" s="1"/>
  <c r="R18" i="7"/>
  <c r="R14" i="11" s="1"/>
  <c r="Q18" i="7"/>
  <c r="Q14" i="11" s="1"/>
  <c r="R79" i="12" l="1"/>
  <c r="S79" i="12" s="1"/>
  <c r="T79" i="12" s="1"/>
  <c r="U79" i="12" s="1"/>
  <c r="V79" i="12" s="1"/>
  <c r="Q139" i="19"/>
  <c r="Q140" i="19"/>
  <c r="Q51" i="11"/>
  <c r="Q71" i="11" s="1"/>
  <c r="U13" i="15"/>
  <c r="U18" i="15" s="1"/>
  <c r="R13" i="15"/>
  <c r="R18" i="15" s="1"/>
  <c r="V13" i="15"/>
  <c r="V18" i="15" s="1"/>
  <c r="S13" i="15"/>
  <c r="S18" i="15" s="1"/>
  <c r="W13" i="15"/>
  <c r="W18" i="15" s="1"/>
  <c r="T13" i="15"/>
  <c r="T18" i="15" s="1"/>
  <c r="J65" i="11"/>
  <c r="K65" i="11" s="1"/>
  <c r="L65" i="11" s="1"/>
  <c r="O731" i="19"/>
  <c r="C92" i="15"/>
  <c r="C94" i="15" s="1"/>
  <c r="C95" i="15" s="1"/>
  <c r="C96" i="15" s="1"/>
  <c r="C97" i="15" s="1"/>
  <c r="C79" i="15"/>
  <c r="C81" i="15" s="1"/>
  <c r="C82" i="15" s="1"/>
  <c r="C83" i="15" s="1"/>
  <c r="C84" i="15" s="1"/>
  <c r="E90" i="15"/>
  <c r="F90" i="15" s="1"/>
  <c r="G90" i="15" s="1"/>
  <c r="H90" i="15" s="1"/>
  <c r="I90" i="15" s="1"/>
  <c r="J90" i="15" s="1"/>
  <c r="K90" i="15" s="1"/>
  <c r="D13" i="25"/>
  <c r="H46" i="25"/>
  <c r="J72" i="25"/>
  <c r="J93" i="25" s="1"/>
  <c r="K9" i="26"/>
  <c r="F7" i="26"/>
  <c r="F10" i="26"/>
  <c r="J71" i="25"/>
  <c r="J92" i="25" s="1"/>
  <c r="J70" i="25"/>
  <c r="J91" i="25" s="1"/>
  <c r="J69" i="25"/>
  <c r="J90" i="25" s="1"/>
  <c r="J68" i="25"/>
  <c r="J89" i="25" s="1"/>
  <c r="J67" i="25"/>
  <c r="J88" i="25" s="1"/>
  <c r="J66" i="25"/>
  <c r="J87" i="25" s="1"/>
  <c r="J65" i="25"/>
  <c r="J86" i="25" s="1"/>
  <c r="K3" i="26"/>
  <c r="G65" i="25" s="1"/>
  <c r="L93" i="25"/>
  <c r="L92" i="25"/>
  <c r="L91" i="25"/>
  <c r="L90" i="25"/>
  <c r="L89" i="25"/>
  <c r="L88" i="25"/>
  <c r="L87" i="25"/>
  <c r="L86" i="25"/>
  <c r="M72" i="25"/>
  <c r="M71" i="25"/>
  <c r="M70" i="25"/>
  <c r="M69" i="25"/>
  <c r="M68" i="25"/>
  <c r="M67" i="25"/>
  <c r="M66" i="25"/>
  <c r="M65" i="25"/>
  <c r="G71" i="25"/>
  <c r="F3" i="26"/>
  <c r="G46" i="25" s="1"/>
  <c r="H72" i="25"/>
  <c r="H93" i="25" s="1"/>
  <c r="H71" i="25"/>
  <c r="H92" i="25" s="1"/>
  <c r="H70" i="25"/>
  <c r="H91" i="25" s="1"/>
  <c r="H69" i="25"/>
  <c r="H90" i="25" s="1"/>
  <c r="H68" i="25"/>
  <c r="H89" i="25" s="1"/>
  <c r="H67" i="25"/>
  <c r="H88" i="25" s="1"/>
  <c r="H66" i="25"/>
  <c r="H87" i="25" s="1"/>
  <c r="H65" i="25"/>
  <c r="I72" i="25"/>
  <c r="I93" i="25" s="1"/>
  <c r="G93" i="25" s="1"/>
  <c r="I71" i="25"/>
  <c r="I92" i="25" s="1"/>
  <c r="G92" i="25" s="1"/>
  <c r="I70" i="25"/>
  <c r="I91" i="25" s="1"/>
  <c r="G91" i="25" s="1"/>
  <c r="I69" i="25"/>
  <c r="I90" i="25" s="1"/>
  <c r="G90" i="25" s="1"/>
  <c r="I68" i="25"/>
  <c r="I89" i="25" s="1"/>
  <c r="G89" i="25" s="1"/>
  <c r="I67" i="25"/>
  <c r="I88" i="25" s="1"/>
  <c r="G88" i="25" s="1"/>
  <c r="I66" i="25"/>
  <c r="I87" i="25" s="1"/>
  <c r="G87" i="25" s="1"/>
  <c r="I65" i="25"/>
  <c r="K4" i="26"/>
  <c r="G66" i="25" s="1"/>
  <c r="K5" i="26"/>
  <c r="G67" i="25" s="1"/>
  <c r="K6" i="26"/>
  <c r="G68" i="25" s="1"/>
  <c r="K7" i="26"/>
  <c r="G69" i="25" s="1"/>
  <c r="K8" i="26"/>
  <c r="G70" i="25" s="1"/>
  <c r="K10" i="26"/>
  <c r="G72" i="25" s="1"/>
  <c r="K11" i="26"/>
  <c r="I3" i="26"/>
  <c r="Y91" i="26"/>
  <c r="X91" i="26"/>
  <c r="W91" i="26"/>
  <c r="V91" i="26"/>
  <c r="V89" i="26"/>
  <c r="W89" i="26"/>
  <c r="J11" i="26"/>
  <c r="I11" i="26"/>
  <c r="J10" i="26"/>
  <c r="I10" i="26"/>
  <c r="J9" i="26"/>
  <c r="I9" i="26"/>
  <c r="J8" i="26"/>
  <c r="I8" i="26"/>
  <c r="J7" i="26"/>
  <c r="I7" i="26"/>
  <c r="J5" i="26"/>
  <c r="I5" i="26"/>
  <c r="J4" i="26"/>
  <c r="I4" i="26"/>
  <c r="J3" i="26"/>
  <c r="BD95" i="26"/>
  <c r="BD94" i="26"/>
  <c r="BC89" i="26"/>
  <c r="BB89" i="26"/>
  <c r="BA89" i="26"/>
  <c r="AZ89" i="26"/>
  <c r="BB86" i="26"/>
  <c r="BB91" i="26" s="1"/>
  <c r="BA86" i="26"/>
  <c r="AZ86" i="26"/>
  <c r="BA84" i="26"/>
  <c r="BB84" i="26" s="1"/>
  <c r="AX92" i="26"/>
  <c r="AX95" i="26"/>
  <c r="AX94" i="26"/>
  <c r="AT91" i="26"/>
  <c r="AT89" i="26"/>
  <c r="AV86" i="26"/>
  <c r="AU86" i="26"/>
  <c r="AT86" i="26"/>
  <c r="AV91" i="26"/>
  <c r="AU89" i="26"/>
  <c r="AU84" i="26"/>
  <c r="AV84" i="26" s="1"/>
  <c r="AN91" i="26"/>
  <c r="AR95" i="26"/>
  <c r="AR94" i="26"/>
  <c r="AR92" i="26"/>
  <c r="AR89" i="26"/>
  <c r="AQ89" i="26"/>
  <c r="AP89" i="26"/>
  <c r="AO89" i="26"/>
  <c r="AN89" i="26"/>
  <c r="AP86" i="26"/>
  <c r="AP91" i="26" s="1"/>
  <c r="AO86" i="26"/>
  <c r="AN86" i="26"/>
  <c r="AO84" i="26"/>
  <c r="AP84" i="26" s="1"/>
  <c r="AJ86" i="26"/>
  <c r="AJ91" i="26" s="1"/>
  <c r="AI86" i="26"/>
  <c r="AI89" i="26" s="1"/>
  <c r="AH86" i="26"/>
  <c r="AH91" i="26" s="1"/>
  <c r="AI84" i="26"/>
  <c r="AJ84" i="26" s="1"/>
  <c r="AB86" i="26"/>
  <c r="AB89" i="26" s="1"/>
  <c r="AD86" i="26"/>
  <c r="AD91" i="26" s="1"/>
  <c r="AC86" i="26"/>
  <c r="AC89" i="26" s="1"/>
  <c r="AC84" i="26"/>
  <c r="AD84" i="26" s="1"/>
  <c r="X86" i="26"/>
  <c r="W86" i="26"/>
  <c r="V86" i="26"/>
  <c r="W84" i="26"/>
  <c r="X84" i="26" s="1"/>
  <c r="R86" i="26"/>
  <c r="R89" i="26" s="1"/>
  <c r="Q86" i="26"/>
  <c r="Q89" i="26" s="1"/>
  <c r="P86" i="26"/>
  <c r="P91" i="26" s="1"/>
  <c r="Q84" i="26"/>
  <c r="R84" i="26" s="1"/>
  <c r="J86" i="26"/>
  <c r="J89" i="26" s="1"/>
  <c r="K86" i="26"/>
  <c r="K89" i="26" s="1"/>
  <c r="L86" i="26"/>
  <c r="L89" i="26" s="1"/>
  <c r="K84" i="26"/>
  <c r="L84" i="26" s="1"/>
  <c r="F86" i="26"/>
  <c r="F91" i="26" s="1"/>
  <c r="E86" i="26"/>
  <c r="E91" i="26" s="1"/>
  <c r="D86" i="26"/>
  <c r="D91" i="26" s="1"/>
  <c r="E84" i="26"/>
  <c r="F84" i="26" s="1"/>
  <c r="G84" i="26" s="1"/>
  <c r="H84" i="26" s="1"/>
  <c r="M53" i="25"/>
  <c r="M52" i="25"/>
  <c r="M51" i="25"/>
  <c r="M50" i="25"/>
  <c r="M49" i="25"/>
  <c r="M48" i="25"/>
  <c r="M47" i="25"/>
  <c r="M46" i="25"/>
  <c r="BD86" i="26"/>
  <c r="BD89" i="26" s="1"/>
  <c r="BC86" i="26"/>
  <c r="AO207" i="26"/>
  <c r="AO206" i="26"/>
  <c r="AO205" i="26"/>
  <c r="AO204" i="26"/>
  <c r="AO203" i="26"/>
  <c r="AO202" i="26"/>
  <c r="AO201" i="26"/>
  <c r="AO200" i="26"/>
  <c r="AO199" i="26"/>
  <c r="AO198" i="26"/>
  <c r="AO197" i="26"/>
  <c r="AO196" i="26"/>
  <c r="AO195" i="26"/>
  <c r="AO194" i="26"/>
  <c r="AO193" i="26"/>
  <c r="AO192" i="26"/>
  <c r="AO191" i="26"/>
  <c r="AO190" i="26"/>
  <c r="AO189" i="26"/>
  <c r="AO188" i="26"/>
  <c r="AO187" i="26"/>
  <c r="AO186" i="26"/>
  <c r="AO185" i="26"/>
  <c r="AO184" i="26"/>
  <c r="AO183" i="26"/>
  <c r="AO182" i="26"/>
  <c r="AO181" i="26"/>
  <c r="AO180" i="26"/>
  <c r="AO179" i="26"/>
  <c r="AO178" i="26"/>
  <c r="AO177" i="26"/>
  <c r="AO176" i="26"/>
  <c r="AO175" i="26"/>
  <c r="AO174" i="26"/>
  <c r="AO173" i="26"/>
  <c r="AO172" i="26"/>
  <c r="AO171" i="26"/>
  <c r="AO170" i="26"/>
  <c r="AO169" i="26"/>
  <c r="AO168" i="26"/>
  <c r="AO167" i="26"/>
  <c r="AO166" i="26"/>
  <c r="AO165" i="26"/>
  <c r="AO164" i="26"/>
  <c r="AO163" i="26"/>
  <c r="AO162" i="26"/>
  <c r="AO161" i="26"/>
  <c r="AO160" i="26"/>
  <c r="AO159" i="26"/>
  <c r="AO158" i="26"/>
  <c r="AO157" i="26"/>
  <c r="AO156" i="26"/>
  <c r="AO155" i="26"/>
  <c r="AO154" i="26"/>
  <c r="AO153" i="26"/>
  <c r="AO152" i="26"/>
  <c r="AO151" i="26"/>
  <c r="AO150" i="26"/>
  <c r="AO149" i="26"/>
  <c r="AO148" i="26"/>
  <c r="AO147" i="26"/>
  <c r="AO146" i="26"/>
  <c r="AO145" i="26"/>
  <c r="AO144" i="26"/>
  <c r="AO143" i="26"/>
  <c r="AO142" i="26"/>
  <c r="AO141" i="26"/>
  <c r="AO140" i="26"/>
  <c r="AO139" i="26"/>
  <c r="AO138" i="26"/>
  <c r="AO137" i="26"/>
  <c r="AO136" i="26"/>
  <c r="AO135" i="26"/>
  <c r="AO134" i="26"/>
  <c r="AO133" i="26"/>
  <c r="AO132" i="26"/>
  <c r="AO131" i="26"/>
  <c r="AO130" i="26"/>
  <c r="AO129" i="26"/>
  <c r="AO128" i="26"/>
  <c r="AO127" i="26"/>
  <c r="AO126" i="26"/>
  <c r="AO125" i="26"/>
  <c r="AO124" i="26"/>
  <c r="AO123" i="26"/>
  <c r="AO122" i="26"/>
  <c r="AO121" i="26"/>
  <c r="AO120" i="26"/>
  <c r="AO119" i="26"/>
  <c r="AO118" i="26"/>
  <c r="AO117" i="26"/>
  <c r="AO116" i="26"/>
  <c r="AO115" i="26"/>
  <c r="AO114" i="26"/>
  <c r="AO113" i="26"/>
  <c r="AO112" i="26"/>
  <c r="AO111" i="26"/>
  <c r="AO110" i="26"/>
  <c r="AO109" i="26"/>
  <c r="AO108" i="26"/>
  <c r="AO107" i="26"/>
  <c r="AO106" i="26"/>
  <c r="AO105" i="26"/>
  <c r="AO104" i="26"/>
  <c r="AO71" i="26"/>
  <c r="AO70" i="26"/>
  <c r="AO69" i="26"/>
  <c r="AO68" i="26"/>
  <c r="AO67" i="26"/>
  <c r="AO66" i="26"/>
  <c r="AO65" i="26"/>
  <c r="AO64" i="26"/>
  <c r="AO63" i="26"/>
  <c r="AO62" i="26"/>
  <c r="AO61" i="26"/>
  <c r="AO60" i="26"/>
  <c r="AO59" i="26"/>
  <c r="AO58" i="26"/>
  <c r="AO57" i="26"/>
  <c r="AO56" i="26"/>
  <c r="AO55" i="26"/>
  <c r="AO54" i="26"/>
  <c r="AO53" i="26"/>
  <c r="AO52" i="26"/>
  <c r="AO51" i="26"/>
  <c r="AO50" i="26"/>
  <c r="AO49" i="26"/>
  <c r="AO48" i="26"/>
  <c r="AO47" i="26"/>
  <c r="AO46" i="26"/>
  <c r="AO45" i="26"/>
  <c r="AO44" i="26"/>
  <c r="AO43" i="26"/>
  <c r="AO42" i="26"/>
  <c r="AO41" i="26"/>
  <c r="AO40" i="26"/>
  <c r="AO39" i="26"/>
  <c r="AO38" i="26"/>
  <c r="AO37" i="26"/>
  <c r="AO36" i="26"/>
  <c r="AO35" i="26"/>
  <c r="AO34" i="26"/>
  <c r="AO33" i="26"/>
  <c r="AO32" i="26"/>
  <c r="AO31" i="26"/>
  <c r="AO30" i="26"/>
  <c r="AO29" i="26"/>
  <c r="AO28" i="26"/>
  <c r="AO27" i="26"/>
  <c r="AO26" i="26"/>
  <c r="AO25" i="26"/>
  <c r="AO24" i="26"/>
  <c r="AO23" i="26"/>
  <c r="AO22" i="26"/>
  <c r="AO21" i="26"/>
  <c r="AO20" i="26"/>
  <c r="AO19" i="26"/>
  <c r="N86" i="26"/>
  <c r="N89" i="26" s="1"/>
  <c r="Y86" i="26"/>
  <c r="Y89" i="26" s="1"/>
  <c r="T86" i="26"/>
  <c r="T89" i="26" s="1"/>
  <c r="AX86" i="26"/>
  <c r="AX89" i="26" s="1"/>
  <c r="AW86" i="26"/>
  <c r="AW91" i="26" s="1"/>
  <c r="AL86" i="26"/>
  <c r="AL91" i="26" s="1"/>
  <c r="AR86" i="26"/>
  <c r="AQ86" i="26"/>
  <c r="AK86" i="26"/>
  <c r="AK91" i="26" s="1"/>
  <c r="AF86" i="26"/>
  <c r="AF91" i="26" s="1"/>
  <c r="AE86" i="26"/>
  <c r="AE91" i="26" s="1"/>
  <c r="Z86" i="26"/>
  <c r="Z91" i="26" s="1"/>
  <c r="S86" i="26"/>
  <c r="S89" i="26" s="1"/>
  <c r="M86" i="26"/>
  <c r="M91" i="26" s="1"/>
  <c r="H86" i="26"/>
  <c r="H91" i="26" s="1"/>
  <c r="G86" i="26"/>
  <c r="G89" i="26" s="1"/>
  <c r="E204" i="26"/>
  <c r="I204" i="26"/>
  <c r="M204" i="26"/>
  <c r="Q204" i="26"/>
  <c r="U204" i="26"/>
  <c r="Y204" i="26"/>
  <c r="AC204" i="26"/>
  <c r="U71" i="26"/>
  <c r="E20" i="26"/>
  <c r="AK104" i="26"/>
  <c r="AK207" i="26"/>
  <c r="AK206" i="26"/>
  <c r="AK205" i="26"/>
  <c r="AK204" i="26"/>
  <c r="AK203" i="26"/>
  <c r="AK202" i="26"/>
  <c r="AK201" i="26"/>
  <c r="AK200" i="26"/>
  <c r="AK199" i="26"/>
  <c r="AK198" i="26"/>
  <c r="AK197" i="26"/>
  <c r="AK196" i="26"/>
  <c r="AK195" i="26"/>
  <c r="AK194" i="26"/>
  <c r="AK193" i="26"/>
  <c r="AK192" i="26"/>
  <c r="AK191" i="26"/>
  <c r="AK190" i="26"/>
  <c r="AK189" i="26"/>
  <c r="AK188" i="26"/>
  <c r="AK187" i="26"/>
  <c r="AK186" i="26"/>
  <c r="AK185" i="26"/>
  <c r="AK184" i="26"/>
  <c r="AK183" i="26"/>
  <c r="AK182" i="26"/>
  <c r="AK181" i="26"/>
  <c r="AK180" i="26"/>
  <c r="AK179" i="26"/>
  <c r="AK178" i="26"/>
  <c r="AK177" i="26"/>
  <c r="AK176" i="26"/>
  <c r="AK175" i="26"/>
  <c r="AK174" i="26"/>
  <c r="AK173" i="26"/>
  <c r="AK172" i="26"/>
  <c r="AK171" i="26"/>
  <c r="AK170" i="26"/>
  <c r="AK169" i="26"/>
  <c r="AK168" i="26"/>
  <c r="AK167" i="26"/>
  <c r="AK166" i="26"/>
  <c r="AK165" i="26"/>
  <c r="AK164" i="26"/>
  <c r="AK163" i="26"/>
  <c r="AK162" i="26"/>
  <c r="AK161" i="26"/>
  <c r="AK160" i="26"/>
  <c r="AK159" i="26"/>
  <c r="AK158" i="26"/>
  <c r="AK157" i="26"/>
  <c r="AK156" i="26"/>
  <c r="AK155" i="26"/>
  <c r="AK154" i="26"/>
  <c r="AK153" i="26"/>
  <c r="AK152" i="26"/>
  <c r="AK151" i="26"/>
  <c r="AK150" i="26"/>
  <c r="AK149" i="26"/>
  <c r="AK148" i="26"/>
  <c r="AK147" i="26"/>
  <c r="AK146" i="26"/>
  <c r="AK145" i="26"/>
  <c r="AK144" i="26"/>
  <c r="AK143" i="26"/>
  <c r="AK142" i="26"/>
  <c r="AK141" i="26"/>
  <c r="AK140" i="26"/>
  <c r="AK139" i="26"/>
  <c r="AK138" i="26"/>
  <c r="AK137" i="26"/>
  <c r="AK136" i="26"/>
  <c r="AK135" i="26"/>
  <c r="AK134" i="26"/>
  <c r="AK133" i="26"/>
  <c r="AK132" i="26"/>
  <c r="AK131" i="26"/>
  <c r="AK130" i="26"/>
  <c r="AK129" i="26"/>
  <c r="AK128" i="26"/>
  <c r="AK127" i="26"/>
  <c r="AK126" i="26"/>
  <c r="AK125" i="26"/>
  <c r="AK124" i="26"/>
  <c r="AK123" i="26"/>
  <c r="AK122" i="26"/>
  <c r="AK121" i="26"/>
  <c r="AK120" i="26"/>
  <c r="AK119" i="26"/>
  <c r="AK118" i="26"/>
  <c r="AK117" i="26"/>
  <c r="AK116" i="26"/>
  <c r="AK115" i="26"/>
  <c r="AK114" i="26"/>
  <c r="AK113" i="26"/>
  <c r="AK112" i="26"/>
  <c r="AK111" i="26"/>
  <c r="AK110" i="26"/>
  <c r="AK109" i="26"/>
  <c r="AK108" i="26"/>
  <c r="AK107" i="26"/>
  <c r="AK106" i="26"/>
  <c r="AK105" i="26"/>
  <c r="AK19" i="26"/>
  <c r="AK77" i="26"/>
  <c r="AK76" i="26"/>
  <c r="AK75" i="26"/>
  <c r="AK74" i="26"/>
  <c r="AK73" i="26"/>
  <c r="AK72" i="26"/>
  <c r="AK71" i="26"/>
  <c r="AK70" i="26"/>
  <c r="AK69" i="26"/>
  <c r="AK68" i="26"/>
  <c r="AK67" i="26"/>
  <c r="AK66" i="26"/>
  <c r="AK65" i="26"/>
  <c r="AK64" i="26"/>
  <c r="AK63" i="26"/>
  <c r="AK62" i="26"/>
  <c r="AK61" i="26"/>
  <c r="AK60" i="26"/>
  <c r="AK59" i="26"/>
  <c r="AK58" i="26"/>
  <c r="AK57" i="26"/>
  <c r="AK56" i="26"/>
  <c r="AK55" i="26"/>
  <c r="AK54" i="26"/>
  <c r="AK53" i="26"/>
  <c r="AK52" i="26"/>
  <c r="AK51" i="26"/>
  <c r="AK50" i="26"/>
  <c r="AK49" i="26"/>
  <c r="AK48" i="26"/>
  <c r="AK47" i="26"/>
  <c r="AK46" i="26"/>
  <c r="AK45" i="26"/>
  <c r="AK44" i="26"/>
  <c r="AK43" i="26"/>
  <c r="AK42" i="26"/>
  <c r="AK41" i="26"/>
  <c r="AK40" i="26"/>
  <c r="AK39" i="26"/>
  <c r="AK38" i="26"/>
  <c r="AK37" i="26"/>
  <c r="AK36" i="26"/>
  <c r="AK35" i="26"/>
  <c r="AK34" i="26"/>
  <c r="AK33" i="26"/>
  <c r="AK32" i="26"/>
  <c r="AK31" i="26"/>
  <c r="AK30" i="26"/>
  <c r="AK29" i="26"/>
  <c r="AK28" i="26"/>
  <c r="AK27" i="26"/>
  <c r="AK26" i="26"/>
  <c r="AK25" i="26"/>
  <c r="AK24" i="26"/>
  <c r="AK23" i="26"/>
  <c r="AK22" i="26"/>
  <c r="AK21" i="26"/>
  <c r="AK20" i="26"/>
  <c r="AG207" i="26"/>
  <c r="AG206" i="26"/>
  <c r="AG205" i="26"/>
  <c r="AG204" i="26"/>
  <c r="AG203" i="26"/>
  <c r="AG202" i="26"/>
  <c r="AG201" i="26"/>
  <c r="AG200" i="26"/>
  <c r="AG199" i="26"/>
  <c r="AG198" i="26"/>
  <c r="AG197" i="26"/>
  <c r="AG196" i="26"/>
  <c r="AG195" i="26"/>
  <c r="AG194" i="26"/>
  <c r="AG193" i="26"/>
  <c r="AG192" i="26"/>
  <c r="AG191" i="26"/>
  <c r="AG190" i="26"/>
  <c r="AG189" i="26"/>
  <c r="AG188" i="26"/>
  <c r="AG187" i="26"/>
  <c r="AG186" i="26"/>
  <c r="AG185" i="26"/>
  <c r="AG184" i="26"/>
  <c r="AG183" i="26"/>
  <c r="AG182" i="26"/>
  <c r="AG181" i="26"/>
  <c r="AG180" i="26"/>
  <c r="AG179" i="26"/>
  <c r="AG178" i="26"/>
  <c r="AG177" i="26"/>
  <c r="AG176" i="26"/>
  <c r="AG175" i="26"/>
  <c r="AG174" i="26"/>
  <c r="AG173" i="26"/>
  <c r="AG172" i="26"/>
  <c r="AG171" i="26"/>
  <c r="AG170" i="26"/>
  <c r="AG169" i="26"/>
  <c r="AG168" i="26"/>
  <c r="AG167" i="26"/>
  <c r="AG166" i="26"/>
  <c r="AG165" i="26"/>
  <c r="AG164" i="26"/>
  <c r="AG163" i="26"/>
  <c r="AG162" i="26"/>
  <c r="AG161" i="26"/>
  <c r="AG160" i="26"/>
  <c r="AG159" i="26"/>
  <c r="AG158" i="26"/>
  <c r="AG157" i="26"/>
  <c r="AG156" i="26"/>
  <c r="AG155" i="26"/>
  <c r="AG154" i="26"/>
  <c r="AG153" i="26"/>
  <c r="AG152" i="26"/>
  <c r="AG151" i="26"/>
  <c r="AG150" i="26"/>
  <c r="AG149" i="26"/>
  <c r="AG148" i="26"/>
  <c r="AG147" i="26"/>
  <c r="AG146" i="26"/>
  <c r="AG145" i="26"/>
  <c r="AG144" i="26"/>
  <c r="AG143" i="26"/>
  <c r="AG142" i="26"/>
  <c r="AG141" i="26"/>
  <c r="AG140" i="26"/>
  <c r="AG139" i="26"/>
  <c r="AG138" i="26"/>
  <c r="AG137" i="26"/>
  <c r="AG136" i="26"/>
  <c r="AG135" i="26"/>
  <c r="AG134" i="26"/>
  <c r="AG133" i="26"/>
  <c r="AG132" i="26"/>
  <c r="AG131" i="26"/>
  <c r="AG130" i="26"/>
  <c r="AG129" i="26"/>
  <c r="AG128" i="26"/>
  <c r="AG127" i="26"/>
  <c r="AG126" i="26"/>
  <c r="AG125" i="26"/>
  <c r="AG124" i="26"/>
  <c r="AG123" i="26"/>
  <c r="AG122" i="26"/>
  <c r="AG121" i="26"/>
  <c r="AG120" i="26"/>
  <c r="AG119" i="26"/>
  <c r="AG118" i="26"/>
  <c r="AG117" i="26"/>
  <c r="AG116" i="26"/>
  <c r="AG115" i="26"/>
  <c r="AG114" i="26"/>
  <c r="AG113" i="26"/>
  <c r="AG112" i="26"/>
  <c r="AG111" i="26"/>
  <c r="AG110" i="26"/>
  <c r="AG109" i="26"/>
  <c r="AG108" i="26"/>
  <c r="AG107" i="26"/>
  <c r="AG106" i="26"/>
  <c r="AG105" i="26"/>
  <c r="AG104" i="26"/>
  <c r="AG77" i="26"/>
  <c r="AG76" i="26"/>
  <c r="AG75" i="26"/>
  <c r="AG74" i="26"/>
  <c r="AG73" i="26"/>
  <c r="AG72" i="26"/>
  <c r="AG71" i="26"/>
  <c r="AG70" i="26"/>
  <c r="AG69" i="26"/>
  <c r="AG68" i="26"/>
  <c r="AG67" i="26"/>
  <c r="AG66" i="26"/>
  <c r="AG65" i="26"/>
  <c r="AG64" i="26"/>
  <c r="AG63" i="26"/>
  <c r="AG62" i="26"/>
  <c r="AG61" i="26"/>
  <c r="AG60" i="26"/>
  <c r="AG59" i="26"/>
  <c r="AG58" i="26"/>
  <c r="AG57" i="26"/>
  <c r="AG56" i="26"/>
  <c r="AG55" i="26"/>
  <c r="AG54" i="26"/>
  <c r="AG53" i="26"/>
  <c r="AG52" i="26"/>
  <c r="AG51" i="26"/>
  <c r="AG50" i="26"/>
  <c r="AG49" i="26"/>
  <c r="AG48" i="26"/>
  <c r="AG47" i="26"/>
  <c r="AG46" i="26"/>
  <c r="AG45" i="26"/>
  <c r="AG44" i="26"/>
  <c r="AG43" i="26"/>
  <c r="AG42" i="26"/>
  <c r="AG41" i="26"/>
  <c r="AG40" i="26"/>
  <c r="AG39" i="26"/>
  <c r="AG38" i="26"/>
  <c r="AG37" i="26"/>
  <c r="AG36" i="26"/>
  <c r="AG35" i="26"/>
  <c r="AG34" i="26"/>
  <c r="AG33" i="26"/>
  <c r="AG32" i="26"/>
  <c r="AG31" i="26"/>
  <c r="AG30" i="26"/>
  <c r="AG29" i="26"/>
  <c r="AG28" i="26"/>
  <c r="AG27" i="26"/>
  <c r="AG26" i="26"/>
  <c r="AG25" i="26"/>
  <c r="AG24" i="26"/>
  <c r="AG23" i="26"/>
  <c r="AG22" i="26"/>
  <c r="AG21" i="26"/>
  <c r="AG20" i="26"/>
  <c r="AG19" i="26"/>
  <c r="AC106" i="26"/>
  <c r="AC207" i="26"/>
  <c r="AC206" i="26"/>
  <c r="AC205" i="26"/>
  <c r="AC203" i="26"/>
  <c r="AC202" i="26"/>
  <c r="AC201" i="26"/>
  <c r="AC200" i="26"/>
  <c r="AC199" i="26"/>
  <c r="AC198" i="26"/>
  <c r="AC197" i="26"/>
  <c r="AC196" i="26"/>
  <c r="AC195" i="26"/>
  <c r="AC194" i="26"/>
  <c r="AC193" i="26"/>
  <c r="AC192" i="26"/>
  <c r="AC191" i="26"/>
  <c r="AC190" i="26"/>
  <c r="AC189" i="26"/>
  <c r="AC188" i="26"/>
  <c r="AC187" i="26"/>
  <c r="AC186" i="26"/>
  <c r="AC185" i="26"/>
  <c r="AC184" i="26"/>
  <c r="AC183" i="26"/>
  <c r="AC182" i="26"/>
  <c r="AC181" i="26"/>
  <c r="AC180" i="26"/>
  <c r="AC179" i="26"/>
  <c r="AC178" i="26"/>
  <c r="AC177" i="26"/>
  <c r="AC176" i="26"/>
  <c r="AC175" i="26"/>
  <c r="AC174" i="26"/>
  <c r="AC173" i="26"/>
  <c r="AC172" i="26"/>
  <c r="AC171" i="26"/>
  <c r="AC170" i="26"/>
  <c r="AC169" i="26"/>
  <c r="AC168" i="26"/>
  <c r="AC167" i="26"/>
  <c r="AC166" i="26"/>
  <c r="AC165" i="26"/>
  <c r="AC164" i="26"/>
  <c r="AC163" i="26"/>
  <c r="AC162" i="26"/>
  <c r="AC161" i="26"/>
  <c r="AC160" i="26"/>
  <c r="AC159" i="26"/>
  <c r="AC158" i="26"/>
  <c r="AC157" i="26"/>
  <c r="AC156" i="26"/>
  <c r="AC155" i="26"/>
  <c r="AC154" i="26"/>
  <c r="AC153" i="26"/>
  <c r="AC152" i="26"/>
  <c r="AC151" i="26"/>
  <c r="AC150" i="26"/>
  <c r="AC149" i="26"/>
  <c r="AC148" i="26"/>
  <c r="AC147" i="26"/>
  <c r="AC146" i="26"/>
  <c r="AC145" i="26"/>
  <c r="AC144" i="26"/>
  <c r="AC143" i="26"/>
  <c r="AC142" i="26"/>
  <c r="AC141" i="26"/>
  <c r="AC140" i="26"/>
  <c r="AC139" i="26"/>
  <c r="AC138" i="26"/>
  <c r="AC137" i="26"/>
  <c r="AC136" i="26"/>
  <c r="AC135" i="26"/>
  <c r="AC134" i="26"/>
  <c r="AC133" i="26"/>
  <c r="AC132" i="26"/>
  <c r="AC131" i="26"/>
  <c r="AC130" i="26"/>
  <c r="AC129" i="26"/>
  <c r="AC128" i="26"/>
  <c r="AC127" i="26"/>
  <c r="AC126" i="26"/>
  <c r="AC125" i="26"/>
  <c r="AC124" i="26"/>
  <c r="AC123" i="26"/>
  <c r="AC122" i="26"/>
  <c r="AC121" i="26"/>
  <c r="AC120" i="26"/>
  <c r="AC119" i="26"/>
  <c r="AC118" i="26"/>
  <c r="AC117" i="26"/>
  <c r="AC116" i="26"/>
  <c r="AC115" i="26"/>
  <c r="AC114" i="26"/>
  <c r="AC113" i="26"/>
  <c r="AC112" i="26"/>
  <c r="AC111" i="26"/>
  <c r="AC110" i="26"/>
  <c r="AC109" i="26"/>
  <c r="AC108" i="26"/>
  <c r="AC107" i="26"/>
  <c r="AC105" i="26"/>
  <c r="AC104" i="26"/>
  <c r="AC22" i="26"/>
  <c r="AC77" i="26"/>
  <c r="AC76" i="26"/>
  <c r="AC75" i="26"/>
  <c r="AC74" i="26"/>
  <c r="AC73" i="26"/>
  <c r="AC72" i="26"/>
  <c r="AC71" i="26"/>
  <c r="AC70" i="26"/>
  <c r="AC69" i="26"/>
  <c r="AC68" i="26"/>
  <c r="AC67" i="26"/>
  <c r="AC66" i="26"/>
  <c r="AC65" i="26"/>
  <c r="AC64" i="26"/>
  <c r="AC63" i="26"/>
  <c r="AC62" i="26"/>
  <c r="AC61" i="26"/>
  <c r="AC60" i="26"/>
  <c r="AC59" i="26"/>
  <c r="AC58" i="26"/>
  <c r="AC57" i="26"/>
  <c r="AC56" i="26"/>
  <c r="AC55" i="26"/>
  <c r="AC54" i="26"/>
  <c r="AC53" i="26"/>
  <c r="AC52" i="26"/>
  <c r="AC51" i="26"/>
  <c r="AC50" i="26"/>
  <c r="AC49" i="26"/>
  <c r="AC48" i="26"/>
  <c r="AC47" i="26"/>
  <c r="AC46" i="26"/>
  <c r="AC45" i="26"/>
  <c r="AC44" i="26"/>
  <c r="AC43" i="26"/>
  <c r="AC42" i="26"/>
  <c r="AC41" i="26"/>
  <c r="AC40" i="26"/>
  <c r="AC39" i="26"/>
  <c r="AC38" i="26"/>
  <c r="AC37" i="26"/>
  <c r="AC36" i="26"/>
  <c r="AC35" i="26"/>
  <c r="AC34" i="26"/>
  <c r="AC33" i="26"/>
  <c r="AC32" i="26"/>
  <c r="AC31" i="26"/>
  <c r="AC30" i="26"/>
  <c r="AC29" i="26"/>
  <c r="AC28" i="26"/>
  <c r="AC27" i="26"/>
  <c r="AC26" i="26"/>
  <c r="AC25" i="26"/>
  <c r="AC24" i="26"/>
  <c r="AC23" i="26"/>
  <c r="AC21" i="26"/>
  <c r="AC20" i="26"/>
  <c r="AC19" i="26"/>
  <c r="Y106" i="26"/>
  <c r="Y207" i="26"/>
  <c r="Y206" i="26"/>
  <c r="Y205" i="26"/>
  <c r="Y203" i="26"/>
  <c r="Y202" i="26"/>
  <c r="Y201" i="26"/>
  <c r="Y200" i="26"/>
  <c r="Y199" i="26"/>
  <c r="Y198" i="26"/>
  <c r="Y197" i="26"/>
  <c r="Y196" i="26"/>
  <c r="Y195" i="26"/>
  <c r="Y194" i="26"/>
  <c r="Y193" i="26"/>
  <c r="Y192" i="26"/>
  <c r="Y191" i="26"/>
  <c r="Y190" i="26"/>
  <c r="Y189" i="26"/>
  <c r="Y188" i="26"/>
  <c r="Y187" i="26"/>
  <c r="Y186" i="26"/>
  <c r="Y185" i="26"/>
  <c r="Y184" i="26"/>
  <c r="Y183" i="26"/>
  <c r="Y182" i="26"/>
  <c r="Y181" i="26"/>
  <c r="Y180" i="26"/>
  <c r="Y179" i="26"/>
  <c r="Y178" i="26"/>
  <c r="Y177" i="26"/>
  <c r="Y176" i="26"/>
  <c r="Y175" i="26"/>
  <c r="Y174" i="26"/>
  <c r="Y173" i="26"/>
  <c r="Y172" i="26"/>
  <c r="Y171" i="26"/>
  <c r="Y170" i="26"/>
  <c r="Y169" i="26"/>
  <c r="Y168" i="26"/>
  <c r="Y167" i="26"/>
  <c r="Y166" i="26"/>
  <c r="Y165" i="26"/>
  <c r="Y164" i="26"/>
  <c r="Y163" i="26"/>
  <c r="Y162" i="26"/>
  <c r="Y161" i="26"/>
  <c r="Y160" i="26"/>
  <c r="Y159" i="26"/>
  <c r="Y158" i="26"/>
  <c r="Y157" i="26"/>
  <c r="Y156" i="26"/>
  <c r="Y155" i="26"/>
  <c r="Y154" i="26"/>
  <c r="Y153" i="26"/>
  <c r="Y152" i="26"/>
  <c r="Y151" i="26"/>
  <c r="Y150" i="26"/>
  <c r="Y149" i="26"/>
  <c r="Y148" i="26"/>
  <c r="Y147" i="26"/>
  <c r="Y146" i="26"/>
  <c r="Y145" i="26"/>
  <c r="Y144" i="26"/>
  <c r="Y143" i="26"/>
  <c r="Y142" i="26"/>
  <c r="Y141" i="26"/>
  <c r="Y140" i="26"/>
  <c r="Y139" i="26"/>
  <c r="Y138" i="26"/>
  <c r="Y137" i="26"/>
  <c r="Y136" i="26"/>
  <c r="Y135" i="26"/>
  <c r="Y134" i="26"/>
  <c r="Y133" i="26"/>
  <c r="Y132" i="26"/>
  <c r="Y131" i="26"/>
  <c r="Y130" i="26"/>
  <c r="Y129" i="26"/>
  <c r="Y128" i="26"/>
  <c r="Y127" i="26"/>
  <c r="Y126" i="26"/>
  <c r="Y125" i="26"/>
  <c r="Y124" i="26"/>
  <c r="Y123" i="26"/>
  <c r="Y122" i="26"/>
  <c r="Y121" i="26"/>
  <c r="Y120" i="26"/>
  <c r="Y119" i="26"/>
  <c r="Y118" i="26"/>
  <c r="Y117" i="26"/>
  <c r="Y116" i="26"/>
  <c r="Y115" i="26"/>
  <c r="Y114" i="26"/>
  <c r="Y113" i="26"/>
  <c r="Y112" i="26"/>
  <c r="Y111" i="26"/>
  <c r="Y110" i="26"/>
  <c r="Y109" i="26"/>
  <c r="Y108" i="26"/>
  <c r="Y107" i="26"/>
  <c r="Y105" i="26"/>
  <c r="Y104" i="26"/>
  <c r="Y77" i="26"/>
  <c r="Y76" i="26"/>
  <c r="Y75" i="26"/>
  <c r="Y74" i="26"/>
  <c r="Y73" i="26"/>
  <c r="Y72" i="26"/>
  <c r="Y71" i="26"/>
  <c r="Y70" i="26"/>
  <c r="Y69" i="26"/>
  <c r="Y68" i="26"/>
  <c r="Y67" i="26"/>
  <c r="Y66" i="26"/>
  <c r="Y65" i="26"/>
  <c r="Y64" i="26"/>
  <c r="Y63" i="26"/>
  <c r="Y62" i="26"/>
  <c r="Y61" i="26"/>
  <c r="Y60" i="26"/>
  <c r="Y59" i="26"/>
  <c r="Y58" i="26"/>
  <c r="Y57" i="26"/>
  <c r="Y56" i="26"/>
  <c r="Y55" i="26"/>
  <c r="Y54" i="26"/>
  <c r="Y53" i="26"/>
  <c r="Y52" i="26"/>
  <c r="Y51" i="26"/>
  <c r="Y50" i="26"/>
  <c r="Y49" i="26"/>
  <c r="Y48" i="26"/>
  <c r="Y47" i="26"/>
  <c r="Y46" i="26"/>
  <c r="Y45" i="26"/>
  <c r="Y44" i="26"/>
  <c r="Y43" i="26"/>
  <c r="Y42" i="26"/>
  <c r="Y41" i="26"/>
  <c r="Y40" i="26"/>
  <c r="Y39" i="26"/>
  <c r="Y38" i="26"/>
  <c r="Y37" i="26"/>
  <c r="Y36" i="26"/>
  <c r="Y35" i="26"/>
  <c r="Y34" i="26"/>
  <c r="Y33" i="26"/>
  <c r="Y32" i="26"/>
  <c r="Y31" i="26"/>
  <c r="Y30" i="26"/>
  <c r="Y29" i="26"/>
  <c r="Y28" i="26"/>
  <c r="Y27" i="26"/>
  <c r="Y26" i="26"/>
  <c r="Y25" i="26"/>
  <c r="Y24" i="26"/>
  <c r="Y23" i="26"/>
  <c r="Y22" i="26"/>
  <c r="Y21" i="26"/>
  <c r="Y20" i="26"/>
  <c r="Y19" i="26"/>
  <c r="U104" i="26"/>
  <c r="U207" i="26"/>
  <c r="U206" i="26"/>
  <c r="U205" i="26"/>
  <c r="U203" i="26"/>
  <c r="U202" i="26"/>
  <c r="U201" i="26"/>
  <c r="U200" i="26"/>
  <c r="U199" i="26"/>
  <c r="U198" i="26"/>
  <c r="U197" i="26"/>
  <c r="U196" i="26"/>
  <c r="U195" i="26"/>
  <c r="U194" i="26"/>
  <c r="U193" i="26"/>
  <c r="U192" i="26"/>
  <c r="U191" i="26"/>
  <c r="U190" i="26"/>
  <c r="U189" i="26"/>
  <c r="U188" i="26"/>
  <c r="U187" i="26"/>
  <c r="U186" i="26"/>
  <c r="U185" i="26"/>
  <c r="U184" i="26"/>
  <c r="U183" i="26"/>
  <c r="U182" i="26"/>
  <c r="U181" i="26"/>
  <c r="U180" i="26"/>
  <c r="U179" i="26"/>
  <c r="U178" i="26"/>
  <c r="U177" i="26"/>
  <c r="U176" i="26"/>
  <c r="U175" i="26"/>
  <c r="U174" i="26"/>
  <c r="U173" i="26"/>
  <c r="U172" i="26"/>
  <c r="U171" i="26"/>
  <c r="U170" i="26"/>
  <c r="U169" i="26"/>
  <c r="U168" i="26"/>
  <c r="U167" i="26"/>
  <c r="U166" i="26"/>
  <c r="U165" i="26"/>
  <c r="U164" i="26"/>
  <c r="U163" i="26"/>
  <c r="U162" i="26"/>
  <c r="U161" i="26"/>
  <c r="U160" i="26"/>
  <c r="U159" i="26"/>
  <c r="U158" i="26"/>
  <c r="U157" i="26"/>
  <c r="U156" i="26"/>
  <c r="U155" i="26"/>
  <c r="U154" i="26"/>
  <c r="U153" i="26"/>
  <c r="U152" i="26"/>
  <c r="U151" i="26"/>
  <c r="U150" i="26"/>
  <c r="U149" i="26"/>
  <c r="U148" i="26"/>
  <c r="U147" i="26"/>
  <c r="U146" i="26"/>
  <c r="U145" i="26"/>
  <c r="U144" i="26"/>
  <c r="U143" i="26"/>
  <c r="U142" i="26"/>
  <c r="U141" i="26"/>
  <c r="U140" i="26"/>
  <c r="U139" i="26"/>
  <c r="U138" i="26"/>
  <c r="U137" i="26"/>
  <c r="U136" i="26"/>
  <c r="U135" i="26"/>
  <c r="U134" i="26"/>
  <c r="U133" i="26"/>
  <c r="U132" i="26"/>
  <c r="U131" i="26"/>
  <c r="U130" i="26"/>
  <c r="U129" i="26"/>
  <c r="U128" i="26"/>
  <c r="U127" i="26"/>
  <c r="U126" i="26"/>
  <c r="U125" i="26"/>
  <c r="U124" i="26"/>
  <c r="U123" i="26"/>
  <c r="U122" i="26"/>
  <c r="U121" i="26"/>
  <c r="U120" i="26"/>
  <c r="U119" i="26"/>
  <c r="U118" i="26"/>
  <c r="U117" i="26"/>
  <c r="U116" i="26"/>
  <c r="U115" i="26"/>
  <c r="U114" i="26"/>
  <c r="U113" i="26"/>
  <c r="U112" i="26"/>
  <c r="U111" i="26"/>
  <c r="U110" i="26"/>
  <c r="U109" i="26"/>
  <c r="U108" i="26"/>
  <c r="U107" i="26"/>
  <c r="U106" i="26"/>
  <c r="U105" i="26"/>
  <c r="U19" i="26"/>
  <c r="U70" i="26"/>
  <c r="U69" i="26"/>
  <c r="U68" i="26"/>
  <c r="U67" i="26"/>
  <c r="U66" i="26"/>
  <c r="U65" i="26"/>
  <c r="U64" i="26"/>
  <c r="U63" i="26"/>
  <c r="U62" i="26"/>
  <c r="U61" i="26"/>
  <c r="U60" i="26"/>
  <c r="U59" i="26"/>
  <c r="U58" i="26"/>
  <c r="U57" i="26"/>
  <c r="U56" i="26"/>
  <c r="U55" i="26"/>
  <c r="U54" i="26"/>
  <c r="U53" i="26"/>
  <c r="U52" i="26"/>
  <c r="U51" i="26"/>
  <c r="U50" i="26"/>
  <c r="U49" i="26"/>
  <c r="U48" i="26"/>
  <c r="U47" i="26"/>
  <c r="U46" i="26"/>
  <c r="U45" i="26"/>
  <c r="U44" i="26"/>
  <c r="U43" i="26"/>
  <c r="U42" i="26"/>
  <c r="U41" i="26"/>
  <c r="U40" i="26"/>
  <c r="U39" i="26"/>
  <c r="U38" i="26"/>
  <c r="U37" i="26"/>
  <c r="U36" i="26"/>
  <c r="U35" i="26"/>
  <c r="U34" i="26"/>
  <c r="U33" i="26"/>
  <c r="U32" i="26"/>
  <c r="U31" i="26"/>
  <c r="U30" i="26"/>
  <c r="U29" i="26"/>
  <c r="U28" i="26"/>
  <c r="U27" i="26"/>
  <c r="U26" i="26"/>
  <c r="U25" i="26"/>
  <c r="U24" i="26"/>
  <c r="U23" i="26"/>
  <c r="U22" i="26"/>
  <c r="U21" i="26"/>
  <c r="U20" i="26"/>
  <c r="Q104" i="26"/>
  <c r="Q207" i="26"/>
  <c r="Q206" i="26"/>
  <c r="Q205" i="26"/>
  <c r="Q203" i="26"/>
  <c r="Q202" i="26"/>
  <c r="Q201" i="26"/>
  <c r="Q200" i="26"/>
  <c r="Q199" i="26"/>
  <c r="Q198" i="26"/>
  <c r="Q197" i="26"/>
  <c r="Q196" i="26"/>
  <c r="Q195" i="26"/>
  <c r="Q194" i="26"/>
  <c r="Q193" i="26"/>
  <c r="Q192" i="26"/>
  <c r="Q191" i="26"/>
  <c r="Q190" i="26"/>
  <c r="Q189" i="26"/>
  <c r="Q188" i="26"/>
  <c r="Q187" i="26"/>
  <c r="Q186" i="26"/>
  <c r="Q185" i="26"/>
  <c r="Q184" i="26"/>
  <c r="Q183" i="26"/>
  <c r="Q182" i="26"/>
  <c r="Q181" i="26"/>
  <c r="Q180" i="26"/>
  <c r="Q179" i="26"/>
  <c r="Q178" i="26"/>
  <c r="Q177" i="26"/>
  <c r="Q176" i="26"/>
  <c r="Q175" i="26"/>
  <c r="Q174" i="26"/>
  <c r="Q173" i="26"/>
  <c r="Q172" i="26"/>
  <c r="Q171" i="26"/>
  <c r="Q170" i="26"/>
  <c r="Q169" i="26"/>
  <c r="Q168" i="26"/>
  <c r="Q167" i="26"/>
  <c r="Q166" i="26"/>
  <c r="Q165" i="26"/>
  <c r="Q164" i="26"/>
  <c r="Q163" i="26"/>
  <c r="Q162" i="26"/>
  <c r="Q161" i="26"/>
  <c r="Q160" i="26"/>
  <c r="Q159" i="26"/>
  <c r="Q158" i="26"/>
  <c r="Q157" i="26"/>
  <c r="Q156" i="26"/>
  <c r="Q155" i="26"/>
  <c r="Q154" i="26"/>
  <c r="Q153" i="26"/>
  <c r="Q152" i="26"/>
  <c r="Q151" i="26"/>
  <c r="Q150" i="26"/>
  <c r="Q149" i="26"/>
  <c r="Q148" i="26"/>
  <c r="Q147" i="26"/>
  <c r="Q146" i="26"/>
  <c r="Q145" i="26"/>
  <c r="Q144" i="26"/>
  <c r="Q143" i="26"/>
  <c r="Q142" i="26"/>
  <c r="Q141" i="26"/>
  <c r="Q140" i="26"/>
  <c r="Q139" i="26"/>
  <c r="Q138" i="26"/>
  <c r="Q137" i="26"/>
  <c r="Q136" i="26"/>
  <c r="Q135" i="26"/>
  <c r="Q134" i="26"/>
  <c r="Q133" i="26"/>
  <c r="Q132" i="26"/>
  <c r="Q131" i="26"/>
  <c r="Q130" i="26"/>
  <c r="Q129" i="26"/>
  <c r="Q128" i="26"/>
  <c r="Q127" i="26"/>
  <c r="Q126" i="26"/>
  <c r="Q125" i="26"/>
  <c r="Q124" i="26"/>
  <c r="Q123" i="26"/>
  <c r="Q122" i="26"/>
  <c r="Q121" i="26"/>
  <c r="Q120" i="26"/>
  <c r="Q119" i="26"/>
  <c r="Q118" i="26"/>
  <c r="Q117" i="26"/>
  <c r="Q116" i="26"/>
  <c r="Q115" i="26"/>
  <c r="Q114" i="26"/>
  <c r="Q113" i="26"/>
  <c r="Q112" i="26"/>
  <c r="Q111" i="26"/>
  <c r="Q110" i="26"/>
  <c r="Q109" i="26"/>
  <c r="Q108" i="26"/>
  <c r="Q107" i="26"/>
  <c r="Q106" i="26"/>
  <c r="Q105" i="26"/>
  <c r="M104" i="26"/>
  <c r="M207" i="26"/>
  <c r="M206" i="26"/>
  <c r="M205" i="26"/>
  <c r="M203" i="26"/>
  <c r="M202" i="26"/>
  <c r="M201" i="26"/>
  <c r="M200" i="26"/>
  <c r="M199" i="26"/>
  <c r="M198" i="26"/>
  <c r="M197" i="26"/>
  <c r="M196" i="26"/>
  <c r="M195" i="26"/>
  <c r="M194" i="26"/>
  <c r="M193" i="26"/>
  <c r="M192" i="26"/>
  <c r="M191" i="26"/>
  <c r="M190" i="26"/>
  <c r="M189" i="26"/>
  <c r="M188" i="26"/>
  <c r="M187" i="26"/>
  <c r="M186" i="26"/>
  <c r="M185" i="26"/>
  <c r="M184" i="26"/>
  <c r="M183" i="26"/>
  <c r="M182" i="26"/>
  <c r="M181" i="26"/>
  <c r="M180" i="26"/>
  <c r="M179" i="26"/>
  <c r="M178" i="26"/>
  <c r="M177" i="26"/>
  <c r="M176" i="26"/>
  <c r="M175" i="26"/>
  <c r="M174" i="26"/>
  <c r="M173" i="26"/>
  <c r="M172" i="26"/>
  <c r="M171" i="26"/>
  <c r="M170" i="26"/>
  <c r="M169" i="26"/>
  <c r="M168" i="26"/>
  <c r="M167" i="26"/>
  <c r="M166" i="26"/>
  <c r="M165" i="26"/>
  <c r="M164" i="26"/>
  <c r="M163" i="26"/>
  <c r="M162" i="26"/>
  <c r="M161" i="26"/>
  <c r="M160" i="26"/>
  <c r="M159" i="26"/>
  <c r="M158" i="26"/>
  <c r="M157" i="26"/>
  <c r="M156" i="26"/>
  <c r="M155" i="26"/>
  <c r="M154" i="26"/>
  <c r="M153" i="26"/>
  <c r="M152" i="26"/>
  <c r="M151" i="26"/>
  <c r="M150" i="26"/>
  <c r="M149" i="26"/>
  <c r="M148" i="26"/>
  <c r="M147" i="26"/>
  <c r="M146" i="26"/>
  <c r="M145" i="26"/>
  <c r="M144" i="26"/>
  <c r="M143" i="26"/>
  <c r="M142" i="26"/>
  <c r="M141" i="26"/>
  <c r="M140" i="26"/>
  <c r="M139" i="26"/>
  <c r="M138" i="26"/>
  <c r="M137" i="26"/>
  <c r="M136" i="26"/>
  <c r="M135" i="26"/>
  <c r="M134" i="26"/>
  <c r="M133" i="26"/>
  <c r="M132" i="26"/>
  <c r="M131" i="26"/>
  <c r="M130" i="26"/>
  <c r="M129" i="26"/>
  <c r="M128" i="26"/>
  <c r="M127" i="26"/>
  <c r="M126" i="26"/>
  <c r="M125" i="26"/>
  <c r="M124" i="26"/>
  <c r="M123" i="26"/>
  <c r="M122" i="26"/>
  <c r="M121" i="26"/>
  <c r="M120" i="26"/>
  <c r="M119" i="26"/>
  <c r="M118" i="26"/>
  <c r="M117" i="26"/>
  <c r="M116" i="26"/>
  <c r="M115" i="26"/>
  <c r="M114" i="26"/>
  <c r="M113" i="26"/>
  <c r="M112" i="26"/>
  <c r="M111" i="26"/>
  <c r="M110" i="26"/>
  <c r="M109" i="26"/>
  <c r="M108" i="26"/>
  <c r="M107" i="26"/>
  <c r="M106" i="26"/>
  <c r="M105" i="26"/>
  <c r="I104" i="26"/>
  <c r="Q19" i="26"/>
  <c r="Q77" i="26"/>
  <c r="Q76" i="26"/>
  <c r="Q75" i="26"/>
  <c r="Q74" i="26"/>
  <c r="Q73" i="26"/>
  <c r="Q72" i="26"/>
  <c r="Q71" i="26"/>
  <c r="Q70" i="26"/>
  <c r="Q69" i="26"/>
  <c r="Q68" i="26"/>
  <c r="Q67" i="26"/>
  <c r="Q66" i="26"/>
  <c r="Q65" i="26"/>
  <c r="Q64" i="26"/>
  <c r="Q63" i="26"/>
  <c r="Q62" i="26"/>
  <c r="Q61" i="26"/>
  <c r="Q60" i="26"/>
  <c r="Q59" i="26"/>
  <c r="Q58" i="26"/>
  <c r="Q57" i="26"/>
  <c r="Q56" i="26"/>
  <c r="Q55" i="26"/>
  <c r="Q54" i="26"/>
  <c r="Q53" i="26"/>
  <c r="Q52" i="26"/>
  <c r="Q51" i="26"/>
  <c r="Q50" i="26"/>
  <c r="Q49" i="26"/>
  <c r="Q48" i="26"/>
  <c r="Q47" i="26"/>
  <c r="Q46" i="26"/>
  <c r="Q45" i="26"/>
  <c r="Q44" i="26"/>
  <c r="Q43" i="26"/>
  <c r="Q42" i="26"/>
  <c r="Q41" i="26"/>
  <c r="Q40" i="26"/>
  <c r="Q39" i="26"/>
  <c r="Q38" i="26"/>
  <c r="Q37" i="26"/>
  <c r="Q36" i="26"/>
  <c r="Q35" i="26"/>
  <c r="Q34" i="26"/>
  <c r="Q33" i="26"/>
  <c r="Q32" i="26"/>
  <c r="Q31" i="26"/>
  <c r="Q30" i="26"/>
  <c r="Q29" i="26"/>
  <c r="Q28" i="26"/>
  <c r="Q27" i="26"/>
  <c r="Q26" i="26"/>
  <c r="Q25" i="26"/>
  <c r="Q24" i="26"/>
  <c r="Q23" i="26"/>
  <c r="Q22" i="26"/>
  <c r="Q21" i="26"/>
  <c r="Q20" i="26"/>
  <c r="M19" i="26"/>
  <c r="M77" i="26"/>
  <c r="M76" i="26"/>
  <c r="M75" i="26"/>
  <c r="M74" i="26"/>
  <c r="M73" i="26"/>
  <c r="M72" i="26"/>
  <c r="M71" i="26"/>
  <c r="M70" i="26"/>
  <c r="M69" i="26"/>
  <c r="M68" i="26"/>
  <c r="M67" i="26"/>
  <c r="M66" i="26"/>
  <c r="M65" i="26"/>
  <c r="M64" i="26"/>
  <c r="M63" i="26"/>
  <c r="M62" i="26"/>
  <c r="M61" i="26"/>
  <c r="M60" i="26"/>
  <c r="M59" i="26"/>
  <c r="M58" i="26"/>
  <c r="M57" i="26"/>
  <c r="M56" i="26"/>
  <c r="M55" i="26"/>
  <c r="M54" i="26"/>
  <c r="M53" i="26"/>
  <c r="M52" i="26"/>
  <c r="M51" i="26"/>
  <c r="M50" i="26"/>
  <c r="M49" i="26"/>
  <c r="M48" i="26"/>
  <c r="M47" i="26"/>
  <c r="M46" i="26"/>
  <c r="M45" i="26"/>
  <c r="M44" i="26"/>
  <c r="M43" i="26"/>
  <c r="M42" i="26"/>
  <c r="M41" i="26"/>
  <c r="M40" i="26"/>
  <c r="M39" i="26"/>
  <c r="M38" i="26"/>
  <c r="M37" i="26"/>
  <c r="M36" i="26"/>
  <c r="M35" i="26"/>
  <c r="M34" i="26"/>
  <c r="M33" i="26"/>
  <c r="M32" i="26"/>
  <c r="M31" i="26"/>
  <c r="M30" i="26"/>
  <c r="M29" i="26"/>
  <c r="M28" i="26"/>
  <c r="M27" i="26"/>
  <c r="M26" i="26"/>
  <c r="M25" i="26"/>
  <c r="M24" i="26"/>
  <c r="M23" i="26"/>
  <c r="M22" i="26"/>
  <c r="M21" i="26"/>
  <c r="M20" i="26"/>
  <c r="I207" i="26"/>
  <c r="I206" i="26"/>
  <c r="I205" i="26"/>
  <c r="I203" i="26"/>
  <c r="I202" i="26"/>
  <c r="I201" i="26"/>
  <c r="I200" i="26"/>
  <c r="I199" i="26"/>
  <c r="I198" i="26"/>
  <c r="I197" i="26"/>
  <c r="I196" i="26"/>
  <c r="I195" i="26"/>
  <c r="I194" i="26"/>
  <c r="I193" i="26"/>
  <c r="I192" i="26"/>
  <c r="I191" i="26"/>
  <c r="I190" i="26"/>
  <c r="I189" i="26"/>
  <c r="I188" i="26"/>
  <c r="I187" i="26"/>
  <c r="I186" i="26"/>
  <c r="I185" i="26"/>
  <c r="I184" i="26"/>
  <c r="I183" i="26"/>
  <c r="I182" i="26"/>
  <c r="I181" i="26"/>
  <c r="I180" i="26"/>
  <c r="I179" i="26"/>
  <c r="I178" i="26"/>
  <c r="I177" i="26"/>
  <c r="I176" i="26"/>
  <c r="I175" i="26"/>
  <c r="I174" i="26"/>
  <c r="I173" i="26"/>
  <c r="I172" i="26"/>
  <c r="I171" i="26"/>
  <c r="I170" i="26"/>
  <c r="I169" i="26"/>
  <c r="I168" i="26"/>
  <c r="I167" i="26"/>
  <c r="I166" i="26"/>
  <c r="I165" i="26"/>
  <c r="I164" i="26"/>
  <c r="I163" i="26"/>
  <c r="I162" i="26"/>
  <c r="I161" i="26"/>
  <c r="I160" i="26"/>
  <c r="I159" i="26"/>
  <c r="I158" i="26"/>
  <c r="I157" i="26"/>
  <c r="I156" i="26"/>
  <c r="I155" i="26"/>
  <c r="I154" i="26"/>
  <c r="I153" i="26"/>
  <c r="I152" i="26"/>
  <c r="I151" i="26"/>
  <c r="I150" i="26"/>
  <c r="I149" i="26"/>
  <c r="I148" i="26"/>
  <c r="I147" i="26"/>
  <c r="I146" i="26"/>
  <c r="I145" i="26"/>
  <c r="I144" i="26"/>
  <c r="I143" i="26"/>
  <c r="I142" i="26"/>
  <c r="I141" i="26"/>
  <c r="I140" i="26"/>
  <c r="I139" i="26"/>
  <c r="I138" i="26"/>
  <c r="I137" i="26"/>
  <c r="I136" i="26"/>
  <c r="I135" i="26"/>
  <c r="I134" i="26"/>
  <c r="I133" i="26"/>
  <c r="I132" i="26"/>
  <c r="I131" i="26"/>
  <c r="I130" i="26"/>
  <c r="I129" i="26"/>
  <c r="I128" i="26"/>
  <c r="I127" i="26"/>
  <c r="I126" i="26"/>
  <c r="I125" i="26"/>
  <c r="I124" i="26"/>
  <c r="I123" i="26"/>
  <c r="I122" i="26"/>
  <c r="I121" i="26"/>
  <c r="I120" i="26"/>
  <c r="I119" i="26"/>
  <c r="I118" i="26"/>
  <c r="I117" i="26"/>
  <c r="I116" i="26"/>
  <c r="I115" i="26"/>
  <c r="I114" i="26"/>
  <c r="I113" i="26"/>
  <c r="I112" i="26"/>
  <c r="I111" i="26"/>
  <c r="I110" i="26"/>
  <c r="I109" i="26"/>
  <c r="I108" i="26"/>
  <c r="I107" i="26"/>
  <c r="I106" i="26"/>
  <c r="I105" i="26"/>
  <c r="I19" i="26"/>
  <c r="I77" i="26"/>
  <c r="I76" i="26"/>
  <c r="I75" i="26"/>
  <c r="I74" i="26"/>
  <c r="I73" i="26"/>
  <c r="I72" i="26"/>
  <c r="I71" i="26"/>
  <c r="I70" i="26"/>
  <c r="I69" i="26"/>
  <c r="I68" i="26"/>
  <c r="I67" i="26"/>
  <c r="I66" i="26"/>
  <c r="I65" i="26"/>
  <c r="I64" i="26"/>
  <c r="I63" i="26"/>
  <c r="I62" i="26"/>
  <c r="I61" i="26"/>
  <c r="I60" i="26"/>
  <c r="I59" i="26"/>
  <c r="I58" i="26"/>
  <c r="I57" i="26"/>
  <c r="I56" i="26"/>
  <c r="I55" i="26"/>
  <c r="I54" i="26"/>
  <c r="I53" i="26"/>
  <c r="I52" i="26"/>
  <c r="I51" i="26"/>
  <c r="I50" i="26"/>
  <c r="I49" i="26"/>
  <c r="I48" i="26"/>
  <c r="I47" i="26"/>
  <c r="I46" i="26"/>
  <c r="I45" i="26"/>
  <c r="I44" i="26"/>
  <c r="I43" i="26"/>
  <c r="I42" i="26"/>
  <c r="I41" i="26"/>
  <c r="I40" i="26"/>
  <c r="I39" i="26"/>
  <c r="I38" i="26"/>
  <c r="I37" i="26"/>
  <c r="I36" i="26"/>
  <c r="I35" i="26"/>
  <c r="I34" i="26"/>
  <c r="I33" i="26"/>
  <c r="I32" i="26"/>
  <c r="I31" i="26"/>
  <c r="I30" i="26"/>
  <c r="I29" i="26"/>
  <c r="I28" i="26"/>
  <c r="I27" i="26"/>
  <c r="I26" i="26"/>
  <c r="I25" i="26"/>
  <c r="I24" i="26"/>
  <c r="I23" i="26"/>
  <c r="I22" i="26"/>
  <c r="I21" i="26"/>
  <c r="I20" i="26"/>
  <c r="E207" i="26"/>
  <c r="E206" i="26"/>
  <c r="E205" i="26"/>
  <c r="E203" i="26"/>
  <c r="E202" i="26"/>
  <c r="E201" i="26"/>
  <c r="E200" i="26"/>
  <c r="E199" i="26"/>
  <c r="E198" i="26"/>
  <c r="E197" i="26"/>
  <c r="E196" i="26"/>
  <c r="E195" i="26"/>
  <c r="E194" i="26"/>
  <c r="E193" i="26"/>
  <c r="E192" i="26"/>
  <c r="E191" i="26"/>
  <c r="E190" i="26"/>
  <c r="E189" i="26"/>
  <c r="E188" i="26"/>
  <c r="E187" i="26"/>
  <c r="E186" i="26"/>
  <c r="E185" i="26"/>
  <c r="E184" i="26"/>
  <c r="E183" i="26"/>
  <c r="E182" i="26"/>
  <c r="E181" i="26"/>
  <c r="E180" i="26"/>
  <c r="E179" i="26"/>
  <c r="E178" i="26"/>
  <c r="E177" i="26"/>
  <c r="E176" i="26"/>
  <c r="E175" i="26"/>
  <c r="E174" i="26"/>
  <c r="E173" i="26"/>
  <c r="E172" i="26"/>
  <c r="E171" i="26"/>
  <c r="E170" i="26"/>
  <c r="E169" i="26"/>
  <c r="E168" i="26"/>
  <c r="E167" i="26"/>
  <c r="E166" i="26"/>
  <c r="E165" i="26"/>
  <c r="E164" i="26"/>
  <c r="E163" i="26"/>
  <c r="E162" i="26"/>
  <c r="E161" i="26"/>
  <c r="E160" i="26"/>
  <c r="E159" i="26"/>
  <c r="E158" i="26"/>
  <c r="E157" i="26"/>
  <c r="E156" i="26"/>
  <c r="E155" i="26"/>
  <c r="E154" i="26"/>
  <c r="E153" i="26"/>
  <c r="E152" i="26"/>
  <c r="E151" i="26"/>
  <c r="E150" i="26"/>
  <c r="E149" i="26"/>
  <c r="E148" i="26"/>
  <c r="E147" i="26"/>
  <c r="E146" i="26"/>
  <c r="E145" i="26"/>
  <c r="E144" i="26"/>
  <c r="E143" i="26"/>
  <c r="E142" i="26"/>
  <c r="E141" i="26"/>
  <c r="E140" i="26"/>
  <c r="E139" i="26"/>
  <c r="E138" i="26"/>
  <c r="E137" i="26"/>
  <c r="E136" i="26"/>
  <c r="E135" i="26"/>
  <c r="E134" i="26"/>
  <c r="E133" i="26"/>
  <c r="E132" i="26"/>
  <c r="E131" i="26"/>
  <c r="E130" i="26"/>
  <c r="E129" i="26"/>
  <c r="E128" i="26"/>
  <c r="E127" i="26"/>
  <c r="E126" i="26"/>
  <c r="E125" i="26"/>
  <c r="E124" i="26"/>
  <c r="E123" i="26"/>
  <c r="E122" i="26"/>
  <c r="E121" i="26"/>
  <c r="E120" i="26"/>
  <c r="E119" i="26"/>
  <c r="E118" i="26"/>
  <c r="E117" i="26"/>
  <c r="E116" i="26"/>
  <c r="E115" i="26"/>
  <c r="E114" i="26"/>
  <c r="E113" i="26"/>
  <c r="E112" i="26"/>
  <c r="E111" i="26"/>
  <c r="E110" i="26"/>
  <c r="E109" i="26"/>
  <c r="E108" i="26"/>
  <c r="E107" i="26"/>
  <c r="E106" i="26"/>
  <c r="E105" i="26"/>
  <c r="E104" i="26"/>
  <c r="E77" i="26"/>
  <c r="E76" i="26"/>
  <c r="E75" i="26"/>
  <c r="E74" i="26"/>
  <c r="E73" i="26"/>
  <c r="E72" i="26"/>
  <c r="E71" i="26"/>
  <c r="E70" i="26"/>
  <c r="E69" i="26"/>
  <c r="E68" i="26"/>
  <c r="E67" i="26"/>
  <c r="E66" i="26"/>
  <c r="E65" i="26"/>
  <c r="E64" i="26"/>
  <c r="E63" i="26"/>
  <c r="E62" i="26"/>
  <c r="E61" i="26"/>
  <c r="E60" i="26"/>
  <c r="E59" i="26"/>
  <c r="E58" i="26"/>
  <c r="E57" i="26"/>
  <c r="E56" i="26"/>
  <c r="E55" i="26"/>
  <c r="E54" i="26"/>
  <c r="E53" i="26"/>
  <c r="E52" i="26"/>
  <c r="E51" i="26"/>
  <c r="E50" i="26"/>
  <c r="E49" i="26"/>
  <c r="E48" i="26"/>
  <c r="E47" i="26"/>
  <c r="E46" i="26"/>
  <c r="E45" i="26"/>
  <c r="E44" i="26"/>
  <c r="E43" i="26"/>
  <c r="E42" i="26"/>
  <c r="E41" i="26"/>
  <c r="E40" i="26"/>
  <c r="E39" i="26"/>
  <c r="E38" i="26"/>
  <c r="E37" i="26"/>
  <c r="E36" i="26"/>
  <c r="E35" i="26"/>
  <c r="E34" i="26"/>
  <c r="E33" i="26"/>
  <c r="E32" i="26"/>
  <c r="E31" i="26"/>
  <c r="E30" i="26"/>
  <c r="E29" i="26"/>
  <c r="E28" i="26"/>
  <c r="E27" i="26"/>
  <c r="E26" i="26"/>
  <c r="E25" i="26"/>
  <c r="E24" i="26"/>
  <c r="E23" i="26"/>
  <c r="E22" i="26"/>
  <c r="E21" i="26"/>
  <c r="E19" i="26"/>
  <c r="R140" i="19" l="1"/>
  <c r="R139" i="19"/>
  <c r="S140" i="19" s="1"/>
  <c r="P731" i="19"/>
  <c r="S51" i="11"/>
  <c r="S71" i="11" s="1"/>
  <c r="J100" i="25" a="1"/>
  <c r="J100" i="25" s="1"/>
  <c r="I75" i="25"/>
  <c r="H76" i="25"/>
  <c r="J76" i="25"/>
  <c r="G75" i="25"/>
  <c r="J96" i="25"/>
  <c r="I78" i="25" a="1"/>
  <c r="I78" i="25" s="1"/>
  <c r="J75" i="25"/>
  <c r="G76" i="25"/>
  <c r="J79" i="25" a="1"/>
  <c r="J79" i="25" s="1"/>
  <c r="G79" i="25" a="1"/>
  <c r="G79" i="25" s="1"/>
  <c r="H86" i="25"/>
  <c r="H96" i="25" s="1"/>
  <c r="G78" i="25" a="1"/>
  <c r="G78" i="25" s="1"/>
  <c r="I79" i="25" a="1"/>
  <c r="I79" i="25" s="1"/>
  <c r="I86" i="25"/>
  <c r="H75" i="25"/>
  <c r="I76" i="25"/>
  <c r="H78" i="25" a="1"/>
  <c r="H78" i="25" s="1"/>
  <c r="J78" i="25" a="1"/>
  <c r="J78" i="25" s="1"/>
  <c r="H79" i="25" a="1"/>
  <c r="H79" i="25" s="1"/>
  <c r="J97" i="25"/>
  <c r="J99" i="25" a="1"/>
  <c r="J99" i="25" s="1"/>
  <c r="AZ91" i="26"/>
  <c r="BA91" i="26"/>
  <c r="AV89" i="26"/>
  <c r="AU91" i="26"/>
  <c r="P89" i="26"/>
  <c r="Q91" i="26"/>
  <c r="T94" i="26"/>
  <c r="Z95" i="26"/>
  <c r="J6" i="26" s="1"/>
  <c r="R91" i="26"/>
  <c r="AO91" i="26"/>
  <c r="AH89" i="26"/>
  <c r="AJ89" i="26"/>
  <c r="AI91" i="26"/>
  <c r="AL95" i="26" s="1"/>
  <c r="AD89" i="26"/>
  <c r="AB91" i="26"/>
  <c r="AC91" i="26"/>
  <c r="X89" i="26"/>
  <c r="J91" i="26"/>
  <c r="K91" i="26"/>
  <c r="L91" i="26"/>
  <c r="D89" i="26"/>
  <c r="BD90" i="26"/>
  <c r="D11" i="26" s="1"/>
  <c r="G91" i="26"/>
  <c r="H95" i="26" s="1"/>
  <c r="E89" i="26"/>
  <c r="F89" i="26"/>
  <c r="AF89" i="26"/>
  <c r="BC91" i="26"/>
  <c r="BD91" i="26"/>
  <c r="AO209" i="26"/>
  <c r="C11" i="26" s="1"/>
  <c r="AO79" i="26"/>
  <c r="H11" i="26" s="1"/>
  <c r="AL92" i="26"/>
  <c r="E8" i="26" s="1"/>
  <c r="J51" i="25" s="1"/>
  <c r="T90" i="26"/>
  <c r="D5" i="26" s="1"/>
  <c r="H48" i="25" s="1"/>
  <c r="AE89" i="26"/>
  <c r="N91" i="26"/>
  <c r="AR90" i="26"/>
  <c r="D9" i="26" s="1"/>
  <c r="H52" i="25" s="1"/>
  <c r="AR91" i="26"/>
  <c r="AX91" i="26"/>
  <c r="N92" i="26"/>
  <c r="E4" i="26" s="1"/>
  <c r="J47" i="25" s="1"/>
  <c r="AL89" i="26"/>
  <c r="AQ91" i="26"/>
  <c r="AW89" i="26"/>
  <c r="AX90" i="26" s="1"/>
  <c r="D10" i="26" s="1"/>
  <c r="H53" i="25" s="1"/>
  <c r="AK89" i="26"/>
  <c r="H89" i="26"/>
  <c r="H90" i="26" s="1"/>
  <c r="E9" i="26"/>
  <c r="J52" i="25" s="1"/>
  <c r="AF92" i="26"/>
  <c r="J50" i="25" s="1"/>
  <c r="T91" i="26"/>
  <c r="Z89" i="26"/>
  <c r="S91" i="26"/>
  <c r="M89" i="26"/>
  <c r="N94" i="26" s="1"/>
  <c r="M79" i="26"/>
  <c r="H4" i="26" s="1"/>
  <c r="U79" i="26"/>
  <c r="H6" i="26" s="1"/>
  <c r="Y79" i="26"/>
  <c r="H7" i="26" s="1"/>
  <c r="AG79" i="26"/>
  <c r="H9" i="26" s="1"/>
  <c r="AC79" i="26"/>
  <c r="H8" i="26" s="1"/>
  <c r="I79" i="26"/>
  <c r="H3" i="26" s="1"/>
  <c r="Q79" i="26"/>
  <c r="H5" i="26" s="1"/>
  <c r="AK79" i="26"/>
  <c r="H10" i="26" s="1"/>
  <c r="Q209" i="26"/>
  <c r="C5" i="26" s="1"/>
  <c r="AG209" i="26"/>
  <c r="C9" i="26" s="1"/>
  <c r="M209" i="26"/>
  <c r="C4" i="26" s="1"/>
  <c r="I209" i="26"/>
  <c r="C3" i="26" s="1"/>
  <c r="Y209" i="26"/>
  <c r="C7" i="26" s="1"/>
  <c r="U209" i="26"/>
  <c r="C6" i="26" s="1"/>
  <c r="AC209" i="26"/>
  <c r="C8" i="26" s="1"/>
  <c r="AK209" i="26"/>
  <c r="C10" i="26" s="1"/>
  <c r="Q731" i="19" l="1"/>
  <c r="T51" i="11"/>
  <c r="T71" i="11" s="1"/>
  <c r="H100" i="25" a="1"/>
  <c r="H100" i="25" s="1"/>
  <c r="G86" i="25"/>
  <c r="I100" i="25" a="1"/>
  <c r="I100" i="25" s="1"/>
  <c r="I99" i="25" a="1"/>
  <c r="I99" i="25" s="1"/>
  <c r="H99" i="25" a="1"/>
  <c r="H99" i="25" s="1"/>
  <c r="H97" i="25"/>
  <c r="I96" i="25"/>
  <c r="I97" i="25"/>
  <c r="AF94" i="26"/>
  <c r="T95" i="26"/>
  <c r="Z94" i="26"/>
  <c r="I6" i="26" s="1"/>
  <c r="AL94" i="26"/>
  <c r="H94" i="26"/>
  <c r="N95" i="26"/>
  <c r="AF95" i="26"/>
  <c r="Z92" i="26"/>
  <c r="E6" i="26" s="1"/>
  <c r="J49" i="25" s="1"/>
  <c r="Z90" i="26"/>
  <c r="D6" i="26" s="1"/>
  <c r="F11" i="26"/>
  <c r="F5" i="26"/>
  <c r="G48" i="25" s="1"/>
  <c r="N90" i="26"/>
  <c r="D4" i="26" s="1"/>
  <c r="H92" i="26"/>
  <c r="E3" i="26" s="1"/>
  <c r="J46" i="25" s="1"/>
  <c r="AF90" i="26"/>
  <c r="D7" i="26" s="1"/>
  <c r="H50" i="25" s="1"/>
  <c r="D3" i="26"/>
  <c r="BD92" i="26"/>
  <c r="E11" i="26" s="1"/>
  <c r="E10" i="26"/>
  <c r="J53" i="25" s="1"/>
  <c r="I50" i="25"/>
  <c r="I46" i="25"/>
  <c r="I51" i="25"/>
  <c r="I47" i="25"/>
  <c r="I53" i="25"/>
  <c r="G53" i="25"/>
  <c r="I49" i="25"/>
  <c r="I52" i="25"/>
  <c r="F9" i="26"/>
  <c r="G52" i="25" s="1"/>
  <c r="I48" i="25"/>
  <c r="AL90" i="26"/>
  <c r="D8" i="26" s="1"/>
  <c r="H51" i="25" s="1"/>
  <c r="T92" i="26"/>
  <c r="D18" i="25"/>
  <c r="E18" i="25" s="1"/>
  <c r="F18" i="25" s="1"/>
  <c r="D14" i="25"/>
  <c r="E14" i="25" s="1"/>
  <c r="F14" i="25" s="1"/>
  <c r="E13" i="25"/>
  <c r="F13" i="25" s="1"/>
  <c r="C12" i="23"/>
  <c r="D7" i="25" s="1"/>
  <c r="E7" i="25" s="1"/>
  <c r="H19" i="25" s="1"/>
  <c r="C11" i="23"/>
  <c r="B11" i="23"/>
  <c r="U51" i="11" l="1"/>
  <c r="U71" i="11" s="1"/>
  <c r="R731" i="19"/>
  <c r="V51" i="11" s="1"/>
  <c r="V71" i="11" s="1"/>
  <c r="G99" i="25" a="1"/>
  <c r="G99" i="25" s="1"/>
  <c r="G100" i="25" a="1"/>
  <c r="G100" i="25" s="1"/>
  <c r="F7" i="25"/>
  <c r="G97" i="25"/>
  <c r="G96" i="25"/>
  <c r="I55" i="25"/>
  <c r="I56" i="25"/>
  <c r="I58" i="25" a="1"/>
  <c r="I58" i="25" s="1"/>
  <c r="I59" i="25" a="1"/>
  <c r="I59" i="25" s="1"/>
  <c r="H49" i="25"/>
  <c r="F6" i="26"/>
  <c r="G49" i="25" s="1"/>
  <c r="H47" i="25"/>
  <c r="F4" i="26"/>
  <c r="G47" i="25" s="1"/>
  <c r="G50" i="25"/>
  <c r="E5" i="26"/>
  <c r="J48" i="25" s="1"/>
  <c r="J55" i="25" s="1"/>
  <c r="F8" i="26"/>
  <c r="G51" i="25" s="1"/>
  <c r="D6" i="25"/>
  <c r="I984" i="19"/>
  <c r="K980" i="19"/>
  <c r="L980" i="19" s="1"/>
  <c r="M980" i="19" s="1"/>
  <c r="N980" i="19" s="1"/>
  <c r="O980" i="19" s="1"/>
  <c r="P980" i="19" s="1"/>
  <c r="Q980" i="19" s="1"/>
  <c r="R980" i="19" s="1"/>
  <c r="S980" i="19" s="1"/>
  <c r="T980" i="19" s="1"/>
  <c r="U980" i="19" s="1"/>
  <c r="V980" i="19" s="1"/>
  <c r="W980" i="19" s="1"/>
  <c r="J110" i="12"/>
  <c r="K110" i="12" s="1"/>
  <c r="L110" i="12" s="1"/>
  <c r="M110" i="12" s="1"/>
  <c r="N110" i="12" s="1"/>
  <c r="O110" i="12" s="1"/>
  <c r="P110" i="12" s="1"/>
  <c r="Q110" i="12" s="1"/>
  <c r="J146" i="11"/>
  <c r="D72" i="11"/>
  <c r="E72" i="11"/>
  <c r="F72" i="11"/>
  <c r="G72" i="11"/>
  <c r="H72" i="11"/>
  <c r="B2" i="15"/>
  <c r="B2" i="14"/>
  <c r="B2" i="21"/>
  <c r="B2" i="12"/>
  <c r="B2" i="11"/>
  <c r="B2" i="7"/>
  <c r="R110" i="12" l="1"/>
  <c r="S110" i="12" s="1"/>
  <c r="T110" i="12" s="1"/>
  <c r="U110" i="12" s="1"/>
  <c r="V110" i="12" s="1"/>
  <c r="J58" i="25" a="1"/>
  <c r="J58" i="25" s="1"/>
  <c r="J59" i="25" a="1"/>
  <c r="J59" i="25" s="1"/>
  <c r="G59" i="25" a="1"/>
  <c r="G59" i="25" s="1"/>
  <c r="G56" i="25"/>
  <c r="G58" i="25" a="1"/>
  <c r="G58" i="25" s="1"/>
  <c r="G55" i="25"/>
  <c r="J56" i="25"/>
  <c r="H56" i="25"/>
  <c r="H55" i="25"/>
  <c r="H59" i="25" a="1"/>
  <c r="H59" i="25" s="1"/>
  <c r="H58" i="25" a="1"/>
  <c r="H58" i="25" s="1"/>
  <c r="E6" i="25"/>
  <c r="H977" i="19"/>
  <c r="G977" i="19"/>
  <c r="F977" i="19"/>
  <c r="E977" i="19"/>
  <c r="D977" i="19"/>
  <c r="I975" i="19"/>
  <c r="H973" i="19"/>
  <c r="G973" i="19"/>
  <c r="F973" i="19"/>
  <c r="E973" i="19"/>
  <c r="D973" i="19"/>
  <c r="H972" i="19"/>
  <c r="G972" i="19"/>
  <c r="F972" i="19"/>
  <c r="E972" i="19"/>
  <c r="D972" i="19"/>
  <c r="J971" i="19"/>
  <c r="K971" i="19" s="1"/>
  <c r="L971" i="19" s="1"/>
  <c r="M971" i="19" s="1"/>
  <c r="N971" i="19" s="1"/>
  <c r="O971" i="19" s="1"/>
  <c r="P971" i="19" s="1"/>
  <c r="Q971" i="19" s="1"/>
  <c r="R971" i="19" s="1"/>
  <c r="S971" i="19" s="1"/>
  <c r="T971" i="19" s="1"/>
  <c r="U971" i="19" s="1"/>
  <c r="V971" i="19" s="1"/>
  <c r="W971" i="19" s="1"/>
  <c r="F6" i="25" l="1"/>
  <c r="E975" i="19"/>
  <c r="E980" i="19" s="1"/>
  <c r="E982" i="19" s="1"/>
  <c r="E984" i="19" s="1"/>
  <c r="F975" i="19"/>
  <c r="F980" i="19" s="1"/>
  <c r="F982" i="19" s="1"/>
  <c r="F984" i="19" s="1"/>
  <c r="G975" i="19"/>
  <c r="G980" i="19" s="1"/>
  <c r="G982" i="19" s="1"/>
  <c r="G984" i="19" s="1"/>
  <c r="D978" i="19"/>
  <c r="E978" i="19"/>
  <c r="D975" i="19"/>
  <c r="D980" i="19" s="1"/>
  <c r="D982" i="19" s="1"/>
  <c r="D984" i="19" s="1"/>
  <c r="H975" i="19"/>
  <c r="H980" i="19" s="1"/>
  <c r="H982" i="19" s="1"/>
  <c r="H984" i="19" s="1"/>
  <c r="F978" i="19"/>
  <c r="G978" i="19"/>
  <c r="H978" i="19"/>
  <c r="D29" i="12"/>
  <c r="B20" i="21"/>
  <c r="B19" i="21"/>
  <c r="B18" i="21"/>
  <c r="B17" i="21"/>
  <c r="E29" i="12"/>
  <c r="F29" i="12"/>
  <c r="G29" i="12"/>
  <c r="H29" i="12"/>
  <c r="I12" i="15" l="1"/>
  <c r="I17" i="15" s="1"/>
  <c r="H88" i="14"/>
  <c r="G12" i="15"/>
  <c r="G17" i="15" s="1"/>
  <c r="F88" i="14"/>
  <c r="E12" i="15"/>
  <c r="E17" i="15" s="1"/>
  <c r="D88" i="14"/>
  <c r="H12" i="15"/>
  <c r="H17" i="15" s="1"/>
  <c r="G88" i="14"/>
  <c r="F12" i="15"/>
  <c r="F17" i="15" s="1"/>
  <c r="E88" i="14"/>
  <c r="J120" i="12"/>
  <c r="K120" i="12" s="1"/>
  <c r="L120" i="12" s="1"/>
  <c r="M120" i="12" s="1"/>
  <c r="N120" i="12" s="1"/>
  <c r="O120" i="12" s="1"/>
  <c r="P120" i="12" s="1"/>
  <c r="Q120" i="12" s="1"/>
  <c r="J119" i="12"/>
  <c r="K119" i="12" s="1"/>
  <c r="L119" i="12" s="1"/>
  <c r="M119" i="12" s="1"/>
  <c r="N119" i="12" s="1"/>
  <c r="O119" i="12" s="1"/>
  <c r="P119" i="12" s="1"/>
  <c r="Q119" i="12" s="1"/>
  <c r="H116" i="12"/>
  <c r="J117" i="12"/>
  <c r="K117" i="12" s="1"/>
  <c r="L117" i="12" s="1"/>
  <c r="M117" i="12" s="1"/>
  <c r="N117" i="12" s="1"/>
  <c r="O117" i="12" s="1"/>
  <c r="P117" i="12" s="1"/>
  <c r="Q117" i="12" s="1"/>
  <c r="I51" i="11"/>
  <c r="I52" i="11" s="1"/>
  <c r="H97" i="12"/>
  <c r="R119" i="12" l="1"/>
  <c r="S119" i="12" s="1"/>
  <c r="T119" i="12" s="1"/>
  <c r="U119" i="12" s="1"/>
  <c r="V119" i="12" s="1"/>
  <c r="R120" i="12"/>
  <c r="S120" i="12" s="1"/>
  <c r="T120" i="12" s="1"/>
  <c r="U120" i="12" s="1"/>
  <c r="V120" i="12" s="1"/>
  <c r="R117" i="12"/>
  <c r="S117" i="12" s="1"/>
  <c r="T117" i="12" s="1"/>
  <c r="U117" i="12" s="1"/>
  <c r="V117" i="12" s="1"/>
  <c r="I71" i="11"/>
  <c r="I95" i="7"/>
  <c r="I180" i="11" s="1"/>
  <c r="J95" i="7"/>
  <c r="J180" i="11" s="1"/>
  <c r="K95" i="7"/>
  <c r="K180" i="11" s="1"/>
  <c r="L95" i="7"/>
  <c r="L180" i="11" s="1"/>
  <c r="M95" i="7"/>
  <c r="M180" i="11" s="1"/>
  <c r="N95" i="7"/>
  <c r="N180" i="11" s="1"/>
  <c r="O95" i="7"/>
  <c r="O180" i="11" s="1"/>
  <c r="P95" i="7"/>
  <c r="P180" i="11" s="1"/>
  <c r="J115" i="12"/>
  <c r="K115" i="12" s="1"/>
  <c r="L115" i="12" s="1"/>
  <c r="M115" i="12" s="1"/>
  <c r="N115" i="12" s="1"/>
  <c r="O115" i="12" s="1"/>
  <c r="P115" i="12" s="1"/>
  <c r="Q115" i="12" s="1"/>
  <c r="H110" i="12"/>
  <c r="J102" i="12"/>
  <c r="K102" i="12" s="1"/>
  <c r="J108" i="12"/>
  <c r="K108" i="12" s="1"/>
  <c r="L108" i="12" s="1"/>
  <c r="M108" i="12" s="1"/>
  <c r="N108" i="12" s="1"/>
  <c r="O108" i="12" s="1"/>
  <c r="P108" i="12" s="1"/>
  <c r="Q108" i="12" s="1"/>
  <c r="R108" i="12" s="1"/>
  <c r="D24" i="2"/>
  <c r="E24" i="2"/>
  <c r="F24" i="2"/>
  <c r="G24" i="2"/>
  <c r="H24" i="2"/>
  <c r="D111" i="11"/>
  <c r="E952" i="19"/>
  <c r="E953" i="19" s="1"/>
  <c r="F952" i="19"/>
  <c r="F953" i="19" s="1"/>
  <c r="G952" i="19"/>
  <c r="G953" i="19" s="1"/>
  <c r="H952" i="19"/>
  <c r="H953" i="19" s="1"/>
  <c r="D952" i="19"/>
  <c r="D953" i="19" s="1"/>
  <c r="P151" i="11"/>
  <c r="O103" i="7"/>
  <c r="O151" i="11" s="1"/>
  <c r="N103" i="7"/>
  <c r="N151" i="11" s="1"/>
  <c r="M103" i="7"/>
  <c r="M151" i="11" s="1"/>
  <c r="L103" i="7"/>
  <c r="L151" i="11" s="1"/>
  <c r="K103" i="7"/>
  <c r="K151" i="11" s="1"/>
  <c r="J103" i="7"/>
  <c r="J151" i="11" s="1"/>
  <c r="I103" i="7"/>
  <c r="I151" i="11" s="1"/>
  <c r="B103" i="7"/>
  <c r="D97" i="12"/>
  <c r="E97" i="12"/>
  <c r="F97" i="12"/>
  <c r="G97" i="12"/>
  <c r="D98" i="12"/>
  <c r="E98" i="12"/>
  <c r="F98" i="12"/>
  <c r="G98" i="12"/>
  <c r="H98" i="12"/>
  <c r="I98" i="12" s="1"/>
  <c r="J98" i="12" s="1"/>
  <c r="D99" i="12"/>
  <c r="E99" i="12"/>
  <c r="F99" i="12"/>
  <c r="G99" i="12"/>
  <c r="H99" i="12"/>
  <c r="D100" i="12"/>
  <c r="E100" i="12"/>
  <c r="F100" i="12"/>
  <c r="G100" i="12"/>
  <c r="H100" i="12"/>
  <c r="D102" i="12"/>
  <c r="E102" i="12"/>
  <c r="F102" i="12"/>
  <c r="G102" i="12"/>
  <c r="H102" i="12"/>
  <c r="D103" i="12"/>
  <c r="E21" i="15" s="1"/>
  <c r="E103" i="12"/>
  <c r="F21" i="15" s="1"/>
  <c r="F103" i="12"/>
  <c r="G21" i="15" s="1"/>
  <c r="G103" i="12"/>
  <c r="H21" i="15" s="1"/>
  <c r="H103" i="12"/>
  <c r="I21" i="15" s="1"/>
  <c r="D104" i="12"/>
  <c r="E104" i="12"/>
  <c r="F104" i="12"/>
  <c r="G104" i="12"/>
  <c r="H104" i="12"/>
  <c r="H145" i="11"/>
  <c r="G145" i="11"/>
  <c r="F145" i="11"/>
  <c r="E145" i="11"/>
  <c r="D145" i="11"/>
  <c r="H144" i="11"/>
  <c r="G144" i="11"/>
  <c r="F144" i="11"/>
  <c r="E144" i="11"/>
  <c r="D144" i="11"/>
  <c r="H880" i="19"/>
  <c r="G880" i="19"/>
  <c r="F880" i="19"/>
  <c r="E880" i="19"/>
  <c r="D880" i="19"/>
  <c r="B870" i="19"/>
  <c r="H870" i="19"/>
  <c r="G870" i="19"/>
  <c r="F870" i="19"/>
  <c r="E870" i="19"/>
  <c r="D870" i="19"/>
  <c r="H868" i="19"/>
  <c r="G868" i="19"/>
  <c r="F868" i="19"/>
  <c r="E868" i="19"/>
  <c r="D868" i="19"/>
  <c r="B868" i="19"/>
  <c r="H833" i="19"/>
  <c r="G833" i="19"/>
  <c r="F833" i="19"/>
  <c r="E833" i="19"/>
  <c r="D833" i="19"/>
  <c r="H832" i="19"/>
  <c r="G832" i="19"/>
  <c r="F832" i="19"/>
  <c r="E832" i="19"/>
  <c r="D832" i="19"/>
  <c r="K540" i="19"/>
  <c r="J540" i="19"/>
  <c r="K539" i="19"/>
  <c r="J539" i="19"/>
  <c r="K538" i="19"/>
  <c r="J538" i="19"/>
  <c r="K537" i="19"/>
  <c r="J537" i="19"/>
  <c r="K829" i="19"/>
  <c r="J829" i="19"/>
  <c r="K828" i="19"/>
  <c r="J828" i="19"/>
  <c r="K827" i="19"/>
  <c r="J827" i="19"/>
  <c r="K826" i="19"/>
  <c r="J826" i="19"/>
  <c r="H545" i="19"/>
  <c r="G545" i="19"/>
  <c r="F545" i="19"/>
  <c r="E545" i="19"/>
  <c r="D545" i="19"/>
  <c r="H544" i="19"/>
  <c r="G544" i="19"/>
  <c r="F544" i="19"/>
  <c r="E544" i="19"/>
  <c r="D544" i="19"/>
  <c r="J825" i="19"/>
  <c r="K825" i="19"/>
  <c r="K824" i="19"/>
  <c r="J824" i="19"/>
  <c r="K823" i="19"/>
  <c r="J823" i="19"/>
  <c r="K822" i="19"/>
  <c r="J822" i="19"/>
  <c r="H811" i="19"/>
  <c r="G811" i="19"/>
  <c r="F811" i="19"/>
  <c r="E811" i="19"/>
  <c r="D811" i="19"/>
  <c r="H801" i="19"/>
  <c r="G801" i="19"/>
  <c r="F801" i="19"/>
  <c r="E801" i="19"/>
  <c r="D801" i="19"/>
  <c r="H52" i="12"/>
  <c r="I52" i="12" s="1"/>
  <c r="J52" i="12" s="1"/>
  <c r="G52" i="12"/>
  <c r="F52" i="12"/>
  <c r="E52" i="12"/>
  <c r="D52" i="12"/>
  <c r="I84" i="11" l="1"/>
  <c r="I72" i="11"/>
  <c r="I107" i="12"/>
  <c r="J22" i="15" s="1"/>
  <c r="R115" i="12"/>
  <c r="S115" i="12" s="1"/>
  <c r="T115" i="12" s="1"/>
  <c r="U115" i="12" s="1"/>
  <c r="V115" i="12" s="1"/>
  <c r="S108" i="12"/>
  <c r="H105" i="12"/>
  <c r="J953" i="19"/>
  <c r="K953" i="19"/>
  <c r="E883" i="19"/>
  <c r="K98" i="12"/>
  <c r="L98" i="12" s="1"/>
  <c r="M98" i="12" s="1"/>
  <c r="N98" i="12" s="1"/>
  <c r="O98" i="12" s="1"/>
  <c r="P98" i="12" s="1"/>
  <c r="Q98" i="12" s="1"/>
  <c r="R98" i="12" s="1"/>
  <c r="S98" i="12" s="1"/>
  <c r="T98" i="12" s="1"/>
  <c r="U98" i="12" s="1"/>
  <c r="V98" i="12" s="1"/>
  <c r="L102" i="12"/>
  <c r="M102" i="12" s="1"/>
  <c r="N102" i="12" s="1"/>
  <c r="O102" i="12" s="1"/>
  <c r="P102" i="12" s="1"/>
  <c r="Q102" i="12" s="1"/>
  <c r="F146" i="11"/>
  <c r="H869" i="19"/>
  <c r="G882" i="19"/>
  <c r="E871" i="19"/>
  <c r="G872" i="19"/>
  <c r="G883" i="19"/>
  <c r="H882" i="19"/>
  <c r="E869" i="19"/>
  <c r="D872" i="19"/>
  <c r="E882" i="19"/>
  <c r="D883" i="19"/>
  <c r="H883" i="19"/>
  <c r="D882" i="19"/>
  <c r="H872" i="19"/>
  <c r="F882" i="19"/>
  <c r="F872" i="19"/>
  <c r="F869" i="19"/>
  <c r="F883" i="19"/>
  <c r="G869" i="19"/>
  <c r="F871" i="19"/>
  <c r="E872" i="19"/>
  <c r="G871" i="19"/>
  <c r="H871" i="19"/>
  <c r="K833" i="19"/>
  <c r="F813" i="19"/>
  <c r="F816" i="19" s="1"/>
  <c r="F821" i="19" s="1"/>
  <c r="G813" i="19"/>
  <c r="G816" i="19" s="1"/>
  <c r="G821" i="19" s="1"/>
  <c r="E813" i="19"/>
  <c r="E816" i="19" s="1"/>
  <c r="E821" i="19" s="1"/>
  <c r="J833" i="19"/>
  <c r="F802" i="19"/>
  <c r="H802" i="19"/>
  <c r="D813" i="19"/>
  <c r="D816" i="19" s="1"/>
  <c r="H813" i="19"/>
  <c r="H816" i="19" s="1"/>
  <c r="G802" i="19"/>
  <c r="E802" i="19"/>
  <c r="D124" i="12"/>
  <c r="K52" i="12"/>
  <c r="L52" i="12" s="1"/>
  <c r="M52" i="12" s="1"/>
  <c r="G146" i="11" l="1"/>
  <c r="H146" i="11" s="1"/>
  <c r="N52" i="12"/>
  <c r="R102" i="12"/>
  <c r="S102" i="12" s="1"/>
  <c r="T102" i="12" s="1"/>
  <c r="U102" i="12" s="1"/>
  <c r="V102" i="12" s="1"/>
  <c r="T108" i="12"/>
  <c r="E888" i="19"/>
  <c r="D888" i="19"/>
  <c r="G888" i="19"/>
  <c r="F888" i="19"/>
  <c r="J869" i="19"/>
  <c r="K869" i="19"/>
  <c r="J871" i="19"/>
  <c r="K871" i="19"/>
  <c r="E877" i="19"/>
  <c r="K883" i="19"/>
  <c r="J883" i="19"/>
  <c r="G877" i="19"/>
  <c r="J882" i="19"/>
  <c r="K882" i="19"/>
  <c r="H888" i="19"/>
  <c r="H877" i="19"/>
  <c r="D877" i="19"/>
  <c r="F878" i="19"/>
  <c r="E878" i="19"/>
  <c r="H878" i="19"/>
  <c r="F873" i="19"/>
  <c r="H873" i="19"/>
  <c r="F877" i="19"/>
  <c r="D878" i="19"/>
  <c r="G878" i="19"/>
  <c r="E873" i="19"/>
  <c r="G873" i="19"/>
  <c r="K813" i="19"/>
  <c r="J813" i="19"/>
  <c r="H821" i="19"/>
  <c r="D113" i="12"/>
  <c r="D119" i="12"/>
  <c r="H118" i="12"/>
  <c r="H961" i="19" s="1"/>
  <c r="G118" i="12"/>
  <c r="G961" i="19" s="1"/>
  <c r="F118" i="12"/>
  <c r="F961" i="19" s="1"/>
  <c r="E118" i="12"/>
  <c r="E961" i="19" s="1"/>
  <c r="D118" i="12"/>
  <c r="D961" i="19" s="1"/>
  <c r="H117" i="12"/>
  <c r="G117" i="12"/>
  <c r="F117" i="12"/>
  <c r="E117" i="12"/>
  <c r="D117" i="12"/>
  <c r="H120" i="12"/>
  <c r="G120" i="12"/>
  <c r="F120" i="12"/>
  <c r="E120" i="12"/>
  <c r="D120" i="12"/>
  <c r="H119" i="12"/>
  <c r="G119" i="12"/>
  <c r="F119" i="12"/>
  <c r="E119" i="12"/>
  <c r="H115" i="12"/>
  <c r="G115" i="12"/>
  <c r="F115" i="12"/>
  <c r="E115" i="12"/>
  <c r="D115" i="12"/>
  <c r="G116" i="12"/>
  <c r="F116" i="12"/>
  <c r="E116" i="12"/>
  <c r="D116" i="12"/>
  <c r="H114" i="12"/>
  <c r="G114" i="12"/>
  <c r="F114" i="12"/>
  <c r="E114" i="12"/>
  <c r="D114" i="12"/>
  <c r="G113" i="12"/>
  <c r="F113" i="12"/>
  <c r="E113" i="12"/>
  <c r="G110" i="12"/>
  <c r="F110" i="12"/>
  <c r="E110" i="12"/>
  <c r="D110" i="12"/>
  <c r="H109" i="12"/>
  <c r="I109" i="12" s="1"/>
  <c r="G109" i="12"/>
  <c r="F109" i="12"/>
  <c r="E109" i="12"/>
  <c r="D109" i="12"/>
  <c r="H108" i="12"/>
  <c r="G108" i="12"/>
  <c r="F108" i="12"/>
  <c r="E108" i="12"/>
  <c r="D108" i="12"/>
  <c r="H107" i="12"/>
  <c r="I22" i="15" s="1"/>
  <c r="G107" i="12"/>
  <c r="H22" i="15" s="1"/>
  <c r="F107" i="12"/>
  <c r="G22" i="15" s="1"/>
  <c r="F22" i="15"/>
  <c r="D107" i="12"/>
  <c r="E22" i="15" s="1"/>
  <c r="O52" i="12" l="1"/>
  <c r="P52" i="12" s="1"/>
  <c r="Q52" i="12" s="1"/>
  <c r="R52" i="12" s="1"/>
  <c r="S52" i="12" s="1"/>
  <c r="T52" i="12" s="1"/>
  <c r="U52" i="12" s="1"/>
  <c r="V52" i="12" s="1"/>
  <c r="U108" i="12"/>
  <c r="J109" i="12"/>
  <c r="D111" i="12"/>
  <c r="H111" i="12"/>
  <c r="K877" i="19"/>
  <c r="J877" i="19"/>
  <c r="K873" i="19"/>
  <c r="J873" i="19"/>
  <c r="J878" i="19"/>
  <c r="K878" i="19"/>
  <c r="K888" i="19"/>
  <c r="J888" i="19"/>
  <c r="D821" i="19"/>
  <c r="J821" i="19" s="1"/>
  <c r="J816" i="19"/>
  <c r="K816" i="19"/>
  <c r="F121" i="12"/>
  <c r="G121" i="12"/>
  <c r="E121" i="12"/>
  <c r="D121" i="12"/>
  <c r="H121" i="12"/>
  <c r="G111" i="12"/>
  <c r="E111" i="12"/>
  <c r="F111" i="12"/>
  <c r="V108" i="12" l="1"/>
  <c r="K109" i="12"/>
  <c r="K821" i="19"/>
  <c r="F105" i="12"/>
  <c r="D12" i="18"/>
  <c r="H12" i="18"/>
  <c r="G12" i="18"/>
  <c r="F12" i="18"/>
  <c r="E12" i="18"/>
  <c r="H80" i="12"/>
  <c r="G80" i="12"/>
  <c r="F80" i="12"/>
  <c r="E80" i="12"/>
  <c r="D80" i="12"/>
  <c r="H79" i="12"/>
  <c r="G79" i="12"/>
  <c r="F79" i="12"/>
  <c r="E79" i="12"/>
  <c r="D79" i="12"/>
  <c r="H75" i="12"/>
  <c r="G75" i="12"/>
  <c r="F75" i="12"/>
  <c r="E75" i="12"/>
  <c r="D75" i="12"/>
  <c r="H72" i="12"/>
  <c r="G72" i="12"/>
  <c r="F72" i="12"/>
  <c r="E72" i="12"/>
  <c r="D72" i="12"/>
  <c r="H70" i="12"/>
  <c r="G70" i="12"/>
  <c r="F70" i="12"/>
  <c r="E70" i="12"/>
  <c r="D70" i="12"/>
  <c r="H71" i="12"/>
  <c r="G71" i="12"/>
  <c r="F71" i="12"/>
  <c r="E71" i="12"/>
  <c r="D71" i="12"/>
  <c r="H69" i="12"/>
  <c r="G69" i="12"/>
  <c r="F69" i="12"/>
  <c r="E69" i="12"/>
  <c r="D69" i="12"/>
  <c r="H111" i="11"/>
  <c r="G111" i="11"/>
  <c r="F111" i="11"/>
  <c r="E111" i="11"/>
  <c r="H38" i="12"/>
  <c r="I15" i="15" s="1"/>
  <c r="G38" i="12"/>
  <c r="H15" i="15" s="1"/>
  <c r="F38" i="12"/>
  <c r="G15" i="15" s="1"/>
  <c r="E38" i="12"/>
  <c r="D38" i="12"/>
  <c r="E15" i="15" s="1"/>
  <c r="H36" i="12"/>
  <c r="G36" i="12"/>
  <c r="F36" i="12"/>
  <c r="E36" i="12"/>
  <c r="D36" i="12"/>
  <c r="H35" i="12"/>
  <c r="G35" i="12"/>
  <c r="F35" i="12"/>
  <c r="E35" i="12"/>
  <c r="P127" i="7"/>
  <c r="P198" i="11" s="1"/>
  <c r="O127" i="7"/>
  <c r="O198" i="11" s="1"/>
  <c r="N127" i="7"/>
  <c r="N198" i="11" s="1"/>
  <c r="M127" i="7"/>
  <c r="M198" i="11" s="1"/>
  <c r="L127" i="7"/>
  <c r="L198" i="11" s="1"/>
  <c r="K127" i="7"/>
  <c r="K198" i="11" s="1"/>
  <c r="J127" i="7"/>
  <c r="J198" i="11" s="1"/>
  <c r="I127" i="7"/>
  <c r="I198" i="11" s="1"/>
  <c r="B127" i="7"/>
  <c r="D35" i="12"/>
  <c r="I13" i="15"/>
  <c r="I18" i="15" s="1"/>
  <c r="H13" i="15"/>
  <c r="H18" i="15" s="1"/>
  <c r="G13" i="15"/>
  <c r="G18" i="15" s="1"/>
  <c r="F13" i="15"/>
  <c r="F18" i="15" s="1"/>
  <c r="E13" i="15"/>
  <c r="E18" i="15" s="1"/>
  <c r="H25" i="1"/>
  <c r="G50" i="11"/>
  <c r="F50" i="11"/>
  <c r="D50" i="11"/>
  <c r="P51" i="11"/>
  <c r="P71" i="11" s="1"/>
  <c r="H71" i="11"/>
  <c r="E732" i="19"/>
  <c r="I730" i="19"/>
  <c r="J730" i="19" s="1"/>
  <c r="K730" i="19" s="1"/>
  <c r="L730" i="19" s="1"/>
  <c r="F15" i="15" l="1"/>
  <c r="D42" i="15"/>
  <c r="M730" i="19"/>
  <c r="N730" i="19" s="1"/>
  <c r="O730" i="19" s="1"/>
  <c r="P730" i="19" s="1"/>
  <c r="Q730" i="19" s="1"/>
  <c r="R730" i="19" s="1"/>
  <c r="F731" i="19"/>
  <c r="P107" i="12"/>
  <c r="Q22" i="15" s="1"/>
  <c r="P91" i="11"/>
  <c r="Q91" i="11" s="1"/>
  <c r="R91" i="11" s="1"/>
  <c r="S91" i="11" s="1"/>
  <c r="T91" i="11" s="1"/>
  <c r="U91" i="11" s="1"/>
  <c r="V91" i="11" s="1"/>
  <c r="F89" i="14"/>
  <c r="F96" i="14" s="1"/>
  <c r="D149" i="11"/>
  <c r="D182" i="11" s="1"/>
  <c r="G179" i="11"/>
  <c r="G28" i="14"/>
  <c r="G89" i="14"/>
  <c r="G96" i="14" s="1"/>
  <c r="F108" i="11"/>
  <c r="E149" i="11"/>
  <c r="E182" i="11" s="1"/>
  <c r="D179" i="11"/>
  <c r="D28" i="14"/>
  <c r="H179" i="11"/>
  <c r="H180" i="11" s="1"/>
  <c r="H28" i="14"/>
  <c r="H89" i="14"/>
  <c r="G108" i="11"/>
  <c r="F149" i="11"/>
  <c r="F182" i="11" s="1"/>
  <c r="E179" i="11"/>
  <c r="E28" i="14"/>
  <c r="E108" i="11"/>
  <c r="H149" i="11"/>
  <c r="H182" i="11" s="1"/>
  <c r="H183" i="11" s="1"/>
  <c r="D89" i="14"/>
  <c r="D96" i="14" s="1"/>
  <c r="E89" i="14"/>
  <c r="E96" i="14" s="1"/>
  <c r="D108" i="11"/>
  <c r="H108" i="11"/>
  <c r="G149" i="11"/>
  <c r="G182" i="11" s="1"/>
  <c r="G183" i="11" s="1"/>
  <c r="G184" i="11" s="1"/>
  <c r="F179" i="11"/>
  <c r="F28" i="14"/>
  <c r="I118" i="11"/>
  <c r="F158" i="11"/>
  <c r="E154" i="11"/>
  <c r="G158" i="11"/>
  <c r="F154" i="11"/>
  <c r="D158" i="11"/>
  <c r="H158" i="11"/>
  <c r="G154" i="11"/>
  <c r="E158" i="11"/>
  <c r="D154" i="11"/>
  <c r="H154" i="11"/>
  <c r="I154" i="11" s="1"/>
  <c r="H73" i="12"/>
  <c r="I111" i="12"/>
  <c r="H937" i="19"/>
  <c r="H938" i="19" s="1"/>
  <c r="H109" i="11"/>
  <c r="D937" i="19"/>
  <c r="D938" i="19" s="1"/>
  <c r="D109" i="11"/>
  <c r="G937" i="19"/>
  <c r="G938" i="19" s="1"/>
  <c r="G109" i="11"/>
  <c r="E937" i="19"/>
  <c r="E938" i="19" s="1"/>
  <c r="E109" i="11"/>
  <c r="F937" i="19"/>
  <c r="F938" i="19" s="1"/>
  <c r="F109" i="11"/>
  <c r="L109" i="12"/>
  <c r="G105" i="12"/>
  <c r="G123" i="12" s="1"/>
  <c r="D105" i="12"/>
  <c r="D123" i="12" s="1"/>
  <c r="D125" i="12" s="1"/>
  <c r="H123" i="12"/>
  <c r="E105" i="12"/>
  <c r="G73" i="12"/>
  <c r="H81" i="12"/>
  <c r="G81" i="12"/>
  <c r="E81" i="12"/>
  <c r="D81" i="12"/>
  <c r="F81" i="12"/>
  <c r="F73" i="12"/>
  <c r="D73" i="12"/>
  <c r="E73" i="12"/>
  <c r="G107" i="11"/>
  <c r="H107" i="11"/>
  <c r="E107" i="11"/>
  <c r="F107" i="11"/>
  <c r="D107" i="11"/>
  <c r="E50" i="11"/>
  <c r="P79" i="7"/>
  <c r="O79" i="7"/>
  <c r="N79" i="7"/>
  <c r="M79" i="7"/>
  <c r="L79" i="7"/>
  <c r="K79" i="7"/>
  <c r="E727" i="19"/>
  <c r="H727" i="19"/>
  <c r="G727" i="19"/>
  <c r="F727" i="19"/>
  <c r="I79" i="7"/>
  <c r="J79" i="7"/>
  <c r="H20" i="2"/>
  <c r="H780" i="19"/>
  <c r="G780" i="19"/>
  <c r="F780" i="19"/>
  <c r="E780" i="19"/>
  <c r="D780" i="19"/>
  <c r="H779" i="19"/>
  <c r="G779" i="19"/>
  <c r="F779" i="19"/>
  <c r="E779" i="19"/>
  <c r="D779" i="19"/>
  <c r="H774" i="19"/>
  <c r="H775" i="19" s="1"/>
  <c r="H777" i="19" s="1"/>
  <c r="G774" i="19"/>
  <c r="G775" i="19" s="1"/>
  <c r="G786" i="19" s="1"/>
  <c r="F774" i="19"/>
  <c r="F775" i="19" s="1"/>
  <c r="F777" i="19" s="1"/>
  <c r="E774" i="19"/>
  <c r="E775" i="19" s="1"/>
  <c r="E777" i="19" s="1"/>
  <c r="D774" i="19"/>
  <c r="D775" i="19" s="1"/>
  <c r="D777" i="19" s="1"/>
  <c r="H61" i="11"/>
  <c r="I61" i="11" s="1"/>
  <c r="I60" i="12" s="1"/>
  <c r="G61" i="11"/>
  <c r="G60" i="12" s="1"/>
  <c r="F61" i="11"/>
  <c r="E61" i="11"/>
  <c r="E60" i="12" s="1"/>
  <c r="D61" i="11"/>
  <c r="D6" i="19"/>
  <c r="D369" i="19" s="1"/>
  <c r="D7" i="19"/>
  <c r="E7" i="19"/>
  <c r="E370" i="19" s="1"/>
  <c r="F7" i="19"/>
  <c r="G7" i="19"/>
  <c r="G370" i="19" s="1"/>
  <c r="H7" i="19"/>
  <c r="F262" i="19"/>
  <c r="E263" i="19"/>
  <c r="F263" i="19" s="1"/>
  <c r="G263" i="19" s="1"/>
  <c r="H263" i="19" s="1"/>
  <c r="F264" i="19" s="1"/>
  <c r="E265" i="19"/>
  <c r="E271" i="19"/>
  <c r="F271" i="19" s="1"/>
  <c r="G271" i="19" s="1"/>
  <c r="H271" i="19" s="1"/>
  <c r="E273" i="19"/>
  <c r="F273" i="19"/>
  <c r="G273" i="19"/>
  <c r="H273" i="19"/>
  <c r="E275" i="19"/>
  <c r="F275" i="19" s="1"/>
  <c r="G275" i="19" s="1"/>
  <c r="H275" i="19" s="1"/>
  <c r="E277" i="19"/>
  <c r="F277" i="19"/>
  <c r="G277" i="19"/>
  <c r="H277" i="19"/>
  <c r="D305" i="19"/>
  <c r="D306" i="19"/>
  <c r="E306" i="19"/>
  <c r="F306" i="19"/>
  <c r="G306" i="19"/>
  <c r="H306" i="19"/>
  <c r="D373" i="19"/>
  <c r="E373" i="19"/>
  <c r="F373" i="19"/>
  <c r="G373" i="19"/>
  <c r="H373" i="19"/>
  <c r="E386" i="19"/>
  <c r="E388" i="19" s="1"/>
  <c r="E395" i="19" s="1"/>
  <c r="D397" i="19"/>
  <c r="F388" i="19"/>
  <c r="F390" i="19" s="1"/>
  <c r="G388" i="19"/>
  <c r="G390" i="19" s="1"/>
  <c r="H388" i="19"/>
  <c r="H395" i="19" s="1"/>
  <c r="D409" i="19"/>
  <c r="D33" i="7" s="1"/>
  <c r="E409" i="19"/>
  <c r="E33" i="7" s="1"/>
  <c r="F409" i="19"/>
  <c r="G409" i="19"/>
  <c r="H409" i="19"/>
  <c r="D412" i="19"/>
  <c r="E412" i="19"/>
  <c r="F412" i="19"/>
  <c r="G412" i="19"/>
  <c r="H412" i="19"/>
  <c r="D415" i="19"/>
  <c r="E415" i="19"/>
  <c r="F415" i="19"/>
  <c r="G415" i="19"/>
  <c r="H415" i="19"/>
  <c r="D418" i="19"/>
  <c r="E418" i="19"/>
  <c r="F418" i="19"/>
  <c r="G418" i="19"/>
  <c r="H418" i="19"/>
  <c r="D420" i="19"/>
  <c r="E420" i="19"/>
  <c r="F420" i="19"/>
  <c r="G420" i="19"/>
  <c r="H420" i="19"/>
  <c r="D421" i="19"/>
  <c r="E421" i="19"/>
  <c r="F421" i="19"/>
  <c r="G421" i="19"/>
  <c r="H421" i="19"/>
  <c r="E441" i="19"/>
  <c r="F441" i="19" s="1"/>
  <c r="G441" i="19" s="1"/>
  <c r="H441" i="19" s="1"/>
  <c r="D447" i="19"/>
  <c r="D458" i="19" s="1"/>
  <c r="E447" i="19"/>
  <c r="E456" i="19" s="1"/>
  <c r="F447" i="19"/>
  <c r="F451" i="19" s="1"/>
  <c r="G447" i="19"/>
  <c r="G459" i="19" s="1"/>
  <c r="H447" i="19"/>
  <c r="H457" i="19" s="1"/>
  <c r="E454" i="19"/>
  <c r="F454" i="19" s="1"/>
  <c r="G454" i="19" s="1"/>
  <c r="H454" i="19" s="1"/>
  <c r="E467" i="19"/>
  <c r="F467" i="19"/>
  <c r="G467" i="19"/>
  <c r="H467" i="19"/>
  <c r="D469" i="19"/>
  <c r="E469" i="19"/>
  <c r="E480" i="19" s="1"/>
  <c r="F469" i="19"/>
  <c r="G469" i="19"/>
  <c r="H469" i="19"/>
  <c r="D477" i="19"/>
  <c r="E477" i="19"/>
  <c r="F477" i="19"/>
  <c r="G477" i="19"/>
  <c r="H477" i="19"/>
  <c r="D496" i="19"/>
  <c r="E496" i="19"/>
  <c r="F496" i="19"/>
  <c r="G496" i="19"/>
  <c r="H496" i="19"/>
  <c r="E517" i="19"/>
  <c r="F517" i="19"/>
  <c r="G517" i="19"/>
  <c r="H517" i="19"/>
  <c r="D519" i="19"/>
  <c r="E519" i="19"/>
  <c r="E814" i="19" s="1"/>
  <c r="F519" i="19"/>
  <c r="F814" i="19" s="1"/>
  <c r="G519" i="19"/>
  <c r="G814" i="19" s="1"/>
  <c r="H519" i="19"/>
  <c r="H814" i="19" s="1"/>
  <c r="D524" i="19"/>
  <c r="D573" i="19"/>
  <c r="E573" i="19"/>
  <c r="F573" i="19"/>
  <c r="G573" i="19"/>
  <c r="H573" i="19"/>
  <c r="D625" i="19"/>
  <c r="D628" i="19" s="1"/>
  <c r="E625" i="19"/>
  <c r="E628" i="19" s="1"/>
  <c r="F625" i="19"/>
  <c r="F628" i="19" s="1"/>
  <c r="G625" i="19"/>
  <c r="G628" i="19" s="1"/>
  <c r="H625" i="19"/>
  <c r="H628" i="19" s="1"/>
  <c r="D639" i="19"/>
  <c r="D647" i="19" s="1"/>
  <c r="E639" i="19"/>
  <c r="E643" i="19" s="1"/>
  <c r="F639" i="19"/>
  <c r="F647" i="19" s="1"/>
  <c r="G639" i="19"/>
  <c r="G647" i="19" s="1"/>
  <c r="H639" i="19"/>
  <c r="H647" i="19" s="1"/>
  <c r="E649" i="19"/>
  <c r="F649" i="19"/>
  <c r="G649" i="19"/>
  <c r="H649" i="19"/>
  <c r="E651" i="19"/>
  <c r="E686" i="19" s="1"/>
  <c r="F651" i="19"/>
  <c r="F686" i="19" s="1"/>
  <c r="G651" i="19"/>
  <c r="G686" i="19" s="1"/>
  <c r="H651" i="19"/>
  <c r="E652" i="19"/>
  <c r="F652" i="19"/>
  <c r="F654" i="19" s="1"/>
  <c r="G652" i="19"/>
  <c r="H652" i="19"/>
  <c r="D655" i="19"/>
  <c r="E655" i="19"/>
  <c r="F655" i="19"/>
  <c r="G655" i="19"/>
  <c r="H655" i="19"/>
  <c r="D668" i="19"/>
  <c r="D674" i="19" s="1"/>
  <c r="E668" i="19"/>
  <c r="E673" i="19" s="1"/>
  <c r="F668" i="19"/>
  <c r="F679" i="19" s="1"/>
  <c r="G668" i="19"/>
  <c r="G675" i="19" s="1"/>
  <c r="H668" i="19"/>
  <c r="H674" i="19" s="1"/>
  <c r="D686" i="19"/>
  <c r="H686" i="19"/>
  <c r="D687" i="19"/>
  <c r="E687" i="19"/>
  <c r="F687" i="19"/>
  <c r="G687" i="19"/>
  <c r="H687" i="19"/>
  <c r="D688" i="19"/>
  <c r="E688" i="19"/>
  <c r="F688" i="19"/>
  <c r="G688" i="19"/>
  <c r="H688" i="19"/>
  <c r="D725" i="19"/>
  <c r="E725" i="19"/>
  <c r="F725" i="19"/>
  <c r="G725" i="19"/>
  <c r="H725" i="19"/>
  <c r="D740" i="19"/>
  <c r="E740" i="19"/>
  <c r="F740" i="19"/>
  <c r="G740" i="19"/>
  <c r="H740" i="19"/>
  <c r="J723" i="19"/>
  <c r="J726" i="19" s="1"/>
  <c r="D748" i="19"/>
  <c r="D749" i="19" s="1"/>
  <c r="E748" i="19"/>
  <c r="E749" i="19" s="1"/>
  <c r="F748" i="19"/>
  <c r="F749" i="19" s="1"/>
  <c r="G748" i="19"/>
  <c r="G749" i="19" s="1"/>
  <c r="H748" i="19"/>
  <c r="H749" i="19" s="1"/>
  <c r="P65" i="7"/>
  <c r="P58" i="11" s="1"/>
  <c r="O65" i="7"/>
  <c r="O58" i="11" s="1"/>
  <c r="N65" i="7"/>
  <c r="N58" i="11" s="1"/>
  <c r="M65" i="7"/>
  <c r="M58" i="11" s="1"/>
  <c r="L65" i="7"/>
  <c r="L58" i="11" s="1"/>
  <c r="K65" i="7"/>
  <c r="K58" i="11" s="1"/>
  <c r="J65" i="7"/>
  <c r="J58" i="11" s="1"/>
  <c r="I65" i="7"/>
  <c r="I58" i="11" s="1"/>
  <c r="B65" i="7"/>
  <c r="I71" i="7"/>
  <c r="I62" i="11" s="1"/>
  <c r="H65" i="11"/>
  <c r="H75" i="11" s="1"/>
  <c r="G65" i="11"/>
  <c r="F65" i="11"/>
  <c r="F75" i="11" s="1"/>
  <c r="E65" i="11"/>
  <c r="D65" i="11"/>
  <c r="P71" i="7"/>
  <c r="P62" i="11" s="1"/>
  <c r="O71" i="7"/>
  <c r="O62" i="11" s="1"/>
  <c r="N71" i="7"/>
  <c r="N62" i="11" s="1"/>
  <c r="M71" i="7"/>
  <c r="M62" i="11" s="1"/>
  <c r="L71" i="7"/>
  <c r="L62" i="11" s="1"/>
  <c r="K71" i="7"/>
  <c r="K62" i="11" s="1"/>
  <c r="J71" i="7"/>
  <c r="J62" i="11" s="1"/>
  <c r="B71" i="7"/>
  <c r="G28" i="1"/>
  <c r="F28" i="1"/>
  <c r="E28" i="1"/>
  <c r="D28" i="1"/>
  <c r="H28" i="1"/>
  <c r="B686" i="19"/>
  <c r="Q638" i="19"/>
  <c r="R638" i="19"/>
  <c r="S638" i="19"/>
  <c r="T638" i="19"/>
  <c r="P638" i="19"/>
  <c r="I158" i="11" l="1"/>
  <c r="I71" i="12" s="1"/>
  <c r="H159" i="11"/>
  <c r="D64" i="15"/>
  <c r="D26" i="32"/>
  <c r="I179" i="11"/>
  <c r="F804" i="19"/>
  <c r="F806" i="19" s="1"/>
  <c r="F808" i="19" s="1"/>
  <c r="F479" i="19"/>
  <c r="F482" i="19" s="1"/>
  <c r="G473" i="19"/>
  <c r="G480" i="19"/>
  <c r="E804" i="19"/>
  <c r="E806" i="19" s="1"/>
  <c r="E808" i="19" s="1"/>
  <c r="E479" i="19"/>
  <c r="E482" i="19" s="1"/>
  <c r="F475" i="19"/>
  <c r="F480" i="19"/>
  <c r="H804" i="19"/>
  <c r="H806" i="19" s="1"/>
  <c r="H808" i="19" s="1"/>
  <c r="H479" i="19"/>
  <c r="D804" i="19"/>
  <c r="D806" i="19" s="1"/>
  <c r="K806" i="19" s="1"/>
  <c r="D479" i="19"/>
  <c r="D482" i="19" s="1"/>
  <c r="G804" i="19"/>
  <c r="G806" i="19" s="1"/>
  <c r="G808" i="19" s="1"/>
  <c r="G479" i="19"/>
  <c r="H475" i="19"/>
  <c r="H480" i="19"/>
  <c r="D475" i="19"/>
  <c r="E472" i="19"/>
  <c r="D480" i="19"/>
  <c r="D483" i="19" s="1"/>
  <c r="D487" i="19" s="1"/>
  <c r="H654" i="19"/>
  <c r="H731" i="19"/>
  <c r="K51" i="11"/>
  <c r="K107" i="12" s="1"/>
  <c r="K111" i="12" s="1"/>
  <c r="J51" i="11"/>
  <c r="H96" i="14"/>
  <c r="F183" i="11"/>
  <c r="F184" i="11" s="1"/>
  <c r="E183" i="11"/>
  <c r="E184" i="11" s="1"/>
  <c r="D183" i="11"/>
  <c r="D185" i="11" s="1"/>
  <c r="J61" i="11"/>
  <c r="G180" i="11"/>
  <c r="I70" i="11"/>
  <c r="I73" i="11" s="1"/>
  <c r="I58" i="12" s="1"/>
  <c r="E13" i="14"/>
  <c r="E18" i="14" s="1"/>
  <c r="G13" i="14"/>
  <c r="G18" i="14" s="1"/>
  <c r="E29" i="14"/>
  <c r="E36" i="14" s="1"/>
  <c r="E63" i="14" s="1"/>
  <c r="F180" i="11"/>
  <c r="E180" i="11"/>
  <c r="H13" i="14"/>
  <c r="H18" i="14" s="1"/>
  <c r="F13" i="14"/>
  <c r="F18" i="14" s="1"/>
  <c r="G29" i="14"/>
  <c r="G36" i="14" s="1"/>
  <c r="G63" i="14" s="1"/>
  <c r="G159" i="11"/>
  <c r="F29" i="14"/>
  <c r="F36" i="14" s="1"/>
  <c r="F63" i="14" s="1"/>
  <c r="H29" i="14"/>
  <c r="H36" i="14" s="1"/>
  <c r="H155" i="11"/>
  <c r="E159" i="11"/>
  <c r="F155" i="11"/>
  <c r="I29" i="12"/>
  <c r="I107" i="11"/>
  <c r="E155" i="11"/>
  <c r="G155" i="11"/>
  <c r="F159" i="11"/>
  <c r="I169" i="11"/>
  <c r="I70" i="12"/>
  <c r="J154" i="11"/>
  <c r="J70" i="12" s="1"/>
  <c r="J158" i="11"/>
  <c r="J71" i="12" s="1"/>
  <c r="I171" i="11"/>
  <c r="J938" i="19"/>
  <c r="K938" i="19"/>
  <c r="M109" i="12"/>
  <c r="G185" i="11"/>
  <c r="H184" i="11"/>
  <c r="I75" i="12"/>
  <c r="J179" i="11"/>
  <c r="J75" i="12" s="1"/>
  <c r="H185" i="11"/>
  <c r="D808" i="19"/>
  <c r="E654" i="19"/>
  <c r="D526" i="19"/>
  <c r="D528" i="19" s="1"/>
  <c r="D814" i="19"/>
  <c r="E124" i="12"/>
  <c r="D51" i="12"/>
  <c r="I53" i="11"/>
  <c r="D60" i="12"/>
  <c r="G654" i="19"/>
  <c r="D781" i="19"/>
  <c r="D785" i="19" s="1"/>
  <c r="H781" i="19"/>
  <c r="H785" i="19" s="1"/>
  <c r="F643" i="19"/>
  <c r="G402" i="19"/>
  <c r="D643" i="19"/>
  <c r="F522" i="19"/>
  <c r="F524" i="19" s="1"/>
  <c r="D752" i="19"/>
  <c r="F675" i="19"/>
  <c r="F678" i="19"/>
  <c r="E781" i="19"/>
  <c r="E785" i="19" s="1"/>
  <c r="G460" i="19"/>
  <c r="H459" i="19"/>
  <c r="G399" i="19"/>
  <c r="D677" i="19"/>
  <c r="H676" i="19"/>
  <c r="D680" i="19"/>
  <c r="H458" i="19"/>
  <c r="G398" i="19"/>
  <c r="G643" i="19"/>
  <c r="H680" i="19"/>
  <c r="F689" i="19"/>
  <c r="F692" i="19" s="1"/>
  <c r="H673" i="19"/>
  <c r="G781" i="19"/>
  <c r="G795" i="19" s="1"/>
  <c r="F472" i="19"/>
  <c r="H681" i="19"/>
  <c r="D676" i="19"/>
  <c r="D457" i="19"/>
  <c r="G401" i="19"/>
  <c r="G396" i="19"/>
  <c r="D681" i="19"/>
  <c r="H677" i="19"/>
  <c r="D456" i="19"/>
  <c r="H400" i="19"/>
  <c r="G395" i="19"/>
  <c r="F781" i="19"/>
  <c r="F795" i="19" s="1"/>
  <c r="G472" i="19"/>
  <c r="H451" i="19"/>
  <c r="E786" i="19"/>
  <c r="D459" i="19"/>
  <c r="H456" i="19"/>
  <c r="D451" i="19"/>
  <c r="G400" i="19"/>
  <c r="G397" i="19"/>
  <c r="G374" i="19"/>
  <c r="H8" i="19"/>
  <c r="G777" i="19"/>
  <c r="F786" i="19"/>
  <c r="H522" i="19"/>
  <c r="H526" i="19" s="1"/>
  <c r="H528" i="19" s="1"/>
  <c r="H532" i="19" s="1"/>
  <c r="D460" i="19"/>
  <c r="D399" i="19"/>
  <c r="D396" i="19"/>
  <c r="D786" i="19"/>
  <c r="H786" i="19"/>
  <c r="H473" i="19"/>
  <c r="E8" i="19"/>
  <c r="H401" i="19"/>
  <c r="H399" i="19"/>
  <c r="E470" i="19"/>
  <c r="D390" i="19"/>
  <c r="G689" i="19"/>
  <c r="G691" i="19" s="1"/>
  <c r="E458" i="19"/>
  <c r="H374" i="19"/>
  <c r="H370" i="19"/>
  <c r="H371" i="19" s="1"/>
  <c r="E680" i="19"/>
  <c r="H396" i="19"/>
  <c r="D395" i="19"/>
  <c r="F374" i="19"/>
  <c r="G451" i="19"/>
  <c r="F682" i="19"/>
  <c r="F676" i="19"/>
  <c r="G520" i="19"/>
  <c r="F470" i="19"/>
  <c r="G458" i="19"/>
  <c r="G457" i="19"/>
  <c r="E398" i="19"/>
  <c r="D370" i="19"/>
  <c r="E371" i="19" s="1"/>
  <c r="G678" i="19"/>
  <c r="D751" i="19"/>
  <c r="H643" i="19"/>
  <c r="G470" i="19"/>
  <c r="G456" i="19"/>
  <c r="F397" i="19"/>
  <c r="F677" i="19"/>
  <c r="E676" i="19"/>
  <c r="E520" i="19"/>
  <c r="F520" i="19"/>
  <c r="F458" i="19"/>
  <c r="H402" i="19"/>
  <c r="D401" i="19"/>
  <c r="D398" i="19"/>
  <c r="H390" i="19"/>
  <c r="G673" i="19"/>
  <c r="E689" i="19"/>
  <c r="E692" i="19" s="1"/>
  <c r="G674" i="19"/>
  <c r="F673" i="19"/>
  <c r="H689" i="19"/>
  <c r="H692" i="19" s="1"/>
  <c r="D689" i="19"/>
  <c r="D692" i="19" s="1"/>
  <c r="G681" i="19"/>
  <c r="G680" i="19"/>
  <c r="G679" i="19"/>
  <c r="F674" i="19"/>
  <c r="D673" i="19"/>
  <c r="H520" i="19"/>
  <c r="E522" i="19"/>
  <c r="G682" i="19"/>
  <c r="F681" i="19"/>
  <c r="F680" i="19"/>
  <c r="G677" i="19"/>
  <c r="G676" i="19"/>
  <c r="E475" i="19"/>
  <c r="F473" i="19"/>
  <c r="E402" i="19"/>
  <c r="F401" i="19"/>
  <c r="E397" i="19"/>
  <c r="E374" i="19"/>
  <c r="G8" i="19"/>
  <c r="J749" i="19"/>
  <c r="E473" i="19"/>
  <c r="H470" i="19"/>
  <c r="H460" i="19"/>
  <c r="D402" i="19"/>
  <c r="E401" i="19"/>
  <c r="D400" i="19"/>
  <c r="H398" i="19"/>
  <c r="H397" i="19"/>
  <c r="K749" i="19"/>
  <c r="E459" i="19"/>
  <c r="E451" i="19"/>
  <c r="E390" i="19"/>
  <c r="F265" i="19"/>
  <c r="G262" i="19"/>
  <c r="G264" i="19"/>
  <c r="E679" i="19"/>
  <c r="E675" i="19"/>
  <c r="F457" i="19"/>
  <c r="F400" i="19"/>
  <c r="F396" i="19"/>
  <c r="E682" i="19"/>
  <c r="H679" i="19"/>
  <c r="D679" i="19"/>
  <c r="E678" i="19"/>
  <c r="H675" i="19"/>
  <c r="D675" i="19"/>
  <c r="E674" i="19"/>
  <c r="E647" i="19"/>
  <c r="F460" i="19"/>
  <c r="E457" i="19"/>
  <c r="F456" i="19"/>
  <c r="E400" i="19"/>
  <c r="F399" i="19"/>
  <c r="E396" i="19"/>
  <c r="F395" i="19"/>
  <c r="F8" i="19"/>
  <c r="H682" i="19"/>
  <c r="D682" i="19"/>
  <c r="E681" i="19"/>
  <c r="H678" i="19"/>
  <c r="D678" i="19"/>
  <c r="E677" i="19"/>
  <c r="G522" i="19"/>
  <c r="G475" i="19"/>
  <c r="H472" i="19"/>
  <c r="E460" i="19"/>
  <c r="F459" i="19"/>
  <c r="F402" i="19"/>
  <c r="E399" i="19"/>
  <c r="F398" i="19"/>
  <c r="F370" i="19"/>
  <c r="J740" i="19"/>
  <c r="K740" i="19"/>
  <c r="H66" i="11"/>
  <c r="F60" i="12"/>
  <c r="G75" i="11"/>
  <c r="E66" i="11"/>
  <c r="F66" i="11"/>
  <c r="E75" i="11"/>
  <c r="H60" i="12"/>
  <c r="G66" i="11"/>
  <c r="J655" i="19"/>
  <c r="K655" i="19"/>
  <c r="K649" i="19"/>
  <c r="H140" i="11"/>
  <c r="H55" i="12" s="1"/>
  <c r="G140" i="11"/>
  <c r="G55" i="12" s="1"/>
  <c r="F140" i="11"/>
  <c r="F55" i="12" s="1"/>
  <c r="E140" i="11"/>
  <c r="E55" i="12" s="1"/>
  <c r="D140" i="11"/>
  <c r="D55" i="12" s="1"/>
  <c r="H11" i="2"/>
  <c r="H15" i="2" s="1"/>
  <c r="D11" i="2"/>
  <c r="D15" i="2" s="1"/>
  <c r="E11" i="2"/>
  <c r="E15" i="2" s="1"/>
  <c r="F11" i="2"/>
  <c r="F15" i="2" s="1"/>
  <c r="G11" i="2"/>
  <c r="G15" i="2" s="1"/>
  <c r="H129" i="11"/>
  <c r="H54" i="12" s="1"/>
  <c r="G129" i="11"/>
  <c r="G54" i="12" s="1"/>
  <c r="F129" i="11"/>
  <c r="E129" i="11"/>
  <c r="E54" i="12" s="1"/>
  <c r="D129" i="11"/>
  <c r="D54" i="12" s="1"/>
  <c r="B573" i="19"/>
  <c r="K536" i="19"/>
  <c r="J536" i="19"/>
  <c r="K535" i="19"/>
  <c r="J535" i="19"/>
  <c r="K534" i="19"/>
  <c r="J534" i="19"/>
  <c r="K533" i="19"/>
  <c r="J533" i="19"/>
  <c r="E134" i="11"/>
  <c r="E53" i="12" s="1"/>
  <c r="H134" i="11"/>
  <c r="H136" i="11" s="1"/>
  <c r="G134" i="11"/>
  <c r="F134" i="11"/>
  <c r="D134" i="11"/>
  <c r="B469" i="19"/>
  <c r="K443" i="19"/>
  <c r="J443" i="19"/>
  <c r="K446" i="19"/>
  <c r="J446" i="19"/>
  <c r="K445" i="19"/>
  <c r="J445" i="19"/>
  <c r="W430" i="19"/>
  <c r="V430" i="19"/>
  <c r="U430" i="19"/>
  <c r="T430" i="19"/>
  <c r="S430" i="19"/>
  <c r="K449" i="19"/>
  <c r="J449" i="19"/>
  <c r="K444" i="19"/>
  <c r="J444" i="19"/>
  <c r="I18" i="7"/>
  <c r="I14" i="11" s="1"/>
  <c r="B22" i="12"/>
  <c r="B21" i="12"/>
  <c r="B20" i="12"/>
  <c r="B19" i="12"/>
  <c r="D26" i="11"/>
  <c r="D19" i="12" s="1"/>
  <c r="E26" i="11"/>
  <c r="E19" i="12" s="1"/>
  <c r="F26" i="11"/>
  <c r="F19" i="12" s="1"/>
  <c r="G26" i="11"/>
  <c r="G19" i="12" s="1"/>
  <c r="H26" i="11"/>
  <c r="H19" i="12" s="1"/>
  <c r="H41" i="11"/>
  <c r="H22" i="12" s="1"/>
  <c r="G41" i="11"/>
  <c r="G22" i="12" s="1"/>
  <c r="F41" i="11"/>
  <c r="E41" i="11"/>
  <c r="E22" i="12" s="1"/>
  <c r="D41" i="11"/>
  <c r="H36" i="11"/>
  <c r="H21" i="12" s="1"/>
  <c r="G36" i="11"/>
  <c r="G21" i="12" s="1"/>
  <c r="F36" i="11"/>
  <c r="F21" i="12" s="1"/>
  <c r="E36" i="11"/>
  <c r="E21" i="12" s="1"/>
  <c r="D36" i="11"/>
  <c r="D21" i="12" s="1"/>
  <c r="H31" i="11"/>
  <c r="H20" i="12" s="1"/>
  <c r="G31" i="11"/>
  <c r="G20" i="12" s="1"/>
  <c r="F31" i="11"/>
  <c r="F20" i="12" s="1"/>
  <c r="E31" i="11"/>
  <c r="E20" i="12" s="1"/>
  <c r="D31" i="11"/>
  <c r="D20" i="12" s="1"/>
  <c r="P56" i="7"/>
  <c r="O56" i="7"/>
  <c r="N56" i="7"/>
  <c r="M56" i="7"/>
  <c r="L56" i="7"/>
  <c r="K56" i="7"/>
  <c r="J56" i="7"/>
  <c r="I56" i="7"/>
  <c r="P54" i="7"/>
  <c r="P42" i="11" s="1"/>
  <c r="O54" i="7"/>
  <c r="O42" i="11" s="1"/>
  <c r="N54" i="7"/>
  <c r="N42" i="11" s="1"/>
  <c r="M54" i="7"/>
  <c r="M42" i="11" s="1"/>
  <c r="L54" i="7"/>
  <c r="L42" i="11" s="1"/>
  <c r="K54" i="7"/>
  <c r="K42" i="11" s="1"/>
  <c r="J54" i="7"/>
  <c r="J42" i="11" s="1"/>
  <c r="I54" i="7"/>
  <c r="I42" i="11" s="1"/>
  <c r="B54" i="7"/>
  <c r="P48" i="7"/>
  <c r="P37" i="11" s="1"/>
  <c r="O48" i="7"/>
  <c r="O37" i="11" s="1"/>
  <c r="N48" i="7"/>
  <c r="N37" i="11" s="1"/>
  <c r="M48" i="7"/>
  <c r="M37" i="11" s="1"/>
  <c r="L48" i="7"/>
  <c r="L37" i="11" s="1"/>
  <c r="K48" i="7"/>
  <c r="K37" i="11" s="1"/>
  <c r="J48" i="7"/>
  <c r="J37" i="11" s="1"/>
  <c r="I48" i="7"/>
  <c r="I37" i="11" s="1"/>
  <c r="B48" i="7"/>
  <c r="P42" i="7"/>
  <c r="P32" i="11" s="1"/>
  <c r="O42" i="7"/>
  <c r="O32" i="11" s="1"/>
  <c r="N42" i="7"/>
  <c r="N32" i="11" s="1"/>
  <c r="M42" i="7"/>
  <c r="M32" i="11" s="1"/>
  <c r="L42" i="7"/>
  <c r="L32" i="11" s="1"/>
  <c r="K42" i="7"/>
  <c r="K32" i="11" s="1"/>
  <c r="J42" i="7"/>
  <c r="J32" i="11" s="1"/>
  <c r="I42" i="7"/>
  <c r="I32" i="11" s="1"/>
  <c r="B42" i="7"/>
  <c r="P36" i="7"/>
  <c r="P27" i="11" s="1"/>
  <c r="M36" i="7"/>
  <c r="M27" i="11" s="1"/>
  <c r="I36" i="7"/>
  <c r="I27" i="11" s="1"/>
  <c r="B36" i="7"/>
  <c r="O36" i="7"/>
  <c r="O27" i="11" s="1"/>
  <c r="N36" i="7"/>
  <c r="N27" i="11" s="1"/>
  <c r="L36" i="7"/>
  <c r="L27" i="11" s="1"/>
  <c r="K36" i="7"/>
  <c r="K27" i="11" s="1"/>
  <c r="J36" i="7"/>
  <c r="J27" i="11" s="1"/>
  <c r="K408" i="19"/>
  <c r="J408" i="19"/>
  <c r="J411" i="19"/>
  <c r="K417" i="19"/>
  <c r="J417" i="19"/>
  <c r="K414" i="19"/>
  <c r="J414" i="19"/>
  <c r="K411" i="19"/>
  <c r="G42" i="11"/>
  <c r="F42" i="11"/>
  <c r="D42" i="11"/>
  <c r="G45" i="7"/>
  <c r="G46" i="7" s="1"/>
  <c r="G47" i="7" s="1"/>
  <c r="F37" i="11"/>
  <c r="E37" i="11"/>
  <c r="D37" i="11"/>
  <c r="H32" i="11"/>
  <c r="G32" i="11"/>
  <c r="F32" i="11"/>
  <c r="E32" i="11"/>
  <c r="D39" i="7"/>
  <c r="D40" i="7" s="1"/>
  <c r="D41" i="7" s="1"/>
  <c r="H27" i="11"/>
  <c r="G33" i="7"/>
  <c r="G34" i="7" s="1"/>
  <c r="G35" i="7" s="1"/>
  <c r="F33" i="7"/>
  <c r="F34" i="7" s="1"/>
  <c r="F35" i="7" s="1"/>
  <c r="E27" i="11"/>
  <c r="D27" i="11"/>
  <c r="H24" i="1"/>
  <c r="G24" i="1"/>
  <c r="F24" i="1"/>
  <c r="D24" i="1"/>
  <c r="J71" i="11" l="1"/>
  <c r="J72" i="11" s="1"/>
  <c r="K72" i="11" s="1"/>
  <c r="J52" i="11"/>
  <c r="J806" i="19"/>
  <c r="E23" i="12"/>
  <c r="H23" i="12"/>
  <c r="G483" i="19"/>
  <c r="G487" i="19" s="1"/>
  <c r="G23" i="12"/>
  <c r="F185" i="11"/>
  <c r="L22" i="15"/>
  <c r="K52" i="11"/>
  <c r="J12" i="15"/>
  <c r="J17" i="15" s="1"/>
  <c r="I88" i="14"/>
  <c r="L51" i="11"/>
  <c r="L71" i="11" s="1"/>
  <c r="L107" i="12" s="1"/>
  <c r="I731" i="19"/>
  <c r="E185" i="11"/>
  <c r="E78" i="11"/>
  <c r="D184" i="11"/>
  <c r="J13" i="15"/>
  <c r="J18" i="15" s="1"/>
  <c r="D22" i="12"/>
  <c r="D23" i="12" s="1"/>
  <c r="D44" i="11"/>
  <c r="E30" i="14"/>
  <c r="K61" i="11"/>
  <c r="K60" i="12" s="1"/>
  <c r="F30" i="14"/>
  <c r="G30" i="14"/>
  <c r="H30" i="14"/>
  <c r="H63" i="14"/>
  <c r="E17" i="14"/>
  <c r="E77" i="14"/>
  <c r="I113" i="12"/>
  <c r="K154" i="11"/>
  <c r="K158" i="11"/>
  <c r="N109" i="12"/>
  <c r="K179" i="11"/>
  <c r="J814" i="19"/>
  <c r="K814" i="19"/>
  <c r="K808" i="19"/>
  <c r="J808" i="19"/>
  <c r="D136" i="11"/>
  <c r="D53" i="12"/>
  <c r="J50" i="11"/>
  <c r="D795" i="19"/>
  <c r="H795" i="19"/>
  <c r="H792" i="19"/>
  <c r="H789" i="19"/>
  <c r="G792" i="19"/>
  <c r="D784" i="19"/>
  <c r="D789" i="19"/>
  <c r="D792" i="19"/>
  <c r="H784" i="19"/>
  <c r="F526" i="19"/>
  <c r="F528" i="19" s="1"/>
  <c r="F532" i="19" s="1"/>
  <c r="F483" i="19"/>
  <c r="F487" i="19" s="1"/>
  <c r="E784" i="19"/>
  <c r="G784" i="19"/>
  <c r="D691" i="19"/>
  <c r="E691" i="19"/>
  <c r="F784" i="19"/>
  <c r="G482" i="19"/>
  <c r="G785" i="19"/>
  <c r="F691" i="19"/>
  <c r="E792" i="19"/>
  <c r="E789" i="19"/>
  <c r="E795" i="19"/>
  <c r="G789" i="19"/>
  <c r="H524" i="19"/>
  <c r="F785" i="19"/>
  <c r="F789" i="19"/>
  <c r="F792" i="19"/>
  <c r="G692" i="19"/>
  <c r="H691" i="19"/>
  <c r="E483" i="19"/>
  <c r="E487" i="19" s="1"/>
  <c r="E526" i="19"/>
  <c r="E528" i="19" s="1"/>
  <c r="E532" i="19" s="1"/>
  <c r="E524" i="19"/>
  <c r="H483" i="19"/>
  <c r="H487" i="19" s="1"/>
  <c r="H482" i="19"/>
  <c r="H262" i="19"/>
  <c r="G265" i="19"/>
  <c r="H265" i="19"/>
  <c r="F371" i="19"/>
  <c r="G371" i="19"/>
  <c r="G524" i="19"/>
  <c r="G526" i="19"/>
  <c r="G528" i="19" s="1"/>
  <c r="G532" i="19" s="1"/>
  <c r="J643" i="19"/>
  <c r="K647" i="19"/>
  <c r="J647" i="19"/>
  <c r="K654" i="19"/>
  <c r="J654" i="19"/>
  <c r="K643" i="19"/>
  <c r="K628" i="19"/>
  <c r="J628" i="19"/>
  <c r="G135" i="11"/>
  <c r="E136" i="11"/>
  <c r="F53" i="12"/>
  <c r="F136" i="11"/>
  <c r="G53" i="12"/>
  <c r="F54" i="12"/>
  <c r="G136" i="11"/>
  <c r="H53" i="12"/>
  <c r="K467" i="19"/>
  <c r="K517" i="19"/>
  <c r="K544" i="19"/>
  <c r="J544" i="19"/>
  <c r="K545" i="19"/>
  <c r="J545" i="19"/>
  <c r="J517" i="19"/>
  <c r="J496" i="19"/>
  <c r="K496" i="19"/>
  <c r="J467" i="19"/>
  <c r="H135" i="11"/>
  <c r="K447" i="19"/>
  <c r="XFD447" i="19" s="1"/>
  <c r="J447" i="19"/>
  <c r="D34" i="7"/>
  <c r="D35" i="7" s="1"/>
  <c r="E34" i="7"/>
  <c r="E35" i="7" s="1"/>
  <c r="G37" i="11"/>
  <c r="H33" i="7"/>
  <c r="H34" i="7" s="1"/>
  <c r="H35" i="7" s="1"/>
  <c r="F51" i="7"/>
  <c r="F52" i="7" s="1"/>
  <c r="F53" i="7" s="1"/>
  <c r="D32" i="11"/>
  <c r="K415" i="19"/>
  <c r="E39" i="7"/>
  <c r="E40" i="7" s="1"/>
  <c r="E41" i="7" s="1"/>
  <c r="D45" i="7"/>
  <c r="D46" i="7" s="1"/>
  <c r="D47" i="7" s="1"/>
  <c r="H45" i="7"/>
  <c r="H46" i="7" s="1"/>
  <c r="H47" i="7" s="1"/>
  <c r="F27" i="11"/>
  <c r="J409" i="19"/>
  <c r="F39" i="7"/>
  <c r="F40" i="7" s="1"/>
  <c r="F41" i="7" s="1"/>
  <c r="E45" i="7"/>
  <c r="E46" i="7" s="1"/>
  <c r="E47" i="7" s="1"/>
  <c r="G51" i="7"/>
  <c r="G52" i="7" s="1"/>
  <c r="G53" i="7" s="1"/>
  <c r="G27" i="11"/>
  <c r="H37" i="11"/>
  <c r="G39" i="7"/>
  <c r="G40" i="7" s="1"/>
  <c r="G41" i="7" s="1"/>
  <c r="F45" i="7"/>
  <c r="F46" i="7" s="1"/>
  <c r="F47" i="7" s="1"/>
  <c r="D51" i="7"/>
  <c r="D52" i="7" s="1"/>
  <c r="D53" i="7" s="1"/>
  <c r="H51" i="7"/>
  <c r="H42" i="11"/>
  <c r="K409" i="19"/>
  <c r="K412" i="19"/>
  <c r="H39" i="7"/>
  <c r="H40" i="7" s="1"/>
  <c r="H41" i="7" s="1"/>
  <c r="H44" i="11"/>
  <c r="H106" i="11" s="1"/>
  <c r="F44" i="11"/>
  <c r="F106" i="11" s="1"/>
  <c r="E44" i="11"/>
  <c r="E106" i="11" s="1"/>
  <c r="G44" i="11"/>
  <c r="G106" i="11" s="1"/>
  <c r="F22" i="12"/>
  <c r="F23" i="12" s="1"/>
  <c r="J412" i="19"/>
  <c r="J415" i="19"/>
  <c r="K420" i="19"/>
  <c r="J420" i="19"/>
  <c r="K373" i="19"/>
  <c r="K418" i="19"/>
  <c r="J373" i="19"/>
  <c r="H18" i="11"/>
  <c r="G18" i="11"/>
  <c r="F18" i="11"/>
  <c r="E18" i="11"/>
  <c r="D18" i="11"/>
  <c r="D15" i="7"/>
  <c r="P26" i="7"/>
  <c r="P28" i="7" s="1"/>
  <c r="P20" i="11" s="1"/>
  <c r="I26" i="7"/>
  <c r="I28" i="7" s="1"/>
  <c r="I20" i="11" s="1"/>
  <c r="B26" i="7"/>
  <c r="L72" i="11" l="1"/>
  <c r="L52" i="11"/>
  <c r="M51" i="11"/>
  <c r="M71" i="11" s="1"/>
  <c r="M107" i="12" s="1"/>
  <c r="J731" i="19"/>
  <c r="M22" i="15"/>
  <c r="L111" i="12"/>
  <c r="J107" i="12"/>
  <c r="J85" i="11"/>
  <c r="J29" i="12"/>
  <c r="F78" i="11"/>
  <c r="G78" i="11" s="1"/>
  <c r="K13" i="15"/>
  <c r="K18" i="15" s="1"/>
  <c r="D106" i="11"/>
  <c r="L61" i="11"/>
  <c r="L60" i="12" s="1"/>
  <c r="H77" i="14"/>
  <c r="H17" i="14"/>
  <c r="G77" i="14"/>
  <c r="G17" i="14"/>
  <c r="F17" i="14"/>
  <c r="F77" i="14"/>
  <c r="J113" i="12"/>
  <c r="L158" i="11"/>
  <c r="K71" i="12"/>
  <c r="K171" i="11"/>
  <c r="K169" i="11"/>
  <c r="L154" i="11"/>
  <c r="K70" i="12"/>
  <c r="O109" i="12"/>
  <c r="L179" i="11"/>
  <c r="K75" i="12"/>
  <c r="J53" i="11"/>
  <c r="E13" i="12"/>
  <c r="E105" i="11"/>
  <c r="F13" i="12"/>
  <c r="F76" i="14" s="1"/>
  <c r="F105" i="11"/>
  <c r="G13" i="12"/>
  <c r="G76" i="14" s="1"/>
  <c r="G105" i="11"/>
  <c r="D13" i="12"/>
  <c r="D90" i="12" s="1"/>
  <c r="D105" i="11"/>
  <c r="H13" i="12"/>
  <c r="H76" i="14" s="1"/>
  <c r="H105" i="11"/>
  <c r="J70" i="11"/>
  <c r="D56" i="12"/>
  <c r="D87" i="12" s="1"/>
  <c r="K795" i="19"/>
  <c r="J792" i="19"/>
  <c r="K784" i="19"/>
  <c r="K785" i="19"/>
  <c r="J784" i="19"/>
  <c r="J785" i="19"/>
  <c r="K789" i="19"/>
  <c r="J789" i="19"/>
  <c r="K792" i="19"/>
  <c r="J795" i="19"/>
  <c r="J520" i="19"/>
  <c r="K520" i="19"/>
  <c r="K470" i="19"/>
  <c r="J470" i="19"/>
  <c r="J475" i="19"/>
  <c r="K475" i="19"/>
  <c r="J451" i="19"/>
  <c r="K451" i="19"/>
  <c r="G56" i="7"/>
  <c r="F56" i="7"/>
  <c r="H56" i="7"/>
  <c r="D56" i="7"/>
  <c r="H52" i="7"/>
  <c r="H53" i="7" s="1"/>
  <c r="E42" i="11"/>
  <c r="E51" i="7"/>
  <c r="J418" i="19"/>
  <c r="K401" i="19"/>
  <c r="J390" i="19"/>
  <c r="K390" i="19"/>
  <c r="J401" i="19"/>
  <c r="J397" i="19"/>
  <c r="J396" i="19"/>
  <c r="J395" i="19"/>
  <c r="K395" i="19"/>
  <c r="J400" i="19"/>
  <c r="K400" i="19"/>
  <c r="K396" i="19"/>
  <c r="J399" i="19"/>
  <c r="K399" i="19"/>
  <c r="J398" i="19"/>
  <c r="K397" i="19"/>
  <c r="K398" i="19"/>
  <c r="H13" i="1"/>
  <c r="H14" i="1" s="1"/>
  <c r="G13" i="1"/>
  <c r="G14" i="1" s="1"/>
  <c r="F13" i="1"/>
  <c r="F14" i="1" s="1"/>
  <c r="E13" i="1"/>
  <c r="E14" i="1" s="1"/>
  <c r="D13" i="1"/>
  <c r="H51" i="18"/>
  <c r="G51" i="18"/>
  <c r="F51" i="18"/>
  <c r="E51" i="18"/>
  <c r="D51" i="18"/>
  <c r="H38" i="18"/>
  <c r="G38" i="18"/>
  <c r="F38" i="18"/>
  <c r="E38" i="18"/>
  <c r="D38" i="18"/>
  <c r="H22" i="18"/>
  <c r="H24" i="18" s="1"/>
  <c r="H26" i="18" s="1"/>
  <c r="G22" i="18"/>
  <c r="G24" i="18" s="1"/>
  <c r="G26" i="18" s="1"/>
  <c r="F22" i="18"/>
  <c r="F24" i="18" s="1"/>
  <c r="F26" i="18" s="1"/>
  <c r="F52" i="18" s="1"/>
  <c r="F54" i="18" s="1"/>
  <c r="E22" i="18"/>
  <c r="E24" i="18" s="1"/>
  <c r="E26" i="18" s="1"/>
  <c r="D22" i="18"/>
  <c r="D24" i="18" s="1"/>
  <c r="D26" i="18" s="1"/>
  <c r="E6" i="18"/>
  <c r="F6" i="18" s="1"/>
  <c r="G6" i="18" s="1"/>
  <c r="H6" i="18" s="1"/>
  <c r="H50" i="2"/>
  <c r="H875" i="19" s="1"/>
  <c r="H886" i="19" s="1"/>
  <c r="C17" i="23" s="1"/>
  <c r="D21" i="25" s="1"/>
  <c r="E21" i="25" s="1"/>
  <c r="G50" i="2"/>
  <c r="G875" i="19" s="1"/>
  <c r="F50" i="2"/>
  <c r="F875" i="19" s="1"/>
  <c r="E50" i="2"/>
  <c r="E875" i="19" s="1"/>
  <c r="D50" i="2"/>
  <c r="D875" i="19" s="1"/>
  <c r="H41" i="2"/>
  <c r="G41" i="2"/>
  <c r="F41" i="2"/>
  <c r="E41" i="2"/>
  <c r="D41" i="2"/>
  <c r="H32" i="2"/>
  <c r="H38" i="2" s="1"/>
  <c r="G32" i="2"/>
  <c r="G38" i="2" s="1"/>
  <c r="F32" i="2"/>
  <c r="F38" i="2" s="1"/>
  <c r="E32" i="2"/>
  <c r="E38" i="2" s="1"/>
  <c r="D32" i="2"/>
  <c r="D38" i="2" s="1"/>
  <c r="G20" i="2"/>
  <c r="F20" i="2"/>
  <c r="E20" i="2"/>
  <c r="D20" i="2"/>
  <c r="E6" i="2"/>
  <c r="E22" i="1"/>
  <c r="E24" i="1" s="1"/>
  <c r="H10" i="1"/>
  <c r="G10" i="1"/>
  <c r="F10" i="1"/>
  <c r="F25" i="1" s="1"/>
  <c r="E10" i="1"/>
  <c r="D10" i="1"/>
  <c r="E6" i="1"/>
  <c r="E77" i="15"/>
  <c r="F77" i="15" s="1"/>
  <c r="G77" i="15" s="1"/>
  <c r="B84" i="11"/>
  <c r="B85" i="11" s="1"/>
  <c r="B86" i="11" s="1"/>
  <c r="B87" i="11" s="1"/>
  <c r="B88" i="11" s="1"/>
  <c r="B89" i="11" s="1"/>
  <c r="B90" i="11" s="1"/>
  <c r="B91" i="11" s="1"/>
  <c r="H12" i="11"/>
  <c r="G12" i="11"/>
  <c r="F12" i="11"/>
  <c r="E12" i="11"/>
  <c r="D12" i="11"/>
  <c r="D45" i="11" s="1"/>
  <c r="D8" i="11"/>
  <c r="P119" i="7"/>
  <c r="P123" i="11" s="1"/>
  <c r="O119" i="7"/>
  <c r="O123" i="11" s="1"/>
  <c r="N119" i="7"/>
  <c r="N123" i="11" s="1"/>
  <c r="M119" i="7"/>
  <c r="M123" i="11" s="1"/>
  <c r="L119" i="7"/>
  <c r="L123" i="11" s="1"/>
  <c r="K119" i="7"/>
  <c r="K123" i="11" s="1"/>
  <c r="J119" i="7"/>
  <c r="J123" i="11" s="1"/>
  <c r="I119" i="7"/>
  <c r="I123" i="11" s="1"/>
  <c r="P111" i="7"/>
  <c r="P189" i="11" s="1"/>
  <c r="O111" i="7"/>
  <c r="O189" i="11" s="1"/>
  <c r="N111" i="7"/>
  <c r="N189" i="11" s="1"/>
  <c r="M111" i="7"/>
  <c r="M189" i="11" s="1"/>
  <c r="L111" i="7"/>
  <c r="L189" i="11" s="1"/>
  <c r="K111" i="7"/>
  <c r="K189" i="11" s="1"/>
  <c r="J111" i="7"/>
  <c r="J189" i="11" s="1"/>
  <c r="I111" i="7"/>
  <c r="I189" i="11" s="1"/>
  <c r="P87" i="7"/>
  <c r="P114" i="11" s="1"/>
  <c r="O87" i="7"/>
  <c r="O114" i="11" s="1"/>
  <c r="N87" i="7"/>
  <c r="N114" i="11" s="1"/>
  <c r="M87" i="7"/>
  <c r="M114" i="11" s="1"/>
  <c r="L87" i="7"/>
  <c r="L114" i="11" s="1"/>
  <c r="K87" i="7"/>
  <c r="K114" i="11" s="1"/>
  <c r="J87" i="7"/>
  <c r="J114" i="11" s="1"/>
  <c r="I87" i="7"/>
  <c r="I114" i="11" s="1"/>
  <c r="P18" i="7"/>
  <c r="P14" i="11" s="1"/>
  <c r="K18" i="7"/>
  <c r="K14" i="11" s="1"/>
  <c r="J18" i="7"/>
  <c r="J14" i="11" s="1"/>
  <c r="B18" i="7"/>
  <c r="D16" i="7"/>
  <c r="D17" i="7" s="1"/>
  <c r="D8" i="7"/>
  <c r="B6" i="19"/>
  <c r="B369" i="19" s="1"/>
  <c r="I30" i="20"/>
  <c r="H30" i="20"/>
  <c r="I29" i="20"/>
  <c r="H29" i="20"/>
  <c r="I28" i="20"/>
  <c r="H28" i="20"/>
  <c r="I27" i="20"/>
  <c r="H27" i="20"/>
  <c r="I26" i="20"/>
  <c r="H26" i="20"/>
  <c r="I25" i="20"/>
  <c r="H25" i="20"/>
  <c r="B17" i="20"/>
  <c r="B16" i="20"/>
  <c r="B15" i="20"/>
  <c r="B14" i="20"/>
  <c r="B13" i="20"/>
  <c r="D89" i="12" l="1"/>
  <c r="E76" i="14"/>
  <c r="E78" i="14" s="1"/>
  <c r="E89" i="12"/>
  <c r="E21" i="14" s="1"/>
  <c r="D76" i="14"/>
  <c r="K50" i="11"/>
  <c r="J54" i="11"/>
  <c r="M72" i="11"/>
  <c r="E8" i="7"/>
  <c r="E305" i="19"/>
  <c r="E6" i="19"/>
  <c r="E369" i="19" s="1"/>
  <c r="M52" i="11"/>
  <c r="K12" i="15"/>
  <c r="K17" i="15" s="1"/>
  <c r="J88" i="14"/>
  <c r="K22" i="15"/>
  <c r="J111" i="12"/>
  <c r="K731" i="19"/>
  <c r="N51" i="11"/>
  <c r="N71" i="11" s="1"/>
  <c r="N107" i="12" s="1"/>
  <c r="O22" i="15" s="1"/>
  <c r="N22" i="15"/>
  <c r="M111" i="12"/>
  <c r="H77" i="15"/>
  <c r="I77" i="15" s="1"/>
  <c r="J77" i="15" s="1"/>
  <c r="K77" i="15" s="1"/>
  <c r="H78" i="11"/>
  <c r="L13" i="15"/>
  <c r="L18" i="15" s="1"/>
  <c r="F78" i="14"/>
  <c r="G14" i="11"/>
  <c r="I12" i="11"/>
  <c r="J12" i="11" s="1"/>
  <c r="K12" i="11" s="1"/>
  <c r="H14" i="11"/>
  <c r="E14" i="11"/>
  <c r="F14" i="11"/>
  <c r="H78" i="14"/>
  <c r="M61" i="11"/>
  <c r="M60" i="12" s="1"/>
  <c r="D8" i="12"/>
  <c r="D8" i="14"/>
  <c r="E8" i="15" s="1"/>
  <c r="D8" i="21"/>
  <c r="G78" i="14"/>
  <c r="H90" i="12"/>
  <c r="H23" i="14" s="1"/>
  <c r="G90" i="12"/>
  <c r="G23" i="14" s="1"/>
  <c r="F90" i="12"/>
  <c r="F23" i="14" s="1"/>
  <c r="H89" i="12"/>
  <c r="H21" i="14" s="1"/>
  <c r="G89" i="12"/>
  <c r="G21" i="14" s="1"/>
  <c r="F89" i="12"/>
  <c r="F21" i="14" s="1"/>
  <c r="E90" i="12"/>
  <c r="E23" i="14" s="1"/>
  <c r="K113" i="12"/>
  <c r="L169" i="11"/>
  <c r="M154" i="11"/>
  <c r="L70" i="12"/>
  <c r="M158" i="11"/>
  <c r="L71" i="12"/>
  <c r="L171" i="11"/>
  <c r="K53" i="11"/>
  <c r="K54" i="11" s="1"/>
  <c r="P109" i="12"/>
  <c r="G886" i="19"/>
  <c r="G885" i="19"/>
  <c r="D885" i="19"/>
  <c r="D886" i="19"/>
  <c r="H885" i="19"/>
  <c r="C16" i="23" s="1"/>
  <c r="D9" i="25" s="1"/>
  <c r="F886" i="19"/>
  <c r="F885" i="19"/>
  <c r="E885" i="19"/>
  <c r="E886" i="19"/>
  <c r="M179" i="11"/>
  <c r="L75" i="12"/>
  <c r="K70" i="11"/>
  <c r="D104" i="11"/>
  <c r="D110" i="11" s="1"/>
  <c r="D112" i="11" s="1"/>
  <c r="H80" i="11"/>
  <c r="H104" i="11"/>
  <c r="E80" i="11"/>
  <c r="E104" i="11"/>
  <c r="F80" i="11"/>
  <c r="F104" i="11"/>
  <c r="G80" i="11"/>
  <c r="G104" i="11"/>
  <c r="D76" i="12"/>
  <c r="D46" i="2"/>
  <c r="E76" i="12"/>
  <c r="E46" i="2"/>
  <c r="E52" i="2" s="1"/>
  <c r="F6" i="2"/>
  <c r="G6" i="2" s="1"/>
  <c r="H6" i="2" s="1"/>
  <c r="F46" i="2"/>
  <c r="F76" i="12"/>
  <c r="H46" i="2"/>
  <c r="H76" i="12"/>
  <c r="G46" i="2"/>
  <c r="G52" i="2" s="1"/>
  <c r="G76" i="12"/>
  <c r="E52" i="18"/>
  <c r="E54" i="18" s="1"/>
  <c r="G52" i="18"/>
  <c r="G54" i="18" s="1"/>
  <c r="D52" i="18"/>
  <c r="D54" i="18" s="1"/>
  <c r="H52" i="18"/>
  <c r="H54" i="18" s="1"/>
  <c r="G26" i="2"/>
  <c r="G887" i="19" s="1"/>
  <c r="G57" i="11"/>
  <c r="G61" i="12" s="1"/>
  <c r="G62" i="12" s="1"/>
  <c r="F52" i="2"/>
  <c r="F26" i="2"/>
  <c r="F887" i="19" s="1"/>
  <c r="F57" i="11"/>
  <c r="F61" i="12" s="1"/>
  <c r="F62" i="12" s="1"/>
  <c r="D26" i="2"/>
  <c r="D887" i="19" s="1"/>
  <c r="D57" i="11"/>
  <c r="D61" i="12" s="1"/>
  <c r="D62" i="12" s="1"/>
  <c r="E26" i="2"/>
  <c r="E887" i="19" s="1"/>
  <c r="E57" i="11"/>
  <c r="E61" i="12" s="1"/>
  <c r="E62" i="12" s="1"/>
  <c r="D80" i="11"/>
  <c r="H26" i="2"/>
  <c r="H887" i="19" s="1"/>
  <c r="H57" i="11"/>
  <c r="G128" i="11"/>
  <c r="G130" i="11" s="1"/>
  <c r="D128" i="11"/>
  <c r="D139" i="11" s="1"/>
  <c r="E128" i="11"/>
  <c r="E139" i="11" s="1"/>
  <c r="F128" i="11"/>
  <c r="F139" i="11" s="1"/>
  <c r="D25" i="1"/>
  <c r="D31" i="1" s="1"/>
  <c r="D33" i="1" s="1"/>
  <c r="E12" i="1"/>
  <c r="E25" i="1"/>
  <c r="E31" i="1" s="1"/>
  <c r="E33" i="1" s="1"/>
  <c r="G12" i="1"/>
  <c r="G15" i="7" s="1"/>
  <c r="G16" i="7" s="1"/>
  <c r="G17" i="7" s="1"/>
  <c r="G25" i="1"/>
  <c r="J524" i="19"/>
  <c r="D52" i="2"/>
  <c r="H52" i="2"/>
  <c r="K532" i="19"/>
  <c r="K524" i="19"/>
  <c r="J526" i="19"/>
  <c r="H128" i="11"/>
  <c r="J532" i="19"/>
  <c r="J528" i="19"/>
  <c r="K526" i="19"/>
  <c r="K528" i="19"/>
  <c r="K480" i="19"/>
  <c r="J480" i="19"/>
  <c r="K482" i="19"/>
  <c r="J479" i="19"/>
  <c r="K479" i="19"/>
  <c r="B111" i="7"/>
  <c r="E52" i="7"/>
  <c r="E53" i="7" s="1"/>
  <c r="E56" i="7"/>
  <c r="G12" i="12"/>
  <c r="G41" i="12" s="1"/>
  <c r="G45" i="11"/>
  <c r="D12" i="12"/>
  <c r="H12" i="12"/>
  <c r="H45" i="11"/>
  <c r="E12" i="12"/>
  <c r="E45" i="11"/>
  <c r="F12" i="12"/>
  <c r="F45" i="11"/>
  <c r="E23" i="7"/>
  <c r="E24" i="7" s="1"/>
  <c r="E25" i="7" s="1"/>
  <c r="H31" i="1"/>
  <c r="H33" i="1" s="1"/>
  <c r="H12" i="1"/>
  <c r="H15" i="7" s="1"/>
  <c r="H16" i="7" s="1"/>
  <c r="H17" i="7" s="1"/>
  <c r="E15" i="7"/>
  <c r="E16" i="7" s="1"/>
  <c r="E17" i="7" s="1"/>
  <c r="G23" i="7"/>
  <c r="G24" i="7" s="1"/>
  <c r="G25" i="7" s="1"/>
  <c r="F23" i="7"/>
  <c r="F24" i="7" s="1"/>
  <c r="F25" i="7" s="1"/>
  <c r="F31" i="1"/>
  <c r="F33" i="1" s="1"/>
  <c r="F12" i="1"/>
  <c r="F15" i="7" s="1"/>
  <c r="F16" i="7" s="1"/>
  <c r="F17" i="7" s="1"/>
  <c r="D14" i="1"/>
  <c r="D23" i="7" s="1"/>
  <c r="D24" i="7" s="1"/>
  <c r="D25" i="7" s="1"/>
  <c r="H23" i="7"/>
  <c r="H24" i="7" s="1"/>
  <c r="H25" i="7" s="1"/>
  <c r="B95" i="7"/>
  <c r="B87" i="7"/>
  <c r="B119" i="7"/>
  <c r="E8" i="11"/>
  <c r="D13" i="14"/>
  <c r="D18" i="14" s="1"/>
  <c r="D77" i="14"/>
  <c r="D29" i="14"/>
  <c r="D36" i="14" s="1"/>
  <c r="F6" i="1"/>
  <c r="G31" i="1"/>
  <c r="G33" i="1" s="1"/>
  <c r="F41" i="12" l="1"/>
  <c r="H41" i="12"/>
  <c r="D41" i="12"/>
  <c r="D93" i="12"/>
  <c r="D92" i="12"/>
  <c r="D88" i="12"/>
  <c r="D91" i="12"/>
  <c r="E41" i="12"/>
  <c r="D78" i="14"/>
  <c r="N72" i="11"/>
  <c r="F305" i="19"/>
  <c r="F6" i="19"/>
  <c r="F369" i="19" s="1"/>
  <c r="E9" i="25"/>
  <c r="F9" i="25" s="1"/>
  <c r="D10" i="25"/>
  <c r="D11" i="25" s="1"/>
  <c r="D15" i="25" s="1"/>
  <c r="L732" i="19"/>
  <c r="O51" i="11"/>
  <c r="O71" i="11" s="1"/>
  <c r="O107" i="12" s="1"/>
  <c r="K732" i="19"/>
  <c r="N52" i="11"/>
  <c r="I78" i="11"/>
  <c r="P111" i="12"/>
  <c r="Q109" i="12"/>
  <c r="R109" i="12" s="1"/>
  <c r="M13" i="15"/>
  <c r="M18" i="15" s="1"/>
  <c r="I196" i="11"/>
  <c r="I197" i="11" s="1"/>
  <c r="I36" i="12" s="1"/>
  <c r="I108" i="11" s="1"/>
  <c r="I12" i="12"/>
  <c r="N61" i="11"/>
  <c r="N60" i="12" s="1"/>
  <c r="E8" i="12"/>
  <c r="E8" i="14"/>
  <c r="F8" i="15" s="1"/>
  <c r="E8" i="21"/>
  <c r="H13" i="21"/>
  <c r="H43" i="14"/>
  <c r="H47" i="14" s="1"/>
  <c r="H24" i="21"/>
  <c r="H28" i="21"/>
  <c r="H25" i="21"/>
  <c r="H31" i="21"/>
  <c r="H29" i="21"/>
  <c r="E77" i="12"/>
  <c r="E43" i="14"/>
  <c r="E47" i="14" s="1"/>
  <c r="E24" i="21"/>
  <c r="E25" i="21"/>
  <c r="E28" i="21"/>
  <c r="E31" i="21"/>
  <c r="E29" i="21"/>
  <c r="H77" i="12"/>
  <c r="F13" i="21"/>
  <c r="F43" i="14"/>
  <c r="F47" i="14" s="1"/>
  <c r="F24" i="21"/>
  <c r="F31" i="21"/>
  <c r="F28" i="21"/>
  <c r="F29" i="21"/>
  <c r="F25" i="21"/>
  <c r="G43" i="14"/>
  <c r="G47" i="14" s="1"/>
  <c r="G24" i="21"/>
  <c r="G31" i="21"/>
  <c r="G25" i="21"/>
  <c r="G28" i="21"/>
  <c r="G29" i="21"/>
  <c r="G77" i="12"/>
  <c r="F77" i="12"/>
  <c r="G13" i="21"/>
  <c r="D24" i="21"/>
  <c r="D28" i="21"/>
  <c r="D29" i="21"/>
  <c r="D31" i="21"/>
  <c r="D25" i="21"/>
  <c r="D77" i="12"/>
  <c r="D13" i="21"/>
  <c r="D12" i="21"/>
  <c r="D20" i="21"/>
  <c r="D18" i="21"/>
  <c r="D17" i="21"/>
  <c r="D19" i="21"/>
  <c r="E12" i="21"/>
  <c r="E20" i="21"/>
  <c r="E18" i="21"/>
  <c r="E19" i="21"/>
  <c r="E17" i="21"/>
  <c r="F12" i="21"/>
  <c r="F17" i="21"/>
  <c r="F18" i="21"/>
  <c r="F19" i="21"/>
  <c r="F20" i="21"/>
  <c r="H12" i="21"/>
  <c r="H20" i="21"/>
  <c r="H19" i="21"/>
  <c r="H17" i="21"/>
  <c r="H18" i="21"/>
  <c r="G12" i="21"/>
  <c r="G19" i="21"/>
  <c r="G18" i="21"/>
  <c r="G17" i="21"/>
  <c r="G20" i="21"/>
  <c r="E13" i="21"/>
  <c r="L50" i="11"/>
  <c r="E92" i="12"/>
  <c r="E93" i="12"/>
  <c r="E88" i="12"/>
  <c r="E22" i="14" s="1"/>
  <c r="E24" i="14" s="1"/>
  <c r="E91" i="12"/>
  <c r="D22" i="14"/>
  <c r="F92" i="12"/>
  <c r="F93" i="12"/>
  <c r="F91" i="12"/>
  <c r="F88" i="12"/>
  <c r="F22" i="14" s="1"/>
  <c r="F24" i="14" s="1"/>
  <c r="H14" i="12"/>
  <c r="H93" i="12"/>
  <c r="H92" i="12"/>
  <c r="H91" i="12"/>
  <c r="H88" i="12"/>
  <c r="H22" i="14" s="1"/>
  <c r="H24" i="14" s="1"/>
  <c r="G93" i="12"/>
  <c r="G92" i="12"/>
  <c r="G91" i="12"/>
  <c r="G88" i="12"/>
  <c r="G22" i="14" s="1"/>
  <c r="G24" i="14" s="1"/>
  <c r="L113" i="12"/>
  <c r="N158" i="11"/>
  <c r="M71" i="12"/>
  <c r="M171" i="11"/>
  <c r="M169" i="11"/>
  <c r="N154" i="11"/>
  <c r="M70" i="12"/>
  <c r="K885" i="19"/>
  <c r="J885" i="19"/>
  <c r="J887" i="19"/>
  <c r="K887" i="19"/>
  <c r="G110" i="11"/>
  <c r="G112" i="11" s="1"/>
  <c r="E110" i="11"/>
  <c r="E112" i="11" s="1"/>
  <c r="F110" i="11"/>
  <c r="F112" i="11" s="1"/>
  <c r="H110" i="11"/>
  <c r="H112" i="11" s="1"/>
  <c r="N179" i="11"/>
  <c r="M75" i="12"/>
  <c r="F141" i="11"/>
  <c r="F150" i="11"/>
  <c r="F151" i="11" s="1"/>
  <c r="E141" i="11"/>
  <c r="E150" i="11"/>
  <c r="E151" i="11" s="1"/>
  <c r="D141" i="11"/>
  <c r="D150" i="11"/>
  <c r="D151" i="11" s="1"/>
  <c r="E58" i="11"/>
  <c r="F58" i="11"/>
  <c r="I26" i="11"/>
  <c r="I19" i="12" s="1"/>
  <c r="I104" i="11"/>
  <c r="H54" i="2"/>
  <c r="G58" i="11"/>
  <c r="D14" i="12"/>
  <c r="E14" i="12"/>
  <c r="E42" i="12" s="1"/>
  <c r="F14" i="12"/>
  <c r="G14" i="12"/>
  <c r="G24" i="12" s="1"/>
  <c r="D58" i="11"/>
  <c r="H61" i="12"/>
  <c r="I57" i="11"/>
  <c r="F130" i="11"/>
  <c r="G139" i="11"/>
  <c r="H58" i="11"/>
  <c r="D64" i="12"/>
  <c r="J196" i="11"/>
  <c r="J197" i="11" s="1"/>
  <c r="J36" i="12" s="1"/>
  <c r="I41" i="11"/>
  <c r="I36" i="11"/>
  <c r="I21" i="12" s="1"/>
  <c r="I18" i="11"/>
  <c r="I31" i="11"/>
  <c r="I20" i="12" s="1"/>
  <c r="H130" i="11"/>
  <c r="H139" i="11"/>
  <c r="F54" i="2"/>
  <c r="D54" i="2"/>
  <c r="E54" i="2"/>
  <c r="G54" i="2"/>
  <c r="I128" i="11"/>
  <c r="J482" i="19"/>
  <c r="J483" i="19"/>
  <c r="K483" i="19"/>
  <c r="D43" i="14"/>
  <c r="D47" i="14" s="1"/>
  <c r="D51" i="14" s="1"/>
  <c r="D55" i="14" s="1"/>
  <c r="G32" i="14"/>
  <c r="G91" i="14" s="1"/>
  <c r="J7" i="19"/>
  <c r="K7" i="19"/>
  <c r="D21" i="14"/>
  <c r="D17" i="14"/>
  <c r="D23" i="14"/>
  <c r="D12" i="14"/>
  <c r="G6" i="1"/>
  <c r="F8" i="11"/>
  <c r="F8" i="7"/>
  <c r="D30" i="14"/>
  <c r="D63" i="14"/>
  <c r="J973" i="19" l="1"/>
  <c r="J982" i="19" s="1"/>
  <c r="I41" i="12"/>
  <c r="I133" i="11"/>
  <c r="I134" i="11" s="1"/>
  <c r="I139" i="11"/>
  <c r="F42" i="14"/>
  <c r="F24" i="12"/>
  <c r="E42" i="14"/>
  <c r="E44" i="14" s="1"/>
  <c r="E24" i="12"/>
  <c r="D16" i="12"/>
  <c r="D24" i="12"/>
  <c r="H16" i="12"/>
  <c r="H24" i="12"/>
  <c r="O72" i="11"/>
  <c r="P72" i="11" s="1"/>
  <c r="Q72" i="11" s="1"/>
  <c r="R72" i="11" s="1"/>
  <c r="S72" i="11" s="1"/>
  <c r="T72" i="11" s="1"/>
  <c r="U72" i="11" s="1"/>
  <c r="V72" i="11" s="1"/>
  <c r="G6" i="19"/>
  <c r="G369" i="19" s="1"/>
  <c r="G305" i="19"/>
  <c r="P22" i="15"/>
  <c r="O111" i="12"/>
  <c r="O52" i="11"/>
  <c r="P52" i="11" s="1"/>
  <c r="Q52" i="11" s="1"/>
  <c r="R52" i="11" s="1"/>
  <c r="S52" i="11" s="1"/>
  <c r="T52" i="11" s="1"/>
  <c r="U52" i="11" s="1"/>
  <c r="V52" i="11" s="1"/>
  <c r="J78" i="11"/>
  <c r="F44" i="14"/>
  <c r="S109" i="12"/>
  <c r="N13" i="15"/>
  <c r="N18" i="15" s="1"/>
  <c r="I18" i="21"/>
  <c r="I24" i="21"/>
  <c r="I43" i="14"/>
  <c r="I47" i="14" s="1"/>
  <c r="I51" i="14" s="1"/>
  <c r="I55" i="14" s="1"/>
  <c r="I19" i="21"/>
  <c r="I25" i="21"/>
  <c r="I93" i="12"/>
  <c r="I17" i="21"/>
  <c r="I92" i="12"/>
  <c r="I29" i="21"/>
  <c r="I12" i="21"/>
  <c r="G14" i="21"/>
  <c r="O61" i="11"/>
  <c r="O60" i="12" s="1"/>
  <c r="F14" i="21"/>
  <c r="F8" i="12"/>
  <c r="F8" i="14"/>
  <c r="G8" i="15" s="1"/>
  <c r="F8" i="21"/>
  <c r="F51" i="14"/>
  <c r="F55" i="14" s="1"/>
  <c r="F68" i="14"/>
  <c r="E51" i="14"/>
  <c r="E55" i="14" s="1"/>
  <c r="E68" i="14"/>
  <c r="H42" i="12"/>
  <c r="H42" i="14"/>
  <c r="H44" i="14" s="1"/>
  <c r="F83" i="12"/>
  <c r="G51" i="14"/>
  <c r="G55" i="14" s="1"/>
  <c r="G68" i="14"/>
  <c r="H51" i="14"/>
  <c r="H55" i="14" s="1"/>
  <c r="H68" i="14"/>
  <c r="G83" i="12"/>
  <c r="E83" i="12"/>
  <c r="E63" i="21" s="1"/>
  <c r="H62" i="12"/>
  <c r="D83" i="12"/>
  <c r="D63" i="21" s="1"/>
  <c r="G42" i="12"/>
  <c r="G42" i="14"/>
  <c r="G44" i="14" s="1"/>
  <c r="D14" i="21"/>
  <c r="H83" i="12"/>
  <c r="H63" i="21" s="1"/>
  <c r="D39" i="21"/>
  <c r="D45" i="21"/>
  <c r="D40" i="21"/>
  <c r="D47" i="21"/>
  <c r="D42" i="21"/>
  <c r="D38" i="21"/>
  <c r="D46" i="21"/>
  <c r="D41" i="21"/>
  <c r="D37" i="21"/>
  <c r="D50" i="21"/>
  <c r="D44" i="21"/>
  <c r="D48" i="21"/>
  <c r="L70" i="11"/>
  <c r="G82" i="14"/>
  <c r="D24" i="14"/>
  <c r="D16" i="14"/>
  <c r="D19" i="14" s="1"/>
  <c r="D14" i="14"/>
  <c r="J108" i="11"/>
  <c r="H14" i="21"/>
  <c r="E14" i="21"/>
  <c r="L53" i="11"/>
  <c r="I22" i="12"/>
  <c r="I20" i="21" s="1"/>
  <c r="I44" i="11"/>
  <c r="D42" i="12"/>
  <c r="F16" i="12"/>
  <c r="F42" i="12"/>
  <c r="G26" i="12"/>
  <c r="N169" i="11"/>
  <c r="N70" i="12"/>
  <c r="O154" i="11"/>
  <c r="O158" i="11"/>
  <c r="N71" i="12"/>
  <c r="N171" i="11"/>
  <c r="M113" i="12"/>
  <c r="O179" i="11"/>
  <c r="N75" i="12"/>
  <c r="G141" i="11"/>
  <c r="G150" i="11"/>
  <c r="G151" i="11" s="1"/>
  <c r="H141" i="11"/>
  <c r="H150" i="11"/>
  <c r="H151" i="11" s="1"/>
  <c r="I13" i="12"/>
  <c r="I105" i="11"/>
  <c r="J41" i="11"/>
  <c r="J22" i="12" s="1"/>
  <c r="J104" i="11"/>
  <c r="G16" i="12"/>
  <c r="D42" i="14"/>
  <c r="D44" i="14" s="1"/>
  <c r="E16" i="12"/>
  <c r="J84" i="11"/>
  <c r="D33" i="14"/>
  <c r="D37" i="14" s="1"/>
  <c r="J36" i="11"/>
  <c r="J21" i="12" s="1"/>
  <c r="J12" i="12"/>
  <c r="J41" i="12" s="1"/>
  <c r="J31" i="11"/>
  <c r="J20" i="12" s="1"/>
  <c r="J26" i="11"/>
  <c r="J19" i="12" s="1"/>
  <c r="J128" i="11"/>
  <c r="J133" i="11" s="1"/>
  <c r="J134" i="11" s="1"/>
  <c r="J53" i="12" s="1"/>
  <c r="K196" i="11"/>
  <c r="K197" i="11" s="1"/>
  <c r="K36" i="12" s="1"/>
  <c r="I129" i="11"/>
  <c r="D68" i="14"/>
  <c r="K370" i="19"/>
  <c r="J370" i="19"/>
  <c r="K306" i="19"/>
  <c r="J306" i="19"/>
  <c r="K146" i="11"/>
  <c r="L146" i="11" s="1"/>
  <c r="M146" i="11" s="1"/>
  <c r="N146" i="11" s="1"/>
  <c r="O146" i="11" s="1"/>
  <c r="P146" i="11" s="1"/>
  <c r="Q146" i="11" s="1"/>
  <c r="R146" i="11" s="1"/>
  <c r="S146" i="11" s="1"/>
  <c r="T146" i="11" s="1"/>
  <c r="U146" i="11" s="1"/>
  <c r="D32" i="14"/>
  <c r="H6" i="1"/>
  <c r="G8" i="11"/>
  <c r="G8" i="7"/>
  <c r="E26" i="12" l="1"/>
  <c r="E43" i="12"/>
  <c r="I23" i="12"/>
  <c r="J77" i="14"/>
  <c r="J17" i="14"/>
  <c r="J23" i="12"/>
  <c r="M50" i="11"/>
  <c r="L54" i="11"/>
  <c r="H6" i="19"/>
  <c r="H369" i="19" s="1"/>
  <c r="H305" i="19"/>
  <c r="I11" i="15"/>
  <c r="I14" i="15" s="1"/>
  <c r="I16" i="15" s="1"/>
  <c r="I19" i="15" s="1"/>
  <c r="I23" i="15" s="1"/>
  <c r="H26" i="12"/>
  <c r="G11" i="15"/>
  <c r="G14" i="15" s="1"/>
  <c r="G16" i="15" s="1"/>
  <c r="G19" i="15" s="1"/>
  <c r="G23" i="15" s="1"/>
  <c r="F26" i="12"/>
  <c r="E11" i="15"/>
  <c r="E14" i="15" s="1"/>
  <c r="E16" i="15" s="1"/>
  <c r="E19" i="15" s="1"/>
  <c r="E23" i="15" s="1"/>
  <c r="D26" i="12"/>
  <c r="K78" i="11"/>
  <c r="L78" i="11" s="1"/>
  <c r="F63" i="21"/>
  <c r="G63" i="21"/>
  <c r="V146" i="11"/>
  <c r="T109" i="12"/>
  <c r="E46" i="14"/>
  <c r="E48" i="14" s="1"/>
  <c r="F11" i="15"/>
  <c r="F14" i="15" s="1"/>
  <c r="F16" i="15" s="1"/>
  <c r="F19" i="15" s="1"/>
  <c r="F23" i="15" s="1"/>
  <c r="G46" i="14"/>
  <c r="G83" i="14" s="1"/>
  <c r="G84" i="14" s="1"/>
  <c r="H11" i="15"/>
  <c r="H14" i="15" s="1"/>
  <c r="H16" i="15" s="1"/>
  <c r="H19" i="15" s="1"/>
  <c r="H23" i="15" s="1"/>
  <c r="O13" i="15"/>
  <c r="O18" i="15" s="1"/>
  <c r="I68" i="14"/>
  <c r="I72" i="14" s="1"/>
  <c r="H46" i="14"/>
  <c r="H48" i="14" s="1"/>
  <c r="P61" i="11"/>
  <c r="G72" i="14"/>
  <c r="J17" i="21"/>
  <c r="G8" i="12"/>
  <c r="G8" i="14"/>
  <c r="H8" i="15" s="1"/>
  <c r="G8" i="21"/>
  <c r="J19" i="21"/>
  <c r="E69" i="21"/>
  <c r="E56" i="21"/>
  <c r="E66" i="21"/>
  <c r="E58" i="21"/>
  <c r="E55" i="21"/>
  <c r="E61" i="21"/>
  <c r="E57" i="21"/>
  <c r="E65" i="21"/>
  <c r="E59" i="21"/>
  <c r="E67" i="21"/>
  <c r="E62" i="21"/>
  <c r="F69" i="21"/>
  <c r="F57" i="21"/>
  <c r="F66" i="21"/>
  <c r="F65" i="21"/>
  <c r="F55" i="21"/>
  <c r="F61" i="21"/>
  <c r="F58" i="21"/>
  <c r="F56" i="21"/>
  <c r="F67" i="21"/>
  <c r="F59" i="21"/>
  <c r="F62" i="21"/>
  <c r="H72" i="14"/>
  <c r="J18" i="21"/>
  <c r="I13" i="21"/>
  <c r="I14" i="21" s="1"/>
  <c r="I76" i="14"/>
  <c r="F21" i="21"/>
  <c r="F46" i="14"/>
  <c r="H69" i="21"/>
  <c r="H56" i="21"/>
  <c r="H66" i="21"/>
  <c r="H65" i="21"/>
  <c r="H55" i="21"/>
  <c r="H58" i="21"/>
  <c r="H61" i="21"/>
  <c r="H57" i="21"/>
  <c r="H59" i="21"/>
  <c r="H67" i="21"/>
  <c r="H62" i="21"/>
  <c r="F72" i="14"/>
  <c r="D69" i="21"/>
  <c r="D61" i="21"/>
  <c r="D66" i="21"/>
  <c r="D58" i="21"/>
  <c r="D55" i="21"/>
  <c r="D57" i="21"/>
  <c r="D65" i="21"/>
  <c r="D56" i="21"/>
  <c r="D59" i="21"/>
  <c r="D67" i="21"/>
  <c r="D62" i="21"/>
  <c r="J29" i="21"/>
  <c r="J43" i="14"/>
  <c r="J47" i="14" s="1"/>
  <c r="K973" i="19"/>
  <c r="K982" i="19" s="1"/>
  <c r="G69" i="21"/>
  <c r="G61" i="21"/>
  <c r="G65" i="21"/>
  <c r="G56" i="21"/>
  <c r="G66" i="21"/>
  <c r="G55" i="21"/>
  <c r="G58" i="21"/>
  <c r="G57" i="21"/>
  <c r="G67" i="21"/>
  <c r="G59" i="21"/>
  <c r="G62" i="21"/>
  <c r="M53" i="11"/>
  <c r="M70" i="11"/>
  <c r="D82" i="14"/>
  <c r="D91" i="14"/>
  <c r="D90" i="14" s="1"/>
  <c r="E72" i="14"/>
  <c r="D59" i="14"/>
  <c r="D69" i="14" s="1"/>
  <c r="D38" i="14"/>
  <c r="K108" i="11"/>
  <c r="J25" i="21"/>
  <c r="J24" i="21"/>
  <c r="J20" i="21"/>
  <c r="H31" i="12"/>
  <c r="C22" i="23" s="1"/>
  <c r="C23" i="23" s="1"/>
  <c r="D17" i="25" s="1"/>
  <c r="H21" i="21"/>
  <c r="E21" i="21"/>
  <c r="J12" i="21"/>
  <c r="D31" i="12"/>
  <c r="D26" i="21" s="1"/>
  <c r="D21" i="21"/>
  <c r="G21" i="21"/>
  <c r="H43" i="12"/>
  <c r="F31" i="12"/>
  <c r="F43" i="12"/>
  <c r="E31" i="12"/>
  <c r="E44" i="12" s="1"/>
  <c r="J93" i="12"/>
  <c r="J92" i="12"/>
  <c r="D43" i="12"/>
  <c r="G31" i="12"/>
  <c r="G43" i="12"/>
  <c r="I144" i="11"/>
  <c r="I14" i="12"/>
  <c r="O169" i="11"/>
  <c r="P154" i="11"/>
  <c r="Q154" i="11" s="1"/>
  <c r="Q70" i="12" s="1"/>
  <c r="O70" i="12"/>
  <c r="P158" i="11"/>
  <c r="Q158" i="11" s="1"/>
  <c r="Q71" i="12" s="1"/>
  <c r="O71" i="12"/>
  <c r="O171" i="11"/>
  <c r="N113" i="12"/>
  <c r="P179" i="11"/>
  <c r="O75" i="12"/>
  <c r="D46" i="14"/>
  <c r="D83" i="14" s="1"/>
  <c r="I140" i="11"/>
  <c r="I55" i="12" s="1"/>
  <c r="I91" i="12" s="1"/>
  <c r="I150" i="11"/>
  <c r="I149" i="11" s="1"/>
  <c r="I170" i="11" s="1"/>
  <c r="I45" i="11"/>
  <c r="I106" i="11"/>
  <c r="K128" i="11"/>
  <c r="K104" i="11"/>
  <c r="I54" i="12"/>
  <c r="I164" i="11"/>
  <c r="E123" i="12"/>
  <c r="E125" i="12" s="1"/>
  <c r="F123" i="12"/>
  <c r="K84" i="11"/>
  <c r="L84" i="11" s="1"/>
  <c r="M84" i="11" s="1"/>
  <c r="N84" i="11" s="1"/>
  <c r="O84" i="11" s="1"/>
  <c r="P84" i="11" s="1"/>
  <c r="Q84" i="11" s="1"/>
  <c r="R84" i="11" s="1"/>
  <c r="S84" i="11" s="1"/>
  <c r="T84" i="11" s="1"/>
  <c r="U84" i="11" s="1"/>
  <c r="V84" i="11" s="1"/>
  <c r="J44" i="11"/>
  <c r="K41" i="11"/>
  <c r="K22" i="12" s="1"/>
  <c r="K36" i="11"/>
  <c r="K21" i="12" s="1"/>
  <c r="K12" i="12"/>
  <c r="K41" i="12" s="1"/>
  <c r="K31" i="11"/>
  <c r="K20" i="12" s="1"/>
  <c r="K26" i="11"/>
  <c r="K19" i="12" s="1"/>
  <c r="J129" i="11"/>
  <c r="J54" i="12" s="1"/>
  <c r="J139" i="11"/>
  <c r="H32" i="14"/>
  <c r="H91" i="14" s="1"/>
  <c r="H90" i="14" s="1"/>
  <c r="D34" i="14"/>
  <c r="H8" i="11"/>
  <c r="H8" i="7"/>
  <c r="I8" i="7" s="1"/>
  <c r="J8" i="7" s="1"/>
  <c r="K8" i="7" s="1"/>
  <c r="L8" i="7" s="1"/>
  <c r="M8" i="7" s="1"/>
  <c r="N8" i="7" s="1"/>
  <c r="O8" i="7" s="1"/>
  <c r="P8" i="7" s="1"/>
  <c r="S139" i="19"/>
  <c r="T140" i="19" s="1"/>
  <c r="Q179" i="11" l="1"/>
  <c r="Q75" i="12" s="1"/>
  <c r="I42" i="14"/>
  <c r="I44" i="14" s="1"/>
  <c r="I24" i="12"/>
  <c r="I26" i="12" s="1"/>
  <c r="K23" i="12"/>
  <c r="I145" i="11"/>
  <c r="I69" i="12" s="1"/>
  <c r="K139" i="11"/>
  <c r="K150" i="11" s="1"/>
  <c r="K149" i="11" s="1"/>
  <c r="K133" i="11"/>
  <c r="N50" i="11"/>
  <c r="N53" i="11" s="1"/>
  <c r="N54" i="11" s="1"/>
  <c r="M54" i="11"/>
  <c r="L16" i="7"/>
  <c r="M15" i="7"/>
  <c r="N15" i="7" s="1"/>
  <c r="O15" i="7" s="1"/>
  <c r="Q8" i="7"/>
  <c r="R8" i="7" s="1"/>
  <c r="S8" i="7" s="1"/>
  <c r="T8" i="7" s="1"/>
  <c r="U8" i="7" s="1"/>
  <c r="V8" i="7" s="1"/>
  <c r="L23" i="7"/>
  <c r="M23" i="7" s="1"/>
  <c r="N23" i="7" s="1"/>
  <c r="O23" i="7" s="1"/>
  <c r="E83" i="14"/>
  <c r="Q61" i="11"/>
  <c r="P60" i="12"/>
  <c r="U109" i="12"/>
  <c r="H83" i="14"/>
  <c r="G48" i="14"/>
  <c r="H37" i="12"/>
  <c r="H45" i="12" s="1"/>
  <c r="R154" i="11"/>
  <c r="R70" i="12" s="1"/>
  <c r="Q169" i="11"/>
  <c r="P13" i="15"/>
  <c r="P18" i="15" s="1"/>
  <c r="Q171" i="11"/>
  <c r="R158" i="11"/>
  <c r="R71" i="12" s="1"/>
  <c r="E10" i="25"/>
  <c r="E11" i="25" s="1"/>
  <c r="E17" i="25"/>
  <c r="D19" i="25"/>
  <c r="D22" i="25" s="1"/>
  <c r="R179" i="11"/>
  <c r="R75" i="12" s="1"/>
  <c r="H33" i="12"/>
  <c r="F124" i="12"/>
  <c r="F125" i="12" s="1"/>
  <c r="E51" i="12"/>
  <c r="H8" i="14"/>
  <c r="H8" i="21"/>
  <c r="I8" i="21" s="1"/>
  <c r="J8" i="21" s="1"/>
  <c r="K8" i="21" s="1"/>
  <c r="L8" i="21" s="1"/>
  <c r="M8" i="21" s="1"/>
  <c r="N8" i="21" s="1"/>
  <c r="O8" i="21" s="1"/>
  <c r="P8" i="21" s="1"/>
  <c r="N70" i="11"/>
  <c r="K29" i="21"/>
  <c r="L973" i="19"/>
  <c r="L982" i="19" s="1"/>
  <c r="K43" i="14"/>
  <c r="K47" i="14" s="1"/>
  <c r="J51" i="14"/>
  <c r="J55" i="14" s="1"/>
  <c r="J68" i="14"/>
  <c r="J72" i="14" s="1"/>
  <c r="G44" i="12"/>
  <c r="G50" i="14"/>
  <c r="G95" i="14" s="1"/>
  <c r="G97" i="14" s="1"/>
  <c r="G26" i="21"/>
  <c r="F48" i="14"/>
  <c r="F83" i="14"/>
  <c r="F37" i="12"/>
  <c r="F30" i="21" s="1"/>
  <c r="F50" i="14"/>
  <c r="F95" i="14" s="1"/>
  <c r="F97" i="14" s="1"/>
  <c r="F26" i="21"/>
  <c r="H44" i="12"/>
  <c r="H50" i="14"/>
  <c r="H95" i="14" s="1"/>
  <c r="H97" i="14" s="1"/>
  <c r="H26" i="21"/>
  <c r="D33" i="12"/>
  <c r="E50" i="14"/>
  <c r="E26" i="21"/>
  <c r="D84" i="14"/>
  <c r="H82" i="14"/>
  <c r="D70" i="14"/>
  <c r="J88" i="12"/>
  <c r="J22" i="14" s="1"/>
  <c r="K25" i="21"/>
  <c r="I88" i="12"/>
  <c r="I22" i="14" s="1"/>
  <c r="K19" i="21"/>
  <c r="K17" i="21"/>
  <c r="K20" i="21"/>
  <c r="K12" i="21"/>
  <c r="K18" i="21"/>
  <c r="P75" i="12"/>
  <c r="G33" i="12"/>
  <c r="K93" i="12"/>
  <c r="K92" i="12"/>
  <c r="E33" i="12"/>
  <c r="E37" i="12"/>
  <c r="D37" i="12"/>
  <c r="D44" i="12"/>
  <c r="G37" i="12"/>
  <c r="G30" i="21" s="1"/>
  <c r="I42" i="12"/>
  <c r="F33" i="12"/>
  <c r="F44" i="12"/>
  <c r="I16" i="12"/>
  <c r="I168" i="11"/>
  <c r="I172" i="11" s="1"/>
  <c r="P169" i="11"/>
  <c r="P70" i="12"/>
  <c r="P171" i="11"/>
  <c r="P71" i="12"/>
  <c r="O113" i="12"/>
  <c r="D48" i="14"/>
  <c r="I165" i="11"/>
  <c r="K140" i="11"/>
  <c r="K55" i="12" s="1"/>
  <c r="I182" i="11"/>
  <c r="J140" i="11"/>
  <c r="J55" i="12" s="1"/>
  <c r="J150" i="11"/>
  <c r="J149" i="11" s="1"/>
  <c r="J170" i="11" s="1"/>
  <c r="K129" i="11"/>
  <c r="K54" i="12" s="1"/>
  <c r="J45" i="11"/>
  <c r="J106" i="11"/>
  <c r="L24" i="7"/>
  <c r="M24" i="7" s="1"/>
  <c r="N24" i="7" s="1"/>
  <c r="O24" i="7" s="1"/>
  <c r="M16" i="7"/>
  <c r="N16" i="7" s="1"/>
  <c r="O16" i="7" s="1"/>
  <c r="J25" i="7"/>
  <c r="K25" i="7" s="1"/>
  <c r="L25" i="7" s="1"/>
  <c r="M25" i="7" s="1"/>
  <c r="N25" i="7" s="1"/>
  <c r="O25" i="7" s="1"/>
  <c r="K44" i="11"/>
  <c r="K17" i="7"/>
  <c r="L17" i="7" s="1"/>
  <c r="H8" i="12"/>
  <c r="I8" i="11"/>
  <c r="T139" i="19"/>
  <c r="U140" i="19" s="1"/>
  <c r="E30" i="21" l="1"/>
  <c r="E45" i="12"/>
  <c r="R113" i="12"/>
  <c r="Q113" i="12"/>
  <c r="J8" i="11"/>
  <c r="I8" i="14"/>
  <c r="E87" i="14"/>
  <c r="E95" i="14"/>
  <c r="E97" i="14" s="1"/>
  <c r="R61" i="11"/>
  <c r="Q60" i="12"/>
  <c r="H84" i="14"/>
  <c r="I8" i="15"/>
  <c r="V109" i="12"/>
  <c r="H30" i="21"/>
  <c r="H39" i="12"/>
  <c r="E15" i="25"/>
  <c r="H6" i="25"/>
  <c r="E19" i="25"/>
  <c r="F10" i="25"/>
  <c r="F11" i="25" s="1"/>
  <c r="F15" i="25" s="1"/>
  <c r="F17" i="25"/>
  <c r="F19" i="25" s="1"/>
  <c r="S158" i="11"/>
  <c r="S71" i="12" s="1"/>
  <c r="R171" i="11"/>
  <c r="R169" i="11"/>
  <c r="S154" i="11"/>
  <c r="S70" i="12" s="1"/>
  <c r="Q13" i="15"/>
  <c r="Q18" i="15" s="1"/>
  <c r="S179" i="11"/>
  <c r="S75" i="12" s="1"/>
  <c r="I46" i="14"/>
  <c r="I83" i="14" s="1"/>
  <c r="J11" i="15"/>
  <c r="J14" i="15" s="1"/>
  <c r="G124" i="12"/>
  <c r="G125" i="12" s="1"/>
  <c r="F51" i="12"/>
  <c r="E56" i="12"/>
  <c r="F45" i="12"/>
  <c r="F39" i="12"/>
  <c r="F962" i="19" s="1"/>
  <c r="F963" i="19" s="1"/>
  <c r="O50" i="11"/>
  <c r="O70" i="11" s="1"/>
  <c r="G87" i="14"/>
  <c r="G52" i="14"/>
  <c r="D45" i="12"/>
  <c r="D30" i="21"/>
  <c r="K51" i="14"/>
  <c r="K55" i="14" s="1"/>
  <c r="K68" i="14"/>
  <c r="K72" i="14" s="1"/>
  <c r="H87" i="14"/>
  <c r="H92" i="14" s="1" a="1"/>
  <c r="H92" i="14" s="1"/>
  <c r="H52" i="14"/>
  <c r="F87" i="14"/>
  <c r="F52" i="14"/>
  <c r="E52" i="14"/>
  <c r="P113" i="12"/>
  <c r="I90" i="12"/>
  <c r="I23" i="14" s="1"/>
  <c r="K91" i="12"/>
  <c r="J91" i="12"/>
  <c r="I43" i="12"/>
  <c r="I21" i="21"/>
  <c r="D39" i="12"/>
  <c r="D962" i="19" s="1"/>
  <c r="D963" i="19" s="1"/>
  <c r="G39" i="12"/>
  <c r="G962" i="19" s="1"/>
  <c r="G963" i="19" s="1"/>
  <c r="G45" i="12"/>
  <c r="E39" i="12"/>
  <c r="K88" i="12"/>
  <c r="K22" i="14" s="1"/>
  <c r="K170" i="11"/>
  <c r="K165" i="11"/>
  <c r="I183" i="11"/>
  <c r="I190" i="11" s="1"/>
  <c r="I72" i="12"/>
  <c r="K164" i="11"/>
  <c r="J182" i="11"/>
  <c r="J72" i="12" s="1"/>
  <c r="K182" i="11"/>
  <c r="K45" i="11"/>
  <c r="K106" i="11"/>
  <c r="J26" i="7"/>
  <c r="J28" i="7" s="1"/>
  <c r="J20" i="11" s="1"/>
  <c r="J18" i="11" s="1"/>
  <c r="M17" i="7"/>
  <c r="I8" i="12"/>
  <c r="L18" i="7"/>
  <c r="E32" i="14"/>
  <c r="U139" i="19"/>
  <c r="V140" i="19" s="1"/>
  <c r="E962" i="19" l="1"/>
  <c r="E963" i="19" s="1"/>
  <c r="E46" i="12"/>
  <c r="H54" i="14"/>
  <c r="H58" i="14" s="1"/>
  <c r="H962" i="19"/>
  <c r="H963" i="19" s="1"/>
  <c r="K8" i="11"/>
  <c r="J8" i="14"/>
  <c r="E91" i="14"/>
  <c r="E90" i="14" s="1"/>
  <c r="H32" i="21"/>
  <c r="H46" i="12"/>
  <c r="J8" i="15"/>
  <c r="S61" i="11"/>
  <c r="R60" i="12"/>
  <c r="S113" i="12"/>
  <c r="E22" i="25"/>
  <c r="T158" i="11"/>
  <c r="T71" i="12" s="1"/>
  <c r="S171" i="11"/>
  <c r="S169" i="11"/>
  <c r="T154" i="11"/>
  <c r="T70" i="12" s="1"/>
  <c r="T179" i="11"/>
  <c r="T75" i="12" s="1"/>
  <c r="I48" i="14"/>
  <c r="E87" i="12"/>
  <c r="E64" i="12"/>
  <c r="E42" i="21" s="1"/>
  <c r="E12" i="14"/>
  <c r="F56" i="12"/>
  <c r="H124" i="12"/>
  <c r="H125" i="12" s="1"/>
  <c r="G51" i="12"/>
  <c r="L14" i="11"/>
  <c r="L12" i="11" s="1"/>
  <c r="O53" i="11"/>
  <c r="O54" i="11" s="1"/>
  <c r="F32" i="21"/>
  <c r="F54" i="14"/>
  <c r="F56" i="14" s="1"/>
  <c r="F46" i="12"/>
  <c r="E54" i="14"/>
  <c r="E32" i="21"/>
  <c r="D46" i="12"/>
  <c r="D32" i="21"/>
  <c r="G54" i="14"/>
  <c r="G32" i="21"/>
  <c r="I28" i="14"/>
  <c r="I32" i="14" s="1"/>
  <c r="I91" i="14" s="1"/>
  <c r="I90" i="14" s="1"/>
  <c r="E82" i="14"/>
  <c r="E84" i="14" s="1"/>
  <c r="D54" i="14"/>
  <c r="D56" i="14" s="1"/>
  <c r="G46" i="12"/>
  <c r="I73" i="12"/>
  <c r="I114" i="12"/>
  <c r="I184" i="11"/>
  <c r="I191" i="11"/>
  <c r="I185" i="11"/>
  <c r="K183" i="11"/>
  <c r="K72" i="12"/>
  <c r="K28" i="14" s="1"/>
  <c r="K32" i="14" s="1"/>
  <c r="J183" i="11"/>
  <c r="J13" i="12"/>
  <c r="J105" i="11"/>
  <c r="K26" i="7"/>
  <c r="K28" i="7" s="1"/>
  <c r="K20" i="11" s="1"/>
  <c r="K18" i="11" s="1"/>
  <c r="K105" i="11" s="1"/>
  <c r="J169" i="11"/>
  <c r="N17" i="7"/>
  <c r="I76" i="12"/>
  <c r="I77" i="12" s="1"/>
  <c r="I79" i="12"/>
  <c r="J79" i="12" s="1"/>
  <c r="M18" i="7"/>
  <c r="J8" i="12"/>
  <c r="V139" i="19"/>
  <c r="H56" i="14" l="1"/>
  <c r="L8" i="11"/>
  <c r="K8" i="14"/>
  <c r="E92" i="14" a="1"/>
  <c r="E92" i="14" s="1"/>
  <c r="K82" i="14"/>
  <c r="K91" i="14"/>
  <c r="L26" i="11"/>
  <c r="L19" i="12" s="1"/>
  <c r="K8" i="15"/>
  <c r="J25" i="15" s="1"/>
  <c r="T61" i="11"/>
  <c r="S60" i="12"/>
  <c r="T113" i="12"/>
  <c r="U154" i="11"/>
  <c r="U70" i="12" s="1"/>
  <c r="T169" i="11"/>
  <c r="U158" i="11"/>
  <c r="U71" i="12" s="1"/>
  <c r="T171" i="11"/>
  <c r="U179" i="11"/>
  <c r="U75" i="12" s="1"/>
  <c r="L12" i="12"/>
  <c r="L41" i="12" s="1"/>
  <c r="L41" i="11"/>
  <c r="L22" i="12" s="1"/>
  <c r="L36" i="11"/>
  <c r="L21" i="12" s="1"/>
  <c r="L104" i="11"/>
  <c r="L128" i="11"/>
  <c r="L31" i="11"/>
  <c r="L20" i="12" s="1"/>
  <c r="P50" i="11"/>
  <c r="P70" i="11" s="1"/>
  <c r="E16" i="14"/>
  <c r="E19" i="14" s="1"/>
  <c r="E14" i="14"/>
  <c r="E47" i="21"/>
  <c r="E48" i="21"/>
  <c r="E45" i="21"/>
  <c r="E40" i="21"/>
  <c r="E38" i="21"/>
  <c r="E39" i="21"/>
  <c r="E44" i="21"/>
  <c r="E50" i="21"/>
  <c r="E33" i="14"/>
  <c r="E46" i="21"/>
  <c r="E41" i="21"/>
  <c r="E37" i="21"/>
  <c r="G56" i="12"/>
  <c r="G87" i="12" s="1"/>
  <c r="I124" i="12"/>
  <c r="H51" i="12"/>
  <c r="D43" i="15" s="1"/>
  <c r="F12" i="14"/>
  <c r="F64" i="12"/>
  <c r="F87" i="12"/>
  <c r="F58" i="14"/>
  <c r="F62" i="14" s="1"/>
  <c r="F64" i="14" s="1"/>
  <c r="M14" i="11"/>
  <c r="M12" i="11" s="1"/>
  <c r="L196" i="11"/>
  <c r="L197" i="11" s="1"/>
  <c r="L36" i="12" s="1"/>
  <c r="L108" i="11" s="1"/>
  <c r="D58" i="14"/>
  <c r="D60" i="14" s="1"/>
  <c r="I13" i="14"/>
  <c r="I18" i="14" s="1"/>
  <c r="J13" i="21"/>
  <c r="J14" i="21" s="1"/>
  <c r="J76" i="14"/>
  <c r="J78" i="14" s="1"/>
  <c r="H62" i="14"/>
  <c r="H64" i="14" s="1"/>
  <c r="G58" i="14"/>
  <c r="G62" i="14" s="1"/>
  <c r="G64" i="14" s="1"/>
  <c r="G56" i="14"/>
  <c r="E58" i="14"/>
  <c r="E56" i="14"/>
  <c r="J28" i="14"/>
  <c r="J32" i="14" s="1"/>
  <c r="J91" i="14" s="1"/>
  <c r="J90" i="14" s="1"/>
  <c r="J114" i="12"/>
  <c r="I82" i="14"/>
  <c r="I84" i="14" s="1"/>
  <c r="I35" i="12"/>
  <c r="I89" i="14" s="1"/>
  <c r="J14" i="12"/>
  <c r="J24" i="12" s="1"/>
  <c r="J89" i="12"/>
  <c r="J21" i="14" s="1"/>
  <c r="J171" i="11"/>
  <c r="J184" i="11"/>
  <c r="K190" i="11"/>
  <c r="K191" i="11" s="1"/>
  <c r="J190" i="11"/>
  <c r="J191" i="11" s="1"/>
  <c r="K184" i="11"/>
  <c r="K114" i="12"/>
  <c r="K185" i="11"/>
  <c r="J185" i="11"/>
  <c r="J144" i="11"/>
  <c r="J145" i="11" s="1"/>
  <c r="J69" i="12" s="1"/>
  <c r="K13" i="12"/>
  <c r="J165" i="11"/>
  <c r="L26" i="7"/>
  <c r="L28" i="7" s="1"/>
  <c r="L20" i="11" s="1"/>
  <c r="L18" i="11" s="1"/>
  <c r="L105" i="11" s="1"/>
  <c r="O17" i="7"/>
  <c r="J76" i="12"/>
  <c r="K8" i="12"/>
  <c r="K79" i="12"/>
  <c r="L79" i="12" s="1"/>
  <c r="M79" i="12" s="1"/>
  <c r="N18" i="7"/>
  <c r="F32" i="14"/>
  <c r="F91" i="14" s="1"/>
  <c r="L139" i="11" l="1"/>
  <c r="L140" i="11" s="1"/>
  <c r="L55" i="12" s="1"/>
  <c r="L133" i="11"/>
  <c r="L23" i="12"/>
  <c r="M8" i="11"/>
  <c r="L8" i="14"/>
  <c r="D65" i="15"/>
  <c r="D27" i="32"/>
  <c r="L17" i="21"/>
  <c r="F90" i="14"/>
  <c r="F92" i="14" s="1" a="1"/>
  <c r="F92" i="14" s="1"/>
  <c r="G90" i="14"/>
  <c r="G92" i="14" s="1" a="1"/>
  <c r="G92" i="14" s="1"/>
  <c r="K90" i="14"/>
  <c r="I96" i="14"/>
  <c r="K25" i="15"/>
  <c r="N79" i="12"/>
  <c r="O79" i="12" s="1"/>
  <c r="F42" i="21"/>
  <c r="J73" i="12"/>
  <c r="J13" i="14" s="1"/>
  <c r="J18" i="14" s="1"/>
  <c r="J77" i="12"/>
  <c r="L150" i="11"/>
  <c r="L149" i="11" s="1"/>
  <c r="L170" i="11" s="1"/>
  <c r="L92" i="12"/>
  <c r="L12" i="21"/>
  <c r="M973" i="19"/>
  <c r="M982" i="19" s="1"/>
  <c r="L129" i="11"/>
  <c r="L54" i="12" s="1"/>
  <c r="L88" i="12" s="1"/>
  <c r="L22" i="14" s="1"/>
  <c r="P53" i="11"/>
  <c r="P54" i="11" s="1"/>
  <c r="U61" i="11"/>
  <c r="T60" i="12"/>
  <c r="L8" i="15"/>
  <c r="L93" i="12"/>
  <c r="L25" i="21"/>
  <c r="L43" i="14"/>
  <c r="L47" i="14" s="1"/>
  <c r="L51" i="14" s="1"/>
  <c r="L55" i="14" s="1"/>
  <c r="U113" i="12"/>
  <c r="L18" i="21"/>
  <c r="V158" i="11"/>
  <c r="U171" i="11"/>
  <c r="V154" i="11"/>
  <c r="U169" i="11"/>
  <c r="V179" i="11"/>
  <c r="V75" i="12" s="1"/>
  <c r="L19" i="21"/>
  <c r="L20" i="21"/>
  <c r="L44" i="11"/>
  <c r="L106" i="11" s="1"/>
  <c r="F16" i="14"/>
  <c r="F19" i="14" s="1"/>
  <c r="F14" i="14"/>
  <c r="E37" i="14"/>
  <c r="E34" i="14"/>
  <c r="G12" i="14"/>
  <c r="G64" i="12"/>
  <c r="H56" i="12"/>
  <c r="H87" i="12" s="1"/>
  <c r="F39" i="21"/>
  <c r="F45" i="21"/>
  <c r="F33" i="14"/>
  <c r="F37" i="14" s="1"/>
  <c r="F41" i="21"/>
  <c r="F40" i="21"/>
  <c r="F48" i="21"/>
  <c r="F46" i="21"/>
  <c r="F44" i="21"/>
  <c r="F38" i="21"/>
  <c r="F50" i="21"/>
  <c r="F47" i="21"/>
  <c r="F37" i="21"/>
  <c r="D62" i="14"/>
  <c r="D64" i="14" s="1"/>
  <c r="M104" i="11"/>
  <c r="M36" i="11"/>
  <c r="M21" i="12" s="1"/>
  <c r="M196" i="11"/>
  <c r="M197" i="11" s="1"/>
  <c r="M36" i="12" s="1"/>
  <c r="M41" i="11"/>
  <c r="M22" i="12" s="1"/>
  <c r="M12" i="12"/>
  <c r="M41" i="12" s="1"/>
  <c r="M128" i="11"/>
  <c r="M31" i="11"/>
  <c r="M20" i="12" s="1"/>
  <c r="M26" i="11"/>
  <c r="M19" i="12" s="1"/>
  <c r="N14" i="11"/>
  <c r="N12" i="11" s="1"/>
  <c r="L29" i="21"/>
  <c r="J82" i="14"/>
  <c r="J42" i="12"/>
  <c r="J42" i="14"/>
  <c r="J44" i="14" s="1"/>
  <c r="E62" i="14"/>
  <c r="E64" i="14" s="1"/>
  <c r="K13" i="21"/>
  <c r="K14" i="21" s="1"/>
  <c r="K76" i="14"/>
  <c r="F82" i="14"/>
  <c r="F84" i="14" s="1"/>
  <c r="L91" i="12"/>
  <c r="I99" i="12"/>
  <c r="I116" i="12" s="1"/>
  <c r="I28" i="21"/>
  <c r="I109" i="11"/>
  <c r="I110" i="11" s="1"/>
  <c r="K11" i="15"/>
  <c r="K14" i="15" s="1"/>
  <c r="K35" i="12"/>
  <c r="J35" i="12"/>
  <c r="J89" i="14" s="1"/>
  <c r="J96" i="14" s="1"/>
  <c r="J16" i="12"/>
  <c r="L165" i="11"/>
  <c r="K14" i="12"/>
  <c r="K24" i="12" s="1"/>
  <c r="K144" i="11"/>
  <c r="K145" i="11" s="1"/>
  <c r="L13" i="12"/>
  <c r="L76" i="14" s="1"/>
  <c r="M26" i="7"/>
  <c r="M28" i="7" s="1"/>
  <c r="M20" i="11" s="1"/>
  <c r="M18" i="11" s="1"/>
  <c r="O18" i="7"/>
  <c r="L8" i="12"/>
  <c r="K76" i="12"/>
  <c r="K77" i="12" s="1"/>
  <c r="J168" i="11"/>
  <c r="J172" i="11" s="1"/>
  <c r="L45" i="11" l="1"/>
  <c r="L164" i="11"/>
  <c r="M129" i="11"/>
  <c r="M54" i="12" s="1"/>
  <c r="M133" i="11"/>
  <c r="I111" i="11"/>
  <c r="I38" i="12" s="1"/>
  <c r="M23" i="12"/>
  <c r="N8" i="11"/>
  <c r="M8" i="14"/>
  <c r="L182" i="11"/>
  <c r="L72" i="12" s="1"/>
  <c r="L28" i="14" s="1"/>
  <c r="L32" i="14" s="1"/>
  <c r="L91" i="14" s="1"/>
  <c r="L90" i="14" s="1"/>
  <c r="L25" i="15"/>
  <c r="L68" i="14"/>
  <c r="L72" i="14" s="1"/>
  <c r="M8" i="15"/>
  <c r="Q50" i="11"/>
  <c r="Q70" i="11" s="1"/>
  <c r="U60" i="12"/>
  <c r="V61" i="11"/>
  <c r="V60" i="12" s="1"/>
  <c r="V169" i="11"/>
  <c r="V70" i="12"/>
  <c r="V171" i="11"/>
  <c r="V71" i="12"/>
  <c r="V113" i="12"/>
  <c r="M139" i="11"/>
  <c r="M140" i="11" s="1"/>
  <c r="M55" i="12" s="1"/>
  <c r="N973" i="19"/>
  <c r="N982" i="19" s="1"/>
  <c r="M108" i="11"/>
  <c r="K89" i="14"/>
  <c r="K96" i="14" s="1"/>
  <c r="M12" i="21"/>
  <c r="M93" i="12"/>
  <c r="M43" i="14"/>
  <c r="M47" i="14" s="1"/>
  <c r="M51" i="14" s="1"/>
  <c r="M55" i="14" s="1"/>
  <c r="M18" i="21"/>
  <c r="M92" i="12"/>
  <c r="M17" i="21"/>
  <c r="M20" i="21"/>
  <c r="M25" i="21"/>
  <c r="M19" i="21"/>
  <c r="F59" i="14"/>
  <c r="F38" i="14"/>
  <c r="G33" i="14"/>
  <c r="G39" i="21"/>
  <c r="G47" i="21"/>
  <c r="G48" i="21"/>
  <c r="G40" i="21"/>
  <c r="G45" i="21"/>
  <c r="G44" i="21"/>
  <c r="G50" i="21"/>
  <c r="G41" i="21"/>
  <c r="G38" i="21"/>
  <c r="G46" i="21"/>
  <c r="G37" i="21"/>
  <c r="E59" i="14"/>
  <c r="E38" i="14"/>
  <c r="H12" i="14"/>
  <c r="H64" i="12"/>
  <c r="G16" i="14"/>
  <c r="G19" i="14" s="1"/>
  <c r="G14" i="14"/>
  <c r="F34" i="14"/>
  <c r="G42" i="21"/>
  <c r="M164" i="11"/>
  <c r="N31" i="11"/>
  <c r="N20" i="12" s="1"/>
  <c r="N12" i="12"/>
  <c r="N26" i="11"/>
  <c r="N19" i="12" s="1"/>
  <c r="N196" i="11"/>
  <c r="N197" i="11" s="1"/>
  <c r="N36" i="12" s="1"/>
  <c r="N41" i="11"/>
  <c r="N22" i="12" s="1"/>
  <c r="N128" i="11"/>
  <c r="N36" i="11"/>
  <c r="N21" i="12" s="1"/>
  <c r="N104" i="11"/>
  <c r="M44" i="11"/>
  <c r="M106" i="11" s="1"/>
  <c r="M29" i="21"/>
  <c r="O14" i="11"/>
  <c r="O12" i="11" s="1"/>
  <c r="J26" i="12"/>
  <c r="J46" i="14"/>
  <c r="K42" i="12"/>
  <c r="K42" i="14"/>
  <c r="K44" i="14" s="1"/>
  <c r="K109" i="11"/>
  <c r="K28" i="21"/>
  <c r="J109" i="11"/>
  <c r="J28" i="21"/>
  <c r="M88" i="12"/>
  <c r="M22" i="14" s="1"/>
  <c r="J90" i="12"/>
  <c r="J23" i="14" s="1"/>
  <c r="J24" i="14" s="1"/>
  <c r="L14" i="12"/>
  <c r="L24" i="12" s="1"/>
  <c r="L13" i="21"/>
  <c r="L14" i="21" s="1"/>
  <c r="J43" i="12"/>
  <c r="J21" i="21"/>
  <c r="K99" i="12"/>
  <c r="K116" i="12" s="1"/>
  <c r="J99" i="12"/>
  <c r="J116" i="12" s="1"/>
  <c r="K16" i="12"/>
  <c r="L11" i="15"/>
  <c r="K69" i="12"/>
  <c r="K168" i="11"/>
  <c r="M13" i="12"/>
  <c r="M105" i="11"/>
  <c r="L144" i="11"/>
  <c r="L145" i="11" s="1"/>
  <c r="N26" i="7"/>
  <c r="N28" i="7" s="1"/>
  <c r="N20" i="11" s="1"/>
  <c r="N18" i="11" s="1"/>
  <c r="L76" i="12"/>
  <c r="M8" i="12"/>
  <c r="L183" i="11" l="1"/>
  <c r="N41" i="12"/>
  <c r="I112" i="11"/>
  <c r="N129" i="11"/>
  <c r="N54" i="12" s="1"/>
  <c r="N88" i="12" s="1"/>
  <c r="N22" i="14" s="1"/>
  <c r="N133" i="11"/>
  <c r="K172" i="11"/>
  <c r="I104" i="12"/>
  <c r="I31" i="21"/>
  <c r="J15" i="15"/>
  <c r="J16" i="15" s="1"/>
  <c r="J19" i="15" s="1"/>
  <c r="M150" i="11"/>
  <c r="O8" i="11"/>
  <c r="N8" i="14"/>
  <c r="N23" i="12"/>
  <c r="N108" i="11"/>
  <c r="O973" i="19"/>
  <c r="O982" i="19" s="1"/>
  <c r="M25" i="15"/>
  <c r="N25" i="15" s="1"/>
  <c r="O25" i="15" s="1"/>
  <c r="P25" i="15" s="1"/>
  <c r="Q25" i="15" s="1"/>
  <c r="R25" i="15" s="1"/>
  <c r="N8" i="15"/>
  <c r="N139" i="11"/>
  <c r="N140" i="11" s="1"/>
  <c r="M76" i="14"/>
  <c r="M68" i="14"/>
  <c r="M72" i="14" s="1"/>
  <c r="H40" i="21"/>
  <c r="H50" i="21"/>
  <c r="H38" i="21"/>
  <c r="H46" i="21"/>
  <c r="H47" i="21"/>
  <c r="H39" i="21"/>
  <c r="H33" i="14"/>
  <c r="H44" i="21"/>
  <c r="H41" i="21"/>
  <c r="H48" i="21"/>
  <c r="H45" i="21"/>
  <c r="H37" i="21"/>
  <c r="H16" i="14"/>
  <c r="H19" i="14" s="1"/>
  <c r="H14" i="14"/>
  <c r="G34" i="14"/>
  <c r="G37" i="14"/>
  <c r="E69" i="14"/>
  <c r="E60" i="14"/>
  <c r="N12" i="21"/>
  <c r="N43" i="14"/>
  <c r="N47" i="14" s="1"/>
  <c r="N51" i="14" s="1"/>
  <c r="N55" i="14" s="1"/>
  <c r="N93" i="12"/>
  <c r="N19" i="21"/>
  <c r="N17" i="21"/>
  <c r="H42" i="21"/>
  <c r="F69" i="14"/>
  <c r="F60" i="14"/>
  <c r="N18" i="21"/>
  <c r="M45" i="11"/>
  <c r="N92" i="12"/>
  <c r="N20" i="21"/>
  <c r="N29" i="21"/>
  <c r="N25" i="21"/>
  <c r="P12" i="11"/>
  <c r="O128" i="11"/>
  <c r="O31" i="11"/>
  <c r="O20" i="12" s="1"/>
  <c r="O104" i="11"/>
  <c r="O12" i="12"/>
  <c r="O36" i="11"/>
  <c r="O21" i="12" s="1"/>
  <c r="O41" i="11"/>
  <c r="O22" i="12" s="1"/>
  <c r="O26" i="11"/>
  <c r="O19" i="12" s="1"/>
  <c r="O196" i="11"/>
  <c r="O197" i="11" s="1"/>
  <c r="O36" i="12" s="1"/>
  <c r="O108" i="11" s="1"/>
  <c r="N44" i="11"/>
  <c r="N106" i="11" s="1"/>
  <c r="L42" i="12"/>
  <c r="L42" i="14"/>
  <c r="L44" i="14" s="1"/>
  <c r="J48" i="14"/>
  <c r="J83" i="14"/>
  <c r="J84" i="14" s="1"/>
  <c r="K21" i="21"/>
  <c r="K46" i="14"/>
  <c r="L82" i="14"/>
  <c r="M91" i="12"/>
  <c r="L114" i="12"/>
  <c r="M144" i="11"/>
  <c r="M145" i="11" s="1"/>
  <c r="M69" i="12" s="1"/>
  <c r="M13" i="21"/>
  <c r="M14" i="21" s="1"/>
  <c r="K73" i="12"/>
  <c r="K13" i="14" s="1"/>
  <c r="K18" i="14" s="1"/>
  <c r="K90" i="12"/>
  <c r="K23" i="14" s="1"/>
  <c r="K43" i="12"/>
  <c r="M76" i="12"/>
  <c r="L77" i="12"/>
  <c r="L184" i="11"/>
  <c r="L190" i="11"/>
  <c r="L191" i="11" s="1"/>
  <c r="L185" i="11"/>
  <c r="M165" i="11"/>
  <c r="K26" i="12"/>
  <c r="M14" i="12"/>
  <c r="M24" i="12" s="1"/>
  <c r="M11" i="15"/>
  <c r="L69" i="12"/>
  <c r="L168" i="11"/>
  <c r="L172" i="11" s="1"/>
  <c r="L16" i="12"/>
  <c r="N13" i="12"/>
  <c r="N105" i="11"/>
  <c r="N8" i="12"/>
  <c r="O26" i="7"/>
  <c r="O28" i="7" s="1"/>
  <c r="O20" i="11" s="1"/>
  <c r="O18" i="11" s="1"/>
  <c r="O105" i="11" s="1"/>
  <c r="N164" i="11" l="1"/>
  <c r="O25" i="21"/>
  <c r="O41" i="12"/>
  <c r="M149" i="11"/>
  <c r="M182" i="11" s="1"/>
  <c r="M72" i="12" s="1"/>
  <c r="O139" i="11"/>
  <c r="O140" i="11" s="1"/>
  <c r="O55" i="12" s="1"/>
  <c r="O133" i="11"/>
  <c r="O23" i="12"/>
  <c r="P8" i="11"/>
  <c r="O8" i="14"/>
  <c r="N76" i="14"/>
  <c r="S25" i="15"/>
  <c r="N150" i="11"/>
  <c r="N149" i="11" s="1"/>
  <c r="O8" i="15"/>
  <c r="P196" i="11"/>
  <c r="P197" i="11" s="1"/>
  <c r="P36" i="12" s="1"/>
  <c r="P108" i="11" s="1"/>
  <c r="Q12" i="11"/>
  <c r="O129" i="11"/>
  <c r="O54" i="12" s="1"/>
  <c r="N45" i="11"/>
  <c r="N68" i="14"/>
  <c r="N72" i="14" s="1"/>
  <c r="M42" i="14"/>
  <c r="M44" i="14" s="1"/>
  <c r="H37" i="14"/>
  <c r="H34" i="14"/>
  <c r="F70" i="14"/>
  <c r="F73" i="14"/>
  <c r="F74" i="14" s="1"/>
  <c r="E70" i="14"/>
  <c r="E73" i="14"/>
  <c r="E74" i="14" s="1"/>
  <c r="G59" i="14"/>
  <c r="G38" i="14"/>
  <c r="O12" i="21"/>
  <c r="O20" i="21"/>
  <c r="P973" i="19"/>
  <c r="P982" i="19" s="1"/>
  <c r="P31" i="11"/>
  <c r="P20" i="12" s="1"/>
  <c r="P41" i="11"/>
  <c r="P22" i="12" s="1"/>
  <c r="P128" i="11"/>
  <c r="P129" i="11" s="1"/>
  <c r="P26" i="11"/>
  <c r="P19" i="12" s="1"/>
  <c r="P36" i="11"/>
  <c r="P21" i="12" s="1"/>
  <c r="O92" i="12"/>
  <c r="O19" i="21"/>
  <c r="O43" i="14"/>
  <c r="O47" i="14" s="1"/>
  <c r="O68" i="14" s="1"/>
  <c r="O17" i="21"/>
  <c r="P18" i="11"/>
  <c r="P105" i="11" s="1"/>
  <c r="P12" i="12"/>
  <c r="P41" i="12" s="1"/>
  <c r="O93" i="12"/>
  <c r="O29" i="21"/>
  <c r="O18" i="21"/>
  <c r="O44" i="11"/>
  <c r="O45" i="11" s="1"/>
  <c r="P104" i="11"/>
  <c r="M168" i="11"/>
  <c r="L21" i="21"/>
  <c r="L46" i="14"/>
  <c r="K83" i="14"/>
  <c r="K84" i="14" s="1"/>
  <c r="K48" i="14"/>
  <c r="M90" i="12"/>
  <c r="M23" i="14" s="1"/>
  <c r="N144" i="11"/>
  <c r="N145" i="11" s="1"/>
  <c r="N69" i="12" s="1"/>
  <c r="N13" i="21"/>
  <c r="N14" i="21" s="1"/>
  <c r="L35" i="12"/>
  <c r="L109" i="11" s="1"/>
  <c r="L26" i="12"/>
  <c r="L43" i="12"/>
  <c r="L73" i="12"/>
  <c r="L13" i="14" s="1"/>
  <c r="L18" i="14" s="1"/>
  <c r="L90" i="12"/>
  <c r="L23" i="14" s="1"/>
  <c r="N11" i="15"/>
  <c r="M42" i="12"/>
  <c r="M77" i="12"/>
  <c r="N76" i="12"/>
  <c r="M183" i="11"/>
  <c r="N165" i="11"/>
  <c r="N55" i="12"/>
  <c r="M16" i="12"/>
  <c r="N14" i="12"/>
  <c r="N24" i="12" s="1"/>
  <c r="O8" i="12"/>
  <c r="O13" i="12"/>
  <c r="O76" i="14" s="1"/>
  <c r="O150" i="11" l="1"/>
  <c r="O149" i="11" s="1"/>
  <c r="P54" i="12"/>
  <c r="P133" i="11"/>
  <c r="P134" i="11" s="1"/>
  <c r="N170" i="11"/>
  <c r="N182" i="11"/>
  <c r="P23" i="12"/>
  <c r="M170" i="11"/>
  <c r="M172" i="11" s="1"/>
  <c r="O170" i="11"/>
  <c r="O182" i="11"/>
  <c r="P149" i="11"/>
  <c r="Q149" i="11" s="1"/>
  <c r="Q8" i="11"/>
  <c r="P8" i="14"/>
  <c r="N42" i="14"/>
  <c r="N44" i="14" s="1"/>
  <c r="N183" i="11"/>
  <c r="N185" i="11" s="1"/>
  <c r="T25" i="15"/>
  <c r="Q12" i="12"/>
  <c r="M28" i="14"/>
  <c r="M32" i="14" s="1"/>
  <c r="N77" i="12"/>
  <c r="O164" i="11"/>
  <c r="Q8" i="15"/>
  <c r="P8" i="15"/>
  <c r="O72" i="14"/>
  <c r="P43" i="14"/>
  <c r="P47" i="14" s="1"/>
  <c r="P51" i="14" s="1"/>
  <c r="P55" i="14" s="1"/>
  <c r="Q196" i="11"/>
  <c r="Q197" i="11" s="1"/>
  <c r="Q36" i="12" s="1"/>
  <c r="Q128" i="11"/>
  <c r="R12" i="11"/>
  <c r="Q104" i="11"/>
  <c r="Q41" i="11"/>
  <c r="Q22" i="12" s="1"/>
  <c r="Q36" i="11"/>
  <c r="Q21" i="12" s="1"/>
  <c r="Q31" i="11"/>
  <c r="Q20" i="12" s="1"/>
  <c r="Q26" i="11"/>
  <c r="Q19" i="12" s="1"/>
  <c r="Q18" i="11"/>
  <c r="O51" i="14"/>
  <c r="O55" i="14" s="1"/>
  <c r="P13" i="12"/>
  <c r="P76" i="14" s="1"/>
  <c r="Q973" i="19"/>
  <c r="Q982" i="19" s="1"/>
  <c r="M46" i="14"/>
  <c r="M83" i="14" s="1"/>
  <c r="G69" i="14"/>
  <c r="G60" i="14"/>
  <c r="H59" i="14"/>
  <c r="H38" i="14"/>
  <c r="P164" i="11"/>
  <c r="P44" i="11"/>
  <c r="P45" i="11" s="1"/>
  <c r="P18" i="21"/>
  <c r="P139" i="11"/>
  <c r="P140" i="11" s="1"/>
  <c r="P55" i="12" s="1"/>
  <c r="P29" i="21"/>
  <c r="P92" i="12"/>
  <c r="P12" i="21"/>
  <c r="P93" i="12"/>
  <c r="P19" i="21"/>
  <c r="P25" i="21"/>
  <c r="O106" i="11"/>
  <c r="P17" i="21"/>
  <c r="P20" i="21"/>
  <c r="L99" i="12"/>
  <c r="L116" i="12" s="1"/>
  <c r="L83" i="14"/>
  <c r="L84" i="14" s="1"/>
  <c r="L48" i="14"/>
  <c r="L28" i="21"/>
  <c r="L89" i="14"/>
  <c r="N90" i="12"/>
  <c r="N23" i="14" s="1"/>
  <c r="P88" i="12"/>
  <c r="P22" i="14" s="1"/>
  <c r="O88" i="12"/>
  <c r="O22" i="14" s="1"/>
  <c r="N91" i="12"/>
  <c r="O91" i="12"/>
  <c r="M43" i="12"/>
  <c r="M21" i="21"/>
  <c r="O144" i="11"/>
  <c r="O145" i="11" s="1"/>
  <c r="O13" i="21"/>
  <c r="O14" i="21" s="1"/>
  <c r="N168" i="11"/>
  <c r="M26" i="12"/>
  <c r="N42" i="12"/>
  <c r="O76" i="12"/>
  <c r="O77" i="12" s="1"/>
  <c r="M114" i="12"/>
  <c r="M73" i="12"/>
  <c r="M184" i="11"/>
  <c r="M190" i="11"/>
  <c r="M191" i="11" s="1"/>
  <c r="M185" i="11"/>
  <c r="O165" i="11"/>
  <c r="N16" i="12"/>
  <c r="O14" i="12"/>
  <c r="P8" i="12"/>
  <c r="Q92" i="12" l="1"/>
  <c r="Q41" i="12"/>
  <c r="Q133" i="11"/>
  <c r="Q134" i="11" s="1"/>
  <c r="Q53" i="12" s="1"/>
  <c r="Q129" i="11"/>
  <c r="N172" i="11"/>
  <c r="P182" i="11"/>
  <c r="N72" i="12"/>
  <c r="N28" i="14" s="1"/>
  <c r="N32" i="14" s="1"/>
  <c r="O42" i="14"/>
  <c r="O44" i="14" s="1"/>
  <c r="O24" i="12"/>
  <c r="Q23" i="12"/>
  <c r="R8" i="11"/>
  <c r="Q8" i="14"/>
  <c r="R8" i="15" s="1"/>
  <c r="M91" i="14"/>
  <c r="M90" i="14" s="1"/>
  <c r="L96" i="14"/>
  <c r="Q18" i="21"/>
  <c r="Q20" i="21"/>
  <c r="Q17" i="21"/>
  <c r="R973" i="19"/>
  <c r="R982" i="19" s="1"/>
  <c r="Q25" i="21"/>
  <c r="Q43" i="14"/>
  <c r="Q47" i="14" s="1"/>
  <c r="Q12" i="21"/>
  <c r="Q108" i="11"/>
  <c r="Q29" i="21"/>
  <c r="Q19" i="21"/>
  <c r="M82" i="14"/>
  <c r="M84" i="14" s="1"/>
  <c r="U25" i="15"/>
  <c r="Q93" i="12"/>
  <c r="R12" i="12"/>
  <c r="R41" i="12" s="1"/>
  <c r="O11" i="15"/>
  <c r="M13" i="14"/>
  <c r="M18" i="14" s="1"/>
  <c r="P68" i="14"/>
  <c r="Q105" i="11"/>
  <c r="Q13" i="12"/>
  <c r="P14" i="12"/>
  <c r="P24" i="12" s="1"/>
  <c r="Q8" i="12"/>
  <c r="Q8" i="21" s="1"/>
  <c r="R196" i="11"/>
  <c r="R197" i="11" s="1"/>
  <c r="R36" i="12" s="1"/>
  <c r="R108" i="11" s="1"/>
  <c r="R128" i="11"/>
  <c r="R133" i="11" s="1"/>
  <c r="R134" i="11" s="1"/>
  <c r="S12" i="11"/>
  <c r="R41" i="11"/>
  <c r="R22" i="12" s="1"/>
  <c r="R36" i="11"/>
  <c r="R21" i="12" s="1"/>
  <c r="R31" i="11"/>
  <c r="R20" i="12" s="1"/>
  <c r="R26" i="11"/>
  <c r="R19" i="12" s="1"/>
  <c r="R18" i="11"/>
  <c r="R104" i="11"/>
  <c r="Q139" i="11"/>
  <c r="Q44" i="11"/>
  <c r="P144" i="11"/>
  <c r="P145" i="11" s="1"/>
  <c r="M48" i="14"/>
  <c r="P13" i="21"/>
  <c r="P14" i="21" s="1"/>
  <c r="P106" i="11"/>
  <c r="H69" i="14"/>
  <c r="H60" i="14"/>
  <c r="G73" i="14"/>
  <c r="G74" i="14" s="1"/>
  <c r="G70" i="14"/>
  <c r="P150" i="11"/>
  <c r="P170" i="11" s="1"/>
  <c r="N21" i="21"/>
  <c r="N46" i="14"/>
  <c r="P91" i="12"/>
  <c r="O168" i="11"/>
  <c r="O172" i="11" s="1"/>
  <c r="O69" i="12"/>
  <c r="M35" i="12"/>
  <c r="P11" i="15"/>
  <c r="O42" i="12"/>
  <c r="N26" i="12"/>
  <c r="N43" i="12"/>
  <c r="P76" i="12"/>
  <c r="Q76" i="12" s="1"/>
  <c r="R76" i="12" s="1"/>
  <c r="R77" i="12" s="1"/>
  <c r="P165" i="11"/>
  <c r="N184" i="11"/>
  <c r="N190" i="11"/>
  <c r="N191" i="11" s="1"/>
  <c r="O183" i="11"/>
  <c r="O72" i="12"/>
  <c r="O114" i="12" s="1"/>
  <c r="O16" i="12"/>
  <c r="Q136" i="11" l="1"/>
  <c r="Q163" i="11"/>
  <c r="N73" i="12"/>
  <c r="N114" i="12"/>
  <c r="Q17" i="14"/>
  <c r="Q77" i="14"/>
  <c r="R136" i="11"/>
  <c r="R163" i="11"/>
  <c r="R53" i="12"/>
  <c r="R149" i="11"/>
  <c r="S149" i="11" s="1"/>
  <c r="T149" i="11" s="1"/>
  <c r="U149" i="11" s="1"/>
  <c r="V149" i="11" s="1"/>
  <c r="Q182" i="11"/>
  <c r="O28" i="14"/>
  <c r="O32" i="14" s="1"/>
  <c r="O91" i="14" s="1"/>
  <c r="S8" i="11"/>
  <c r="R8" i="14"/>
  <c r="S8" i="15" s="1"/>
  <c r="R23" i="12"/>
  <c r="R20" i="21"/>
  <c r="N82" i="14"/>
  <c r="N91" i="14"/>
  <c r="R93" i="12"/>
  <c r="R43" i="14"/>
  <c r="R47" i="14" s="1"/>
  <c r="R12" i="21"/>
  <c r="S973" i="19"/>
  <c r="S982" i="19" s="1"/>
  <c r="R25" i="21"/>
  <c r="Q51" i="14"/>
  <c r="Q55" i="14" s="1"/>
  <c r="Q68" i="14"/>
  <c r="Q72" i="14" s="1"/>
  <c r="R17" i="21"/>
  <c r="R18" i="21"/>
  <c r="R19" i="21"/>
  <c r="R29" i="21"/>
  <c r="Q13" i="21"/>
  <c r="Q14" i="21" s="1"/>
  <c r="Q76" i="14"/>
  <c r="V25" i="15"/>
  <c r="P72" i="14"/>
  <c r="R92" i="12"/>
  <c r="S12" i="12"/>
  <c r="N13" i="14"/>
  <c r="N18" i="14" s="1"/>
  <c r="P16" i="12"/>
  <c r="Q164" i="11"/>
  <c r="Q54" i="12"/>
  <c r="Q88" i="12" s="1"/>
  <c r="Q22" i="14" s="1"/>
  <c r="P42" i="14"/>
  <c r="P44" i="14" s="1"/>
  <c r="P42" i="12"/>
  <c r="Q144" i="11"/>
  <c r="Q145" i="11" s="1"/>
  <c r="Q69" i="12" s="1"/>
  <c r="Q89" i="12"/>
  <c r="Q21" i="14" s="1"/>
  <c r="Q14" i="12"/>
  <c r="Q24" i="12" s="1"/>
  <c r="Q11" i="15"/>
  <c r="R105" i="11"/>
  <c r="R13" i="12"/>
  <c r="R8" i="12"/>
  <c r="S76" i="12"/>
  <c r="Q77" i="12"/>
  <c r="P168" i="11"/>
  <c r="P172" i="11" s="1"/>
  <c r="P69" i="12"/>
  <c r="P90" i="12" s="1"/>
  <c r="P23" i="14" s="1"/>
  <c r="S104" i="11"/>
  <c r="S196" i="11"/>
  <c r="S197" i="11" s="1"/>
  <c r="S36" i="12" s="1"/>
  <c r="S128" i="11"/>
  <c r="S133" i="11" s="1"/>
  <c r="S134" i="11" s="1"/>
  <c r="S41" i="11"/>
  <c r="S22" i="12" s="1"/>
  <c r="S36" i="11"/>
  <c r="S21" i="12" s="1"/>
  <c r="S31" i="11"/>
  <c r="S20" i="12" s="1"/>
  <c r="S26" i="11"/>
  <c r="S19" i="12" s="1"/>
  <c r="S18" i="11"/>
  <c r="T12" i="11"/>
  <c r="Q150" i="11"/>
  <c r="Q140" i="11"/>
  <c r="R139" i="11"/>
  <c r="R129" i="11"/>
  <c r="Q45" i="11"/>
  <c r="Q106" i="11"/>
  <c r="R44" i="11"/>
  <c r="P72" i="12"/>
  <c r="P114" i="12" s="1"/>
  <c r="H70" i="14"/>
  <c r="H73" i="14"/>
  <c r="H74" i="14" s="1"/>
  <c r="N48" i="14"/>
  <c r="N83" i="14"/>
  <c r="O26" i="12"/>
  <c r="O46" i="14"/>
  <c r="M28" i="21"/>
  <c r="M89" i="14"/>
  <c r="M99" i="12"/>
  <c r="M116" i="12" s="1"/>
  <c r="O90" i="12"/>
  <c r="O23" i="14" s="1"/>
  <c r="M109" i="11"/>
  <c r="M110" i="11" s="1"/>
  <c r="O43" i="12"/>
  <c r="O21" i="21"/>
  <c r="N35" i="12"/>
  <c r="P77" i="12"/>
  <c r="O73" i="12"/>
  <c r="O13" i="14" s="1"/>
  <c r="O18" i="14" s="1"/>
  <c r="O185" i="11"/>
  <c r="O190" i="11"/>
  <c r="O191" i="11" s="1"/>
  <c r="O184" i="11"/>
  <c r="S41" i="12" l="1"/>
  <c r="M111" i="11"/>
  <c r="M112" i="11" s="1"/>
  <c r="S23" i="12"/>
  <c r="Q78" i="14"/>
  <c r="S136" i="11"/>
  <c r="S163" i="11"/>
  <c r="S53" i="12"/>
  <c r="O82" i="14"/>
  <c r="R77" i="14"/>
  <c r="R17" i="14"/>
  <c r="O90" i="14"/>
  <c r="T8" i="11"/>
  <c r="S8" i="14"/>
  <c r="T8" i="15" s="1"/>
  <c r="N84" i="14"/>
  <c r="N90" i="14"/>
  <c r="M96" i="14"/>
  <c r="S17" i="21"/>
  <c r="N89" i="14"/>
  <c r="N96" i="14" s="1"/>
  <c r="S18" i="21"/>
  <c r="S108" i="11"/>
  <c r="S19" i="21"/>
  <c r="S20" i="21"/>
  <c r="Q42" i="14"/>
  <c r="Q44" i="14" s="1"/>
  <c r="S29" i="21"/>
  <c r="R144" i="11"/>
  <c r="R145" i="11" s="1"/>
  <c r="R69" i="12" s="1"/>
  <c r="R90" i="12" s="1"/>
  <c r="R23" i="14" s="1"/>
  <c r="R76" i="14"/>
  <c r="R78" i="14" s="1"/>
  <c r="R13" i="21"/>
  <c r="R14" i="21" s="1"/>
  <c r="R51" i="14"/>
  <c r="R55" i="14" s="1"/>
  <c r="R68" i="14"/>
  <c r="R72" i="14" s="1"/>
  <c r="S8" i="12"/>
  <c r="R8" i="21"/>
  <c r="S92" i="12"/>
  <c r="T973" i="19"/>
  <c r="T982" i="19" s="1"/>
  <c r="S12" i="21"/>
  <c r="S43" i="14"/>
  <c r="S47" i="14" s="1"/>
  <c r="S25" i="21"/>
  <c r="P183" i="11"/>
  <c r="P190" i="11" s="1"/>
  <c r="P191" i="11" s="1"/>
  <c r="W25" i="15"/>
  <c r="T12" i="12"/>
  <c r="T41" i="12" s="1"/>
  <c r="S93" i="12"/>
  <c r="P26" i="12"/>
  <c r="P46" i="14"/>
  <c r="P48" i="14" s="1"/>
  <c r="P21" i="21"/>
  <c r="P43" i="12"/>
  <c r="Q168" i="11"/>
  <c r="R89" i="12"/>
  <c r="R21" i="14" s="1"/>
  <c r="R14" i="12"/>
  <c r="Q42" i="12"/>
  <c r="Q16" i="12"/>
  <c r="Q165" i="11"/>
  <c r="Q55" i="12"/>
  <c r="Q91" i="12" s="1"/>
  <c r="R164" i="11"/>
  <c r="R54" i="12"/>
  <c r="R88" i="12" s="1"/>
  <c r="R22" i="14" s="1"/>
  <c r="S105" i="11"/>
  <c r="S13" i="12"/>
  <c r="Q90" i="12"/>
  <c r="Q23" i="14" s="1"/>
  <c r="Q24" i="14" s="1"/>
  <c r="P28" i="14"/>
  <c r="P32" i="14" s="1"/>
  <c r="T76" i="12"/>
  <c r="S77" i="12"/>
  <c r="Q170" i="11"/>
  <c r="T104" i="11"/>
  <c r="T196" i="11"/>
  <c r="T197" i="11" s="1"/>
  <c r="T36" i="12" s="1"/>
  <c r="T108" i="11" s="1"/>
  <c r="T128" i="11"/>
  <c r="T133" i="11" s="1"/>
  <c r="T134" i="11" s="1"/>
  <c r="U12" i="11"/>
  <c r="T31" i="11"/>
  <c r="T20" i="12" s="1"/>
  <c r="T41" i="11"/>
  <c r="T18" i="11"/>
  <c r="T26" i="11"/>
  <c r="T19" i="12" s="1"/>
  <c r="T36" i="11"/>
  <c r="T21" i="12" s="1"/>
  <c r="S44" i="11"/>
  <c r="R106" i="11"/>
  <c r="R45" i="11"/>
  <c r="R150" i="11"/>
  <c r="R140" i="11"/>
  <c r="S129" i="11"/>
  <c r="S139" i="11"/>
  <c r="O48" i="14"/>
  <c r="O83" i="14"/>
  <c r="N109" i="11"/>
  <c r="N28" i="21"/>
  <c r="N99" i="12"/>
  <c r="N116" i="12" s="1"/>
  <c r="O35" i="12"/>
  <c r="O89" i="14" s="1"/>
  <c r="O96" i="14" s="1"/>
  <c r="P73" i="12"/>
  <c r="P13" i="14" s="1"/>
  <c r="P18" i="14" s="1"/>
  <c r="L134" i="11"/>
  <c r="L53" i="12" s="1"/>
  <c r="K134" i="11"/>
  <c r="M134" i="11"/>
  <c r="M53" i="12" s="1"/>
  <c r="O134" i="11"/>
  <c r="O53" i="12" s="1"/>
  <c r="N134" i="11"/>
  <c r="N53" i="12" s="1"/>
  <c r="O84" i="14" l="1"/>
  <c r="S17" i="14"/>
  <c r="S77" i="14"/>
  <c r="T136" i="11"/>
  <c r="T53" i="12"/>
  <c r="T163" i="11"/>
  <c r="T17" i="21"/>
  <c r="R42" i="14"/>
  <c r="R44" i="14" s="1"/>
  <c r="R24" i="12"/>
  <c r="U8" i="11"/>
  <c r="T8" i="14"/>
  <c r="U8" i="15" s="1"/>
  <c r="R168" i="11"/>
  <c r="P82" i="14"/>
  <c r="P91" i="14"/>
  <c r="Q72" i="12"/>
  <c r="Q114" i="12" s="1"/>
  <c r="T93" i="12"/>
  <c r="U973" i="19"/>
  <c r="U982" i="19" s="1"/>
  <c r="T43" i="14"/>
  <c r="T47" i="14" s="1"/>
  <c r="T12" i="21"/>
  <c r="T25" i="21"/>
  <c r="T29" i="21"/>
  <c r="S144" i="11"/>
  <c r="S145" i="11" s="1"/>
  <c r="S69" i="12" s="1"/>
  <c r="S90" i="12" s="1"/>
  <c r="S23" i="14" s="1"/>
  <c r="S76" i="14"/>
  <c r="S78" i="14" s="1"/>
  <c r="S13" i="21"/>
  <c r="S14" i="21" s="1"/>
  <c r="R11" i="15"/>
  <c r="Q21" i="21"/>
  <c r="Q46" i="14"/>
  <c r="T8" i="12"/>
  <c r="S8" i="21"/>
  <c r="R24" i="14"/>
  <c r="P184" i="11"/>
  <c r="T19" i="21"/>
  <c r="T18" i="21"/>
  <c r="S68" i="14"/>
  <c r="S72" i="14" s="1"/>
  <c r="S51" i="14"/>
  <c r="S55" i="14" s="1"/>
  <c r="P185" i="11"/>
  <c r="T92" i="12"/>
  <c r="U12" i="12"/>
  <c r="U41" i="12" s="1"/>
  <c r="P83" i="14"/>
  <c r="Q172" i="11"/>
  <c r="T105" i="11"/>
  <c r="T13" i="12"/>
  <c r="T44" i="11"/>
  <c r="T106" i="11" s="1"/>
  <c r="T22" i="12"/>
  <c r="T20" i="21" s="1"/>
  <c r="R16" i="12"/>
  <c r="R42" i="12"/>
  <c r="S164" i="11"/>
  <c r="S54" i="12"/>
  <c r="S88" i="12" s="1"/>
  <c r="S22" i="14" s="1"/>
  <c r="S89" i="12"/>
  <c r="S21" i="14" s="1"/>
  <c r="S14" i="12"/>
  <c r="S24" i="12" s="1"/>
  <c r="Q26" i="12"/>
  <c r="Q43" i="12"/>
  <c r="R165" i="11"/>
  <c r="R166" i="11" s="1"/>
  <c r="R55" i="12"/>
  <c r="R91" i="12" s="1"/>
  <c r="U76" i="12"/>
  <c r="T77" i="12"/>
  <c r="R170" i="11"/>
  <c r="R182" i="11"/>
  <c r="S106" i="11"/>
  <c r="S45" i="11"/>
  <c r="T129" i="11"/>
  <c r="T139" i="11"/>
  <c r="S140" i="11"/>
  <c r="S150" i="11"/>
  <c r="P53" i="12"/>
  <c r="P17" i="14" s="1"/>
  <c r="Q166" i="11"/>
  <c r="U196" i="11"/>
  <c r="U197" i="11" s="1"/>
  <c r="U36" i="12" s="1"/>
  <c r="U108" i="11" s="1"/>
  <c r="U128" i="11"/>
  <c r="U133" i="11" s="1"/>
  <c r="U134" i="11" s="1"/>
  <c r="U104" i="11"/>
  <c r="V12" i="11"/>
  <c r="U41" i="11"/>
  <c r="U22" i="12" s="1"/>
  <c r="U36" i="11"/>
  <c r="U21" i="12" s="1"/>
  <c r="U31" i="11"/>
  <c r="U20" i="12" s="1"/>
  <c r="U26" i="11"/>
  <c r="U19" i="12" s="1"/>
  <c r="U18" i="11"/>
  <c r="Q183" i="11"/>
  <c r="O89" i="12"/>
  <c r="O21" i="14" s="1"/>
  <c r="O24" i="14" s="1"/>
  <c r="O77" i="14"/>
  <c r="O78" i="14" s="1"/>
  <c r="O17" i="14"/>
  <c r="M89" i="12"/>
  <c r="M21" i="14" s="1"/>
  <c r="M24" i="14" s="1"/>
  <c r="M17" i="14"/>
  <c r="M77" i="14"/>
  <c r="M78" i="14" s="1"/>
  <c r="N89" i="12"/>
  <c r="N21" i="14" s="1"/>
  <c r="N24" i="14" s="1"/>
  <c r="N77" i="14"/>
  <c r="N78" i="14" s="1"/>
  <c r="N17" i="14"/>
  <c r="L89" i="12"/>
  <c r="L21" i="14" s="1"/>
  <c r="L24" i="14" s="1"/>
  <c r="L77" i="14"/>
  <c r="L78" i="14" s="1"/>
  <c r="L17" i="14"/>
  <c r="O109" i="11"/>
  <c r="O28" i="21"/>
  <c r="O99" i="12"/>
  <c r="O116" i="12" s="1"/>
  <c r="P35" i="12"/>
  <c r="K163" i="11"/>
  <c r="K166" i="11" s="1"/>
  <c r="K53" i="12"/>
  <c r="L163" i="11"/>
  <c r="L166" i="11" s="1"/>
  <c r="L175" i="11" s="1"/>
  <c r="M163" i="11"/>
  <c r="M166" i="11" s="1"/>
  <c r="M175" i="11" s="1"/>
  <c r="I163" i="11"/>
  <c r="J163" i="11"/>
  <c r="N163" i="11"/>
  <c r="N166" i="11" s="1"/>
  <c r="N175" i="11" s="1"/>
  <c r="O163" i="11"/>
  <c r="O166" i="11" s="1"/>
  <c r="O175" i="11" s="1"/>
  <c r="P163" i="11"/>
  <c r="P166" i="11" s="1"/>
  <c r="P175" i="11" s="1"/>
  <c r="P136" i="11"/>
  <c r="M136" i="11"/>
  <c r="N136" i="11"/>
  <c r="L136" i="11"/>
  <c r="O136" i="11"/>
  <c r="I53" i="12"/>
  <c r="J136" i="11"/>
  <c r="K136" i="11"/>
  <c r="I136" i="11"/>
  <c r="U18" i="21" l="1"/>
  <c r="K174" i="11"/>
  <c r="K175" i="11"/>
  <c r="R172" i="11"/>
  <c r="R175" i="11" s="1"/>
  <c r="R174" i="11"/>
  <c r="R103" i="12" s="1"/>
  <c r="S21" i="15" s="1"/>
  <c r="U53" i="12"/>
  <c r="U163" i="11"/>
  <c r="U136" i="11"/>
  <c r="T17" i="14"/>
  <c r="T77" i="14"/>
  <c r="U23" i="12"/>
  <c r="T23" i="12"/>
  <c r="V8" i="11"/>
  <c r="V8" i="14" s="1"/>
  <c r="W8" i="15" s="1"/>
  <c r="U8" i="14"/>
  <c r="V8" i="15" s="1"/>
  <c r="P84" i="14"/>
  <c r="S42" i="14"/>
  <c r="S44" i="14" s="1"/>
  <c r="Q73" i="12"/>
  <c r="Q13" i="14" s="1"/>
  <c r="Q18" i="14" s="1"/>
  <c r="Q28" i="14"/>
  <c r="Q32" i="14" s="1"/>
  <c r="R72" i="12"/>
  <c r="R28" i="14" s="1"/>
  <c r="R32" i="14" s="1"/>
  <c r="R91" i="14" s="1"/>
  <c r="U19" i="21"/>
  <c r="S24" i="14"/>
  <c r="T68" i="14"/>
  <c r="T72" i="14" s="1"/>
  <c r="T51" i="14"/>
  <c r="T55" i="14" s="1"/>
  <c r="U20" i="21"/>
  <c r="U29" i="21"/>
  <c r="T144" i="11"/>
  <c r="T145" i="11" s="1"/>
  <c r="T168" i="11" s="1"/>
  <c r="T76" i="14"/>
  <c r="T78" i="14" s="1"/>
  <c r="T13" i="21"/>
  <c r="T14" i="21" s="1"/>
  <c r="S168" i="11"/>
  <c r="U8" i="12"/>
  <c r="T8" i="21"/>
  <c r="V973" i="19"/>
  <c r="V982" i="19" s="1"/>
  <c r="U43" i="14"/>
  <c r="U47" i="14" s="1"/>
  <c r="U12" i="21"/>
  <c r="U25" i="21"/>
  <c r="R21" i="21"/>
  <c r="S11" i="15"/>
  <c r="R46" i="14"/>
  <c r="U17" i="21"/>
  <c r="U93" i="12"/>
  <c r="Q48" i="14"/>
  <c r="Q83" i="14"/>
  <c r="P90" i="14"/>
  <c r="U92" i="12"/>
  <c r="V12" i="12"/>
  <c r="T45" i="11"/>
  <c r="S165" i="11"/>
  <c r="S166" i="11" s="1"/>
  <c r="S174" i="11" s="1"/>
  <c r="S103" i="12" s="1"/>
  <c r="T21" i="15" s="1"/>
  <c r="S55" i="12"/>
  <c r="S91" i="12" s="1"/>
  <c r="R26" i="12"/>
  <c r="R43" i="12"/>
  <c r="U105" i="11"/>
  <c r="U13" i="12"/>
  <c r="S42" i="12"/>
  <c r="S16" i="12"/>
  <c r="T89" i="12"/>
  <c r="T21" i="14" s="1"/>
  <c r="T14" i="12"/>
  <c r="T164" i="11"/>
  <c r="T54" i="12"/>
  <c r="T88" i="12" s="1"/>
  <c r="T22" i="14" s="1"/>
  <c r="V76" i="12"/>
  <c r="V77" i="12" s="1"/>
  <c r="U77" i="12"/>
  <c r="P77" i="14"/>
  <c r="P78" i="14" s="1"/>
  <c r="P89" i="12"/>
  <c r="P21" i="14" s="1"/>
  <c r="P24" i="14" s="1"/>
  <c r="V196" i="11"/>
  <c r="V197" i="11" s="1"/>
  <c r="V36" i="12" s="1"/>
  <c r="V128" i="11"/>
  <c r="V133" i="11" s="1"/>
  <c r="V134" i="11" s="1"/>
  <c r="V104" i="11"/>
  <c r="V41" i="11"/>
  <c r="V22" i="12" s="1"/>
  <c r="V36" i="11"/>
  <c r="V21" i="12" s="1"/>
  <c r="V31" i="11"/>
  <c r="V20" i="12" s="1"/>
  <c r="V26" i="11"/>
  <c r="V19" i="12" s="1"/>
  <c r="V18" i="11"/>
  <c r="Q175" i="11"/>
  <c r="Q174" i="11"/>
  <c r="Q103" i="12" s="1"/>
  <c r="R21" i="15" s="1"/>
  <c r="T140" i="11"/>
  <c r="T150" i="11"/>
  <c r="R183" i="11"/>
  <c r="R185" i="11" s="1"/>
  <c r="Q184" i="11"/>
  <c r="Q190" i="11"/>
  <c r="Q191" i="11" s="1"/>
  <c r="Q35" i="12" s="1"/>
  <c r="Q185" i="11"/>
  <c r="U139" i="11"/>
  <c r="U129" i="11"/>
  <c r="S182" i="11"/>
  <c r="S170" i="11"/>
  <c r="U44" i="11"/>
  <c r="I89" i="12"/>
  <c r="I21" i="14" s="1"/>
  <c r="I24" i="14" s="1"/>
  <c r="I17" i="14"/>
  <c r="I77" i="14"/>
  <c r="I78" i="14" s="1"/>
  <c r="K89" i="12"/>
  <c r="K21" i="14" s="1"/>
  <c r="K24" i="14" s="1"/>
  <c r="K17" i="14"/>
  <c r="K77" i="14"/>
  <c r="K78" i="14" s="1"/>
  <c r="P28" i="21"/>
  <c r="P89" i="14"/>
  <c r="P99" i="12"/>
  <c r="P116" i="12" s="1"/>
  <c r="P109" i="11"/>
  <c r="I166" i="11"/>
  <c r="O174" i="11"/>
  <c r="M174" i="11"/>
  <c r="P174" i="11"/>
  <c r="N174" i="11"/>
  <c r="L174" i="11"/>
  <c r="V41" i="12" l="1"/>
  <c r="I174" i="11"/>
  <c r="I175" i="11"/>
  <c r="R73" i="12"/>
  <c r="R13" i="14" s="1"/>
  <c r="R18" i="14" s="1"/>
  <c r="R114" i="12"/>
  <c r="V53" i="12"/>
  <c r="V136" i="11"/>
  <c r="V163" i="11"/>
  <c r="V23" i="12"/>
  <c r="U77" i="14"/>
  <c r="U17" i="14"/>
  <c r="T42" i="14"/>
  <c r="T44" i="14" s="1"/>
  <c r="T24" i="12"/>
  <c r="Q82" i="14"/>
  <c r="Q84" i="14" s="1"/>
  <c r="Q91" i="14"/>
  <c r="Q90" i="14" s="1"/>
  <c r="P96" i="14"/>
  <c r="V19" i="21"/>
  <c r="V29" i="21"/>
  <c r="V108" i="11"/>
  <c r="R82" i="14"/>
  <c r="S72" i="12"/>
  <c r="S114" i="12" s="1"/>
  <c r="V20" i="21"/>
  <c r="V93" i="12"/>
  <c r="V17" i="21"/>
  <c r="V18" i="21"/>
  <c r="U144" i="11"/>
  <c r="U145" i="11" s="1"/>
  <c r="U69" i="12" s="1"/>
  <c r="U90" i="12" s="1"/>
  <c r="U23" i="14" s="1"/>
  <c r="U76" i="14"/>
  <c r="U78" i="14" s="1"/>
  <c r="U13" i="21"/>
  <c r="U14" i="21" s="1"/>
  <c r="V8" i="12"/>
  <c r="X12" i="12" s="1"/>
  <c r="U8" i="21"/>
  <c r="S172" i="11"/>
  <c r="S175" i="11" s="1"/>
  <c r="T11" i="15"/>
  <c r="S46" i="14"/>
  <c r="S21" i="21"/>
  <c r="T69" i="12"/>
  <c r="T90" i="12" s="1"/>
  <c r="T23" i="14" s="1"/>
  <c r="T24" i="14" s="1"/>
  <c r="R48" i="14"/>
  <c r="R83" i="14"/>
  <c r="U51" i="14"/>
  <c r="U55" i="14" s="1"/>
  <c r="U68" i="14"/>
  <c r="U72" i="14" s="1"/>
  <c r="V92" i="12"/>
  <c r="V43" i="14"/>
  <c r="V47" i="14" s="1"/>
  <c r="V12" i="21"/>
  <c r="W973" i="19"/>
  <c r="W982" i="19" s="1"/>
  <c r="V25" i="21"/>
  <c r="Q89" i="14"/>
  <c r="Q28" i="21"/>
  <c r="U168" i="11"/>
  <c r="V105" i="11"/>
  <c r="V13" i="12"/>
  <c r="Z13" i="12" s="1"/>
  <c r="T16" i="12"/>
  <c r="T42" i="12"/>
  <c r="U89" i="12"/>
  <c r="U21" i="14" s="1"/>
  <c r="U14" i="12"/>
  <c r="T165" i="11"/>
  <c r="T166" i="11" s="1"/>
  <c r="T55" i="12"/>
  <c r="T91" i="12" s="1"/>
  <c r="S43" i="12"/>
  <c r="S26" i="12"/>
  <c r="U164" i="11"/>
  <c r="U54" i="12"/>
  <c r="U88" i="12" s="1"/>
  <c r="U22" i="14" s="1"/>
  <c r="R190" i="11"/>
  <c r="R191" i="11" s="1"/>
  <c r="R35" i="12" s="1"/>
  <c r="R109" i="11" s="1"/>
  <c r="Q109" i="11"/>
  <c r="Q99" i="12"/>
  <c r="Q116" i="12" s="1"/>
  <c r="T182" i="11"/>
  <c r="T170" i="11"/>
  <c r="T172" i="11" s="1"/>
  <c r="V44" i="11"/>
  <c r="U45" i="11"/>
  <c r="U106" i="11"/>
  <c r="U150" i="11"/>
  <c r="U140" i="11"/>
  <c r="R184" i="11"/>
  <c r="V139" i="11"/>
  <c r="V129" i="11"/>
  <c r="S183" i="11"/>
  <c r="S190" i="11" s="1"/>
  <c r="S191" i="11" s="1"/>
  <c r="S35" i="12" s="1"/>
  <c r="T174" i="11"/>
  <c r="T103" i="12" s="1"/>
  <c r="U21" i="15" s="1"/>
  <c r="N103" i="12"/>
  <c r="O21" i="15" s="1"/>
  <c r="P103" i="12"/>
  <c r="Q21" i="15" s="1"/>
  <c r="K103" i="12"/>
  <c r="L21" i="15" s="1"/>
  <c r="M103" i="12"/>
  <c r="N21" i="15" s="1"/>
  <c r="L103" i="12"/>
  <c r="M21" i="15" s="1"/>
  <c r="O103" i="12"/>
  <c r="P21" i="15" s="1"/>
  <c r="J164" i="11"/>
  <c r="Y12" i="12" l="1"/>
  <c r="Z21" i="12"/>
  <c r="Z10" i="12"/>
  <c r="Y10" i="12"/>
  <c r="X10" i="12"/>
  <c r="Z12" i="12"/>
  <c r="V77" i="14"/>
  <c r="V17" i="14"/>
  <c r="Z19" i="12"/>
  <c r="Y21" i="12"/>
  <c r="X20" i="12"/>
  <c r="X22" i="12"/>
  <c r="R90" i="14"/>
  <c r="X19" i="12"/>
  <c r="U42" i="14"/>
  <c r="U44" i="14" s="1"/>
  <c r="U24" i="12"/>
  <c r="Y36" i="12"/>
  <c r="Z20" i="12"/>
  <c r="Z36" i="12"/>
  <c r="Z22" i="12"/>
  <c r="V8" i="21"/>
  <c r="Y20" i="12"/>
  <c r="Y19" i="12"/>
  <c r="X36" i="12"/>
  <c r="Y22" i="12"/>
  <c r="X21" i="12"/>
  <c r="Q96" i="14"/>
  <c r="R84" i="14"/>
  <c r="X13" i="12"/>
  <c r="Y13" i="12"/>
  <c r="S109" i="11"/>
  <c r="S28" i="14"/>
  <c r="S32" i="14" s="1"/>
  <c r="S91" i="14" s="1"/>
  <c r="S90" i="14" s="1"/>
  <c r="S73" i="12"/>
  <c r="S13" i="14" s="1"/>
  <c r="S18" i="14" s="1"/>
  <c r="T72" i="12"/>
  <c r="T73" i="12" s="1"/>
  <c r="T13" i="14" s="1"/>
  <c r="T18" i="14" s="1"/>
  <c r="U11" i="15"/>
  <c r="T46" i="14"/>
  <c r="T21" i="21"/>
  <c r="V144" i="11"/>
  <c r="V145" i="11" s="1"/>
  <c r="V168" i="11" s="1"/>
  <c r="V76" i="14"/>
  <c r="V78" i="14" s="1"/>
  <c r="V13" i="21"/>
  <c r="V14" i="21" s="1"/>
  <c r="U24" i="14"/>
  <c r="V51" i="14"/>
  <c r="V55" i="14" s="1"/>
  <c r="V68" i="14"/>
  <c r="V72" i="14" s="1"/>
  <c r="S83" i="14"/>
  <c r="S48" i="14"/>
  <c r="S99" i="12"/>
  <c r="S116" i="12" s="1"/>
  <c r="S89" i="14"/>
  <c r="S96" i="14" s="1"/>
  <c r="S28" i="21"/>
  <c r="R89" i="14"/>
  <c r="R96" i="14" s="1"/>
  <c r="R28" i="21"/>
  <c r="T175" i="11"/>
  <c r="U42" i="12"/>
  <c r="U16" i="12"/>
  <c r="T43" i="12"/>
  <c r="T26" i="12"/>
  <c r="V89" i="12"/>
  <c r="V21" i="14" s="1"/>
  <c r="V14" i="12"/>
  <c r="V24" i="12" s="1"/>
  <c r="V164" i="11"/>
  <c r="V54" i="12"/>
  <c r="V88" i="12" s="1"/>
  <c r="V22" i="14" s="1"/>
  <c r="U165" i="11"/>
  <c r="U166" i="11" s="1"/>
  <c r="U174" i="11" s="1"/>
  <c r="U103" i="12" s="1"/>
  <c r="V21" i="15" s="1"/>
  <c r="U55" i="12"/>
  <c r="U91" i="12" s="1"/>
  <c r="R99" i="12"/>
  <c r="R116" i="12" s="1"/>
  <c r="S185" i="11"/>
  <c r="T183" i="11"/>
  <c r="T185" i="11" s="1"/>
  <c r="V150" i="11"/>
  <c r="V140" i="11"/>
  <c r="S184" i="11"/>
  <c r="V106" i="11"/>
  <c r="V45" i="11"/>
  <c r="U170" i="11"/>
  <c r="U172" i="11" s="1"/>
  <c r="U182" i="11"/>
  <c r="I103" i="12"/>
  <c r="J21" i="15" s="1"/>
  <c r="J23" i="15" s="1"/>
  <c r="J166" i="11"/>
  <c r="U175" i="11" l="1"/>
  <c r="V69" i="12"/>
  <c r="V90" i="12" s="1"/>
  <c r="V23" i="14" s="1"/>
  <c r="V24" i="14" s="1"/>
  <c r="V42" i="14"/>
  <c r="V44" i="14" s="1"/>
  <c r="X14" i="12"/>
  <c r="Y14" i="12"/>
  <c r="Z14" i="12"/>
  <c r="T114" i="12"/>
  <c r="U72" i="12"/>
  <c r="U28" i="14" s="1"/>
  <c r="U32" i="14" s="1"/>
  <c r="U91" i="14" s="1"/>
  <c r="T28" i="14"/>
  <c r="T32" i="14" s="1"/>
  <c r="T91" i="14" s="1"/>
  <c r="S82" i="14"/>
  <c r="S84" i="14" s="1"/>
  <c r="T83" i="14"/>
  <c r="T48" i="14"/>
  <c r="U21" i="21"/>
  <c r="V11" i="15"/>
  <c r="U46" i="14"/>
  <c r="V165" i="11"/>
  <c r="V166" i="11" s="1"/>
  <c r="V174" i="11" s="1"/>
  <c r="V103" i="12" s="1"/>
  <c r="W21" i="15" s="1"/>
  <c r="V55" i="12"/>
  <c r="V91" i="12" s="1"/>
  <c r="V42" i="12"/>
  <c r="V16" i="12"/>
  <c r="U26" i="12"/>
  <c r="U43" i="12"/>
  <c r="T190" i="11"/>
  <c r="T191" i="11" s="1"/>
  <c r="T35" i="12" s="1"/>
  <c r="T109" i="11" s="1"/>
  <c r="V170" i="11"/>
  <c r="V172" i="11" s="1"/>
  <c r="V182" i="11"/>
  <c r="U183" i="11"/>
  <c r="U190" i="11" s="1"/>
  <c r="U191" i="11" s="1"/>
  <c r="U35" i="12" s="1"/>
  <c r="U109" i="11" s="1"/>
  <c r="T184" i="11"/>
  <c r="J175" i="11"/>
  <c r="J174" i="11"/>
  <c r="J103" i="12" s="1"/>
  <c r="K21" i="15" s="1"/>
  <c r="I61" i="12"/>
  <c r="U90" i="14" l="1"/>
  <c r="X24" i="12"/>
  <c r="Y24" i="12"/>
  <c r="Z24" i="12"/>
  <c r="U114" i="12"/>
  <c r="V175" i="11"/>
  <c r="U73" i="12"/>
  <c r="U13" i="14" s="1"/>
  <c r="U18" i="14" s="1"/>
  <c r="U82" i="14"/>
  <c r="T82" i="14"/>
  <c r="T84" i="14" s="1"/>
  <c r="T90" i="14"/>
  <c r="V72" i="12"/>
  <c r="V28" i="14" s="1"/>
  <c r="V32" i="14" s="1"/>
  <c r="V91" i="14" s="1"/>
  <c r="U48" i="14"/>
  <c r="U83" i="14"/>
  <c r="W11" i="15"/>
  <c r="D56" i="15" s="1"/>
  <c r="D57" i="15" s="1"/>
  <c r="V21" i="21"/>
  <c r="V46" i="14"/>
  <c r="U99" i="12"/>
  <c r="U116" i="12" s="1"/>
  <c r="U89" i="14"/>
  <c r="U28" i="21"/>
  <c r="T99" i="12"/>
  <c r="T116" i="12" s="1"/>
  <c r="T89" i="14"/>
  <c r="T28" i="21"/>
  <c r="V114" i="12"/>
  <c r="V43" i="12"/>
  <c r="V26" i="12"/>
  <c r="U184" i="11"/>
  <c r="U185" i="11"/>
  <c r="V183" i="11"/>
  <c r="V184" i="11" s="1"/>
  <c r="J57" i="11"/>
  <c r="J61" i="12" s="1"/>
  <c r="D61" i="15" l="1"/>
  <c r="U96" i="14"/>
  <c r="T96" i="14"/>
  <c r="U84" i="14"/>
  <c r="V90" i="14"/>
  <c r="V82" i="14"/>
  <c r="V73" i="12"/>
  <c r="V13" i="14" s="1"/>
  <c r="V18" i="14" s="1"/>
  <c r="V48" i="14"/>
  <c r="V83" i="14"/>
  <c r="V185" i="11"/>
  <c r="V190" i="11"/>
  <c r="V191" i="11" s="1"/>
  <c r="V35" i="12" s="1"/>
  <c r="K57" i="11"/>
  <c r="V109" i="11" l="1"/>
  <c r="X35" i="12"/>
  <c r="Y35" i="12"/>
  <c r="Z35" i="12"/>
  <c r="V84" i="14"/>
  <c r="V99" i="12"/>
  <c r="V116" i="12" s="1"/>
  <c r="V89" i="14"/>
  <c r="V96" i="14" s="1"/>
  <c r="V28" i="21"/>
  <c r="K61" i="12"/>
  <c r="L57" i="11"/>
  <c r="L61" i="12" l="1"/>
  <c r="M57" i="11"/>
  <c r="N57" i="11" l="1"/>
  <c r="M61" i="12"/>
  <c r="N61" i="12" l="1"/>
  <c r="O57" i="11"/>
  <c r="O61" i="12" l="1"/>
  <c r="P57" i="11"/>
  <c r="P61" i="12" l="1"/>
  <c r="D45" i="15" s="1"/>
  <c r="Q57" i="11"/>
  <c r="H98" i="11"/>
  <c r="D67" i="15" l="1"/>
  <c r="D29" i="32"/>
  <c r="D30" i="32" s="1"/>
  <c r="D32" i="32" s="1"/>
  <c r="D34" i="32" s="1"/>
  <c r="R57" i="11"/>
  <c r="Q61" i="12"/>
  <c r="I83" i="11"/>
  <c r="S57" i="11" l="1"/>
  <c r="R61" i="12"/>
  <c r="J83" i="11"/>
  <c r="I98" i="11"/>
  <c r="T57" i="11" l="1"/>
  <c r="S61" i="12"/>
  <c r="I80" i="11"/>
  <c r="I100" i="12"/>
  <c r="K83" i="11"/>
  <c r="U57" i="11" l="1"/>
  <c r="T61" i="12"/>
  <c r="I31" i="12"/>
  <c r="L83" i="11"/>
  <c r="I50" i="14" l="1"/>
  <c r="I95" i="14" s="1"/>
  <c r="I97" i="14" s="1"/>
  <c r="I33" i="12"/>
  <c r="V57" i="11"/>
  <c r="V61" i="12" s="1"/>
  <c r="U61" i="12"/>
  <c r="I44" i="12"/>
  <c r="I26" i="21"/>
  <c r="I37" i="12"/>
  <c r="M83" i="11"/>
  <c r="I87" i="14" l="1"/>
  <c r="I92" i="14" s="1" a="1"/>
  <c r="I92" i="14" s="1"/>
  <c r="I30" i="21"/>
  <c r="I39" i="12"/>
  <c r="I52" i="14"/>
  <c r="I45" i="12"/>
  <c r="I97" i="12"/>
  <c r="I105" i="12" s="1"/>
  <c r="N83" i="11"/>
  <c r="I54" i="14" l="1"/>
  <c r="I58" i="14" s="1"/>
  <c r="I62" i="14" s="1"/>
  <c r="I119" i="11"/>
  <c r="I120" i="11" s="1"/>
  <c r="I56" i="14"/>
  <c r="I46" i="12"/>
  <c r="I32" i="21"/>
  <c r="O83" i="11"/>
  <c r="I121" i="11" l="1"/>
  <c r="I118" i="12"/>
  <c r="P83" i="11"/>
  <c r="R83" i="11" l="1"/>
  <c r="I80" i="12"/>
  <c r="J118" i="11"/>
  <c r="I121" i="12"/>
  <c r="I123" i="12" s="1"/>
  <c r="I125" i="12" s="1"/>
  <c r="D50" i="14"/>
  <c r="D95" i="14" l="1"/>
  <c r="D97" i="14" s="1"/>
  <c r="D87" i="14"/>
  <c r="S83" i="11"/>
  <c r="I51" i="12"/>
  <c r="J124" i="12"/>
  <c r="I81" i="12"/>
  <c r="D52" i="14"/>
  <c r="T83" i="11" l="1"/>
  <c r="I29" i="14"/>
  <c r="I30" i="14" s="1"/>
  <c r="J972" i="19"/>
  <c r="J984" i="19" s="1"/>
  <c r="I56" i="12"/>
  <c r="I83" i="12"/>
  <c r="F732" i="19"/>
  <c r="I87" i="12" l="1"/>
  <c r="U83" i="11"/>
  <c r="I36" i="14"/>
  <c r="I63" i="14" s="1"/>
  <c r="I64" i="14" s="1"/>
  <c r="I12" i="14"/>
  <c r="I16" i="14" s="1"/>
  <c r="I19" i="14" s="1"/>
  <c r="J975" i="19"/>
  <c r="I56" i="21"/>
  <c r="I62" i="21"/>
  <c r="I65" i="21"/>
  <c r="I69" i="21"/>
  <c r="I57" i="21"/>
  <c r="I61" i="21"/>
  <c r="I55" i="21"/>
  <c r="I58" i="21"/>
  <c r="I59" i="21"/>
  <c r="I63" i="21"/>
  <c r="I66" i="21"/>
  <c r="I67" i="21"/>
  <c r="G732" i="19"/>
  <c r="V83" i="11" l="1"/>
  <c r="I14" i="14"/>
  <c r="H732" i="19"/>
  <c r="J80" i="11" l="1"/>
  <c r="J107" i="11"/>
  <c r="J110" i="11" s="1"/>
  <c r="K86" i="11"/>
  <c r="L86" i="11" s="1"/>
  <c r="M86" i="11" s="1"/>
  <c r="N86" i="11" s="1"/>
  <c r="O86" i="11" s="1"/>
  <c r="P86" i="11" s="1"/>
  <c r="Q86" i="11" s="1"/>
  <c r="R86" i="11" s="1"/>
  <c r="S86" i="11" s="1"/>
  <c r="T86" i="11" s="1"/>
  <c r="U86" i="11" s="1"/>
  <c r="V86" i="11" s="1"/>
  <c r="J98" i="11"/>
  <c r="K85" i="11"/>
  <c r="I732" i="19"/>
  <c r="J73" i="11"/>
  <c r="J58" i="12" s="1"/>
  <c r="J62" i="12" l="1"/>
  <c r="J100" i="12"/>
  <c r="J31" i="12"/>
  <c r="J50" i="14" s="1"/>
  <c r="J95" i="14" s="1"/>
  <c r="J97" i="14" s="1"/>
  <c r="J111" i="11"/>
  <c r="K80" i="11"/>
  <c r="J732" i="19"/>
  <c r="K98" i="11"/>
  <c r="L85" i="11"/>
  <c r="J87" i="14" l="1"/>
  <c r="J92" i="14" s="1" a="1"/>
  <c r="J92" i="14" s="1"/>
  <c r="J52" i="14"/>
  <c r="J44" i="12"/>
  <c r="J26" i="21"/>
  <c r="J112" i="11"/>
  <c r="J119" i="11" s="1"/>
  <c r="J120" i="11" s="1"/>
  <c r="K29" i="12"/>
  <c r="J37" i="12"/>
  <c r="J38" i="12"/>
  <c r="K107" i="11"/>
  <c r="K73" i="11"/>
  <c r="K58" i="12" s="1"/>
  <c r="J33" i="12"/>
  <c r="M85" i="11"/>
  <c r="L12" i="15" l="1"/>
  <c r="L17" i="15" s="1"/>
  <c r="K88" i="14"/>
  <c r="J31" i="21"/>
  <c r="K15" i="15"/>
  <c r="K16" i="15" s="1"/>
  <c r="K24" i="21"/>
  <c r="J97" i="12"/>
  <c r="J30" i="21"/>
  <c r="K100" i="12"/>
  <c r="K31" i="12"/>
  <c r="J104" i="12"/>
  <c r="J45" i="12"/>
  <c r="J39" i="12"/>
  <c r="J118" i="12"/>
  <c r="J121" i="12" s="1"/>
  <c r="K110" i="11"/>
  <c r="K111" i="11" s="1"/>
  <c r="L87" i="11"/>
  <c r="L80" i="11"/>
  <c r="M88" i="11"/>
  <c r="N88" i="11" s="1"/>
  <c r="O88" i="11" s="1"/>
  <c r="P88" i="11" s="1"/>
  <c r="Q88" i="11" s="1"/>
  <c r="R88" i="11" s="1"/>
  <c r="S88" i="11" s="1"/>
  <c r="T88" i="11" s="1"/>
  <c r="U88" i="11" s="1"/>
  <c r="V88" i="11" s="1"/>
  <c r="N85" i="11"/>
  <c r="L14" i="15" l="1"/>
  <c r="K19" i="15"/>
  <c r="K23" i="15" s="1"/>
  <c r="K50" i="14"/>
  <c r="K95" i="14" s="1"/>
  <c r="K97" i="14" s="1"/>
  <c r="J105" i="12"/>
  <c r="J123" i="12" s="1"/>
  <c r="J125" i="12" s="1"/>
  <c r="J32" i="21"/>
  <c r="J54" i="14"/>
  <c r="K37" i="12"/>
  <c r="K26" i="21"/>
  <c r="K33" i="12"/>
  <c r="K44" i="12"/>
  <c r="L107" i="11"/>
  <c r="L110" i="11" s="1"/>
  <c r="L111" i="11" s="1"/>
  <c r="L29" i="12"/>
  <c r="L88" i="14" s="1"/>
  <c r="J46" i="12"/>
  <c r="K38" i="12"/>
  <c r="L15" i="15" s="1"/>
  <c r="J121" i="11"/>
  <c r="J80" i="12" s="1"/>
  <c r="K112" i="11"/>
  <c r="K119" i="11" s="1"/>
  <c r="K120" i="11" s="1"/>
  <c r="N89" i="11"/>
  <c r="O89" i="11" s="1"/>
  <c r="P89" i="11" s="1"/>
  <c r="Q89" i="11" s="1"/>
  <c r="R89" i="11" s="1"/>
  <c r="S89" i="11" s="1"/>
  <c r="T89" i="11" s="1"/>
  <c r="U89" i="11" s="1"/>
  <c r="V89" i="11" s="1"/>
  <c r="M87" i="11"/>
  <c r="L98" i="11"/>
  <c r="M80" i="11"/>
  <c r="L73" i="11"/>
  <c r="L58" i="12" s="1"/>
  <c r="O85" i="11"/>
  <c r="L16" i="15" l="1"/>
  <c r="L19" i="15" s="1"/>
  <c r="L23" i="15" s="1"/>
  <c r="L24" i="21"/>
  <c r="M12" i="15"/>
  <c r="K87" i="14"/>
  <c r="K92" i="14" s="1" a="1"/>
  <c r="K92" i="14" s="1"/>
  <c r="K52" i="14"/>
  <c r="K31" i="21"/>
  <c r="J58" i="14"/>
  <c r="J56" i="14"/>
  <c r="K97" i="12"/>
  <c r="K30" i="21"/>
  <c r="L100" i="12"/>
  <c r="K118" i="11"/>
  <c r="M107" i="11"/>
  <c r="M29" i="12"/>
  <c r="K45" i="12"/>
  <c r="K104" i="12"/>
  <c r="K39" i="12"/>
  <c r="L38" i="12"/>
  <c r="K118" i="12"/>
  <c r="K121" i="12" s="1"/>
  <c r="L112" i="11"/>
  <c r="L119" i="11" s="1"/>
  <c r="N87" i="11"/>
  <c r="M98" i="11"/>
  <c r="M73" i="11"/>
  <c r="M58" i="12" s="1"/>
  <c r="O90" i="11"/>
  <c r="P90" i="11" s="1"/>
  <c r="Q90" i="11" s="1"/>
  <c r="R90" i="11" s="1"/>
  <c r="S90" i="11" s="1"/>
  <c r="T90" i="11" s="1"/>
  <c r="U90" i="11" s="1"/>
  <c r="V90" i="11" s="1"/>
  <c r="L31" i="12"/>
  <c r="P85" i="11"/>
  <c r="Q85" i="11" s="1"/>
  <c r="N12" i="15" l="1"/>
  <c r="N17" i="15" s="1"/>
  <c r="M88" i="14"/>
  <c r="N29" i="12"/>
  <c r="N24" i="21" s="1"/>
  <c r="N80" i="11"/>
  <c r="R85" i="11"/>
  <c r="M17" i="15"/>
  <c r="M14" i="15"/>
  <c r="L31" i="21"/>
  <c r="M15" i="15"/>
  <c r="K54" i="14"/>
  <c r="K58" i="14" s="1"/>
  <c r="M24" i="21"/>
  <c r="K105" i="12"/>
  <c r="K123" i="12" s="1"/>
  <c r="L26" i="21"/>
  <c r="L50" i="14"/>
  <c r="L95" i="14" s="1"/>
  <c r="L97" i="14" s="1"/>
  <c r="J62" i="14"/>
  <c r="K46" i="12"/>
  <c r="K32" i="21"/>
  <c r="M31" i="12"/>
  <c r="L37" i="12"/>
  <c r="L44" i="12"/>
  <c r="L104" i="12"/>
  <c r="J81" i="12"/>
  <c r="M38" i="12"/>
  <c r="N15" i="15" s="1"/>
  <c r="K121" i="11"/>
  <c r="L120" i="11"/>
  <c r="M100" i="12"/>
  <c r="M119" i="11"/>
  <c r="N73" i="11"/>
  <c r="N58" i="12" s="1"/>
  <c r="N107" i="11"/>
  <c r="L33" i="12"/>
  <c r="O87" i="11"/>
  <c r="N98" i="11"/>
  <c r="N14" i="15" l="1"/>
  <c r="O12" i="15"/>
  <c r="O14" i="15" s="1"/>
  <c r="O80" i="11"/>
  <c r="N31" i="12"/>
  <c r="N50" i="14" s="1"/>
  <c r="N95" i="14" s="1"/>
  <c r="N97" i="14" s="1"/>
  <c r="N88" i="14"/>
  <c r="J29" i="14"/>
  <c r="J36" i="14" s="1"/>
  <c r="S85" i="11"/>
  <c r="M16" i="15"/>
  <c r="M19" i="15" s="1"/>
  <c r="M23" i="15" s="1"/>
  <c r="K56" i="14"/>
  <c r="M31" i="21"/>
  <c r="L87" i="14"/>
  <c r="L92" i="14" s="1" a="1"/>
  <c r="L92" i="14" s="1"/>
  <c r="L52" i="14"/>
  <c r="M33" i="12"/>
  <c r="M50" i="14"/>
  <c r="M95" i="14" s="1"/>
  <c r="M97" i="14" s="1"/>
  <c r="K62" i="14"/>
  <c r="M44" i="12"/>
  <c r="M26" i="21"/>
  <c r="L39" i="12"/>
  <c r="L54" i="14" s="1"/>
  <c r="L30" i="21"/>
  <c r="L118" i="12"/>
  <c r="L121" i="12" s="1"/>
  <c r="L118" i="11"/>
  <c r="L121" i="11" s="1"/>
  <c r="L97" i="12"/>
  <c r="L105" i="12" s="1"/>
  <c r="O107" i="11"/>
  <c r="O110" i="11" s="1"/>
  <c r="O111" i="11" s="1"/>
  <c r="O29" i="12"/>
  <c r="L45" i="12"/>
  <c r="M104" i="12"/>
  <c r="J83" i="12"/>
  <c r="K80" i="12"/>
  <c r="M120" i="11"/>
  <c r="M37" i="12"/>
  <c r="N100" i="12"/>
  <c r="N110" i="11"/>
  <c r="N111" i="11" s="1"/>
  <c r="P87" i="11"/>
  <c r="O98" i="11"/>
  <c r="O73" i="11"/>
  <c r="O58" i="12" s="1"/>
  <c r="O17" i="15" l="1"/>
  <c r="O31" i="12"/>
  <c r="O50" i="14" s="1"/>
  <c r="O95" i="14" s="1"/>
  <c r="O97" i="14" s="1"/>
  <c r="O88" i="14"/>
  <c r="P29" i="12"/>
  <c r="P88" i="14" s="1"/>
  <c r="P80" i="11"/>
  <c r="J30" i="14"/>
  <c r="P98" i="11"/>
  <c r="Q87" i="11"/>
  <c r="T85" i="11"/>
  <c r="O24" i="21"/>
  <c r="P12" i="15"/>
  <c r="J63" i="14"/>
  <c r="J64" i="14" s="1"/>
  <c r="M87" i="14"/>
  <c r="M92" i="14" s="1" a="1"/>
  <c r="M92" i="14" s="1"/>
  <c r="M52" i="14"/>
  <c r="N87" i="14"/>
  <c r="N92" i="14" s="1" a="1"/>
  <c r="N92" i="14" s="1"/>
  <c r="N52" i="14"/>
  <c r="L58" i="14"/>
  <c r="L56" i="14"/>
  <c r="J65" i="21"/>
  <c r="J56" i="21"/>
  <c r="J69" i="21"/>
  <c r="J62" i="21"/>
  <c r="J57" i="21"/>
  <c r="J61" i="21"/>
  <c r="J58" i="21"/>
  <c r="J63" i="21"/>
  <c r="J55" i="21"/>
  <c r="J59" i="21"/>
  <c r="J66" i="21"/>
  <c r="M39" i="12"/>
  <c r="M30" i="21"/>
  <c r="L123" i="12"/>
  <c r="J67" i="21"/>
  <c r="O44" i="12"/>
  <c r="O26" i="21"/>
  <c r="N44" i="12"/>
  <c r="N26" i="21"/>
  <c r="K81" i="12"/>
  <c r="K29" i="14" s="1"/>
  <c r="L46" i="12"/>
  <c r="L32" i="21"/>
  <c r="M118" i="12"/>
  <c r="M121" i="12" s="1"/>
  <c r="M118" i="11"/>
  <c r="M121" i="11" s="1"/>
  <c r="P107" i="11"/>
  <c r="P110" i="11" s="1"/>
  <c r="P111" i="11" s="1"/>
  <c r="M45" i="12"/>
  <c r="N33" i="12"/>
  <c r="N37" i="12"/>
  <c r="N38" i="12"/>
  <c r="O38" i="12"/>
  <c r="M97" i="12"/>
  <c r="M105" i="12" s="1"/>
  <c r="L80" i="12"/>
  <c r="O33" i="12"/>
  <c r="O100" i="12"/>
  <c r="O112" i="11"/>
  <c r="O119" i="11" s="1"/>
  <c r="N112" i="11"/>
  <c r="N119" i="11" s="1"/>
  <c r="P73" i="11"/>
  <c r="P58" i="12" s="1"/>
  <c r="O87" i="14" l="1"/>
  <c r="O52" i="14"/>
  <c r="O92" i="14" a="1"/>
  <c r="O92" i="14" s="1"/>
  <c r="Q12" i="15"/>
  <c r="Q17" i="15" s="1"/>
  <c r="Q29" i="12"/>
  <c r="R87" i="11"/>
  <c r="U85" i="11"/>
  <c r="P17" i="15"/>
  <c r="P14" i="15"/>
  <c r="O31" i="21"/>
  <c r="P15" i="15"/>
  <c r="N31" i="21"/>
  <c r="O15" i="15"/>
  <c r="P24" i="21"/>
  <c r="M54" i="14"/>
  <c r="M58" i="14" s="1"/>
  <c r="K36" i="14"/>
  <c r="K30" i="14"/>
  <c r="L62" i="14"/>
  <c r="M123" i="12"/>
  <c r="N97" i="12"/>
  <c r="N30" i="21"/>
  <c r="K83" i="12"/>
  <c r="M46" i="12"/>
  <c r="M32" i="21"/>
  <c r="P100" i="12"/>
  <c r="M80" i="12"/>
  <c r="O104" i="12"/>
  <c r="N104" i="12"/>
  <c r="N45" i="12"/>
  <c r="N118" i="11"/>
  <c r="P38" i="12"/>
  <c r="Q15" i="15" s="1"/>
  <c r="O37" i="12"/>
  <c r="N39" i="12"/>
  <c r="N120" i="11"/>
  <c r="O120" i="11"/>
  <c r="P112" i="11"/>
  <c r="P119" i="11" s="1"/>
  <c r="P31" i="12"/>
  <c r="Q14" i="15" l="1"/>
  <c r="Q16" i="15" s="1"/>
  <c r="Q19" i="15" s="1"/>
  <c r="Q23" i="15" s="1"/>
  <c r="R29" i="12"/>
  <c r="R88" i="14" s="1"/>
  <c r="Q88" i="14"/>
  <c r="N54" i="14"/>
  <c r="N58" i="14" s="1"/>
  <c r="K67" i="21"/>
  <c r="S87" i="11"/>
  <c r="V85" i="11"/>
  <c r="P16" i="15"/>
  <c r="P19" i="15" s="1"/>
  <c r="P23" i="15" s="1"/>
  <c r="M56" i="14"/>
  <c r="P31" i="21"/>
  <c r="M81" i="12"/>
  <c r="N105" i="12"/>
  <c r="P26" i="21"/>
  <c r="P50" i="14"/>
  <c r="P95" i="14" s="1"/>
  <c r="P97" i="14" s="1"/>
  <c r="M62" i="14"/>
  <c r="K63" i="14"/>
  <c r="K64" i="14" s="1"/>
  <c r="N46" i="12"/>
  <c r="N32" i="21"/>
  <c r="O45" i="12"/>
  <c r="O30" i="21"/>
  <c r="K69" i="21"/>
  <c r="K62" i="21"/>
  <c r="K57" i="21"/>
  <c r="K65" i="21"/>
  <c r="K56" i="21"/>
  <c r="K61" i="21"/>
  <c r="K58" i="21"/>
  <c r="K63" i="21"/>
  <c r="K55" i="21"/>
  <c r="K59" i="21"/>
  <c r="K66" i="21"/>
  <c r="N118" i="12"/>
  <c r="N121" i="12" s="1"/>
  <c r="O118" i="12"/>
  <c r="O121" i="12" s="1"/>
  <c r="P37" i="12"/>
  <c r="P44" i="12"/>
  <c r="O97" i="12"/>
  <c r="O105" i="12" s="1"/>
  <c r="O39" i="12"/>
  <c r="O54" i="14" s="1"/>
  <c r="P104" i="12"/>
  <c r="N121" i="11"/>
  <c r="P120" i="11"/>
  <c r="P33" i="12"/>
  <c r="N56" i="14" l="1"/>
  <c r="S29" i="12"/>
  <c r="M29" i="14"/>
  <c r="M30" i="14" s="1"/>
  <c r="T87" i="11"/>
  <c r="M83" i="12"/>
  <c r="O123" i="12"/>
  <c r="O58" i="14"/>
  <c r="O56" i="14"/>
  <c r="P87" i="14"/>
  <c r="P92" i="14" s="1" a="1"/>
  <c r="P92" i="14" s="1"/>
  <c r="P52" i="14"/>
  <c r="N62" i="14"/>
  <c r="O46" i="12"/>
  <c r="O32" i="21"/>
  <c r="P39" i="12"/>
  <c r="P30" i="21"/>
  <c r="P97" i="12"/>
  <c r="P105" i="12" s="1"/>
  <c r="P118" i="12"/>
  <c r="P121" i="12" s="1"/>
  <c r="P45" i="12"/>
  <c r="O16" i="15"/>
  <c r="S88" i="14" l="1"/>
  <c r="P123" i="12"/>
  <c r="T29" i="12"/>
  <c r="T88" i="14" s="1"/>
  <c r="M36" i="14"/>
  <c r="M63" i="14" s="1"/>
  <c r="M64" i="14" s="1"/>
  <c r="M66" i="21"/>
  <c r="U87" i="11"/>
  <c r="M67" i="21"/>
  <c r="O19" i="15"/>
  <c r="O23" i="15" s="1"/>
  <c r="M63" i="21"/>
  <c r="M61" i="21"/>
  <c r="M62" i="21"/>
  <c r="M59" i="21"/>
  <c r="M65" i="21"/>
  <c r="M55" i="21"/>
  <c r="M57" i="21"/>
  <c r="P54" i="14"/>
  <c r="P56" i="14" s="1"/>
  <c r="M58" i="21"/>
  <c r="M69" i="21"/>
  <c r="M56" i="21"/>
  <c r="O62" i="14"/>
  <c r="P46" i="12"/>
  <c r="P32" i="21"/>
  <c r="V29" i="12" l="1"/>
  <c r="U29" i="12"/>
  <c r="U88" i="14" s="1"/>
  <c r="V87" i="11"/>
  <c r="P58" i="14"/>
  <c r="P62" i="14" s="1"/>
  <c r="N16" i="15"/>
  <c r="V88" i="14" l="1"/>
  <c r="X29" i="12"/>
  <c r="Y29" i="12"/>
  <c r="Z29" i="12"/>
  <c r="N19" i="15"/>
  <c r="N23" i="15" s="1"/>
  <c r="O118" i="11"/>
  <c r="O121" i="11" s="1"/>
  <c r="N80" i="12"/>
  <c r="L81" i="12"/>
  <c r="L29" i="14" l="1"/>
  <c r="L36" i="14" s="1"/>
  <c r="L83" i="12"/>
  <c r="P118" i="11"/>
  <c r="P121" i="11" s="1"/>
  <c r="Q118" i="11" s="1"/>
  <c r="O80" i="12"/>
  <c r="L30" i="14" l="1"/>
  <c r="L63" i="14"/>
  <c r="L64" i="14" s="1"/>
  <c r="L62" i="21"/>
  <c r="L57" i="21"/>
  <c r="L56" i="21"/>
  <c r="L69" i="21"/>
  <c r="L65" i="21"/>
  <c r="L61" i="21"/>
  <c r="L58" i="21"/>
  <c r="L55" i="21"/>
  <c r="L63" i="21"/>
  <c r="L59" i="21"/>
  <c r="L66" i="21"/>
  <c r="L67" i="21"/>
  <c r="P80" i="12"/>
  <c r="K124" i="12" l="1"/>
  <c r="K125" i="12" l="1"/>
  <c r="K51" i="12" s="1"/>
  <c r="L972" i="19" s="1"/>
  <c r="L984" i="19" s="1"/>
  <c r="J51" i="12"/>
  <c r="J56" i="12" l="1"/>
  <c r="K972" i="19"/>
  <c r="K984" i="19" s="1"/>
  <c r="L975" i="19"/>
  <c r="K56" i="12"/>
  <c r="K12" i="14" s="1"/>
  <c r="K14" i="14" s="1"/>
  <c r="L124" i="12"/>
  <c r="L125" i="12" s="1"/>
  <c r="L51" i="12" s="1"/>
  <c r="J64" i="12" l="1"/>
  <c r="J12" i="14"/>
  <c r="J14" i="14" s="1"/>
  <c r="J87" i="12"/>
  <c r="K16" i="14"/>
  <c r="K19" i="14" s="1"/>
  <c r="K87" i="12"/>
  <c r="M972" i="19"/>
  <c r="M984" i="19" s="1"/>
  <c r="K975" i="19"/>
  <c r="L56" i="12"/>
  <c r="L12" i="14" s="1"/>
  <c r="M124" i="12"/>
  <c r="M125" i="12" s="1"/>
  <c r="M51" i="12" s="1"/>
  <c r="J16" i="14" l="1"/>
  <c r="J19" i="14" s="1"/>
  <c r="N972" i="19"/>
  <c r="N984" i="19" s="1"/>
  <c r="M975" i="19"/>
  <c r="L16" i="14"/>
  <c r="L19" i="14" s="1"/>
  <c r="L14" i="14"/>
  <c r="L87" i="12"/>
  <c r="M56" i="12"/>
  <c r="N124" i="12"/>
  <c r="M12" i="14" l="1"/>
  <c r="M14" i="14" s="1"/>
  <c r="N975" i="19"/>
  <c r="M87" i="12"/>
  <c r="M16" i="14" l="1"/>
  <c r="M19" i="14" s="1"/>
  <c r="K886" i="19"/>
  <c r="J886" i="19"/>
  <c r="F21" i="25" l="1"/>
  <c r="F22" i="25" s="1"/>
  <c r="F23" i="25" s="1"/>
  <c r="E23" i="25"/>
  <c r="C26" i="15" s="1"/>
  <c r="D23" i="25"/>
  <c r="J27" i="15" l="1"/>
  <c r="J28" i="15" s="1"/>
  <c r="W27" i="15"/>
  <c r="K27" i="15"/>
  <c r="K28" i="15" s="1"/>
  <c r="L27" i="15"/>
  <c r="L28" i="15" s="1"/>
  <c r="R27" i="15"/>
  <c r="S27" i="15"/>
  <c r="T27" i="15"/>
  <c r="U27" i="15"/>
  <c r="V27" i="15"/>
  <c r="N27" i="15"/>
  <c r="N28" i="15" s="1"/>
  <c r="M27" i="15"/>
  <c r="M28" i="15" s="1"/>
  <c r="O27" i="15"/>
  <c r="O28" i="15" s="1"/>
  <c r="P27" i="15"/>
  <c r="P28" i="15" s="1"/>
  <c r="Q27" i="15"/>
  <c r="D58" i="15" l="1"/>
  <c r="Q28" i="15"/>
  <c r="I62" i="12" l="1"/>
  <c r="I64" i="12" l="1"/>
  <c r="I48" i="21" l="1"/>
  <c r="I38" i="21"/>
  <c r="I50" i="21"/>
  <c r="I37" i="21"/>
  <c r="I39" i="21"/>
  <c r="I44" i="21"/>
  <c r="I40" i="21"/>
  <c r="I47" i="21"/>
  <c r="J977" i="19"/>
  <c r="J978" i="19" s="1"/>
  <c r="I33" i="14"/>
  <c r="I41" i="21"/>
  <c r="I46" i="21"/>
  <c r="I42" i="21"/>
  <c r="I45" i="21"/>
  <c r="I34" i="14" l="1"/>
  <c r="I37" i="14"/>
  <c r="I59" i="14" l="1"/>
  <c r="I38" i="14"/>
  <c r="I60" i="14" l="1"/>
  <c r="I69" i="14"/>
  <c r="I73" i="14" l="1"/>
  <c r="I74" i="14" s="1"/>
  <c r="I70" i="14"/>
  <c r="J44" i="21" l="1"/>
  <c r="J41" i="21"/>
  <c r="J42" i="21"/>
  <c r="K977" i="19" l="1"/>
  <c r="K978" i="19" s="1"/>
  <c r="J47" i="21"/>
  <c r="J33" i="14"/>
  <c r="J37" i="14" s="1"/>
  <c r="J46" i="21"/>
  <c r="J40" i="21"/>
  <c r="J48" i="21"/>
  <c r="J37" i="21"/>
  <c r="J39" i="21"/>
  <c r="J38" i="21"/>
  <c r="J50" i="21"/>
  <c r="J45" i="21"/>
  <c r="J34" i="14" l="1"/>
  <c r="J59" i="14"/>
  <c r="J38" i="14"/>
  <c r="J60" i="14" l="1"/>
  <c r="J69" i="14"/>
  <c r="J70" i="14" l="1"/>
  <c r="J73" i="14"/>
  <c r="J74" i="14" s="1"/>
  <c r="K62" i="12"/>
  <c r="M78" i="11" l="1"/>
  <c r="K64" i="12"/>
  <c r="N75" i="11" l="1"/>
  <c r="K37" i="21"/>
  <c r="L62" i="12"/>
  <c r="K41" i="21"/>
  <c r="K42" i="21"/>
  <c r="K44" i="21"/>
  <c r="K45" i="21"/>
  <c r="K40" i="21"/>
  <c r="K46" i="21"/>
  <c r="K50" i="21"/>
  <c r="K39" i="21"/>
  <c r="K33" i="14"/>
  <c r="K37" i="14" s="1"/>
  <c r="L977" i="19"/>
  <c r="L978" i="19" s="1"/>
  <c r="K38" i="21"/>
  <c r="K47" i="21"/>
  <c r="K48" i="21"/>
  <c r="O75" i="11" l="1"/>
  <c r="K34" i="14"/>
  <c r="L64" i="12"/>
  <c r="K38" i="14"/>
  <c r="K59" i="14"/>
  <c r="L48" i="21" l="1"/>
  <c r="M977" i="19"/>
  <c r="M978" i="19" s="1"/>
  <c r="L33" i="14"/>
  <c r="L38" i="21"/>
  <c r="L40" i="21"/>
  <c r="L37" i="21"/>
  <c r="L50" i="21"/>
  <c r="L41" i="21"/>
  <c r="L44" i="21"/>
  <c r="L47" i="21"/>
  <c r="L42" i="21"/>
  <c r="L39" i="21"/>
  <c r="L46" i="21"/>
  <c r="L45" i="21"/>
  <c r="M62" i="12"/>
  <c r="K69" i="14"/>
  <c r="K60" i="14"/>
  <c r="M64" i="12" l="1"/>
  <c r="L37" i="14"/>
  <c r="L34" i="14"/>
  <c r="K73" i="14"/>
  <c r="K74" i="14" s="1"/>
  <c r="K70" i="14"/>
  <c r="P62" i="12" l="1"/>
  <c r="M48" i="21"/>
  <c r="N62" i="12"/>
  <c r="L59" i="14"/>
  <c r="L38" i="14"/>
  <c r="M44" i="21"/>
  <c r="M40" i="21"/>
  <c r="M38" i="21"/>
  <c r="M37" i="21"/>
  <c r="M46" i="21"/>
  <c r="M41" i="21"/>
  <c r="N977" i="19"/>
  <c r="N978" i="19" s="1"/>
  <c r="M50" i="21"/>
  <c r="M42" i="21"/>
  <c r="M33" i="14"/>
  <c r="M47" i="21"/>
  <c r="M39" i="21"/>
  <c r="M45" i="21"/>
  <c r="O62" i="12" l="1"/>
  <c r="M37" i="14"/>
  <c r="M34" i="14"/>
  <c r="L60" i="14"/>
  <c r="L69" i="14"/>
  <c r="L70" i="14" l="1"/>
  <c r="L73" i="14"/>
  <c r="L74" i="14" s="1"/>
  <c r="M59" i="14"/>
  <c r="M38" i="14"/>
  <c r="M69" i="14" l="1"/>
  <c r="M60" i="14"/>
  <c r="M70" i="14" l="1"/>
  <c r="M73" i="14"/>
  <c r="M74" i="14" s="1"/>
  <c r="N81" i="12" l="1"/>
  <c r="O81" i="12"/>
  <c r="N83" i="12" l="1"/>
  <c r="P81" i="12"/>
  <c r="O29" i="14"/>
  <c r="O83" i="12"/>
  <c r="N29" i="14"/>
  <c r="N66" i="21" l="1"/>
  <c r="O65" i="21"/>
  <c r="N58" i="21"/>
  <c r="N55" i="21"/>
  <c r="N61" i="21"/>
  <c r="N67" i="21"/>
  <c r="N62" i="21"/>
  <c r="N65" i="21"/>
  <c r="N69" i="21"/>
  <c r="N56" i="21"/>
  <c r="N59" i="21"/>
  <c r="N63" i="21"/>
  <c r="N57" i="21"/>
  <c r="O62" i="21"/>
  <c r="O56" i="21"/>
  <c r="O58" i="21"/>
  <c r="O66" i="21"/>
  <c r="O55" i="21"/>
  <c r="O63" i="21"/>
  <c r="O57" i="21"/>
  <c r="O59" i="21"/>
  <c r="O69" i="21"/>
  <c r="O61" i="21"/>
  <c r="O36" i="14"/>
  <c r="O30" i="14"/>
  <c r="P83" i="12"/>
  <c r="P29" i="14"/>
  <c r="N30" i="14"/>
  <c r="N36" i="14"/>
  <c r="O67" i="21"/>
  <c r="P30" i="14" l="1"/>
  <c r="P36" i="14"/>
  <c r="N63" i="14"/>
  <c r="N64" i="14" s="1"/>
  <c r="P58" i="21"/>
  <c r="P56" i="21"/>
  <c r="P57" i="21"/>
  <c r="P55" i="21"/>
  <c r="P62" i="21"/>
  <c r="P61" i="21"/>
  <c r="P69" i="21"/>
  <c r="P66" i="21"/>
  <c r="P59" i="21"/>
  <c r="P63" i="21"/>
  <c r="P65" i="21"/>
  <c r="P67" i="21"/>
  <c r="O63" i="14"/>
  <c r="O64" i="14" s="1"/>
  <c r="P63" i="14" l="1"/>
  <c r="P64" i="14" s="1"/>
  <c r="N111" i="12" l="1"/>
  <c r="N123" i="12" l="1"/>
  <c r="N125" i="12" s="1"/>
  <c r="N51" i="12" l="1"/>
  <c r="O124" i="12"/>
  <c r="O125" i="12" s="1"/>
  <c r="P124" i="12" s="1"/>
  <c r="P125" i="12" s="1"/>
  <c r="O51" i="12" l="1"/>
  <c r="O972" i="19"/>
  <c r="N56" i="12"/>
  <c r="O56" i="12"/>
  <c r="P972" i="19"/>
  <c r="P984" i="19" s="1"/>
  <c r="P51" i="12"/>
  <c r="Q124" i="12"/>
  <c r="N64" i="12" l="1"/>
  <c r="N87" i="12"/>
  <c r="N12" i="14"/>
  <c r="O984" i="19"/>
  <c r="O975" i="19"/>
  <c r="Q972" i="19"/>
  <c r="Q984" i="19" s="1"/>
  <c r="P56" i="12"/>
  <c r="P975" i="19"/>
  <c r="O87" i="12"/>
  <c r="O12" i="14"/>
  <c r="O64" i="12"/>
  <c r="N16" i="14" l="1"/>
  <c r="N19" i="14" s="1"/>
  <c r="N14" i="14"/>
  <c r="N47" i="21"/>
  <c r="N33" i="14"/>
  <c r="N40" i="21"/>
  <c r="N50" i="21"/>
  <c r="N41" i="21"/>
  <c r="N44" i="21"/>
  <c r="O977" i="19"/>
  <c r="O978" i="19" s="1"/>
  <c r="N38" i="21"/>
  <c r="N37" i="21"/>
  <c r="N42" i="21"/>
  <c r="N39" i="21"/>
  <c r="N46" i="21"/>
  <c r="N48" i="21"/>
  <c r="N45" i="21"/>
  <c r="Q975" i="19"/>
  <c r="O38" i="21"/>
  <c r="O45" i="21"/>
  <c r="O40" i="21"/>
  <c r="O33" i="14"/>
  <c r="O44" i="21"/>
  <c r="O41" i="21"/>
  <c r="O48" i="21"/>
  <c r="O46" i="21"/>
  <c r="O39" i="21"/>
  <c r="O50" i="21"/>
  <c r="P977" i="19"/>
  <c r="P978" i="19" s="1"/>
  <c r="O47" i="21"/>
  <c r="O37" i="21"/>
  <c r="O42" i="21"/>
  <c r="O16" i="14"/>
  <c r="O19" i="14" s="1"/>
  <c r="O14" i="14"/>
  <c r="P12" i="14"/>
  <c r="P87" i="12"/>
  <c r="P64" i="12"/>
  <c r="N34" i="14" l="1"/>
  <c r="N37" i="14"/>
  <c r="O37" i="14"/>
  <c r="O34" i="14"/>
  <c r="P16" i="14"/>
  <c r="P19" i="14" s="1"/>
  <c r="P14" i="14"/>
  <c r="P47" i="21"/>
  <c r="P38" i="21"/>
  <c r="P33" i="14"/>
  <c r="Q977" i="19"/>
  <c r="Q978" i="19" s="1"/>
  <c r="P41" i="21"/>
  <c r="P40" i="21"/>
  <c r="P44" i="21"/>
  <c r="P50" i="21"/>
  <c r="P45" i="21"/>
  <c r="P39" i="21"/>
  <c r="P48" i="21"/>
  <c r="P46" i="21"/>
  <c r="P37" i="21"/>
  <c r="P42" i="21"/>
  <c r="N59" i="14" l="1"/>
  <c r="N38" i="14"/>
  <c r="P37" i="14"/>
  <c r="P34" i="14"/>
  <c r="O38" i="14"/>
  <c r="O59" i="14"/>
  <c r="N69" i="14" l="1"/>
  <c r="N60" i="14"/>
  <c r="O69" i="14"/>
  <c r="O60" i="14"/>
  <c r="P38" i="14"/>
  <c r="P59" i="14"/>
  <c r="N73" i="14" l="1"/>
  <c r="N74" i="14" s="1"/>
  <c r="N70" i="14"/>
  <c r="P60" i="14"/>
  <c r="P69" i="14"/>
  <c r="O70" i="14"/>
  <c r="O73" i="14"/>
  <c r="O74" i="14" s="1"/>
  <c r="P73" i="14" l="1"/>
  <c r="P74" i="14" s="1"/>
  <c r="P70" i="14"/>
  <c r="Q92" i="11" l="1"/>
  <c r="Q107" i="12" l="1"/>
  <c r="Q53" i="11"/>
  <c r="Q54" i="11" s="1"/>
  <c r="Q73" i="11"/>
  <c r="Q58" i="12" s="1"/>
  <c r="Q98" i="11"/>
  <c r="R92" i="11"/>
  <c r="R107" i="12" l="1"/>
  <c r="Q62" i="12"/>
  <c r="Q80" i="11"/>
  <c r="Q107" i="11"/>
  <c r="Q110" i="11" s="1"/>
  <c r="S92" i="11"/>
  <c r="R50" i="11"/>
  <c r="Q111" i="12"/>
  <c r="R22" i="15"/>
  <c r="R93" i="11" l="1"/>
  <c r="S93" i="11" s="1"/>
  <c r="T93" i="11" s="1"/>
  <c r="U93" i="11" s="1"/>
  <c r="V93" i="11" s="1"/>
  <c r="S22" i="15"/>
  <c r="R111" i="12"/>
  <c r="Q111" i="11"/>
  <c r="Q38" i="12" s="1"/>
  <c r="R12" i="15"/>
  <c r="Q24" i="21"/>
  <c r="Q31" i="12"/>
  <c r="Q100" i="12"/>
  <c r="T92" i="11"/>
  <c r="R70" i="11"/>
  <c r="R73" i="11" s="1"/>
  <c r="R58" i="12" s="1"/>
  <c r="R53" i="11"/>
  <c r="R54" i="11" s="1"/>
  <c r="R80" i="11"/>
  <c r="R107" i="11"/>
  <c r="R110" i="11" s="1"/>
  <c r="R98" i="11" l="1"/>
  <c r="R100" i="12"/>
  <c r="S12" i="15"/>
  <c r="R24" i="21"/>
  <c r="R31" i="12"/>
  <c r="Q26" i="21"/>
  <c r="Q33" i="12"/>
  <c r="Q44" i="12"/>
  <c r="Q50" i="14"/>
  <c r="Q95" i="14" s="1"/>
  <c r="Q97" i="14" s="1"/>
  <c r="Q37" i="12"/>
  <c r="Q45" i="12" s="1"/>
  <c r="R111" i="11"/>
  <c r="R38" i="12" s="1"/>
  <c r="U92" i="11"/>
  <c r="R62" i="12"/>
  <c r="R14" i="15"/>
  <c r="R17" i="15"/>
  <c r="S50" i="11"/>
  <c r="Q112" i="11"/>
  <c r="Q119" i="11" s="1"/>
  <c r="Q120" i="11" s="1"/>
  <c r="R15" i="15"/>
  <c r="Q31" i="21"/>
  <c r="Q104" i="12"/>
  <c r="R112" i="11" l="1"/>
  <c r="R119" i="11" s="1"/>
  <c r="S107" i="12"/>
  <c r="T22" i="15" s="1"/>
  <c r="S94" i="11"/>
  <c r="S98" i="11" s="1"/>
  <c r="S80" i="11"/>
  <c r="S107" i="11"/>
  <c r="S110" i="11" s="1"/>
  <c r="R16" i="15"/>
  <c r="R19" i="15" s="1"/>
  <c r="Q87" i="14"/>
  <c r="Q92" i="14" s="1" a="1"/>
  <c r="Q92" i="14" s="1"/>
  <c r="Q52" i="14"/>
  <c r="R26" i="21"/>
  <c r="R33" i="12"/>
  <c r="R44" i="12"/>
  <c r="R37" i="12"/>
  <c r="R45" i="12" s="1"/>
  <c r="R50" i="14"/>
  <c r="R95" i="14" s="1"/>
  <c r="R97" i="14" s="1"/>
  <c r="Q118" i="12"/>
  <c r="Q121" i="12" s="1"/>
  <c r="T12" i="15"/>
  <c r="S31" i="12"/>
  <c r="S100" i="12"/>
  <c r="S24" i="21"/>
  <c r="S70" i="11"/>
  <c r="S53" i="11"/>
  <c r="S54" i="11" s="1"/>
  <c r="R104" i="12"/>
  <c r="R31" i="21"/>
  <c r="S15" i="15"/>
  <c r="S17" i="15"/>
  <c r="S14" i="15"/>
  <c r="V92" i="11"/>
  <c r="Q97" i="12"/>
  <c r="Q105" i="12" s="1"/>
  <c r="Q39" i="12"/>
  <c r="Q30" i="21"/>
  <c r="T94" i="11" l="1"/>
  <c r="S111" i="12"/>
  <c r="R23" i="15"/>
  <c r="R28" i="15" s="1"/>
  <c r="S111" i="11"/>
  <c r="S38" i="12" s="1"/>
  <c r="R120" i="11"/>
  <c r="R118" i="12" s="1"/>
  <c r="R121" i="12" s="1"/>
  <c r="Q123" i="12"/>
  <c r="Q125" i="12" s="1"/>
  <c r="S73" i="11"/>
  <c r="S58" i="12" s="1"/>
  <c r="S62" i="12" s="1"/>
  <c r="T107" i="11"/>
  <c r="T110" i="11" s="1"/>
  <c r="U94" i="11"/>
  <c r="S16" i="15"/>
  <c r="S19" i="15" s="1"/>
  <c r="Q46" i="12"/>
  <c r="Q32" i="21"/>
  <c r="Q54" i="14"/>
  <c r="S50" i="14"/>
  <c r="S95" i="14" s="1"/>
  <c r="S97" i="14" s="1"/>
  <c r="S37" i="12"/>
  <c r="S33" i="12"/>
  <c r="S26" i="21"/>
  <c r="S44" i="12"/>
  <c r="R52" i="14"/>
  <c r="R87" i="14"/>
  <c r="R92" i="14" s="1" a="1"/>
  <c r="R92" i="14" s="1"/>
  <c r="T17" i="15"/>
  <c r="T14" i="15"/>
  <c r="R39" i="12"/>
  <c r="R30" i="21"/>
  <c r="R97" i="12"/>
  <c r="R105" i="12" s="1"/>
  <c r="T50" i="11"/>
  <c r="Q121" i="11"/>
  <c r="S23" i="15" l="1"/>
  <c r="S28" i="15" s="1"/>
  <c r="T15" i="15"/>
  <c r="T16" i="15" s="1"/>
  <c r="T19" i="15" s="1"/>
  <c r="S31" i="21"/>
  <c r="S104" i="12"/>
  <c r="S45" i="12"/>
  <c r="S112" i="11"/>
  <c r="S119" i="11" s="1"/>
  <c r="S120" i="11" s="1"/>
  <c r="S118" i="12" s="1"/>
  <c r="S121" i="12" s="1"/>
  <c r="T111" i="11"/>
  <c r="T38" i="12" s="1"/>
  <c r="T104" i="12" s="1"/>
  <c r="R123" i="12"/>
  <c r="T107" i="12"/>
  <c r="U22" i="15" s="1"/>
  <c r="T95" i="11"/>
  <c r="U95" i="11" s="1"/>
  <c r="V95" i="11" s="1"/>
  <c r="T80" i="11"/>
  <c r="V94" i="11"/>
  <c r="R118" i="11"/>
  <c r="R121" i="11" s="1"/>
  <c r="R80" i="12" s="1"/>
  <c r="Q80" i="12"/>
  <c r="S30" i="21"/>
  <c r="S97" i="12"/>
  <c r="S39" i="12"/>
  <c r="Q56" i="14"/>
  <c r="Q58" i="14"/>
  <c r="R124" i="12"/>
  <c r="Q51" i="12"/>
  <c r="R972" i="19" s="1"/>
  <c r="R984" i="19" s="1"/>
  <c r="T70" i="11"/>
  <c r="T73" i="11" s="1"/>
  <c r="T58" i="12" s="1"/>
  <c r="T53" i="11"/>
  <c r="T54" i="11" s="1"/>
  <c r="S87" i="14"/>
  <c r="S92" i="14" s="1" a="1"/>
  <c r="S92" i="14" s="1"/>
  <c r="S52" i="14"/>
  <c r="R46" i="12"/>
  <c r="R32" i="21"/>
  <c r="R54" i="14"/>
  <c r="T111" i="12" l="1"/>
  <c r="T31" i="21"/>
  <c r="T98" i="11"/>
  <c r="T23" i="15"/>
  <c r="T28" i="15" s="1"/>
  <c r="S105" i="12"/>
  <c r="S123" i="12" s="1"/>
  <c r="U15" i="15"/>
  <c r="T112" i="11"/>
  <c r="T119" i="11" s="1"/>
  <c r="T120" i="11" s="1"/>
  <c r="T118" i="12" s="1"/>
  <c r="T121" i="12" s="1"/>
  <c r="R125" i="12"/>
  <c r="S124" i="12" s="1"/>
  <c r="R975" i="19"/>
  <c r="T31" i="12"/>
  <c r="U12" i="15"/>
  <c r="T24" i="21"/>
  <c r="T100" i="12"/>
  <c r="Q62" i="14"/>
  <c r="Q56" i="12"/>
  <c r="Q81" i="12"/>
  <c r="U50" i="11"/>
  <c r="S54" i="14"/>
  <c r="S46" i="12"/>
  <c r="S32" i="21"/>
  <c r="S118" i="11"/>
  <c r="S121" i="11" s="1"/>
  <c r="R56" i="14"/>
  <c r="R58" i="14"/>
  <c r="T62" i="12"/>
  <c r="S125" i="12" l="1"/>
  <c r="T124" i="12" s="1"/>
  <c r="R51" i="12"/>
  <c r="R56" i="12" s="1"/>
  <c r="U107" i="12"/>
  <c r="U111" i="12" s="1"/>
  <c r="U96" i="11"/>
  <c r="V96" i="11" s="1"/>
  <c r="U14" i="15"/>
  <c r="U16" i="15" s="1"/>
  <c r="U17" i="15"/>
  <c r="T26" i="21"/>
  <c r="T37" i="12"/>
  <c r="T33" i="12"/>
  <c r="T50" i="14"/>
  <c r="T95" i="14" s="1"/>
  <c r="T97" i="14" s="1"/>
  <c r="T44" i="12"/>
  <c r="U107" i="11"/>
  <c r="U110" i="11" s="1"/>
  <c r="U80" i="11"/>
  <c r="U53" i="11"/>
  <c r="U54" i="11" s="1"/>
  <c r="U70" i="11"/>
  <c r="U73" i="11" s="1"/>
  <c r="U58" i="12" s="1"/>
  <c r="T118" i="11"/>
  <c r="T121" i="11" s="1"/>
  <c r="S80" i="12"/>
  <c r="S58" i="14"/>
  <c r="S56" i="14"/>
  <c r="R62" i="14"/>
  <c r="R81" i="12"/>
  <c r="R83" i="12" s="1"/>
  <c r="Q29" i="14"/>
  <c r="Q83" i="12"/>
  <c r="Q67" i="21" s="1"/>
  <c r="Q87" i="12"/>
  <c r="Q12" i="14"/>
  <c r="Q64" i="12"/>
  <c r="V22" i="15" l="1"/>
  <c r="S51" i="12"/>
  <c r="T972" i="19" s="1"/>
  <c r="T984" i="19" s="1"/>
  <c r="S972" i="19"/>
  <c r="Q42" i="21"/>
  <c r="R977" i="19"/>
  <c r="R978" i="19" s="1"/>
  <c r="U98" i="11"/>
  <c r="V80" i="11"/>
  <c r="T45" i="12"/>
  <c r="T39" i="12"/>
  <c r="T97" i="12"/>
  <c r="T105" i="12" s="1"/>
  <c r="T123" i="12" s="1"/>
  <c r="T125" i="12" s="1"/>
  <c r="U124" i="12" s="1"/>
  <c r="T30" i="21"/>
  <c r="T87" i="14"/>
  <c r="T92" i="14" s="1" a="1"/>
  <c r="T92" i="14" s="1"/>
  <c r="T52" i="14"/>
  <c r="U19" i="15"/>
  <c r="V107" i="11"/>
  <c r="V110" i="11" s="1"/>
  <c r="U111" i="11"/>
  <c r="U38" i="12" s="1"/>
  <c r="U31" i="12"/>
  <c r="U24" i="21"/>
  <c r="V12" i="15"/>
  <c r="U100" i="12"/>
  <c r="V97" i="11"/>
  <c r="V98" i="11" s="1"/>
  <c r="V107" i="12"/>
  <c r="Q14" i="14"/>
  <c r="Q16" i="14"/>
  <c r="Q19" i="14" s="1"/>
  <c r="Q62" i="21"/>
  <c r="Q69" i="21"/>
  <c r="Q61" i="21"/>
  <c r="Q65" i="21"/>
  <c r="Q55" i="21"/>
  <c r="Q58" i="21"/>
  <c r="Q56" i="21"/>
  <c r="Q59" i="21"/>
  <c r="Q63" i="21"/>
  <c r="Q57" i="21"/>
  <c r="Q66" i="21"/>
  <c r="R29" i="14"/>
  <c r="U62" i="12"/>
  <c r="Q30" i="14"/>
  <c r="Q36" i="14"/>
  <c r="R12" i="14"/>
  <c r="R87" i="12"/>
  <c r="R64" i="12"/>
  <c r="S62" i="14"/>
  <c r="S81" i="12"/>
  <c r="S83" i="12" s="1"/>
  <c r="Q33" i="14"/>
  <c r="Q38" i="21"/>
  <c r="Q41" i="21"/>
  <c r="Q40" i="21"/>
  <c r="Q46" i="21"/>
  <c r="Q47" i="21"/>
  <c r="Q50" i="21"/>
  <c r="Q39" i="21"/>
  <c r="Q45" i="21"/>
  <c r="Q44" i="21"/>
  <c r="Q48" i="21"/>
  <c r="Q37" i="21"/>
  <c r="T80" i="12"/>
  <c r="U118" i="11"/>
  <c r="V50" i="11"/>
  <c r="S56" i="12" l="1"/>
  <c r="S64" i="12" s="1"/>
  <c r="U23" i="15"/>
  <c r="U28" i="15" s="1"/>
  <c r="T975" i="19"/>
  <c r="U112" i="11"/>
  <c r="U119" i="11" s="1"/>
  <c r="S984" i="19"/>
  <c r="S975" i="19"/>
  <c r="R42" i="21"/>
  <c r="S977" i="19"/>
  <c r="S978" i="19" s="1"/>
  <c r="T51" i="12"/>
  <c r="U972" i="19" s="1"/>
  <c r="U984" i="19" s="1"/>
  <c r="T54" i="14"/>
  <c r="T32" i="21"/>
  <c r="T46" i="12"/>
  <c r="W22" i="15"/>
  <c r="V111" i="12"/>
  <c r="V15" i="15"/>
  <c r="U31" i="21"/>
  <c r="U104" i="12"/>
  <c r="V24" i="21"/>
  <c r="V31" i="12"/>
  <c r="V100" i="12"/>
  <c r="W12" i="15"/>
  <c r="V111" i="11"/>
  <c r="V38" i="12" s="1"/>
  <c r="U37" i="12"/>
  <c r="U44" i="12"/>
  <c r="U50" i="14"/>
  <c r="U95" i="14" s="1"/>
  <c r="U97" i="14" s="1"/>
  <c r="U26" i="21"/>
  <c r="U33" i="12"/>
  <c r="V14" i="15"/>
  <c r="V17" i="15"/>
  <c r="T81" i="12"/>
  <c r="V53" i="11"/>
  <c r="V54" i="11" s="1"/>
  <c r="V70" i="11"/>
  <c r="V73" i="11" s="1"/>
  <c r="V58" i="12" s="1"/>
  <c r="Q34" i="14"/>
  <c r="Q37" i="14"/>
  <c r="Q59" i="14" s="1"/>
  <c r="R57" i="21"/>
  <c r="R56" i="21"/>
  <c r="R59" i="21"/>
  <c r="R65" i="21"/>
  <c r="R69" i="21"/>
  <c r="R62" i="21"/>
  <c r="R63" i="21"/>
  <c r="R61" i="21"/>
  <c r="R58" i="21"/>
  <c r="R55" i="21"/>
  <c r="R66" i="21"/>
  <c r="S87" i="12"/>
  <c r="S12" i="14"/>
  <c r="T977" i="19"/>
  <c r="T978" i="19" s="1"/>
  <c r="R14" i="14"/>
  <c r="R16" i="14"/>
  <c r="R19" i="14" s="1"/>
  <c r="R38" i="21"/>
  <c r="R41" i="21"/>
  <c r="R40" i="21"/>
  <c r="R46" i="21"/>
  <c r="R47" i="21"/>
  <c r="R45" i="21"/>
  <c r="R33" i="14"/>
  <c r="R50" i="21"/>
  <c r="R39" i="21"/>
  <c r="R44" i="21"/>
  <c r="R48" i="21"/>
  <c r="R37" i="21"/>
  <c r="Q63" i="14"/>
  <c r="Q64" i="14" s="1"/>
  <c r="R67" i="21"/>
  <c r="S29" i="14"/>
  <c r="R30" i="14"/>
  <c r="R36" i="14"/>
  <c r="X38" i="12" l="1"/>
  <c r="Y38" i="12"/>
  <c r="Z38" i="12"/>
  <c r="X31" i="12"/>
  <c r="Y31" i="12"/>
  <c r="Z31" i="12"/>
  <c r="V112" i="11"/>
  <c r="V119" i="11" s="1"/>
  <c r="U120" i="11"/>
  <c r="U118" i="12" s="1"/>
  <c r="U121" i="12" s="1"/>
  <c r="T56" i="12"/>
  <c r="T64" i="12" s="1"/>
  <c r="U977" i="19" s="1"/>
  <c r="U978" i="19" s="1"/>
  <c r="U975" i="19"/>
  <c r="Q38" i="14"/>
  <c r="T56" i="14"/>
  <c r="T58" i="14"/>
  <c r="T62" i="14" s="1"/>
  <c r="V16" i="15"/>
  <c r="V19" i="15" s="1"/>
  <c r="U87" i="14"/>
  <c r="U92" i="14" s="1" a="1"/>
  <c r="U92" i="14" s="1"/>
  <c r="U52" i="14"/>
  <c r="V26" i="21"/>
  <c r="V44" i="12"/>
  <c r="V33" i="12"/>
  <c r="V50" i="14"/>
  <c r="V95" i="14" s="1"/>
  <c r="V97" i="14" s="1"/>
  <c r="V37" i="12"/>
  <c r="U39" i="12"/>
  <c r="U97" i="12"/>
  <c r="U105" i="12" s="1"/>
  <c r="U30" i="21"/>
  <c r="W17" i="15"/>
  <c r="W14" i="15"/>
  <c r="U45" i="12"/>
  <c r="V104" i="12"/>
  <c r="W15" i="15"/>
  <c r="V31" i="21"/>
  <c r="S36" i="14"/>
  <c r="S30" i="14"/>
  <c r="S33" i="14"/>
  <c r="S40" i="21"/>
  <c r="S38" i="21"/>
  <c r="S50" i="21"/>
  <c r="S46" i="21"/>
  <c r="S47" i="21"/>
  <c r="S41" i="21"/>
  <c r="S45" i="21"/>
  <c r="S39" i="21"/>
  <c r="S44" i="21"/>
  <c r="S48" i="21"/>
  <c r="S37" i="21"/>
  <c r="R34" i="14"/>
  <c r="R37" i="14"/>
  <c r="R59" i="14" s="1"/>
  <c r="S62" i="21"/>
  <c r="S63" i="21"/>
  <c r="S69" i="21"/>
  <c r="S65" i="21"/>
  <c r="S55" i="21"/>
  <c r="S58" i="21"/>
  <c r="S59" i="21"/>
  <c r="S57" i="21"/>
  <c r="S56" i="21"/>
  <c r="S61" i="21"/>
  <c r="S66" i="21"/>
  <c r="S14" i="14"/>
  <c r="S16" i="14"/>
  <c r="S19" i="14" s="1"/>
  <c r="Q69" i="14"/>
  <c r="Q60" i="14"/>
  <c r="T29" i="14"/>
  <c r="T83" i="12"/>
  <c r="T67" i="21" s="1"/>
  <c r="R63" i="14"/>
  <c r="R64" i="14" s="1"/>
  <c r="S67" i="21"/>
  <c r="S42" i="21"/>
  <c r="V62" i="12"/>
  <c r="U121" i="11" l="1"/>
  <c r="U80" i="12" s="1"/>
  <c r="U81" i="12" s="1"/>
  <c r="U83" i="12" s="1"/>
  <c r="U67" i="21" s="1"/>
  <c r="V23" i="15"/>
  <c r="V28" i="15" s="1"/>
  <c r="T12" i="14"/>
  <c r="T14" i="14" s="1"/>
  <c r="T87" i="12"/>
  <c r="U123" i="12"/>
  <c r="U125" i="12" s="1"/>
  <c r="U51" i="12" s="1"/>
  <c r="V120" i="11"/>
  <c r="V118" i="12" s="1"/>
  <c r="V121" i="12" s="1"/>
  <c r="W16" i="15"/>
  <c r="W19" i="15" s="1"/>
  <c r="V87" i="14"/>
  <c r="V92" i="14" s="1" a="1"/>
  <c r="V92" i="14" s="1"/>
  <c r="V52" i="14"/>
  <c r="U46" i="12"/>
  <c r="U32" i="21"/>
  <c r="U54" i="14"/>
  <c r="V45" i="12"/>
  <c r="V97" i="12"/>
  <c r="V105" i="12" s="1"/>
  <c r="V30" i="21"/>
  <c r="V39" i="12"/>
  <c r="R69" i="14"/>
  <c r="R60" i="14"/>
  <c r="R38" i="14"/>
  <c r="S63" i="14"/>
  <c r="S64" i="14" s="1"/>
  <c r="T41" i="21"/>
  <c r="T46" i="21"/>
  <c r="T50" i="21"/>
  <c r="T39" i="21"/>
  <c r="T45" i="21"/>
  <c r="T40" i="21"/>
  <c r="T38" i="21"/>
  <c r="T47" i="21"/>
  <c r="T33" i="14"/>
  <c r="T44" i="21"/>
  <c r="T48" i="21"/>
  <c r="T37" i="21"/>
  <c r="T36" i="14"/>
  <c r="T30" i="14"/>
  <c r="T42" i="21"/>
  <c r="Q70" i="14"/>
  <c r="Q73" i="14"/>
  <c r="Q74" i="14" s="1"/>
  <c r="T59" i="21"/>
  <c r="T61" i="21"/>
  <c r="T63" i="21"/>
  <c r="T69" i="21"/>
  <c r="T58" i="21"/>
  <c r="T65" i="21"/>
  <c r="T57" i="21"/>
  <c r="T62" i="21"/>
  <c r="T56" i="21"/>
  <c r="T55" i="21"/>
  <c r="T66" i="21"/>
  <c r="S34" i="14"/>
  <c r="S37" i="14"/>
  <c r="S59" i="14" s="1"/>
  <c r="V118" i="11" l="1"/>
  <c r="V121" i="11" s="1"/>
  <c r="V80" i="12" s="1"/>
  <c r="T16" i="14"/>
  <c r="T19" i="14" s="1"/>
  <c r="X39" i="12"/>
  <c r="Y39" i="12"/>
  <c r="Z39" i="12"/>
  <c r="W23" i="15"/>
  <c r="V124" i="12"/>
  <c r="V123" i="12"/>
  <c r="U56" i="12"/>
  <c r="U12" i="14" s="1"/>
  <c r="U14" i="14" s="1"/>
  <c r="V972" i="19"/>
  <c r="V984" i="19" s="1"/>
  <c r="U29" i="14"/>
  <c r="U30" i="14" s="1"/>
  <c r="V46" i="12"/>
  <c r="V32" i="21"/>
  <c r="V54" i="14"/>
  <c r="U56" i="14"/>
  <c r="U58" i="14"/>
  <c r="U62" i="14" s="1"/>
  <c r="S69" i="14"/>
  <c r="S60" i="14"/>
  <c r="T63" i="14"/>
  <c r="T64" i="14" s="1"/>
  <c r="T37" i="14"/>
  <c r="T59" i="14" s="1"/>
  <c r="T34" i="14"/>
  <c r="S38" i="14"/>
  <c r="U65" i="21"/>
  <c r="U58" i="21"/>
  <c r="U63" i="21"/>
  <c r="U62" i="21"/>
  <c r="U61" i="21"/>
  <c r="U57" i="21"/>
  <c r="U59" i="21"/>
  <c r="U69" i="21"/>
  <c r="U55" i="21"/>
  <c r="U56" i="21"/>
  <c r="U66" i="21"/>
  <c r="R70" i="14"/>
  <c r="R73" i="14"/>
  <c r="R74" i="14" s="1"/>
  <c r="D34" i="15" l="1"/>
  <c r="D35" i="15" s="1"/>
  <c r="W28" i="15"/>
  <c r="D37" i="15" s="1"/>
  <c r="D59" i="15" s="1"/>
  <c r="D60" i="15" s="1"/>
  <c r="V81" i="12"/>
  <c r="V29" i="14" s="1"/>
  <c r="V36" i="14" s="1"/>
  <c r="V63" i="14" s="1"/>
  <c r="X80" i="12"/>
  <c r="Y80" i="12"/>
  <c r="Z80" i="12"/>
  <c r="V125" i="12"/>
  <c r="V51" i="12" s="1"/>
  <c r="V56" i="12" s="1"/>
  <c r="U87" i="12"/>
  <c r="U64" i="12"/>
  <c r="U48" i="21" s="1"/>
  <c r="U36" i="14"/>
  <c r="U63" i="14" s="1"/>
  <c r="U64" i="14" s="1"/>
  <c r="V975" i="19"/>
  <c r="U16" i="14"/>
  <c r="U19" i="14" s="1"/>
  <c r="V58" i="14"/>
  <c r="V62" i="14" s="1"/>
  <c r="V56" i="14"/>
  <c r="T69" i="14"/>
  <c r="T60" i="14"/>
  <c r="S70" i="14"/>
  <c r="S73" i="14"/>
  <c r="S74" i="14" s="1"/>
  <c r="T38" i="14"/>
  <c r="D39" i="15" l="1"/>
  <c r="D36" i="15"/>
  <c r="D38" i="15" s="1"/>
  <c r="V83" i="12"/>
  <c r="V67" i="21" s="1"/>
  <c r="V30" i="14"/>
  <c r="W972" i="19"/>
  <c r="W984" i="19" s="1"/>
  <c r="U40" i="21"/>
  <c r="V64" i="12"/>
  <c r="V40" i="21" s="1"/>
  <c r="V977" i="19"/>
  <c r="V978" i="19" s="1"/>
  <c r="U41" i="21"/>
  <c r="U45" i="21"/>
  <c r="U46" i="21"/>
  <c r="U50" i="21"/>
  <c r="U39" i="21"/>
  <c r="U38" i="21"/>
  <c r="U33" i="14"/>
  <c r="U34" i="14" s="1"/>
  <c r="U47" i="21"/>
  <c r="V87" i="12"/>
  <c r="U42" i="21"/>
  <c r="U44" i="21"/>
  <c r="U37" i="21"/>
  <c r="V12" i="14"/>
  <c r="V14" i="14" s="1"/>
  <c r="V64" i="14"/>
  <c r="T73" i="14"/>
  <c r="T74" i="14" s="1"/>
  <c r="T70" i="14"/>
  <c r="D40" i="15" l="1"/>
  <c r="V56" i="21"/>
  <c r="V65" i="21"/>
  <c r="V58" i="21"/>
  <c r="V59" i="21"/>
  <c r="V69" i="21"/>
  <c r="V63" i="21"/>
  <c r="V66" i="21"/>
  <c r="V62" i="21"/>
  <c r="V57" i="21"/>
  <c r="V61" i="21"/>
  <c r="V55" i="21"/>
  <c r="W975" i="19"/>
  <c r="V39" i="21"/>
  <c r="V37" i="21"/>
  <c r="V47" i="21"/>
  <c r="V33" i="14"/>
  <c r="V37" i="14" s="1"/>
  <c r="V59" i="14" s="1"/>
  <c r="V69" i="14" s="1"/>
  <c r="V70" i="14" s="1"/>
  <c r="V46" i="21"/>
  <c r="V41" i="21"/>
  <c r="V42" i="21"/>
  <c r="V45" i="21"/>
  <c r="W977" i="19"/>
  <c r="W978" i="19" s="1"/>
  <c r="V48" i="21"/>
  <c r="V38" i="21"/>
  <c r="V44" i="21"/>
  <c r="V50" i="21"/>
  <c r="U37" i="14"/>
  <c r="U59" i="14" s="1"/>
  <c r="U60" i="14" s="1"/>
  <c r="V16" i="14"/>
  <c r="V19" i="14" s="1"/>
  <c r="D46" i="15" l="1"/>
  <c r="D48" i="15" s="1"/>
  <c r="D50" i="15" s="1"/>
  <c r="D41" i="15"/>
  <c r="D63" i="15"/>
  <c r="D62" i="15"/>
  <c r="D68" i="15"/>
  <c r="D70" i="15" s="1"/>
  <c r="D72" i="15" s="1"/>
  <c r="V38" i="14"/>
  <c r="V60" i="14"/>
  <c r="V34" i="14"/>
  <c r="U69" i="14"/>
  <c r="U73" i="14" s="1"/>
  <c r="U74" i="14" s="1"/>
  <c r="U38" i="14"/>
  <c r="C77" i="15" l="1"/>
  <c r="C90" i="15"/>
  <c r="U70" i="14"/>
  <c r="V73" i="14"/>
  <c r="V74" i="1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HIMANSHU SHARMA</author>
  </authors>
  <commentList>
    <comment ref="C10" authorId="0" shapeId="0" xr:uid="{55178D85-7113-4EB8-9FFD-838181DF28A8}">
      <text>
        <r>
          <rPr>
            <b/>
            <sz val="9"/>
            <color indexed="81"/>
            <rFont val="Tahoma"/>
            <family val="2"/>
          </rPr>
          <t>HIMANSHU SHARMA:</t>
        </r>
        <r>
          <rPr>
            <sz val="9"/>
            <color indexed="81"/>
            <rFont val="Tahoma"/>
            <family val="2"/>
          </rPr>
          <t xml:space="preserve">
Taken From Trading Economics
</t>
        </r>
      </text>
    </comment>
    <comment ref="C13" authorId="0" shapeId="0" xr:uid="{0CD19919-0B88-4E79-BC84-A5166B3285D2}">
      <text>
        <r>
          <rPr>
            <b/>
            <sz val="9"/>
            <color indexed="81"/>
            <rFont val="Tahoma"/>
            <family val="2"/>
          </rPr>
          <t>HIMANSHU SHARMA:</t>
        </r>
        <r>
          <rPr>
            <sz val="9"/>
            <color indexed="81"/>
            <rFont val="Tahoma"/>
            <family val="2"/>
          </rPr>
          <t xml:space="preserve">
Taken from Dr Damodaran's Website -1st Jan 2026</t>
        </r>
      </text>
    </comment>
    <comment ref="C18" authorId="0" shapeId="0" xr:uid="{FF7C243F-ED97-4824-90C5-E45284FB5177}">
      <text>
        <r>
          <rPr>
            <b/>
            <sz val="9"/>
            <color indexed="81"/>
            <rFont val="Tahoma"/>
            <family val="2"/>
          </rPr>
          <t>HIMANSHU SHARMA:</t>
        </r>
        <r>
          <rPr>
            <sz val="9"/>
            <color indexed="81"/>
            <rFont val="Tahoma"/>
            <family val="2"/>
          </rPr>
          <t xml:space="preserve">
Tax Taken from PWC INDIA Tax Summaries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HIMANSHU SHARMA</author>
  </authors>
  <commentList>
    <comment ref="B323" authorId="0" shapeId="0" xr:uid="{DD4AF2B9-4400-4F29-B1DA-DAC89B2942D5}">
      <text>
        <r>
          <rPr>
            <b/>
            <sz val="9"/>
            <color indexed="81"/>
            <rFont val="Tahoma"/>
            <family val="2"/>
          </rPr>
          <t>HIMANSHU SHARMA:</t>
        </r>
        <r>
          <rPr>
            <sz val="9"/>
            <color indexed="81"/>
            <rFont val="Tahoma"/>
            <family val="2"/>
          </rPr>
          <t xml:space="preserve">
FY 2025 Page no 262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<sst xmlns="http://schemas.openxmlformats.org/spreadsheetml/2006/main" count="2241" uniqueCount="1127">
  <si>
    <t>Audited Income Statement</t>
  </si>
  <si>
    <t>In Rs Crores unless stated otherwise</t>
  </si>
  <si>
    <t>Sales</t>
  </si>
  <si>
    <t>Less: Cost of Goods Sold</t>
  </si>
  <si>
    <t>Gross Profit</t>
  </si>
  <si>
    <t>Less: Selling, General and Admin (SG&amp;A)</t>
  </si>
  <si>
    <t>Depreciation</t>
  </si>
  <si>
    <t>Amortization</t>
  </si>
  <si>
    <t>Less: Taxes</t>
  </si>
  <si>
    <t>Net Income</t>
  </si>
  <si>
    <t>Audited Balance Sheet</t>
  </si>
  <si>
    <t>Assets</t>
  </si>
  <si>
    <t>Cash</t>
  </si>
  <si>
    <t>Inventory</t>
  </si>
  <si>
    <t>Debtors</t>
  </si>
  <si>
    <t>Prepaid Expenses</t>
  </si>
  <si>
    <t>Other Current Assets</t>
  </si>
  <si>
    <t>Total Current Assets</t>
  </si>
  <si>
    <t>Other Non-Current Assets</t>
  </si>
  <si>
    <t>Total Non-Current Assets</t>
  </si>
  <si>
    <t>Total Assets</t>
  </si>
  <si>
    <t>Liabilities and Shareholders' Equity</t>
  </si>
  <si>
    <t>Creditors</t>
  </si>
  <si>
    <t>Other Payables</t>
  </si>
  <si>
    <t>Other Current Liabilities</t>
  </si>
  <si>
    <t>Total Current Liabilities</t>
  </si>
  <si>
    <t>Other Non-Current Liabilities</t>
  </si>
  <si>
    <t>Total Non-Current Liabilities</t>
  </si>
  <si>
    <t>Equity Shares</t>
  </si>
  <si>
    <t>Retained Earnings</t>
  </si>
  <si>
    <t>Total Shareholders' Equity</t>
  </si>
  <si>
    <t>Total Liabilities and Shareholders' Equity</t>
  </si>
  <si>
    <t>Control Sheet</t>
  </si>
  <si>
    <t>Actual</t>
  </si>
  <si>
    <t>In INR Crores Other wise Stated</t>
  </si>
  <si>
    <t>#</t>
  </si>
  <si>
    <t xml:space="preserve">Management Case </t>
  </si>
  <si>
    <t xml:space="preserve">Best Case </t>
  </si>
  <si>
    <t xml:space="preserve">Down Case </t>
  </si>
  <si>
    <t>Current Case</t>
  </si>
  <si>
    <t>Total Sales</t>
  </si>
  <si>
    <t>COGS Schedule</t>
  </si>
  <si>
    <t xml:space="preserve"> </t>
  </si>
  <si>
    <t>SG&amp;A (Excluding Depreciation &amp; Interest Expenses) Schedule</t>
  </si>
  <si>
    <t>Total SG&amp;A (Excluding Depriciation &amp; Interest Expense)</t>
  </si>
  <si>
    <t>Total SG&amp;A % Sales</t>
  </si>
  <si>
    <t>Marginal Tax Rate</t>
  </si>
  <si>
    <t>Dividend Payout %</t>
  </si>
  <si>
    <t>Non Current Asset Schedule</t>
  </si>
  <si>
    <t>Intangible Non Current Assets</t>
  </si>
  <si>
    <t>Depreciation Schedule</t>
  </si>
  <si>
    <t>PP&amp;E - Beginning of the Year</t>
  </si>
  <si>
    <t>Add : Tangible Assets Spend</t>
  </si>
  <si>
    <t>Less : Depreciation</t>
  </si>
  <si>
    <t>PP&amp;E - Ending of the Year</t>
  </si>
  <si>
    <t>Intangible Non Current Assets - Beginning of the Year</t>
  </si>
  <si>
    <t>Intangible Non Current Assets - Ending of the Year</t>
  </si>
  <si>
    <t>Less : Amortization</t>
  </si>
  <si>
    <t>Depreciation WaterFall Schedule</t>
  </si>
  <si>
    <t>Total Deprecition</t>
  </si>
  <si>
    <t>Tax Expenses Schedule</t>
  </si>
  <si>
    <t xml:space="preserve">Revenue </t>
  </si>
  <si>
    <t>Less : Cost of Good Sold</t>
  </si>
  <si>
    <t>Less : SG&amp;A Expenses</t>
  </si>
  <si>
    <t>Less : Depreciation &amp; Amortization</t>
  </si>
  <si>
    <t>Less : Interest Expenses</t>
  </si>
  <si>
    <t>Earning Before Tax</t>
  </si>
  <si>
    <t>Less: Tax</t>
  </si>
  <si>
    <t>Retained Earnings Schedule</t>
  </si>
  <si>
    <t>Retained Earnings - Beginning of Year</t>
  </si>
  <si>
    <t>Less : Dividend Paid</t>
  </si>
  <si>
    <t>Retained Earning  - Ending of Year</t>
  </si>
  <si>
    <t>Dividend Pay out Rate %</t>
  </si>
  <si>
    <t>Working Capital Schedule</t>
  </si>
  <si>
    <t>Debtor Days</t>
  </si>
  <si>
    <t>Cogs</t>
  </si>
  <si>
    <t>Inventory Days</t>
  </si>
  <si>
    <t>Other Current Assets  % Sales</t>
  </si>
  <si>
    <t>COGS</t>
  </si>
  <si>
    <t>Creditors Days</t>
  </si>
  <si>
    <t>Other Payables % Sales</t>
  </si>
  <si>
    <t>Change in Working Capital</t>
  </si>
  <si>
    <t>Change in Inventory</t>
  </si>
  <si>
    <t>Change in Debtors</t>
  </si>
  <si>
    <t>Change in Other Current Assets</t>
  </si>
  <si>
    <t>Change in Total Current Assets (Excluding Cash)</t>
  </si>
  <si>
    <t>Change in Other Payables</t>
  </si>
  <si>
    <t>Change in Other Current Liabilities</t>
  </si>
  <si>
    <t>Loan Schedule</t>
  </si>
  <si>
    <t>Interest Schedule</t>
  </si>
  <si>
    <t>Three Statement Model</t>
  </si>
  <si>
    <t xml:space="preserve">                   Actual</t>
  </si>
  <si>
    <t>Less: SG&amp;A Expense (Excluding Depreciation &amp; Interest)</t>
  </si>
  <si>
    <t>EBITDA</t>
  </si>
  <si>
    <t>EBIT</t>
  </si>
  <si>
    <t>Less: Depreciation &amp; Amortization</t>
  </si>
  <si>
    <t>Earning Before Taxes</t>
  </si>
  <si>
    <t xml:space="preserve">               CAGR</t>
  </si>
  <si>
    <t>5 Years</t>
  </si>
  <si>
    <t>3 Years</t>
  </si>
  <si>
    <t xml:space="preserve">Sales Growth % </t>
  </si>
  <si>
    <t>Gross Profit Margin %</t>
  </si>
  <si>
    <t>EBITDA Margin %</t>
  </si>
  <si>
    <t>EBIT Margin %</t>
  </si>
  <si>
    <t>Net Profit Margin %</t>
  </si>
  <si>
    <t>Actual Tax Rate  %</t>
  </si>
  <si>
    <t>Income Statement</t>
  </si>
  <si>
    <t>Balance Sheet</t>
  </si>
  <si>
    <t>Check</t>
  </si>
  <si>
    <t>Net Working Capital</t>
  </si>
  <si>
    <t>Other Current Assets % Sales</t>
  </si>
  <si>
    <t>Other Current Liabilites % Sales</t>
  </si>
  <si>
    <t>Cash Flow</t>
  </si>
  <si>
    <t>Add: Depreciation</t>
  </si>
  <si>
    <t>Add: Amortization</t>
  </si>
  <si>
    <t>Less: Change in Working Capital</t>
  </si>
  <si>
    <t>Cash Flow from Investments Activities</t>
  </si>
  <si>
    <t>Cash Flow from Financing  Activities</t>
  </si>
  <si>
    <t>Cash Flow from Operations Activities</t>
  </si>
  <si>
    <t>Net Change in Cash</t>
  </si>
  <si>
    <t>Opening Cash Balance</t>
  </si>
  <si>
    <t>Closing Cash Balance</t>
  </si>
  <si>
    <t>Common Size Statement</t>
  </si>
  <si>
    <t>Ratio Analysis</t>
  </si>
  <si>
    <t>Liquidity Ratios</t>
  </si>
  <si>
    <t>Current Assets</t>
  </si>
  <si>
    <t>Current Liabilities</t>
  </si>
  <si>
    <t>Current Ratio</t>
  </si>
  <si>
    <t>Quick Ratio / Acid Test Ratio</t>
  </si>
  <si>
    <t>Debtors Days</t>
  </si>
  <si>
    <t>Cash Conversion Days</t>
  </si>
  <si>
    <t>Leverage Ratio / Solvency Ratio</t>
  </si>
  <si>
    <t xml:space="preserve">Total Debt </t>
  </si>
  <si>
    <t>Total Equity</t>
  </si>
  <si>
    <t>Debt to Equity Ratio</t>
  </si>
  <si>
    <t>Debt to Assets Ratio</t>
  </si>
  <si>
    <t>Equity Ratio</t>
  </si>
  <si>
    <t>Profitability / Margin Ratio</t>
  </si>
  <si>
    <t>Gross Margin</t>
  </si>
  <si>
    <t>EBIT Margin</t>
  </si>
  <si>
    <t>EBITDA Margin</t>
  </si>
  <si>
    <t xml:space="preserve">EBITDA </t>
  </si>
  <si>
    <t>Net Profit</t>
  </si>
  <si>
    <t>Net Profit Margin</t>
  </si>
  <si>
    <t>Retur on Assets</t>
  </si>
  <si>
    <t>Efficiency Ratio</t>
  </si>
  <si>
    <t>Change in Revenue</t>
  </si>
  <si>
    <t>Change in Total Assets</t>
  </si>
  <si>
    <t>Reinvestment Ratio</t>
  </si>
  <si>
    <t>Inventory Turnover Ratio</t>
  </si>
  <si>
    <t>Asset Turnover Ratio</t>
  </si>
  <si>
    <t>Coverage Ratio</t>
  </si>
  <si>
    <t>Total Debt</t>
  </si>
  <si>
    <t>Debt to EBITDA Ratio</t>
  </si>
  <si>
    <t>Interest</t>
  </si>
  <si>
    <t>Debt Repayment</t>
  </si>
  <si>
    <t>Debt Service Coverage Ratio</t>
  </si>
  <si>
    <t>Interest Expense</t>
  </si>
  <si>
    <t>Interest Coverage Ratio</t>
  </si>
  <si>
    <t>Return on Equity</t>
  </si>
  <si>
    <t>Free Cash Flow to Firm</t>
  </si>
  <si>
    <t>DCF MODEL</t>
  </si>
  <si>
    <t>Less: Depreciation</t>
  </si>
  <si>
    <t>Less: Amortization</t>
  </si>
  <si>
    <t>EBIT (1-T)</t>
  </si>
  <si>
    <t>Less: Reinvestments</t>
  </si>
  <si>
    <t>Change in Working capital</t>
  </si>
  <si>
    <t>Present Value Factor</t>
  </si>
  <si>
    <t xml:space="preserve"> Actual</t>
  </si>
  <si>
    <t>Mid Year Convenstion</t>
  </si>
  <si>
    <t xml:space="preserve">Yes </t>
  </si>
  <si>
    <t>No</t>
  </si>
  <si>
    <t>Discount Period (Years)</t>
  </si>
  <si>
    <t>Yes</t>
  </si>
  <si>
    <t>Present Value of Free Cash Flow to Firm</t>
  </si>
  <si>
    <t>Weighted Average Cost of Capital</t>
  </si>
  <si>
    <t>Risk Free Rate</t>
  </si>
  <si>
    <t>Equity Risk Premium</t>
  </si>
  <si>
    <t>Beta</t>
  </si>
  <si>
    <t>Cost of Debt</t>
  </si>
  <si>
    <t>DCF Calculation - Perpetuity Growth</t>
  </si>
  <si>
    <t>Perpetual Growth Rate</t>
  </si>
  <si>
    <t>Terminal Year FCFF x (1+PGR)</t>
  </si>
  <si>
    <t>Terminal Value</t>
  </si>
  <si>
    <t>Present Value of Terminal Value</t>
  </si>
  <si>
    <t>Present Value of FCFF's</t>
  </si>
  <si>
    <t>Enterprise Value</t>
  </si>
  <si>
    <t>Implied Exit Multiple</t>
  </si>
  <si>
    <t>Implied Ev/EBITDA</t>
  </si>
  <si>
    <t>Less: Debt</t>
  </si>
  <si>
    <t>Add: Cash</t>
  </si>
  <si>
    <t>Equity Value</t>
  </si>
  <si>
    <t>DCF Calculation - Exit Multiple</t>
  </si>
  <si>
    <t>Exit Multiple</t>
  </si>
  <si>
    <t>Terminal Year EBITDA</t>
  </si>
  <si>
    <t>Termial Value</t>
  </si>
  <si>
    <t>Present Value of FCFF</t>
  </si>
  <si>
    <t>Implied EV/EBITDA</t>
  </si>
  <si>
    <t>Mid Year ?</t>
  </si>
  <si>
    <t>Wacc</t>
  </si>
  <si>
    <t>Salaries, Wages &amp; Bonus</t>
  </si>
  <si>
    <t>Finance Cost</t>
  </si>
  <si>
    <t>Power &amp; Fuel Cost</t>
  </si>
  <si>
    <t>Rent , Rates &amp; Taxes</t>
  </si>
  <si>
    <t>Other Administration</t>
  </si>
  <si>
    <t>Selling and Distribution Cost</t>
  </si>
  <si>
    <t>Other Miscellaneous Expenses &amp; Insurance</t>
  </si>
  <si>
    <t>Tax</t>
  </si>
  <si>
    <t>NET PROFIT</t>
  </si>
  <si>
    <t>Diluted EPS</t>
  </si>
  <si>
    <t>Epigral</t>
  </si>
  <si>
    <t>https://www.goindiastocks.com/companyinfo/210481</t>
  </si>
  <si>
    <t>Source : Go India Stocks</t>
  </si>
  <si>
    <t>Inventories</t>
  </si>
  <si>
    <t>Trade Receivables</t>
  </si>
  <si>
    <t>Cash and Cash Equivalents</t>
  </si>
  <si>
    <t>Capital Work in Progress</t>
  </si>
  <si>
    <t>Other Non-current Assets</t>
  </si>
  <si>
    <t>Short Term Provisions</t>
  </si>
  <si>
    <t>Long-Term Borrowings</t>
  </si>
  <si>
    <t>Short-Term Borrowings</t>
  </si>
  <si>
    <t>Long Term Investment</t>
  </si>
  <si>
    <t>Long Term Loans &amp; Advances</t>
  </si>
  <si>
    <t>Other Non-current Asset</t>
  </si>
  <si>
    <t>Investments</t>
  </si>
  <si>
    <t>Advances recoverable in cash or in kind</t>
  </si>
  <si>
    <t>Other Loans and Advances</t>
  </si>
  <si>
    <t>Other Current Asset</t>
  </si>
  <si>
    <t>Total Non Current Assets</t>
  </si>
  <si>
    <t>Sundry Creditors</t>
  </si>
  <si>
    <t>Bank Overdraft / Short term credit</t>
  </si>
  <si>
    <t>Advances received from customers</t>
  </si>
  <si>
    <t>Interest Accrued But Not Due</t>
  </si>
  <si>
    <t>Other Liabilities</t>
  </si>
  <si>
    <t>Deferred Tax Liabilities (Net)</t>
  </si>
  <si>
    <t>Other Long Term Liabilities</t>
  </si>
  <si>
    <t>Long Term Provisions</t>
  </si>
  <si>
    <t>Non current Liabilities</t>
  </si>
  <si>
    <t>Equity Capital</t>
  </si>
  <si>
    <t>Retained Earning</t>
  </si>
  <si>
    <t>Total Share Holders Equity</t>
  </si>
  <si>
    <t>Audited Cash Flow</t>
  </si>
  <si>
    <t>A. Cash Flow from Operating Activities</t>
  </si>
  <si>
    <t>Profit Before Taxation</t>
  </si>
  <si>
    <t>Adjustment to reconcile profit before tax to net cash flow:</t>
  </si>
  <si>
    <t>Depreciation and Amortisation Expenses</t>
  </si>
  <si>
    <t>Interest Income</t>
  </si>
  <si>
    <t>Unrealised Foreign Exchange Gain</t>
  </si>
  <si>
    <t>(Profit)/Loss on Sale of Property, Plant &amp; Equipment</t>
  </si>
  <si>
    <t>Profit on Sale of Mutual Fund</t>
  </si>
  <si>
    <t>Provision No Longer Required Written back</t>
  </si>
  <si>
    <t>Unrealised gain on Mutual funds</t>
  </si>
  <si>
    <t>Impairment/Loss on investment in Subsidiary</t>
  </si>
  <si>
    <t>Sundry Balances Written back</t>
  </si>
  <si>
    <t>Operating Profit before Working Capital changes</t>
  </si>
  <si>
    <t>Working Capital Changes</t>
  </si>
  <si>
    <t>Cash Generated from Operation</t>
  </si>
  <si>
    <t>Direct Taxes Paid (Net of Refund)</t>
  </si>
  <si>
    <t>Net Cash Generated from Operating Activities</t>
  </si>
  <si>
    <t>B. Cash Flow from Investing Activities</t>
  </si>
  <si>
    <t>Proceed from Sale of Property, Plant &amp; Equipment</t>
  </si>
  <si>
    <t>investment In Associate</t>
  </si>
  <si>
    <t>Other Investment</t>
  </si>
  <si>
    <t>Investment in Bank Deposits</t>
  </si>
  <si>
    <t>Redemption of Bank Deposits</t>
  </si>
  <si>
    <t>Interest Received</t>
  </si>
  <si>
    <t>Investment in Mutual Fund</t>
  </si>
  <si>
    <t>Proceeds from Sale of Mutual Funds (including realised gain)</t>
  </si>
  <si>
    <t>Net Cash (Used in) Investing Activities</t>
  </si>
  <si>
    <t>C. Cash Flow from Financing Activities</t>
  </si>
  <si>
    <t>Finance Charges Paid</t>
  </si>
  <si>
    <t>Proceeds from Long-Term Borrowing</t>
  </si>
  <si>
    <t>Repayment of Long-Term Borrowing</t>
  </si>
  <si>
    <t>(Repayment)/Proceed from Short-Term Borrowing (Net)</t>
  </si>
  <si>
    <t>Payment of Lease Liability</t>
  </si>
  <si>
    <t>Dividend paid on Redeemable Preference Shares</t>
  </si>
  <si>
    <t>Dividend paid on Equity Shares</t>
  </si>
  <si>
    <t>Proceeds from issue of Share Capital</t>
  </si>
  <si>
    <t>Share Issue Expenses</t>
  </si>
  <si>
    <t>Redemption of Redeemable Preference Shares</t>
  </si>
  <si>
    <t>Net Cash (Used in) Financing Activities</t>
  </si>
  <si>
    <t>Cash In the beg</t>
  </si>
  <si>
    <t>Cash in the End</t>
  </si>
  <si>
    <t>Net Increase/(Decrease)  (A+B+C)</t>
  </si>
  <si>
    <t>Purchase of Property, Plant &amp; Equipment (CWIP and intangible assets)</t>
  </si>
  <si>
    <t>Revenue</t>
  </si>
  <si>
    <t>Revenue Growth</t>
  </si>
  <si>
    <t>Other Income</t>
  </si>
  <si>
    <t>PBT</t>
  </si>
  <si>
    <t xml:space="preserve"># </t>
  </si>
  <si>
    <t>Company Historical Growth</t>
  </si>
  <si>
    <t xml:space="preserve">Particulars </t>
  </si>
  <si>
    <t>Revenue from Operations (Net)</t>
  </si>
  <si>
    <t>Sales Growth</t>
  </si>
  <si>
    <t>CAGR</t>
  </si>
  <si>
    <t>IMARC</t>
  </si>
  <si>
    <t>CAGR Growth 2025-2033</t>
  </si>
  <si>
    <t>http://imarcgroup.com/india-chlor-alkali-market</t>
  </si>
  <si>
    <t>USD 84.6 billion in 2025</t>
  </si>
  <si>
    <t>Mobility Foresight</t>
  </si>
  <si>
    <t>https://mobilityforesights.com/product/india-chlor-alkali-market#:~:text=India%20Chlor%2DAlkali%20Market%20Size%20and%20Forecast,expansion%20across%20the%20forecast%20horizon.</t>
  </si>
  <si>
    <t xml:space="preserve">25 Revenue </t>
  </si>
  <si>
    <t>CAGR Growth 2025-2032</t>
  </si>
  <si>
    <t>https://www.omrglobal.com/industry-reports/india-chlor-alkali-market-size#:~:text=Indian%20chlor%20alkali%20market%20is,friendly%20ones%20like%20membrane%20cells.</t>
  </si>
  <si>
    <t>Global Research Consulting</t>
  </si>
  <si>
    <t xml:space="preserve">The global chlor alkali market size was USD 52.23 billion in 2023 and is projected to grow from USD 53.22 billion in 2024 to USD 62.24 billion by 2032 at a CAGR of 1.94% during the forecast period. </t>
  </si>
  <si>
    <t>https://www.fortunebusinessinsights.com/industry-reports/chlor-alkali-market-101720#:~:text=The%20global%20chlor%20alkali%20market,the%20share%20in%20production%20technologies.</t>
  </si>
  <si>
    <t>Source: https://www.mordorintelligence.com/industry-reports/chlor-alkali-market</t>
  </si>
  <si>
    <t>Mordor Intelligence</t>
  </si>
  <si>
    <t>CAGR over 2026-2031</t>
  </si>
  <si>
    <t>Asia-Pacific retained 62.15% of the chlor-alkali market size in 2025 and is projected to compound at a 3.12% CAGR through 2031</t>
  </si>
  <si>
    <t>Category</t>
  </si>
  <si>
    <t>Specific Product(s)</t>
  </si>
  <si>
    <t>Status / Capacity (approx.)</t>
  </si>
  <si>
    <t>Key End-Use Industries</t>
  </si>
  <si>
    <t>Primary Chlor-Alkali</t>
  </si>
  <si>
    <t>Caustic Soda (Lye &amp; Flakes)</t>
  </si>
  <si>
    <t>400,000 TPA (4th largest in India)</t>
  </si>
  <si>
    <t>Alumina, Textiles, Soaps</t>
  </si>
  <si>
    <t>Caustic Potash (Lye &amp; Flakes)</t>
  </si>
  <si>
    <t>21,000 TPA (3rd largest in India)</t>
  </si>
  <si>
    <t>Soaps, Fertilizers, Pharma</t>
  </si>
  <si>
    <t>Chlorine &amp; Hydrogen</t>
  </si>
  <si>
    <t>Captive Feedstock</t>
  </si>
  <si>
    <t>Baseline for all derivatives</t>
  </si>
  <si>
    <t>Industrial By-products</t>
  </si>
  <si>
    <t>Hydrochloric Acid (HCl)</t>
  </si>
  <si>
    <t>Related product</t>
  </si>
  <si>
    <t>Steel pickling, Water treatment</t>
  </si>
  <si>
    <t>Sodium Hypochlorite</t>
  </si>
  <si>
    <t>Disinfectant, Bleaching</t>
  </si>
  <si>
    <t>Diluted Sulphuric Acid</t>
  </si>
  <si>
    <t>Process byproduct</t>
  </si>
  <si>
    <t>Industrial chemical processes</t>
  </si>
  <si>
    <t>Chloromethanes (CMS)</t>
  </si>
  <si>
    <t>Methyl Chloride, MDC, Chloroform, CTC</t>
  </si>
  <si>
    <t>50,000 TPA (5th largest in India)</t>
  </si>
  <si>
    <t>Pharma solvents, Refrigerants</t>
  </si>
  <si>
    <t>CPVC Value Chain</t>
  </si>
  <si>
    <t>CPVC Resin</t>
  </si>
  <si>
    <t>75,000 TPA (Expanding to 150,000)</t>
  </si>
  <si>
    <t>Heat-resistant plumbing (PVC)</t>
  </si>
  <si>
    <t>CPVC Compound</t>
  </si>
  <si>
    <t>35,000 TPA (Commissioned 2024)</t>
  </si>
  <si>
    <t>Ready-to-use pipe material</t>
  </si>
  <si>
    <t>Specialty Derivatives</t>
  </si>
  <si>
    <t>Epichlorohydrin (ECH)</t>
  </si>
  <si>
    <t>50,000 TPA (Expanding to 100,000)</t>
  </si>
  <si>
    <t>Epoxy Resins (Windmills, Auto)</t>
  </si>
  <si>
    <t>Hydrogen Peroxide (H2​O2​)</t>
  </si>
  <si>
    <t>60,000 TPA (3rd largest in India)</t>
  </si>
  <si>
    <t>Paper, Pulp, Textile bleaching</t>
  </si>
  <si>
    <t>Chlorotoluenes</t>
  </si>
  <si>
    <t>OCT, PCT, DCT (8-9 total products)</t>
  </si>
  <si>
    <t>Commissioned Q4 FY25</t>
  </si>
  <si>
    <t>Agrochemicals, Pharma (APIs)</t>
  </si>
  <si>
    <t>Indian Chlor alkali market Growth</t>
  </si>
  <si>
    <t>Indian Special chemical market Growth</t>
  </si>
  <si>
    <t>CN Market Insight</t>
  </si>
  <si>
    <t>24 Revenue</t>
  </si>
  <si>
    <t>CARG</t>
  </si>
  <si>
    <t>https://www.custommarketinsights.com/report/india-specialty-chemicals-market/</t>
  </si>
  <si>
    <t>Finnovate</t>
  </si>
  <si>
    <t>12%-16%</t>
  </si>
  <si>
    <t>https://www.finnovate.in/learn/blog/specialty-chemicals-india-global-opportunity</t>
  </si>
  <si>
    <t xml:space="preserve">Invest iNdia </t>
  </si>
  <si>
    <t>https://www.investindia.gov.in/team-india-blogs/chemical-industry-growth-drivers-and-investment-opportunities-india</t>
  </si>
  <si>
    <t>CAGR upto 30</t>
  </si>
  <si>
    <t>https://www.grandviewresearch.com/industry-analysis/india-specialty-fine-chemicals-market-report</t>
  </si>
  <si>
    <t>Grand view research</t>
  </si>
  <si>
    <t>Carg 30</t>
  </si>
  <si>
    <t>Spherical Insight</t>
  </si>
  <si>
    <t>https://www.sphericalinsights.com/reports/india-specialty-fine-chemicals-market-size</t>
  </si>
  <si>
    <t>22 revenue</t>
  </si>
  <si>
    <t xml:space="preserve">usa 48.05 billion </t>
  </si>
  <si>
    <t>Cagr 32</t>
  </si>
  <si>
    <t>https://www.imarcgroup.com/india-specialty-chemicals-market</t>
  </si>
  <si>
    <t>USD 64.5 b</t>
  </si>
  <si>
    <t>Cagr 33</t>
  </si>
  <si>
    <t>Year</t>
  </si>
  <si>
    <t>USD 978.97 bi</t>
  </si>
  <si>
    <t>30 Cagr</t>
  </si>
  <si>
    <t>https://www.grandviewresearch.com/industry-analysis/specialty-chemicals-market</t>
  </si>
  <si>
    <t>Grand View Research</t>
  </si>
  <si>
    <t>Global Market in SC</t>
  </si>
  <si>
    <t>Markets &amp; Markets</t>
  </si>
  <si>
    <t>https://www.marketsandmarkets.com/Market-Reports/global-specialty-chemicals-165.html</t>
  </si>
  <si>
    <t>Technavio</t>
  </si>
  <si>
    <t>https://www.technavio.com/report/specialty-chemicals-market-industry-analysishttps:/www.technavio.com/report/specialty-chemicals-market-industry-analysis</t>
  </si>
  <si>
    <t>According to Towards Chemical and Materials, the global specialty chemicals market size was reached at USD 671.19 billion in 2024 and is expected to be worth around USD 1,118.55 billion by 2034, growing at a compound annual growth rate (CAGR) of 5.24% over the forecast period 2025 to 2034.</t>
  </si>
  <si>
    <t>Yahoo Finance</t>
  </si>
  <si>
    <t>https://finance.yahoo.com/news/specialty-chemicals-market-size-worth-141100310.html?guccounter=1&amp;guce_referrer=aHR0cHM6Ly93d3cuZ29vZ2xlLmNvbS8&amp;guce_referrer_sig=AQAAABTKsS5upkv_yVJRWc-whpYBkaK8tPzSFLvJRgyYNQsq8OmK1o6YRDCTAHJrKhztbv-bdpKvhoa03gc70WWc9MqFzNkGfCrOkwSnvakYwF4P1LdyWYIlFZkvyjLA-qX8MK9p2c38taj7w_Les_YAlceXEJhbq1GukzETpZbNlktz</t>
  </si>
  <si>
    <t>CAGR) of 3.23%</t>
  </si>
  <si>
    <t>https://www.imarcgroup.com/specialty-chemicals-market</t>
  </si>
  <si>
    <t>Company Concalls</t>
  </si>
  <si>
    <t>Epigral maintains volume growth guidance of 15-20% for coming couple of years</t>
  </si>
  <si>
    <t>Street Estimates</t>
  </si>
  <si>
    <t>Emkay</t>
  </si>
  <si>
    <t>Market Scrneer</t>
  </si>
  <si>
    <t>https://in.marketscreener.com/quote/stock/EPIGRAL-LIMITED-126415281/finances/</t>
  </si>
  <si>
    <t xml:space="preserve">Only 33 Is comes from Derivatives </t>
  </si>
  <si>
    <t>Grow upto 2035 -40 in Double digit</t>
  </si>
  <si>
    <r>
      <t>The Indian specialty chemicals market is expected to grow at around 9%–12% CAGR over the next 5–6 years. This growth is supported by India’s overall GDP growth across end-user sectors such as FMCG, textiles, electronics, automobiles, agrochemicals, and paints &amp; coatings, along with structural drivers like urbanization, low per-capita consumption, and Make in India</t>
    </r>
    <r>
      <rPr>
        <i/>
        <sz val="11"/>
        <color rgb="FF000000"/>
        <rFont val="Calibri"/>
        <family val="2"/>
      </rPr>
      <t>.</t>
    </r>
    <r>
      <rPr>
        <sz val="11"/>
        <color rgb="FF000000"/>
        <rFont val="Calibri"/>
        <family val="2"/>
      </rPr>
      <t xml:space="preserve"> </t>
    </r>
  </si>
  <si>
    <t>Increase in population</t>
  </si>
  <si>
    <t>Accelerated Urbanization</t>
  </si>
  <si>
    <t>Increase in disposable income &amp; spending</t>
  </si>
  <si>
    <t>Product innovation</t>
  </si>
  <si>
    <t>Extensive Capex</t>
  </si>
  <si>
    <t>Young Population (Working)</t>
  </si>
  <si>
    <t>https://www.statista.com/statistics/271315/age-distribution-in-india/?srsltid=AfmBOoqGSv8NoPWVwTAiU1-3dmHXkNtIXlz5UhlqX8hL2fJhHTttcqa1</t>
  </si>
  <si>
    <t xml:space="preserve">Year </t>
  </si>
  <si>
    <t>Rural</t>
  </si>
  <si>
    <t>Total</t>
  </si>
  <si>
    <t>https://www.macrotrends.net/global-metrics/countries/ind/india/rural-population</t>
  </si>
  <si>
    <t>Urban Population</t>
  </si>
  <si>
    <t>% of Total Population</t>
  </si>
  <si>
    <t>Per capita</t>
  </si>
  <si>
    <t>$2.153T</t>
  </si>
  <si>
    <t>$2.044T</t>
  </si>
  <si>
    <t>$1.930T</t>
  </si>
  <si>
    <t>$1.634T</t>
  </si>
  <si>
    <t>$1.727T</t>
  </si>
  <si>
    <t>$1.603T</t>
  </si>
  <si>
    <t>Spending</t>
  </si>
  <si>
    <t xml:space="preserve">Management case </t>
  </si>
  <si>
    <t>Base Case</t>
  </si>
  <si>
    <t>Down Case</t>
  </si>
  <si>
    <t>Revenue - yoy % Growth</t>
  </si>
  <si>
    <t>Revenue Schedule</t>
  </si>
  <si>
    <t>Company Historical Margin</t>
  </si>
  <si>
    <t>Cogs % Revenue</t>
  </si>
  <si>
    <t>Gross Margins</t>
  </si>
  <si>
    <t>Median</t>
  </si>
  <si>
    <t>Average</t>
  </si>
  <si>
    <t>When ever this Median and Average are close means that consistency has been maintained</t>
  </si>
  <si>
    <t>Chemical (Specialty)</t>
  </si>
  <si>
    <t xml:space="preserve">Just India </t>
  </si>
  <si>
    <t>Global</t>
  </si>
  <si>
    <t>Sector Data - Damodaran</t>
  </si>
  <si>
    <t>Emerging Market</t>
  </si>
  <si>
    <t>Chlor Alkali &amp; its Derivatives</t>
  </si>
  <si>
    <t>This competitive head start was thereafter supplemented by the manufacture of products that were import substitutes, ability to market products with speed, enhance capacity utilisation and generate superior economies, in-sell within the Company (end product becoming the raw material for another business), manufacturing all products within an integrated manufacturing facility that made it possible to moderate logistics and carbon footprint costs and commission shared facilities that could feed a range of downstream units.</t>
  </si>
  <si>
    <t>H1,670 Cr in the five years ending FY 2024-25. We intend to invest H800 Cr in the next two years ending FY 2026-27. Each capital spending round has been accompanied by guardrails: raw material availability from within, import substitution product and a readily available market leading to a high EBITDA margin and a consolidated RoCE band of 23-25% as the Company moves strategically towards consuming Chlorine manufactured inhouse to prod</t>
  </si>
  <si>
    <t>The Company’s integration – locational and portfolio – makes it possible to widen the value chain, maximise revenues from basic raw material, moderate logistic costs and strengthen working capital efficiency.</t>
  </si>
  <si>
    <t xml:space="preserve">See, I mean, we have always said that the raw material prices and the final product price moves </t>
  </si>
  <si>
    <t xml:space="preserve">in tandem. The link when we say is just that the marginal movement in the raw material prices </t>
  </si>
  <si>
    <t xml:space="preserve">will not trigger the CPVC prices to that extent. But if there is such a kind of a drop in the PVC </t>
  </si>
  <si>
    <t xml:space="preserve">prices, that will impact. Like on the other side, if we look at the Epichlorohydrin, the glycerin </t>
  </si>
  <si>
    <t xml:space="preserve">prices have moved up and that has reflected in the ECH prices. So, that generally moves in line, </t>
  </si>
  <si>
    <t>assuming that the demand scenario is a constant rate.</t>
  </si>
  <si>
    <t>Management Guidance</t>
  </si>
  <si>
    <t>h</t>
  </si>
  <si>
    <t>Growth Margin</t>
  </si>
  <si>
    <t>Gross Margins%</t>
  </si>
  <si>
    <t>SG&amp;A Expenses</t>
  </si>
  <si>
    <t>SG&amp;A Expense</t>
  </si>
  <si>
    <t>Total SG&amp;A Expenses</t>
  </si>
  <si>
    <t xml:space="preserve">Common Size </t>
  </si>
  <si>
    <t>SG&amp;A % Revenue</t>
  </si>
  <si>
    <t>Salaries, Wages &amp; Bonus % Revenue</t>
  </si>
  <si>
    <t>Power &amp; Fuel % Revenue</t>
  </si>
  <si>
    <t>Other Expenses % Revenue</t>
  </si>
  <si>
    <t>Other SG&amp;A Expenses</t>
  </si>
  <si>
    <t>Other SG&amp;A Expenses % Revenue</t>
  </si>
  <si>
    <t>Other Operating Expenses</t>
  </si>
  <si>
    <t>Total SG&amp;A % Revenue</t>
  </si>
  <si>
    <t>Power &amp; Fuel Cost % Revenue</t>
  </si>
  <si>
    <t>Total SG&amp;A Expense</t>
  </si>
  <si>
    <t xml:space="preserve">Salaries, Wages &amp; Bonus </t>
  </si>
  <si>
    <t xml:space="preserve">Other SG&amp;A Expenses </t>
  </si>
  <si>
    <t>Other Operating Expenses % Revenue</t>
  </si>
  <si>
    <t xml:space="preserve">Other Operating Expenses </t>
  </si>
  <si>
    <t>Ebitda Margin</t>
  </si>
  <si>
    <t>Total assets</t>
  </si>
  <si>
    <t>Current Assets % Total Assets</t>
  </si>
  <si>
    <t>Historically</t>
  </si>
  <si>
    <t>Common Size</t>
  </si>
  <si>
    <t xml:space="preserve">Inventory </t>
  </si>
  <si>
    <t>Schedules</t>
  </si>
  <si>
    <t>Revenue Growth YOY %</t>
  </si>
  <si>
    <t>Inventory Growth YOY %</t>
  </si>
  <si>
    <t>Average Inventory</t>
  </si>
  <si>
    <t>Inventory Turnover Ratio (COGS)</t>
  </si>
  <si>
    <t>Inventory Turnover Ratio (Revenue)</t>
  </si>
  <si>
    <t>Inventory Days (COGS)</t>
  </si>
  <si>
    <t>Inventory Days (Revenue)</t>
  </si>
  <si>
    <t xml:space="preserve">Peers Inventory Days Analysis </t>
  </si>
  <si>
    <t>Gujarat Narmada Valley Fertilizers &amp; Chemicals Ltd (GNFC)</t>
  </si>
  <si>
    <t>Gujarat Alkalies &amp; Chemicals Ltd (GACL)</t>
  </si>
  <si>
    <t>Tata Chemicals Ltd</t>
  </si>
  <si>
    <t>Grasim Industries Ltd</t>
  </si>
  <si>
    <t>Chemplast Sanmar Ltd</t>
  </si>
  <si>
    <t>Average Inventory % Revenue</t>
  </si>
  <si>
    <t>Inventory % Revenue</t>
  </si>
  <si>
    <t>Trade Receivable</t>
  </si>
  <si>
    <t>Trade Receivable YOY %</t>
  </si>
  <si>
    <t xml:space="preserve">Average Trade Receivable </t>
  </si>
  <si>
    <t>Average Trade Receivable  % Revenue</t>
  </si>
  <si>
    <t>Debtory Days</t>
  </si>
  <si>
    <t>Street estimate</t>
  </si>
  <si>
    <t>Rceivables Ageing Schedule</t>
  </si>
  <si>
    <t xml:space="preserve">Trade Receivables </t>
  </si>
  <si>
    <t>Receivable Turnover Ratio (Revenue)</t>
  </si>
  <si>
    <t>Trade receivable</t>
  </si>
  <si>
    <t>Other Current assets % of Revenue</t>
  </si>
  <si>
    <t xml:space="preserve">Fixed assets </t>
  </si>
  <si>
    <t>Gross Block</t>
  </si>
  <si>
    <t>Less: Accumulated Depreciation</t>
  </si>
  <si>
    <t>Net Fixed assets % of Total Assets</t>
  </si>
  <si>
    <t>Net Fixed assets % of Revenue</t>
  </si>
  <si>
    <t>Land</t>
  </si>
  <si>
    <t>Building</t>
  </si>
  <si>
    <t>Plant Machinery</t>
  </si>
  <si>
    <t>Equipments</t>
  </si>
  <si>
    <t>Computers</t>
  </si>
  <si>
    <t>Furniture n fittings</t>
  </si>
  <si>
    <t>Vehicles</t>
  </si>
  <si>
    <t>Intangible Assets</t>
  </si>
  <si>
    <t>Other fixed assets</t>
  </si>
  <si>
    <t>Particulars</t>
  </si>
  <si>
    <t>Break up of Fixed Assets</t>
  </si>
  <si>
    <t>Total Fixed Assets</t>
  </si>
  <si>
    <t>Less: Land</t>
  </si>
  <si>
    <t>Break up of Gross Fixed Assets</t>
  </si>
  <si>
    <t>Exclude Land for Gross Block &amp; non Depreciable land ≈7.5% of total gross block</t>
  </si>
  <si>
    <t>Change in Gross Block</t>
  </si>
  <si>
    <t>Change in Revenue / Change in Gross Block</t>
  </si>
  <si>
    <t>Maintainance Capex</t>
  </si>
  <si>
    <t>Growth Capex</t>
  </si>
  <si>
    <t>Dep &amp; Amo</t>
  </si>
  <si>
    <t>Growth in Gross Block YOY %</t>
  </si>
  <si>
    <t>Capex Guidance for FY2026-27</t>
  </si>
  <si>
    <t>450 Crors</t>
  </si>
  <si>
    <t>Green Field - Dahej GUJARAT</t>
  </si>
  <si>
    <t>May Concall 25</t>
  </si>
  <si>
    <t>No debt for capex</t>
  </si>
  <si>
    <t>Street Estimate</t>
  </si>
  <si>
    <t>Property, Plant and Equipment</t>
  </si>
  <si>
    <t>Other Intangible Assets</t>
  </si>
  <si>
    <t>FY2026</t>
  </si>
  <si>
    <t xml:space="preserve">Current Case - Management Case </t>
  </si>
  <si>
    <t>Other Intangible Assets Growth %</t>
  </si>
  <si>
    <t>CWIP</t>
  </si>
  <si>
    <t>YoY Growth %</t>
  </si>
  <si>
    <t xml:space="preserve">Intangible Non current Assets </t>
  </si>
  <si>
    <t>Other Non Current Assets</t>
  </si>
  <si>
    <t>Other Non Current Assets % Revenue</t>
  </si>
  <si>
    <t>Other Non-current Assets % Revenue</t>
  </si>
  <si>
    <t>% Revenue</t>
  </si>
  <si>
    <t>Net Fixeds Assets</t>
  </si>
  <si>
    <t>CWIP % of Fixed Assets</t>
  </si>
  <si>
    <t>Management Guidence</t>
  </si>
  <si>
    <t>No Guidence</t>
  </si>
  <si>
    <t xml:space="preserve">EMKAY Report </t>
  </si>
  <si>
    <t>Median CWIP% Fixed Assets - Moderate Capex</t>
  </si>
  <si>
    <t>Median CWIP% Fixed Assets - Aggressive Capex</t>
  </si>
  <si>
    <t xml:space="preserve">It is In Decrease Trend by 100 bPS points </t>
  </si>
  <si>
    <t>CWIP % Fixed Assets</t>
  </si>
  <si>
    <t>Depreciable Gross Block</t>
  </si>
  <si>
    <t>Net Depreciable Fixed Assets</t>
  </si>
  <si>
    <t>Depreciation For the Year</t>
  </si>
  <si>
    <t>Amortization for the Year</t>
  </si>
  <si>
    <t>Average life of Assets</t>
  </si>
  <si>
    <t>Sum</t>
  </si>
  <si>
    <t>Average Age of Assets</t>
  </si>
  <si>
    <t>% of Assets Depreciated</t>
  </si>
  <si>
    <t>First Approach of Depreciation</t>
  </si>
  <si>
    <t>Second Approach of Depreciation</t>
  </si>
  <si>
    <t>Depreciation % of Fixed Assets</t>
  </si>
  <si>
    <t>Depreciation % of Gross Block</t>
  </si>
  <si>
    <t>Depreciation % of Revenue</t>
  </si>
  <si>
    <t>Third Approach of Depreciation</t>
  </si>
  <si>
    <t>Fourth Approach of Depreciation</t>
  </si>
  <si>
    <t>Add : Capex</t>
  </si>
  <si>
    <t xml:space="preserve">Amortization Used to be fall in the Straight Line method </t>
  </si>
  <si>
    <t>Dep% Revenue</t>
  </si>
  <si>
    <t>Ebit Margin</t>
  </si>
  <si>
    <t>Capex</t>
  </si>
  <si>
    <t>Capex Growth YOY</t>
  </si>
  <si>
    <t>Annual Report 2025</t>
  </si>
  <si>
    <t xml:space="preserve">  </t>
  </si>
  <si>
    <t>Opening PP&amp; E</t>
  </si>
  <si>
    <t>Add: Capex During the Year</t>
  </si>
  <si>
    <t>Less: Depreciation during the year</t>
  </si>
  <si>
    <t>Closing PP&amp;E</t>
  </si>
  <si>
    <t xml:space="preserve">YoY Growth% </t>
  </si>
  <si>
    <t>Other Non Current Assets remains 0% flat for the netx year</t>
  </si>
  <si>
    <t>Less : Interest Expense</t>
  </si>
  <si>
    <t>Add : Other Income</t>
  </si>
  <si>
    <t>Other Income % Revenue</t>
  </si>
  <si>
    <t>Equity &amp; Liablities</t>
  </si>
  <si>
    <t>Short Term Borrowing</t>
  </si>
  <si>
    <t>Profit Before Tax</t>
  </si>
  <si>
    <t>Amartisation</t>
  </si>
  <si>
    <t>Add: Other Items</t>
  </si>
  <si>
    <t>Less: Interest Income</t>
  </si>
  <si>
    <t>Add: Interest Expenses</t>
  </si>
  <si>
    <t>Less: Tax Paid</t>
  </si>
  <si>
    <t>Net Purchase of Fixed Assets</t>
  </si>
  <si>
    <t>Net Purchase of Investments</t>
  </si>
  <si>
    <t>Other Investments</t>
  </si>
  <si>
    <t>Net Proceeds from Long Term Borrowing</t>
  </si>
  <si>
    <t>Net Proceeds from Short Term Borrowing</t>
  </si>
  <si>
    <t>Net Issue of Share Capital</t>
  </si>
  <si>
    <t>Cash at Bank</t>
  </si>
  <si>
    <t>Bank</t>
  </si>
  <si>
    <t xml:space="preserve">Current Liablity </t>
  </si>
  <si>
    <t>Trade Payable</t>
  </si>
  <si>
    <t>Growth YoY %</t>
  </si>
  <si>
    <t>Trade Payables % Cogs</t>
  </si>
  <si>
    <t>Trade Payables</t>
  </si>
  <si>
    <t>Trade Payables % Revenue</t>
  </si>
  <si>
    <t>Trade Receivables % Revenue</t>
  </si>
  <si>
    <t xml:space="preserve">Peers Payables Days Analysis </t>
  </si>
  <si>
    <t>SRF</t>
  </si>
  <si>
    <t xml:space="preserve">SRF </t>
  </si>
  <si>
    <t>TGV SRACC LTD</t>
  </si>
  <si>
    <t>Primo Chemicals</t>
  </si>
  <si>
    <t>Deepak Nitrite</t>
  </si>
  <si>
    <t>No Guidance Available</t>
  </si>
  <si>
    <t>No Street Estimate Available</t>
  </si>
  <si>
    <t xml:space="preserve">Other Current Liablity </t>
  </si>
  <si>
    <t>We assume other current liablities excluding Short term borrowing to remains flat at FY2025 levels. The short borrowing seperately calculated</t>
  </si>
  <si>
    <t>DEBT</t>
  </si>
  <si>
    <t>Total Borrowing</t>
  </si>
  <si>
    <t>LTB% Tb</t>
  </si>
  <si>
    <t>STB%TB</t>
  </si>
  <si>
    <t>LBT% Revenue</t>
  </si>
  <si>
    <t>STB% Revenue</t>
  </si>
  <si>
    <t>Debt to Capital</t>
  </si>
  <si>
    <t>Equity</t>
  </si>
  <si>
    <t>Debt to equit</t>
  </si>
  <si>
    <t>Debt to Assets</t>
  </si>
  <si>
    <t>Debt to EBITDA</t>
  </si>
  <si>
    <t>Payables Days</t>
  </si>
  <si>
    <t>Change in Operating Current Liabilities</t>
  </si>
  <si>
    <t>Change in Trade Payables</t>
  </si>
  <si>
    <t>We assume the other current assets remains flat of 5% of revenue of an average pf last 3 yrs.</t>
  </si>
  <si>
    <t>Long Term Borrowing</t>
  </si>
  <si>
    <t>Growth Yoy%</t>
  </si>
  <si>
    <t>Growth YoY%</t>
  </si>
  <si>
    <t>Revenue %</t>
  </si>
  <si>
    <t>LTB% TB</t>
  </si>
  <si>
    <t>Interest Cost</t>
  </si>
  <si>
    <t>Interest Cost% Tb</t>
  </si>
  <si>
    <t xml:space="preserve">Interest Rate </t>
  </si>
  <si>
    <t>Amount</t>
  </si>
  <si>
    <t>In 2025</t>
  </si>
  <si>
    <t>In 2024</t>
  </si>
  <si>
    <t xml:space="preserve">OR KD </t>
  </si>
  <si>
    <t>Interest Rate</t>
  </si>
  <si>
    <t>Average Total Borrowing</t>
  </si>
  <si>
    <t>We Assume Other income Remains flat at 0.5% of Revenue</t>
  </si>
  <si>
    <t>Dividend</t>
  </si>
  <si>
    <t>Total Net Profit</t>
  </si>
  <si>
    <t>Dividend Payout Ration</t>
  </si>
  <si>
    <t xml:space="preserve">We Assume Other income Remains flat at 5% </t>
  </si>
  <si>
    <t>Change in Short Term Borrowing</t>
  </si>
  <si>
    <t>Change In Total Current Liabilities</t>
  </si>
  <si>
    <t>Changes in Net Working Capital excluding Cash</t>
  </si>
  <si>
    <t>Add : Net Profit</t>
  </si>
  <si>
    <t>Common Size Statement Income Statement</t>
  </si>
  <si>
    <t>Common Size Statement Balance Sheet</t>
  </si>
  <si>
    <t>Total Cash</t>
  </si>
  <si>
    <t>Cash % Revenue</t>
  </si>
  <si>
    <t>Cash % Total Assets</t>
  </si>
  <si>
    <t>Please provide the below inputs</t>
  </si>
  <si>
    <t>Name of the Company</t>
  </si>
  <si>
    <t>Epigral Ltd.</t>
  </si>
  <si>
    <t>Assumption</t>
  </si>
  <si>
    <t xml:space="preserve">Revenue  </t>
  </si>
  <si>
    <t xml:space="preserve">COGS  </t>
  </si>
  <si>
    <t xml:space="preserve">Selling, General &amp; Administration (SG&amp;A)  </t>
  </si>
  <si>
    <t xml:space="preserve">Non Current Asset  </t>
  </si>
  <si>
    <t xml:space="preserve">Interest Rate  </t>
  </si>
  <si>
    <t xml:space="preserve">Tax Rate  </t>
  </si>
  <si>
    <t xml:space="preserve">Long Term Borrowing  </t>
  </si>
  <si>
    <t xml:space="preserve">Dividend Payout  </t>
  </si>
  <si>
    <t>Growth YoY</t>
  </si>
  <si>
    <t>Current Case COGS</t>
  </si>
  <si>
    <t>8 Years</t>
  </si>
  <si>
    <t>Assumed Operating Cash % Revenue</t>
  </si>
  <si>
    <t>Operating Cash</t>
  </si>
  <si>
    <t>Excess Cash</t>
  </si>
  <si>
    <t>Wacc Inputs</t>
  </si>
  <si>
    <t>Country</t>
  </si>
  <si>
    <t>Local Currency 10Y Government Bond</t>
  </si>
  <si>
    <t>Credit default spread as per Dr Damodaran</t>
  </si>
  <si>
    <t>Implied US Equity Risk Premium</t>
  </si>
  <si>
    <t>Asset Beta Variation (+/-)</t>
  </si>
  <si>
    <t>Asset Beta</t>
  </si>
  <si>
    <t>Debt to Capital (Gearing)</t>
  </si>
  <si>
    <t>Company Credit Rating Available</t>
  </si>
  <si>
    <t xml:space="preserve">Provide Credit Rating </t>
  </si>
  <si>
    <t>Small Size Premium</t>
  </si>
  <si>
    <t>Assets Specific Risk Premium</t>
  </si>
  <si>
    <t>Africa</t>
  </si>
  <si>
    <t>Moody's rating</t>
  </si>
  <si>
    <t>Rating-based Default Spread</t>
  </si>
  <si>
    <t>Abu Dhabi</t>
  </si>
  <si>
    <t>Middle East</t>
  </si>
  <si>
    <t>Aa2</t>
  </si>
  <si>
    <t>Albania</t>
  </si>
  <si>
    <t>Eastern Europe &amp; Russia</t>
  </si>
  <si>
    <t>Ba3</t>
  </si>
  <si>
    <t>Andorra (Principality of)</t>
  </si>
  <si>
    <t>Western Europe</t>
  </si>
  <si>
    <t>Baa1</t>
  </si>
  <si>
    <t>Angola</t>
  </si>
  <si>
    <t>B3</t>
  </si>
  <si>
    <t>Argentina</t>
  </si>
  <si>
    <t>Central and South America</t>
  </si>
  <si>
    <t>Caa3</t>
  </si>
  <si>
    <t>Armenia</t>
  </si>
  <si>
    <t>Aruba</t>
  </si>
  <si>
    <t>Caribbean</t>
  </si>
  <si>
    <t>Baa3</t>
  </si>
  <si>
    <t>Australia</t>
  </si>
  <si>
    <t>Australia &amp; New Zealand</t>
  </si>
  <si>
    <t>Aaa</t>
  </si>
  <si>
    <t>Austria</t>
  </si>
  <si>
    <t>Aa1</t>
  </si>
  <si>
    <t>Azerbaijan</t>
  </si>
  <si>
    <t>Bahamas</t>
  </si>
  <si>
    <t>B1</t>
  </si>
  <si>
    <t>Bahrain</t>
  </si>
  <si>
    <t>B2</t>
  </si>
  <si>
    <t>Bangladesh</t>
  </si>
  <si>
    <t>Asia</t>
  </si>
  <si>
    <t>Barbados</t>
  </si>
  <si>
    <t>Belarus</t>
  </si>
  <si>
    <t>C</t>
  </si>
  <si>
    <t>Belgium</t>
  </si>
  <si>
    <t>Aa3</t>
  </si>
  <si>
    <t>Belize</t>
  </si>
  <si>
    <t>Caa1</t>
  </si>
  <si>
    <t>Benin</t>
  </si>
  <si>
    <t>Bermuda</t>
  </si>
  <si>
    <t>A2</t>
  </si>
  <si>
    <t>Bolivia</t>
  </si>
  <si>
    <t>Ca</t>
  </si>
  <si>
    <t>Bosnia and Herzegovina</t>
  </si>
  <si>
    <t>Botswana</t>
  </si>
  <si>
    <t>A3</t>
  </si>
  <si>
    <t>Brazil</t>
  </si>
  <si>
    <t>Ba1</t>
  </si>
  <si>
    <t>Bulgaria</t>
  </si>
  <si>
    <t>Burkina Faso</t>
  </si>
  <si>
    <t>Cambodia</t>
  </si>
  <si>
    <t>Cameroon</t>
  </si>
  <si>
    <t>Canada</t>
  </si>
  <si>
    <t>North America</t>
  </si>
  <si>
    <t>Cape Verde</t>
  </si>
  <si>
    <t>Cayman Islands</t>
  </si>
  <si>
    <t>Chile</t>
  </si>
  <si>
    <t>China</t>
  </si>
  <si>
    <t>A1</t>
  </si>
  <si>
    <t>Colombia</t>
  </si>
  <si>
    <t>Congo (Democratic Republic of)</t>
  </si>
  <si>
    <t>Congo (Republic of)</t>
  </si>
  <si>
    <t>Caa2</t>
  </si>
  <si>
    <t>Cook Islands</t>
  </si>
  <si>
    <t>Costa Rica</t>
  </si>
  <si>
    <t>Côte d'Ivoire</t>
  </si>
  <si>
    <t>Ba2</t>
  </si>
  <si>
    <t>Croatia</t>
  </si>
  <si>
    <t>Cuba</t>
  </si>
  <si>
    <t>Curacao</t>
  </si>
  <si>
    <t>Cyprus</t>
  </si>
  <si>
    <t>Czech Republic</t>
  </si>
  <si>
    <t>Denmark</t>
  </si>
  <si>
    <t>Dominican Republic</t>
  </si>
  <si>
    <t>Ecuador</t>
  </si>
  <si>
    <t>Egypt</t>
  </si>
  <si>
    <t>El Salvador</t>
  </si>
  <si>
    <t>Estonia</t>
  </si>
  <si>
    <t>Ethiopia</t>
  </si>
  <si>
    <t>Fiji</t>
  </si>
  <si>
    <t>Finland</t>
  </si>
  <si>
    <t>France</t>
  </si>
  <si>
    <t>Gabon</t>
  </si>
  <si>
    <t>Georgia</t>
  </si>
  <si>
    <t>Germany</t>
  </si>
  <si>
    <t>Ghana</t>
  </si>
  <si>
    <t>Greece</t>
  </si>
  <si>
    <t>Guatemala</t>
  </si>
  <si>
    <t>Guernsey (States of)</t>
  </si>
  <si>
    <t>Honduras</t>
  </si>
  <si>
    <t>Hong Kong</t>
  </si>
  <si>
    <t>Hungary</t>
  </si>
  <si>
    <t>Baa2</t>
  </si>
  <si>
    <t>Iceland</t>
  </si>
  <si>
    <t>India</t>
  </si>
  <si>
    <t>Indonesia</t>
  </si>
  <si>
    <t>Iraq</t>
  </si>
  <si>
    <t>Ireland</t>
  </si>
  <si>
    <t>Isle of Man</t>
  </si>
  <si>
    <t>Israel</t>
  </si>
  <si>
    <t>Italy</t>
  </si>
  <si>
    <t>Jamaica</t>
  </si>
  <si>
    <t>Japan</t>
  </si>
  <si>
    <t>Jersey (States of)</t>
  </si>
  <si>
    <t>Jordan</t>
  </si>
  <si>
    <t>Kazakhstan</t>
  </si>
  <si>
    <t>Kenya</t>
  </si>
  <si>
    <t>Korea</t>
  </si>
  <si>
    <t>Kuwait</t>
  </si>
  <si>
    <t>Kyrgyzstan</t>
  </si>
  <si>
    <t>Laos</t>
  </si>
  <si>
    <t>Latvia</t>
  </si>
  <si>
    <t>Lebanon</t>
  </si>
  <si>
    <t>Liechtenstein</t>
  </si>
  <si>
    <t>Lithuania</t>
  </si>
  <si>
    <t>Luxembourg</t>
  </si>
  <si>
    <t>Macao</t>
  </si>
  <si>
    <t>Macedonia</t>
  </si>
  <si>
    <t>Malaysia</t>
  </si>
  <si>
    <t>Maldives</t>
  </si>
  <si>
    <t>Mali</t>
  </si>
  <si>
    <t>Malta</t>
  </si>
  <si>
    <t>Mauritius</t>
  </si>
  <si>
    <t>Mexico</t>
  </si>
  <si>
    <t>Moldova</t>
  </si>
  <si>
    <t>Mongolia</t>
  </si>
  <si>
    <t>Montenegro</t>
  </si>
  <si>
    <t>Montserrat</t>
  </si>
  <si>
    <t>Morocco</t>
  </si>
  <si>
    <t>Mozambique</t>
  </si>
  <si>
    <t>Namibia</t>
  </si>
  <si>
    <t>Nepal</t>
  </si>
  <si>
    <t>Netherlands</t>
  </si>
  <si>
    <t>New Zealand</t>
  </si>
  <si>
    <t>Nicaragua</t>
  </si>
  <si>
    <t>Niger</t>
  </si>
  <si>
    <t>Nigeria</t>
  </si>
  <si>
    <t>Norway</t>
  </si>
  <si>
    <t>Oman</t>
  </si>
  <si>
    <t>Pakistan</t>
  </si>
  <si>
    <t>Panama</t>
  </si>
  <si>
    <t>Papua New Guinea</t>
  </si>
  <si>
    <t>Paraguay</t>
  </si>
  <si>
    <t>Peru</t>
  </si>
  <si>
    <t>Philippines</t>
  </si>
  <si>
    <t>Poland</t>
  </si>
  <si>
    <t>Portugal</t>
  </si>
  <si>
    <t>Qatar</t>
  </si>
  <si>
    <t>Ras Al Khaimah (Emirate of)</t>
  </si>
  <si>
    <t>Romania</t>
  </si>
  <si>
    <t>Rwanda</t>
  </si>
  <si>
    <t>Saudi Arabia</t>
  </si>
  <si>
    <t>Senegal</t>
  </si>
  <si>
    <t>Serbia</t>
  </si>
  <si>
    <t>Sharjah</t>
  </si>
  <si>
    <t>Singapore</t>
  </si>
  <si>
    <t>Slovakia</t>
  </si>
  <si>
    <t>Slovenia</t>
  </si>
  <si>
    <t>Solomon Islands</t>
  </si>
  <si>
    <t>South Africa</t>
  </si>
  <si>
    <t>Spain</t>
  </si>
  <si>
    <t>Sri Lanka</t>
  </si>
  <si>
    <t>St. Maarten</t>
  </si>
  <si>
    <t>St. Vincent &amp; the Grenadines</t>
  </si>
  <si>
    <t>Suriname</t>
  </si>
  <si>
    <t>Swaziland</t>
  </si>
  <si>
    <t>Sweden</t>
  </si>
  <si>
    <t>Switzerland</t>
  </si>
  <si>
    <t>Taiwan</t>
  </si>
  <si>
    <t>Tajikistan</t>
  </si>
  <si>
    <t>Tanzania</t>
  </si>
  <si>
    <t>Thailand</t>
  </si>
  <si>
    <t>Togo</t>
  </si>
  <si>
    <t>Trinidad and Tobago</t>
  </si>
  <si>
    <t>Tunisia</t>
  </si>
  <si>
    <t>Turkey</t>
  </si>
  <si>
    <t>Turks and Caicos Islands</t>
  </si>
  <si>
    <t>Uganda</t>
  </si>
  <si>
    <t>Ukraine</t>
  </si>
  <si>
    <t>United Arab Emirates</t>
  </si>
  <si>
    <t>United Kingdom</t>
  </si>
  <si>
    <t>United States</t>
  </si>
  <si>
    <t>Uruguay</t>
  </si>
  <si>
    <t>Uzbekistan</t>
  </si>
  <si>
    <t>Venezuela</t>
  </si>
  <si>
    <t>Vietnam</t>
  </si>
  <si>
    <t>Zambia</t>
  </si>
  <si>
    <t>L</t>
  </si>
  <si>
    <t>S</t>
  </si>
  <si>
    <t>Company is Small or Large Firm ?</t>
  </si>
  <si>
    <t xml:space="preserve">Country Data </t>
  </si>
  <si>
    <t>Company Data</t>
  </si>
  <si>
    <t>For large non-financial service firms</t>
  </si>
  <si>
    <t>If interest coverage ratio is</t>
  </si>
  <si>
    <t>&gt;</t>
  </si>
  <si>
    <t>Rating is</t>
  </si>
  <si>
    <t>Spread is</t>
  </si>
  <si>
    <t>D2/D</t>
  </si>
  <si>
    <t>C2/C</t>
  </si>
  <si>
    <t>Ca2/CC</t>
  </si>
  <si>
    <t>Caa/CCC</t>
  </si>
  <si>
    <t>B3/B-</t>
  </si>
  <si>
    <t>B2/B</t>
  </si>
  <si>
    <t>B1/B+</t>
  </si>
  <si>
    <t>Ba2/BB</t>
  </si>
  <si>
    <t>Ba1/BB+</t>
  </si>
  <si>
    <t>Baa2/BBB</t>
  </si>
  <si>
    <t>A3/A-</t>
  </si>
  <si>
    <t>A2/A</t>
  </si>
  <si>
    <t>A1/A+</t>
  </si>
  <si>
    <t>Aa2/AA</t>
  </si>
  <si>
    <t>Aaa/AAA</t>
  </si>
  <si>
    <t>≤ to</t>
  </si>
  <si>
    <t>For smaller and riskier firms</t>
  </si>
  <si>
    <t>greater than</t>
  </si>
  <si>
    <t xml:space="preserve">Low </t>
  </si>
  <si>
    <t>Mid</t>
  </si>
  <si>
    <t>High</t>
  </si>
  <si>
    <t>D/E Ratio</t>
  </si>
  <si>
    <t>Equity Beta</t>
  </si>
  <si>
    <t>CAPM Cost of Equity</t>
  </si>
  <si>
    <t>Asset Specific Premium</t>
  </si>
  <si>
    <t>Modified Cost of Equity</t>
  </si>
  <si>
    <t>Pre Tax Cost of Debt</t>
  </si>
  <si>
    <t>Post Tax Cost of Debt</t>
  </si>
  <si>
    <t>Capital Gearing (D/D+E)</t>
  </si>
  <si>
    <t>Weighted Average Cost of Capital (Rounded)</t>
  </si>
  <si>
    <t>ICR Based Corporate Default Spread</t>
  </si>
  <si>
    <t>Comparables Company</t>
  </si>
  <si>
    <t>Beta Analysis - 2 Years Weekly</t>
  </si>
  <si>
    <t>Ticker</t>
  </si>
  <si>
    <t xml:space="preserve">Market Cap </t>
  </si>
  <si>
    <t>2 Years Avg D/E</t>
  </si>
  <si>
    <t xml:space="preserve">Equity Beta </t>
  </si>
  <si>
    <t>2 Years avg D/(D+E)</t>
  </si>
  <si>
    <t xml:space="preserve">No. of Weekly Observations </t>
  </si>
  <si>
    <t>Peers Calculations</t>
  </si>
  <si>
    <t>Nifty 50 Index</t>
  </si>
  <si>
    <t>Calculations 5 Yearly Monthly</t>
  </si>
  <si>
    <t>Date</t>
  </si>
  <si>
    <t>Price</t>
  </si>
  <si>
    <t>Nifty 50 Returns</t>
  </si>
  <si>
    <t>Calculations 2 Yearly Weekly</t>
  </si>
  <si>
    <t>Gujarat Alkalies &amp; Chemicals Ltd (GAKL)</t>
  </si>
  <si>
    <t>GAKL</t>
  </si>
  <si>
    <t>GNFC</t>
  </si>
  <si>
    <t>Grasim</t>
  </si>
  <si>
    <t>Chemplast</t>
  </si>
  <si>
    <t>SRFL</t>
  </si>
  <si>
    <t>TGVS</t>
  </si>
  <si>
    <t xml:space="preserve">Primo </t>
  </si>
  <si>
    <t>DPNT</t>
  </si>
  <si>
    <t>SRFl</t>
  </si>
  <si>
    <t>Primo</t>
  </si>
  <si>
    <t>x</t>
  </si>
  <si>
    <t>Nifty</t>
  </si>
  <si>
    <t>Y</t>
  </si>
  <si>
    <t>All</t>
  </si>
  <si>
    <t xml:space="preserve">Beta </t>
  </si>
  <si>
    <t>GRASIM</t>
  </si>
  <si>
    <t>CHEMPLASTS</t>
  </si>
  <si>
    <t>TGV SRACC</t>
  </si>
  <si>
    <t>PRIMO</t>
  </si>
  <si>
    <t>DEEPAKNITRITE</t>
  </si>
  <si>
    <t>Beta Analysis - 5 Years Monthly</t>
  </si>
  <si>
    <t>Debt</t>
  </si>
  <si>
    <t>Reserve</t>
  </si>
  <si>
    <t>Debt To Equity</t>
  </si>
  <si>
    <t>Debt /(D+E)</t>
  </si>
  <si>
    <t>2 Yearly Asset Beta</t>
  </si>
  <si>
    <t>5 Yearly Asset Beta</t>
  </si>
  <si>
    <t>Considered?</t>
  </si>
  <si>
    <t>EPI</t>
  </si>
  <si>
    <t>EPIGRAL</t>
  </si>
  <si>
    <t>Median - Broad Set</t>
  </si>
  <si>
    <t>Average - Broad Set</t>
  </si>
  <si>
    <t>Average - Considered Set</t>
  </si>
  <si>
    <t>Median - Considered Set</t>
  </si>
  <si>
    <t>Narrow set</t>
  </si>
  <si>
    <t>5 Years Avg D/E</t>
  </si>
  <si>
    <t>5 Years avg D/(D+E)</t>
  </si>
  <si>
    <t xml:space="preserve">TGV </t>
  </si>
  <si>
    <t>Deepak Nitrite Ltd</t>
  </si>
  <si>
    <t>GUCL</t>
  </si>
  <si>
    <t>2 Years Weekly Equity Beta</t>
  </si>
  <si>
    <t>5 Years MonthLy Equity Beta</t>
  </si>
  <si>
    <t>Blume Beta Analysis - 5 Years Monthly</t>
  </si>
  <si>
    <t>`2/3 - Beta *1/3* Market Beta</t>
  </si>
  <si>
    <t>Debt to Eauity Ratio</t>
  </si>
  <si>
    <t>1. Tax Rate considered as Marginal Tax Rate of india</t>
  </si>
  <si>
    <t>2. Asset Beta is considered as Median of 5 Years beta of comps adjusted for blume effect.</t>
  </si>
  <si>
    <t>3. Equity Beta = Asset Beta * (1+(1-Tax Rate )* Debt / Equity</t>
  </si>
  <si>
    <t>For the purpose of assessing the cost of debt, we have used country's risk free rate, country default rate and corporate default spread rate based on company's debt rating and interest coverage ration.</t>
  </si>
  <si>
    <t xml:space="preserve">Small Size Premium </t>
  </si>
  <si>
    <t>Cash NOPAT</t>
  </si>
  <si>
    <t>Capex During the Year</t>
  </si>
  <si>
    <t>Discounting Rate (WACC)</t>
  </si>
  <si>
    <t>Less: Equity Options</t>
  </si>
  <si>
    <t>Equity Value for Shareholders</t>
  </si>
  <si>
    <t>Less: Minority Interest</t>
  </si>
  <si>
    <t>Add: Non Operating Assets</t>
  </si>
  <si>
    <t>Terminal Growth</t>
  </si>
  <si>
    <t xml:space="preserve">Terminal Value </t>
  </si>
  <si>
    <t>+</t>
  </si>
  <si>
    <t>Dep</t>
  </si>
  <si>
    <t>Sensitivity Analysis - Perpetuity Growth Rate DCF</t>
  </si>
  <si>
    <t>Sensitivity Analysis - Perpetuity Growth Rate Exit Multiple</t>
  </si>
  <si>
    <t>Epigral Mark Cap</t>
  </si>
  <si>
    <t>Revenue growth</t>
  </si>
  <si>
    <t>in %</t>
  </si>
  <si>
    <t>Mean</t>
  </si>
  <si>
    <t>PAT MARGIN</t>
  </si>
  <si>
    <t>PBT MARGIN</t>
  </si>
  <si>
    <t xml:space="preserve">Summary </t>
  </si>
  <si>
    <t>Historical Average</t>
  </si>
  <si>
    <t>Average Revenue Growth</t>
  </si>
  <si>
    <t>Average EBITDA Growth</t>
  </si>
  <si>
    <t>Average PBT Growth</t>
  </si>
  <si>
    <t>Average PAT Growth</t>
  </si>
  <si>
    <t>Average EBIT Growth</t>
  </si>
  <si>
    <t>Median Revenue Growth</t>
  </si>
  <si>
    <t>Median EBITDA Growth</t>
  </si>
  <si>
    <t>Median EBIT Growth</t>
  </si>
  <si>
    <t>Median PBT Growth</t>
  </si>
  <si>
    <t>Median PAT Growth</t>
  </si>
  <si>
    <t>Relative Valuation</t>
  </si>
  <si>
    <t>In INR Crores</t>
  </si>
  <si>
    <t>Share Price</t>
  </si>
  <si>
    <t>Market Cap</t>
  </si>
  <si>
    <t xml:space="preserve">Debt </t>
  </si>
  <si>
    <t>Earnings</t>
  </si>
  <si>
    <t>Market Data</t>
  </si>
  <si>
    <t>Financials</t>
  </si>
  <si>
    <t xml:space="preserve">High </t>
  </si>
  <si>
    <t>75th Percentile</t>
  </si>
  <si>
    <t>25th Percentile</t>
  </si>
  <si>
    <t>Low</t>
  </si>
  <si>
    <t>GUJALKALI</t>
  </si>
  <si>
    <t>We are taking 1.02 as Asset beta of Chemicals  Units</t>
  </si>
  <si>
    <t>Gujarat Alkalies &amp; Chemicals Ltd</t>
  </si>
  <si>
    <t xml:space="preserve">Gujarat Narmada Valley Fertilizers &amp; Chemicals Ltd </t>
  </si>
  <si>
    <t>Sales Growth %</t>
  </si>
  <si>
    <t>EBITDA Margins</t>
  </si>
  <si>
    <t>PAT</t>
  </si>
  <si>
    <t>PAT Margins</t>
  </si>
  <si>
    <t>Multiples</t>
  </si>
  <si>
    <t>EV/Sales</t>
  </si>
  <si>
    <t>EV/EBITDA</t>
  </si>
  <si>
    <t xml:space="preserve">Sales </t>
  </si>
  <si>
    <t>Valuation Multiple</t>
  </si>
  <si>
    <t>Price/Pat</t>
  </si>
  <si>
    <t>Epigral Limited (formerly known as Meghmani Finechem Limited) is a leading integrated Indian chemical manufacturer that has transitioned from a bulk chemical producer into a global multi-product chemical conglomerate. Established in 2007 and headquartered in Ahmedabad, the company operates a massive, state-of-the-art integrated manufacturing hub in Dahej, Gujarat</t>
  </si>
  <si>
    <t>Epigral Limited, hereinafter referred to as “the Company,” was incorporated on 19 June 2007 in Ahmedabad, Gujarat, and became a publicly listed company on 18 August 2021 following its demerger from Meghmani Organics and listing on the NSE and BSE. The Company is engaged in the manufacturing and sale of chlor-alkali and its derivatives, along with trading of agrochemical products. It commenced its chlor-alkali operations in 2009. Over time, Epigral expanded its installed capacity. In subsequent years, the Company diversified its product portfolio by commissioning plants for CPVC resin and Epichlorohydrin (ECH). The Company has since transformed from a chlor-alkali manufacturer into a downstream specialty chemical company through capacity expansion and integration at its Dahej, Gujarat complex. It produces caustic soda, chlorine, and hydrogen as base chemicals and utilizes them internally to manufacture higher-value derivatives such as epichlorohydrin (a key precursor for epoxy resins), CPVC resin, and other chlorinated intermediates used in pharmaceuticals, agrochemicals, construction materials, and performance plastics</t>
  </si>
  <si>
    <t>Derivatives &amp; Specialty Products</t>
  </si>
  <si>
    <t>Basic Chlor-Alkali (Commodity chemicals)</t>
  </si>
  <si>
    <t>Global GDP Prediction</t>
  </si>
  <si>
    <t>World</t>
  </si>
  <si>
    <t>Advanced Economies</t>
  </si>
  <si>
    <t>Developing Economies</t>
  </si>
  <si>
    <t>Euro Area</t>
  </si>
  <si>
    <t>US</t>
  </si>
  <si>
    <t>Uk</t>
  </si>
  <si>
    <t>2024A</t>
  </si>
  <si>
    <t>2025P</t>
  </si>
  <si>
    <t>2026P</t>
  </si>
  <si>
    <t>India GDP Growth</t>
  </si>
  <si>
    <t>Quarterly</t>
  </si>
  <si>
    <t>Q3 FY2024</t>
  </si>
  <si>
    <t>Q4 FY2024</t>
  </si>
  <si>
    <t>Q1 FY2025</t>
  </si>
  <si>
    <t>Q2 FY2025</t>
  </si>
  <si>
    <t>Q3 FY2025</t>
  </si>
  <si>
    <t>Q4 FY2025</t>
  </si>
  <si>
    <t xml:space="preserve">Actual </t>
  </si>
  <si>
    <t>Projected</t>
  </si>
  <si>
    <t>Q1 FY2026</t>
  </si>
  <si>
    <t>Q2 FY2026</t>
  </si>
  <si>
    <t>Global Speciality Chemical</t>
  </si>
  <si>
    <t>GVR</t>
  </si>
  <si>
    <r>
      <t xml:space="preserve">The global specialty chemicals market was valued at approximately </t>
    </r>
    <r>
      <rPr>
        <b/>
        <sz val="11"/>
        <color theme="1"/>
        <rFont val="Calibri"/>
        <family val="2"/>
      </rPr>
      <t>USD 978.97 billion in 2024</t>
    </r>
    <r>
      <rPr>
        <sz val="11"/>
        <color theme="1"/>
        <rFont val="Calibri"/>
        <family val="2"/>
      </rPr>
      <t xml:space="preserve"> and is projected to reach </t>
    </r>
    <r>
      <rPr>
        <b/>
        <sz val="11"/>
        <color theme="1"/>
        <rFont val="Calibri"/>
        <family val="2"/>
      </rPr>
      <t>USD 1,312.78 billion</t>
    </r>
    <r>
      <rPr>
        <sz val="11"/>
        <color theme="1"/>
        <rFont val="Calibri"/>
        <family val="2"/>
      </rPr>
      <t xml:space="preserve"> over the forecast period.</t>
    </r>
  </si>
  <si>
    <t>growing at a CAGR of 5% from 2025 to 2030</t>
  </si>
  <si>
    <t>https://www.fortunebusinessinsights.com/specialty-chemicals-market-105517</t>
  </si>
  <si>
    <t>Fortune Business Insight</t>
  </si>
  <si>
    <t>The global specialty chemicals market size was USD 757.98 billion in 2025 and is projected to grow from USD 796.84 billion in 2026 to USD 1,167.22 billion in 2034 at a CAGR of 4.90% during the forecast period 2026-2034. Asia Pacific dominated the specialty chemicals market with a market share of 49.60% in 2025. Moreover, the specialty chemical market size in the U.S. is projected to grow significantly, reaching an estimated value of USD 152.36 billion by 2032, driven by expanding demand for construction chemicals on account of an increase in investments in infrastructure projects.</t>
  </si>
  <si>
    <t>https://www.precedenceresearch.com/specialty-chemicals-market</t>
  </si>
  <si>
    <t>Precedence research</t>
  </si>
  <si>
    <t>Volume</t>
  </si>
  <si>
    <t>Europe</t>
  </si>
  <si>
    <t>Asia Pacific</t>
  </si>
  <si>
    <t>Lamea</t>
  </si>
  <si>
    <t>https://swarajyamag.com/economy/bottled-ambitions-can-indias-specialty-chemicals-live-up-to-hype</t>
  </si>
  <si>
    <t>Capex Chart</t>
  </si>
  <si>
    <t>Growth</t>
  </si>
  <si>
    <t>Capex% Sales</t>
  </si>
  <si>
    <t>Reveune</t>
  </si>
  <si>
    <t>Revenue Chart</t>
  </si>
  <si>
    <t>YOY Growth %</t>
  </si>
  <si>
    <t>SG&amp;A Chart</t>
  </si>
  <si>
    <t>Trade Receivable Chart</t>
  </si>
  <si>
    <t>Inventory Chart</t>
  </si>
  <si>
    <t>Trade Receivable Days</t>
  </si>
  <si>
    <t>Trade Payable Chart</t>
  </si>
  <si>
    <t>Trade Payable Days</t>
  </si>
  <si>
    <t>Empirically small size assets premium have expected the return as compared to large sized assets. We have used the study on size premium conducted by incwert which is based on difference between actual return and CAPM expected returns arranged in decile basis market capitalization of indian Companies.</t>
  </si>
  <si>
    <t>P/E</t>
  </si>
  <si>
    <t>Relative Valuation - EV/EBITDA</t>
  </si>
  <si>
    <t>Relative Valuation - EV/Sales</t>
  </si>
  <si>
    <t>Relative Valuation - P/E</t>
  </si>
  <si>
    <t xml:space="preserve">Valuation Summary </t>
  </si>
  <si>
    <t>Valuation Methods</t>
  </si>
  <si>
    <t xml:space="preserve">Enterprise Value </t>
  </si>
  <si>
    <t>Value Per Share</t>
  </si>
  <si>
    <t>Market Price</t>
  </si>
  <si>
    <t>Discount/ Premium</t>
  </si>
  <si>
    <t>Discount/ Premium %</t>
  </si>
  <si>
    <t>Discounted Cash Flow  - Perpetuity Growth</t>
  </si>
  <si>
    <t>Discounted Cash Flow  - Exit Multiple</t>
  </si>
  <si>
    <t>Relative Valuation - Price/Earnings</t>
  </si>
  <si>
    <t>Outstanding Share</t>
  </si>
  <si>
    <t>Interpretaion</t>
  </si>
  <si>
    <t>Undervalued</t>
  </si>
  <si>
    <t>Overvalued</t>
  </si>
  <si>
    <t>Slight undervaluation</t>
  </si>
  <si>
    <t>Very undervalued</t>
  </si>
  <si>
    <t>Equity Value Available for Equity Shareholders</t>
  </si>
  <si>
    <t>Explicit Forecast Period</t>
  </si>
  <si>
    <t>Implied Exit Multiple TV</t>
  </si>
  <si>
    <t>Implied Exit MultipleTV</t>
  </si>
  <si>
    <t>Current Value Stock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</si>
</sst>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7">
    <numFmt numFmtId="164" formatCode="#,##0;\(#,##0\);\-"/>
    <numFmt numFmtId="165" formatCode="0.0%"/>
    <numFmt numFmtId="166" formatCode="&quot;FY&quot;###0"/>
    <numFmt numFmtId="167" formatCode="_(* #,##0_);_(* \(#,##0\);_(* &quot;-&quot;??_);_(@_)"/>
    <numFmt numFmtId="168" formatCode="#,##0.00000;\(#,##0.00000\);\-"/>
    <numFmt numFmtId="169" formatCode="&quot;FY&quot;0\ "/>
    <numFmt numFmtId="170" formatCode="&quot;₹&quot;\ #,##0.00"/>
    <numFmt numFmtId="171" formatCode="&quot;₹&quot;\ #,##0"/>
    <numFmt numFmtId="172" formatCode="&quot;FY&quot;\ 0"/>
    <numFmt numFmtId="173" formatCode="0\ &quot;days&quot;"/>
    <numFmt numFmtId="174" formatCode="&quot;₹&quot;\ #,##0;\(&quot;₹&quot;\ #,##0\);\-"/>
    <numFmt numFmtId="175" formatCode="&quot;Debt Tenure -&quot;\ 0\ &quot;Years&quot;"/>
    <numFmt numFmtId="176" formatCode="&quot;₹&quot;\ #,##0;\(&quot;₹&quot;\ #,##0\)"/>
    <numFmt numFmtId="177" formatCode="[$-F400]h:mm:ss\ AM/PM"/>
    <numFmt numFmtId="178" formatCode="0.00&quot;x&quot;"/>
    <numFmt numFmtId="179" formatCode="0.0&quot;x&quot;"/>
    <numFmt numFmtId="180" formatCode="0.000"/>
    <numFmt numFmtId="181" formatCode="0.0"/>
    <numFmt numFmtId="182" formatCode="0&quot;Days&quot;"/>
    <numFmt numFmtId="183" formatCode="&quot;₹&quot;\ #,##0;&quot;₹&quot;\ \(#,##0\);\-"/>
    <numFmt numFmtId="184" formatCode="0&quot;x&quot;"/>
    <numFmt numFmtId="185" formatCode="#,##0.0;\(#,##0.0\);\-"/>
    <numFmt numFmtId="186" formatCode="&quot;Useful Life&quot;\ 0\ &quot;Years&quot;"/>
    <numFmt numFmtId="187" formatCode="0\ &quot; Days&quot;"/>
    <numFmt numFmtId="188" formatCode="#,##0.00;\(#,##0.00\);\-"/>
    <numFmt numFmtId="189" formatCode="0\ &quot;Days&quot;"/>
    <numFmt numFmtId="190" formatCode="_(&quot;$&quot;* #,##0.00_);_(&quot;$&quot;* \(#,##0.00\);_(&quot;$&quot;* &quot;-&quot;??_);_(@_)"/>
    <numFmt numFmtId="191" formatCode="0.00000"/>
    <numFmt numFmtId="192" formatCode="0.0000"/>
    <numFmt numFmtId="193" formatCode="_(* #,##0.00_);_(* \(#,##0.00\);_(* &quot;-&quot;??_);_(@_)"/>
    <numFmt numFmtId="194" formatCode="&quot;₹&quot;\ #,##0.00;\(&quot;₹&quot;\ #,##0.00\)"/>
    <numFmt numFmtId="195" formatCode="&quot;₹&quot;\ #,##0.00;\(&quot;₹&quot;\ #,##0.00\);\-"/>
    <numFmt numFmtId="196" formatCode="0&quot;A&quot;"/>
    <numFmt numFmtId="197" formatCode="0&quot;F&quot;"/>
    <numFmt numFmtId="198" formatCode="#,##0;\(#,##0\)"/>
    <numFmt numFmtId="199" formatCode="0&quot;E&quot;"/>
    <numFmt numFmtId="200" formatCode="&quot;₹&quot;\ #,##0.0"/>
  </numFmts>
  <fonts count="78">
    <font>
      <sz val="11"/>
      <color theme="1"/>
      <name val="Calibri"/>
      <family val="2"/>
    </font>
    <font>
      <sz val="10"/>
      <name val="Arial"/>
      <family val="2"/>
    </font>
    <font>
      <sz val="11"/>
      <name val="Calibri"/>
      <family val="2"/>
      <scheme val="minor"/>
    </font>
    <font>
      <sz val="12"/>
      <name val="Arial"/>
      <family val="2"/>
    </font>
    <font>
      <b/>
      <sz val="11"/>
      <color rgb="FF000000"/>
      <name val="Calibri"/>
      <family val="2"/>
      <scheme val="minor"/>
    </font>
    <font>
      <sz val="10"/>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sz val="11"/>
      <color theme="0"/>
      <name val="Calibri"/>
      <family val="2"/>
      <scheme val="minor"/>
    </font>
    <font>
      <sz val="10"/>
      <color rgb="FF000000"/>
      <name val="Calibri"/>
      <family val="2"/>
      <scheme val="minor"/>
    </font>
    <font>
      <b/>
      <sz val="10"/>
      <color rgb="FF000000"/>
      <name val="Calibri"/>
      <family val="2"/>
      <scheme val="minor"/>
    </font>
    <font>
      <b/>
      <sz val="10"/>
      <name val="Calibri"/>
      <family val="2"/>
      <scheme val="minor"/>
    </font>
    <font>
      <b/>
      <sz val="10"/>
      <color theme="1"/>
      <name val="Calibri"/>
      <family val="2"/>
      <scheme val="minor"/>
    </font>
    <font>
      <sz val="10"/>
      <color theme="1"/>
      <name val="Calibri"/>
      <family val="2"/>
      <scheme val="minor"/>
    </font>
    <font>
      <b/>
      <u/>
      <sz val="10"/>
      <color rgb="FF000000"/>
      <name val="Calibri"/>
      <family val="2"/>
      <scheme val="minor"/>
    </font>
    <font>
      <b/>
      <u/>
      <sz val="11"/>
      <name val="Calibri"/>
      <family val="2"/>
      <scheme val="minor"/>
    </font>
    <font>
      <b/>
      <sz val="11"/>
      <color theme="1"/>
      <name val="Calibri"/>
      <family val="2"/>
    </font>
    <font>
      <sz val="11"/>
      <color theme="0"/>
      <name val="Calibri"/>
      <family val="2"/>
    </font>
    <font>
      <sz val="16"/>
      <color rgb="FF002060"/>
      <name val="Calibri"/>
      <family val="2"/>
    </font>
    <font>
      <i/>
      <sz val="11"/>
      <color rgb="FF002060"/>
      <name val="Calibri"/>
      <family val="2"/>
    </font>
    <font>
      <sz val="11"/>
      <color rgb="FF3333FF"/>
      <name val="Calibri"/>
      <family val="2"/>
    </font>
    <font>
      <sz val="11"/>
      <name val="Calibri"/>
      <family val="2"/>
    </font>
    <font>
      <sz val="11"/>
      <color theme="1"/>
      <name val="Calibri"/>
      <family val="2"/>
    </font>
    <font>
      <sz val="11"/>
      <color theme="9" tint="-0.499984740745262"/>
      <name val="Calibri"/>
      <family val="2"/>
    </font>
    <font>
      <b/>
      <sz val="11"/>
      <color theme="9" tint="-0.249977111117893"/>
      <name val="Calibri"/>
      <family val="2"/>
    </font>
    <font>
      <sz val="11"/>
      <color theme="9" tint="-0.249977111117893"/>
      <name val="Calibri"/>
      <family val="2"/>
    </font>
    <font>
      <b/>
      <u/>
      <sz val="11"/>
      <color theme="1"/>
      <name val="Calibri"/>
      <family val="2"/>
    </font>
    <font>
      <b/>
      <sz val="11"/>
      <color theme="0"/>
      <name val="Calibri"/>
      <family val="2"/>
    </font>
    <font>
      <b/>
      <sz val="14"/>
      <color theme="0"/>
      <name val="Calibri"/>
      <family val="2"/>
    </font>
    <font>
      <sz val="11"/>
      <color rgb="FF000000"/>
      <name val="Calibri"/>
      <family val="2"/>
      <scheme val="minor"/>
    </font>
    <font>
      <b/>
      <u/>
      <sz val="11"/>
      <color rgb="FF000000"/>
      <name val="Calibri"/>
      <family val="2"/>
      <scheme val="minor"/>
    </font>
    <font>
      <b/>
      <sz val="11"/>
      <name val="Calibri"/>
      <family val="2"/>
    </font>
    <font>
      <b/>
      <sz val="11"/>
      <name val="Calibri"/>
      <family val="2"/>
      <scheme val="minor"/>
    </font>
    <font>
      <sz val="11"/>
      <color theme="9" tint="0.39997558519241921"/>
      <name val="Calibri"/>
      <family val="2"/>
    </font>
    <font>
      <i/>
      <sz val="11"/>
      <color rgb="FF3333FF"/>
      <name val="Calibri"/>
      <family val="2"/>
    </font>
    <font>
      <sz val="11"/>
      <color theme="0" tint="-4.9989318521683403E-2"/>
      <name val="Calibri"/>
      <family val="2"/>
    </font>
    <font>
      <u/>
      <sz val="11"/>
      <color theme="10"/>
      <name val="Calibri"/>
      <family val="2"/>
    </font>
    <font>
      <sz val="10"/>
      <color theme="1"/>
      <name val="Calibri"/>
      <family val="2"/>
    </font>
    <font>
      <b/>
      <sz val="10"/>
      <color theme="1"/>
      <name val="Calibri"/>
      <family val="2"/>
    </font>
    <font>
      <sz val="10"/>
      <color rgb="FF333333"/>
      <name val="Arial"/>
      <family val="2"/>
    </font>
    <font>
      <b/>
      <i/>
      <sz val="12"/>
      <color rgb="FF2D2D2D"/>
      <name val="Arial"/>
      <family val="2"/>
    </font>
    <font>
      <b/>
      <sz val="12"/>
      <color rgb="FF000000"/>
      <name val="Arial"/>
      <family val="2"/>
    </font>
    <font>
      <sz val="10"/>
      <color rgb="FFFFFFFF"/>
      <name val="Roboto"/>
    </font>
    <font>
      <sz val="10"/>
      <color rgb="FF434343"/>
      <name val="Roboto"/>
    </font>
    <font>
      <sz val="10"/>
      <color theme="1"/>
      <name val="Arial"/>
      <family val="2"/>
    </font>
    <font>
      <sz val="11"/>
      <color rgb="FF000000"/>
      <name val="Calibri"/>
      <family val="2"/>
    </font>
    <font>
      <i/>
      <sz val="11"/>
      <color rgb="FF000000"/>
      <name val="Calibri"/>
      <family val="2"/>
    </font>
    <font>
      <sz val="12"/>
      <color theme="1"/>
      <name val="Calibri"/>
      <family val="2"/>
      <scheme val="minor"/>
    </font>
    <font>
      <u/>
      <sz val="12"/>
      <color theme="10"/>
      <name val="Calibri"/>
      <family val="2"/>
      <scheme val="minor"/>
    </font>
    <font>
      <sz val="9"/>
      <color indexed="81"/>
      <name val="Tahoma"/>
      <family val="2"/>
    </font>
    <font>
      <b/>
      <sz val="9"/>
      <color indexed="81"/>
      <name val="Tahoma"/>
      <family val="2"/>
    </font>
    <font>
      <sz val="10"/>
      <color theme="0"/>
      <name val="Calibri"/>
      <family val="2"/>
    </font>
    <font>
      <sz val="10"/>
      <name val="Calibri"/>
      <family val="2"/>
    </font>
    <font>
      <i/>
      <sz val="11"/>
      <color theme="1"/>
      <name val="Calibri"/>
      <family val="2"/>
    </font>
    <font>
      <i/>
      <sz val="10"/>
      <name val="Calibri"/>
      <family val="2"/>
      <scheme val="minor"/>
    </font>
    <font>
      <i/>
      <sz val="10"/>
      <color theme="1"/>
      <name val="Calibri"/>
      <family val="2"/>
      <scheme val="minor"/>
    </font>
    <font>
      <i/>
      <sz val="11"/>
      <name val="Calibri"/>
      <family val="2"/>
    </font>
    <font>
      <b/>
      <sz val="11"/>
      <color rgb="FF3333FF"/>
      <name val="Calibri"/>
      <family val="2"/>
    </font>
    <font>
      <b/>
      <sz val="10"/>
      <name val="Calibri"/>
      <family val="2"/>
    </font>
    <font>
      <i/>
      <sz val="10"/>
      <color theme="1"/>
      <name val="Calibri"/>
      <family val="2"/>
    </font>
    <font>
      <i/>
      <sz val="10"/>
      <name val="Calibri"/>
      <family val="2"/>
    </font>
    <font>
      <i/>
      <sz val="10"/>
      <color theme="0" tint="-4.9989318521683403E-2"/>
      <name val="Calibri"/>
      <family val="2"/>
    </font>
    <font>
      <i/>
      <sz val="10"/>
      <color theme="0" tint="-0.34998626667073579"/>
      <name val="Calibri"/>
      <family val="2"/>
    </font>
    <font>
      <sz val="11"/>
      <color rgb="FF000099"/>
      <name val="Calibri"/>
      <family val="2"/>
    </font>
    <font>
      <sz val="12"/>
      <color theme="1"/>
      <name val="Calibri"/>
      <family val="2"/>
    </font>
    <font>
      <b/>
      <sz val="12"/>
      <color theme="0"/>
      <name val="Calibri"/>
      <family val="2"/>
    </font>
    <font>
      <sz val="12"/>
      <color theme="0"/>
      <name val="Calibri"/>
      <family val="2"/>
    </font>
    <font>
      <i/>
      <sz val="12"/>
      <color rgb="FF002060"/>
      <name val="Calibri"/>
      <family val="2"/>
    </font>
    <font>
      <sz val="12"/>
      <color rgb="FF3333FF"/>
      <name val="Calibri"/>
      <family val="2"/>
    </font>
    <font>
      <sz val="10"/>
      <name val="Geneva"/>
      <charset val="1"/>
    </font>
    <font>
      <sz val="10"/>
      <name val="Geneva"/>
      <family val="2"/>
      <charset val="1"/>
    </font>
    <font>
      <b/>
      <sz val="10"/>
      <name val="Times"/>
      <family val="1"/>
    </font>
    <font>
      <i/>
      <sz val="10"/>
      <name val="Times Roman"/>
    </font>
    <font>
      <sz val="10"/>
      <name val="Times Roman"/>
    </font>
    <font>
      <b/>
      <sz val="11"/>
      <color rgb="FF000099"/>
      <name val="Calibri"/>
      <family val="2"/>
    </font>
    <font>
      <sz val="11"/>
      <color rgb="FF002060"/>
      <name val="Calibri"/>
      <family val="2"/>
    </font>
    <font>
      <sz val="9"/>
      <name val="Geneva"/>
      <family val="2"/>
    </font>
  </fonts>
  <fills count="17">
    <fill>
      <patternFill patternType="none"/>
    </fill>
    <fill>
      <patternFill patternType="gray125"/>
    </fill>
    <fill>
      <patternFill patternType="solid">
        <fgColor rgb="FF002060"/>
        <bgColor indexed="64"/>
      </patternFill>
    </fill>
    <fill>
      <patternFill patternType="solid">
        <fgColor theme="0" tint="-0.34998626667073579"/>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rgb="FFFFFFFF"/>
        <bgColor indexed="64"/>
      </patternFill>
    </fill>
    <fill>
      <patternFill patternType="solid">
        <fgColor rgb="FF356854"/>
        <bgColor indexed="64"/>
      </patternFill>
    </fill>
    <fill>
      <patternFill patternType="solid">
        <fgColor rgb="FFF6F8F9"/>
        <bgColor indexed="64"/>
      </patternFill>
    </fill>
    <fill>
      <patternFill patternType="solid">
        <fgColor theme="8" tint="0.59999389629810485"/>
        <bgColor indexed="64"/>
      </patternFill>
    </fill>
    <fill>
      <patternFill patternType="solid">
        <fgColor theme="7"/>
        <bgColor indexed="64"/>
      </patternFill>
    </fill>
    <fill>
      <patternFill patternType="solid">
        <fgColor rgb="FFFFC000"/>
        <bgColor indexed="64"/>
      </patternFill>
    </fill>
    <fill>
      <patternFill patternType="solid">
        <fgColor theme="6" tint="-0.249977111117893"/>
        <bgColor indexed="64"/>
      </patternFill>
    </fill>
    <fill>
      <patternFill patternType="solid">
        <fgColor theme="2" tint="-0.499984740745262"/>
        <bgColor indexed="64"/>
      </patternFill>
    </fill>
    <fill>
      <patternFill patternType="solid">
        <fgColor theme="0" tint="-0.499984740745262"/>
        <bgColor indexed="64"/>
      </patternFill>
    </fill>
  </fills>
  <borders count="27">
    <border>
      <left/>
      <right/>
      <top/>
      <bottom/>
      <diagonal/>
    </border>
    <border>
      <left/>
      <right/>
      <top/>
      <bottom style="thin">
        <color indexed="64"/>
      </bottom>
      <diagonal/>
    </border>
    <border>
      <left/>
      <right/>
      <top style="thin">
        <color indexed="64"/>
      </top>
      <bottom style="medium">
        <color indexed="64"/>
      </bottom>
      <diagonal/>
    </border>
    <border>
      <left/>
      <right/>
      <top style="hair">
        <color auto="1"/>
      </top>
      <bottom style="hair">
        <color auto="1"/>
      </bottom>
      <diagonal/>
    </border>
    <border>
      <left/>
      <right/>
      <top style="thin">
        <color indexed="64"/>
      </top>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top style="medium">
        <color rgb="FFD1D1D1"/>
      </top>
      <bottom style="medium">
        <color rgb="FFE0E0E0"/>
      </bottom>
      <diagonal/>
    </border>
    <border>
      <left style="medium">
        <color rgb="FF284E3F"/>
      </left>
      <right style="medium">
        <color rgb="FF356854"/>
      </right>
      <top style="medium">
        <color rgb="FF284E3F"/>
      </top>
      <bottom style="medium">
        <color rgb="FF284E3F"/>
      </bottom>
      <diagonal/>
    </border>
    <border>
      <left style="medium">
        <color rgb="FFCCCCCC"/>
      </left>
      <right style="medium">
        <color rgb="FF356854"/>
      </right>
      <top style="medium">
        <color rgb="FF284E3F"/>
      </top>
      <bottom style="medium">
        <color rgb="FF284E3F"/>
      </bottom>
      <diagonal/>
    </border>
    <border>
      <left style="medium">
        <color rgb="FFCCCCCC"/>
      </left>
      <right style="medium">
        <color rgb="FF284E3F"/>
      </right>
      <top style="medium">
        <color rgb="FF284E3F"/>
      </top>
      <bottom style="medium">
        <color rgb="FF284E3F"/>
      </bottom>
      <diagonal/>
    </border>
    <border>
      <left style="medium">
        <color rgb="FF284E3F"/>
      </left>
      <right style="medium">
        <color rgb="FFFFFFFF"/>
      </right>
      <top style="medium">
        <color rgb="FFCCCCCC"/>
      </top>
      <bottom style="medium">
        <color rgb="FFF6F8F9"/>
      </bottom>
      <diagonal/>
    </border>
    <border>
      <left style="medium">
        <color rgb="FFCCCCCC"/>
      </left>
      <right style="medium">
        <color rgb="FFFFFFFF"/>
      </right>
      <top style="medium">
        <color rgb="FFCCCCCC"/>
      </top>
      <bottom style="medium">
        <color rgb="FFF6F8F9"/>
      </bottom>
      <diagonal/>
    </border>
    <border>
      <left style="medium">
        <color rgb="FFCCCCCC"/>
      </left>
      <right style="medium">
        <color rgb="FF284E3F"/>
      </right>
      <top style="medium">
        <color rgb="FFCCCCCC"/>
      </top>
      <bottom style="medium">
        <color rgb="FFF6F8F9"/>
      </bottom>
      <diagonal/>
    </border>
    <border>
      <left style="medium">
        <color rgb="FF284E3F"/>
      </left>
      <right style="medium">
        <color rgb="FFF6F8F9"/>
      </right>
      <top style="medium">
        <color rgb="FFCCCCCC"/>
      </top>
      <bottom style="medium">
        <color rgb="FFF6F8F9"/>
      </bottom>
      <diagonal/>
    </border>
    <border>
      <left style="medium">
        <color rgb="FFCCCCCC"/>
      </left>
      <right style="medium">
        <color rgb="FFF6F8F9"/>
      </right>
      <top style="medium">
        <color rgb="FFCCCCCC"/>
      </top>
      <bottom style="medium">
        <color rgb="FFF6F8F9"/>
      </bottom>
      <diagonal/>
    </border>
    <border>
      <left style="medium">
        <color rgb="FF284E3F"/>
      </left>
      <right style="medium">
        <color rgb="FFF6F8F9"/>
      </right>
      <top style="medium">
        <color rgb="FFCCCCCC"/>
      </top>
      <bottom style="medium">
        <color rgb="FF284E3F"/>
      </bottom>
      <diagonal/>
    </border>
    <border>
      <left style="medium">
        <color rgb="FFCCCCCC"/>
      </left>
      <right style="medium">
        <color rgb="FFF6F8F9"/>
      </right>
      <top style="medium">
        <color rgb="FFCCCCCC"/>
      </top>
      <bottom style="medium">
        <color rgb="FF284E3F"/>
      </bottom>
      <diagonal/>
    </border>
    <border>
      <left style="medium">
        <color rgb="FFCCCCCC"/>
      </left>
      <right style="medium">
        <color rgb="FF284E3F"/>
      </right>
      <top style="medium">
        <color rgb="FFCCCCCC"/>
      </top>
      <bottom style="medium">
        <color rgb="FF284E3F"/>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1"/>
      </left>
      <right style="thin">
        <color theme="1"/>
      </right>
      <top style="thin">
        <color theme="1"/>
      </top>
      <bottom style="thin">
        <color theme="1"/>
      </bottom>
      <diagonal/>
    </border>
    <border>
      <left/>
      <right/>
      <top/>
      <bottom style="hair">
        <color indexed="64"/>
      </bottom>
      <diagonal/>
    </border>
    <border>
      <left/>
      <right/>
      <top style="hair">
        <color indexed="64"/>
      </top>
      <bottom style="thin">
        <color indexed="64"/>
      </bottom>
      <diagonal/>
    </border>
    <border>
      <left/>
      <right/>
      <top style="thin">
        <color auto="1"/>
      </top>
      <bottom style="hair">
        <color auto="1"/>
      </bottom>
      <diagonal/>
    </border>
    <border>
      <left/>
      <right/>
      <top/>
      <bottom style="medium">
        <color auto="1"/>
      </bottom>
      <diagonal/>
    </border>
  </borders>
  <cellStyleXfs count="14">
    <xf numFmtId="0" fontId="0" fillId="0" borderId="0"/>
    <xf numFmtId="9" fontId="8" fillId="0" borderId="0" applyFont="0" applyFill="0" applyBorder="0" applyAlignment="0" applyProtection="0"/>
    <xf numFmtId="0" fontId="1" fillId="0" borderId="0"/>
    <xf numFmtId="0" fontId="3" fillId="0" borderId="0"/>
    <xf numFmtId="0" fontId="37" fillId="0" borderId="0" applyNumberFormat="0" applyFill="0" applyBorder="0" applyAlignment="0" applyProtection="0"/>
    <xf numFmtId="0" fontId="48" fillId="0" borderId="0"/>
    <xf numFmtId="0" fontId="49" fillId="0" borderId="0" applyNumberFormat="0" applyFill="0" applyBorder="0" applyAlignment="0" applyProtection="0"/>
    <xf numFmtId="0" fontId="70" fillId="0" borderId="0"/>
    <xf numFmtId="190" fontId="71" fillId="0" borderId="0" applyFont="0" applyFill="0" applyBorder="0" applyAlignment="0" applyProtection="0"/>
    <xf numFmtId="9" fontId="71" fillId="0" borderId="0" applyFont="0" applyFill="0" applyBorder="0" applyAlignment="0" applyProtection="0"/>
    <xf numFmtId="0" fontId="77" fillId="0" borderId="0"/>
    <xf numFmtId="190" fontId="77" fillId="0" borderId="0" applyFont="0" applyFill="0" applyBorder="0" applyAlignment="0" applyProtection="0"/>
    <xf numFmtId="9" fontId="77" fillId="0" borderId="0" applyFont="0" applyFill="0" applyBorder="0" applyAlignment="0" applyProtection="0"/>
    <xf numFmtId="193" fontId="77" fillId="0" borderId="0" applyFont="0" applyFill="0" applyBorder="0" applyAlignment="0" applyProtection="0"/>
  </cellStyleXfs>
  <cellXfs count="592">
    <xf numFmtId="0" fontId="0" fillId="0" borderId="0" xfId="0"/>
    <xf numFmtId="164" fontId="2" fillId="0" borderId="0" xfId="2" applyNumberFormat="1" applyFont="1"/>
    <xf numFmtId="164" fontId="4" fillId="0" borderId="0" xfId="3" applyNumberFormat="1" applyFont="1" applyAlignment="1">
      <alignment vertical="center"/>
    </xf>
    <xf numFmtId="164" fontId="5" fillId="0" borderId="0" xfId="2" applyNumberFormat="1" applyFont="1"/>
    <xf numFmtId="0" fontId="5" fillId="0" borderId="0" xfId="2" applyFont="1"/>
    <xf numFmtId="164" fontId="6" fillId="0" borderId="0" xfId="3" applyNumberFormat="1" applyFont="1" applyAlignment="1">
      <alignment vertical="center"/>
    </xf>
    <xf numFmtId="0" fontId="2" fillId="0" borderId="0" xfId="2" applyFont="1"/>
    <xf numFmtId="164" fontId="7" fillId="0" borderId="0" xfId="3" applyNumberFormat="1" applyFont="1" applyAlignment="1">
      <alignment vertical="center"/>
    </xf>
    <xf numFmtId="165" fontId="2" fillId="0" borderId="0" xfId="1" applyNumberFormat="1" applyFont="1" applyFill="1"/>
    <xf numFmtId="166" fontId="9" fillId="2" borderId="0" xfId="2" applyNumberFormat="1" applyFont="1" applyFill="1" applyAlignment="1">
      <alignment horizontal="right"/>
    </xf>
    <xf numFmtId="164" fontId="10" fillId="0" borderId="0" xfId="3" applyNumberFormat="1" applyFont="1" applyAlignment="1">
      <alignment horizontal="left" vertical="center"/>
    </xf>
    <xf numFmtId="164" fontId="10" fillId="0" borderId="0" xfId="3" applyNumberFormat="1" applyFont="1" applyAlignment="1">
      <alignment vertical="center"/>
    </xf>
    <xf numFmtId="164" fontId="10" fillId="0" borderId="1" xfId="3" applyNumberFormat="1" applyFont="1" applyBorder="1" applyAlignment="1">
      <alignment horizontal="left" vertical="center" indent="1"/>
    </xf>
    <xf numFmtId="0" fontId="5" fillId="0" borderId="1" xfId="2" applyFont="1" applyBorder="1"/>
    <xf numFmtId="164" fontId="11" fillId="0" borderId="0" xfId="3" applyNumberFormat="1" applyFont="1" applyAlignment="1">
      <alignment vertical="center"/>
    </xf>
    <xf numFmtId="0" fontId="12" fillId="0" borderId="0" xfId="2" applyFont="1"/>
    <xf numFmtId="167" fontId="5" fillId="0" borderId="0" xfId="2" applyNumberFormat="1" applyFont="1"/>
    <xf numFmtId="165" fontId="14" fillId="0" borderId="0" xfId="1" applyNumberFormat="1" applyFont="1" applyFill="1"/>
    <xf numFmtId="164" fontId="15" fillId="0" borderId="0" xfId="3" applyNumberFormat="1" applyFont="1" applyAlignment="1">
      <alignment horizontal="left" vertical="center"/>
    </xf>
    <xf numFmtId="164" fontId="14" fillId="0" borderId="0" xfId="1" applyNumberFormat="1" applyFont="1" applyFill="1"/>
    <xf numFmtId="164" fontId="10" fillId="0" borderId="0" xfId="3" applyNumberFormat="1" applyFont="1" applyAlignment="1">
      <alignment horizontal="left" vertical="center" indent="1"/>
    </xf>
    <xf numFmtId="165" fontId="5" fillId="0" borderId="0" xfId="1" applyNumberFormat="1" applyFont="1" applyFill="1"/>
    <xf numFmtId="164" fontId="11" fillId="0" borderId="0" xfId="3" applyNumberFormat="1" applyFont="1" applyAlignment="1">
      <alignment horizontal="left" vertical="center"/>
    </xf>
    <xf numFmtId="164" fontId="14" fillId="0" borderId="0" xfId="1" applyNumberFormat="1" applyFont="1" applyFill="1" applyBorder="1"/>
    <xf numFmtId="0" fontId="12" fillId="0" borderId="2" xfId="2" applyFont="1" applyBorder="1"/>
    <xf numFmtId="4" fontId="14" fillId="0" borderId="0" xfId="1" applyNumberFormat="1" applyFont="1" applyFill="1"/>
    <xf numFmtId="3" fontId="14" fillId="0" borderId="0" xfId="1" applyNumberFormat="1" applyFont="1" applyFill="1"/>
    <xf numFmtId="0" fontId="16" fillId="0" borderId="0" xfId="2" applyFont="1"/>
    <xf numFmtId="168" fontId="14" fillId="0" borderId="0" xfId="1" applyNumberFormat="1" applyFont="1" applyFill="1"/>
    <xf numFmtId="0" fontId="19" fillId="0" borderId="0" xfId="0" applyFont="1"/>
    <xf numFmtId="0" fontId="20" fillId="0" borderId="1" xfId="0" applyFont="1" applyBorder="1"/>
    <xf numFmtId="0" fontId="0" fillId="0" borderId="1" xfId="0" applyBorder="1"/>
    <xf numFmtId="169" fontId="0" fillId="0" borderId="1" xfId="0" applyNumberFormat="1" applyBorder="1"/>
    <xf numFmtId="0" fontId="17" fillId="4" borderId="0" xfId="0" applyFont="1" applyFill="1"/>
    <xf numFmtId="0" fontId="0" fillId="4" borderId="0" xfId="0" applyFill="1"/>
    <xf numFmtId="0" fontId="21" fillId="0" borderId="3" xfId="0" applyFont="1" applyBorder="1"/>
    <xf numFmtId="0" fontId="0" fillId="0" borderId="3" xfId="0" applyBorder="1"/>
    <xf numFmtId="0" fontId="0" fillId="5" borderId="0" xfId="0" applyFill="1"/>
    <xf numFmtId="0" fontId="17" fillId="5" borderId="0" xfId="0" applyFont="1" applyFill="1"/>
    <xf numFmtId="0" fontId="17" fillId="0" borderId="0" xfId="0" applyFont="1"/>
    <xf numFmtId="165" fontId="21" fillId="0" borderId="3" xfId="1" applyNumberFormat="1" applyFont="1" applyBorder="1"/>
    <xf numFmtId="0" fontId="0" fillId="0" borderId="4" xfId="0" applyBorder="1"/>
    <xf numFmtId="0" fontId="0" fillId="6" borderId="0" xfId="0" applyFill="1"/>
    <xf numFmtId="165" fontId="23" fillId="5" borderId="3" xfId="1" applyNumberFormat="1" applyFont="1" applyFill="1" applyBorder="1"/>
    <xf numFmtId="170" fontId="0" fillId="0" borderId="0" xfId="0" applyNumberFormat="1"/>
    <xf numFmtId="0" fontId="0" fillId="0" borderId="2" xfId="0" applyBorder="1"/>
    <xf numFmtId="0" fontId="17" fillId="0" borderId="4" xfId="0" applyFont="1" applyBorder="1"/>
    <xf numFmtId="0" fontId="17" fillId="6" borderId="2" xfId="0" applyFont="1" applyFill="1" applyBorder="1"/>
    <xf numFmtId="171" fontId="17" fillId="0" borderId="4" xfId="0" applyNumberFormat="1" applyFont="1" applyBorder="1"/>
    <xf numFmtId="0" fontId="17" fillId="0" borderId="2" xfId="0" applyFont="1" applyBorder="1"/>
    <xf numFmtId="165" fontId="0" fillId="6" borderId="0" xfId="1" applyNumberFormat="1" applyFont="1" applyFill="1"/>
    <xf numFmtId="0" fontId="17" fillId="5" borderId="3" xfId="0" applyFont="1" applyFill="1" applyBorder="1"/>
    <xf numFmtId="0" fontId="0" fillId="5" borderId="3" xfId="0" applyFill="1" applyBorder="1"/>
    <xf numFmtId="165" fontId="24" fillId="6" borderId="0" xfId="1" applyNumberFormat="1" applyFont="1" applyFill="1" applyBorder="1"/>
    <xf numFmtId="171" fontId="0" fillId="0" borderId="0" xfId="0" applyNumberFormat="1"/>
    <xf numFmtId="165" fontId="0" fillId="0" borderId="0" xfId="1" applyNumberFormat="1" applyFont="1"/>
    <xf numFmtId="165" fontId="17" fillId="5" borderId="3" xfId="1" applyNumberFormat="1" applyFont="1" applyFill="1" applyBorder="1"/>
    <xf numFmtId="0" fontId="0" fillId="0" borderId="0" xfId="0" applyAlignment="1">
      <alignment horizontal="left" indent="1"/>
    </xf>
    <xf numFmtId="171" fontId="26" fillId="0" borderId="0" xfId="0" applyNumberFormat="1" applyFont="1"/>
    <xf numFmtId="165" fontId="22" fillId="6" borderId="0" xfId="1" applyNumberFormat="1" applyFont="1" applyFill="1" applyBorder="1"/>
    <xf numFmtId="171" fontId="22" fillId="0" borderId="0" xfId="0" applyNumberFormat="1" applyFont="1"/>
    <xf numFmtId="172" fontId="0" fillId="0" borderId="0" xfId="0" applyNumberFormat="1" applyAlignment="1">
      <alignment horizontal="left"/>
    </xf>
    <xf numFmtId="0" fontId="27" fillId="0" borderId="0" xfId="0" applyFont="1"/>
    <xf numFmtId="165" fontId="0" fillId="0" borderId="0" xfId="0" applyNumberFormat="1"/>
    <xf numFmtId="11" fontId="0" fillId="0" borderId="0" xfId="0" applyNumberFormat="1" applyAlignment="1">
      <alignment horizontal="left" indent="1"/>
    </xf>
    <xf numFmtId="164" fontId="0" fillId="0" borderId="0" xfId="0" applyNumberFormat="1"/>
    <xf numFmtId="164" fontId="30" fillId="0" borderId="0" xfId="3" applyNumberFormat="1" applyFont="1" applyAlignment="1">
      <alignment horizontal="left" vertical="center"/>
    </xf>
    <xf numFmtId="173" fontId="21" fillId="0" borderId="0" xfId="0" applyNumberFormat="1" applyFont="1"/>
    <xf numFmtId="173" fontId="17" fillId="6" borderId="2" xfId="0" applyNumberFormat="1" applyFont="1" applyFill="1" applyBorder="1"/>
    <xf numFmtId="165" fontId="17" fillId="6" borderId="2" xfId="1" applyNumberFormat="1" applyFont="1" applyFill="1" applyBorder="1"/>
    <xf numFmtId="171" fontId="17" fillId="6" borderId="2" xfId="0" applyNumberFormat="1" applyFont="1" applyFill="1" applyBorder="1"/>
    <xf numFmtId="174" fontId="0" fillId="0" borderId="0" xfId="0" applyNumberFormat="1"/>
    <xf numFmtId="174" fontId="21" fillId="0" borderId="0" xfId="0" applyNumberFormat="1" applyFont="1"/>
    <xf numFmtId="174" fontId="17" fillId="0" borderId="0" xfId="0" applyNumberFormat="1" applyFont="1"/>
    <xf numFmtId="165" fontId="21" fillId="0" borderId="0" xfId="1" applyNumberFormat="1" applyFont="1"/>
    <xf numFmtId="169" fontId="21" fillId="0" borderId="1" xfId="0" applyNumberFormat="1" applyFont="1" applyBorder="1"/>
    <xf numFmtId="164" fontId="30" fillId="0" borderId="0" xfId="3" applyNumberFormat="1" applyFont="1" applyAlignment="1">
      <alignment vertical="center"/>
    </xf>
    <xf numFmtId="164" fontId="31" fillId="0" borderId="0" xfId="3" applyNumberFormat="1" applyFont="1" applyAlignment="1">
      <alignment horizontal="left" vertical="center"/>
    </xf>
    <xf numFmtId="164" fontId="30" fillId="0" borderId="0" xfId="3" applyNumberFormat="1" applyFont="1" applyAlignment="1">
      <alignment horizontal="left" vertical="center" indent="1"/>
    </xf>
    <xf numFmtId="0" fontId="2" fillId="0" borderId="0" xfId="2" applyFont="1" applyAlignment="1">
      <alignment horizontal="left" indent="1"/>
    </xf>
    <xf numFmtId="164" fontId="4" fillId="0" borderId="0" xfId="3" applyNumberFormat="1" applyFont="1" applyAlignment="1">
      <alignment horizontal="left" vertical="center"/>
    </xf>
    <xf numFmtId="164" fontId="4" fillId="0" borderId="2" xfId="3" applyNumberFormat="1" applyFont="1" applyBorder="1" applyAlignment="1">
      <alignment vertical="center"/>
    </xf>
    <xf numFmtId="176" fontId="0" fillId="0" borderId="0" xfId="0" applyNumberFormat="1"/>
    <xf numFmtId="176" fontId="26" fillId="0" borderId="0" xfId="0" applyNumberFormat="1" applyFont="1"/>
    <xf numFmtId="176" fontId="0" fillId="0" borderId="2" xfId="0" applyNumberFormat="1" applyBorder="1"/>
    <xf numFmtId="164" fontId="4" fillId="0" borderId="4" xfId="3" applyNumberFormat="1" applyFont="1" applyBorder="1" applyAlignment="1">
      <alignment horizontal="left" vertical="center"/>
    </xf>
    <xf numFmtId="177" fontId="4" fillId="0" borderId="4" xfId="3" applyNumberFormat="1" applyFont="1" applyBorder="1" applyAlignment="1">
      <alignment vertical="center"/>
    </xf>
    <xf numFmtId="171" fontId="26" fillId="0" borderId="4" xfId="0" applyNumberFormat="1" applyFont="1" applyBorder="1"/>
    <xf numFmtId="176" fontId="22" fillId="0" borderId="0" xfId="0" applyNumberFormat="1" applyFont="1"/>
    <xf numFmtId="0" fontId="4" fillId="0" borderId="4" xfId="3" applyFont="1" applyBorder="1" applyAlignment="1">
      <alignment horizontal="left" vertical="center"/>
    </xf>
    <xf numFmtId="176" fontId="32" fillId="0" borderId="4" xfId="0" applyNumberFormat="1" applyFont="1" applyBorder="1"/>
    <xf numFmtId="171" fontId="32" fillId="0" borderId="4" xfId="0" applyNumberFormat="1" applyFont="1" applyBorder="1"/>
    <xf numFmtId="176" fontId="32" fillId="0" borderId="0" xfId="0" applyNumberFormat="1" applyFont="1"/>
    <xf numFmtId="165" fontId="0" fillId="0" borderId="0" xfId="1" applyNumberFormat="1" applyFont="1" applyFill="1"/>
    <xf numFmtId="0" fontId="20" fillId="0" borderId="0" xfId="0" applyFont="1"/>
    <xf numFmtId="169" fontId="21" fillId="0" borderId="0" xfId="0" applyNumberFormat="1" applyFont="1"/>
    <xf numFmtId="169" fontId="0" fillId="0" borderId="0" xfId="0" applyNumberFormat="1"/>
    <xf numFmtId="164" fontId="30" fillId="0" borderId="1" xfId="3" applyNumberFormat="1" applyFont="1" applyBorder="1" applyAlignment="1">
      <alignment horizontal="left" vertical="center" indent="1"/>
    </xf>
    <xf numFmtId="0" fontId="33" fillId="0" borderId="0" xfId="2" applyFont="1"/>
    <xf numFmtId="0" fontId="33" fillId="0" borderId="2" xfId="2" applyFont="1" applyBorder="1"/>
    <xf numFmtId="0" fontId="2" fillId="0" borderId="1" xfId="2" applyFont="1" applyBorder="1" applyAlignment="1">
      <alignment horizontal="left" indent="1"/>
    </xf>
    <xf numFmtId="176" fontId="0" fillId="5" borderId="0" xfId="0" applyNumberFormat="1" applyFill="1"/>
    <xf numFmtId="165" fontId="0" fillId="5" borderId="0" xfId="1" applyNumberFormat="1" applyFont="1" applyFill="1"/>
    <xf numFmtId="0" fontId="0" fillId="0" borderId="0" xfId="0" applyAlignment="1">
      <alignment horizontal="left"/>
    </xf>
    <xf numFmtId="0" fontId="17" fillId="0" borderId="4" xfId="0" applyFont="1" applyBorder="1" applyAlignment="1">
      <alignment horizontal="left"/>
    </xf>
    <xf numFmtId="176" fontId="0" fillId="0" borderId="4" xfId="0" applyNumberFormat="1" applyBorder="1"/>
    <xf numFmtId="171" fontId="0" fillId="7" borderId="4" xfId="0" applyNumberFormat="1" applyFill="1" applyBorder="1"/>
    <xf numFmtId="0" fontId="35" fillId="0" borderId="0" xfId="0" applyFont="1"/>
    <xf numFmtId="0" fontId="17" fillId="0" borderId="2" xfId="0" applyFont="1" applyBorder="1" applyAlignment="1">
      <alignment horizontal="left"/>
    </xf>
    <xf numFmtId="9" fontId="26" fillId="0" borderId="0" xfId="1" applyFont="1"/>
    <xf numFmtId="165" fontId="26" fillId="0" borderId="0" xfId="1" applyNumberFormat="1" applyFont="1"/>
    <xf numFmtId="0" fontId="26" fillId="0" borderId="0" xfId="0" applyFont="1"/>
    <xf numFmtId="165" fontId="17" fillId="0" borderId="4" xfId="1" applyNumberFormat="1" applyFont="1" applyBorder="1"/>
    <xf numFmtId="178" fontId="17" fillId="0" borderId="4" xfId="0" applyNumberFormat="1" applyFont="1" applyBorder="1"/>
    <xf numFmtId="179" fontId="17" fillId="0" borderId="4" xfId="0" applyNumberFormat="1" applyFont="1" applyBorder="1"/>
    <xf numFmtId="0" fontId="17" fillId="0" borderId="0" xfId="0" applyFont="1" applyAlignment="1">
      <alignment horizontal="left"/>
    </xf>
    <xf numFmtId="176" fontId="17" fillId="0" borderId="4" xfId="0" applyNumberFormat="1" applyFont="1" applyBorder="1"/>
    <xf numFmtId="176" fontId="17" fillId="0" borderId="0" xfId="0" applyNumberFormat="1" applyFont="1"/>
    <xf numFmtId="0" fontId="36" fillId="0" borderId="0" xfId="0" applyFont="1"/>
    <xf numFmtId="0" fontId="0" fillId="0" borderId="5" xfId="0" applyBorder="1"/>
    <xf numFmtId="0" fontId="21" fillId="0" borderId="5" xfId="0" applyFont="1" applyBorder="1"/>
    <xf numFmtId="9" fontId="0" fillId="0" borderId="0" xfId="0" applyNumberFormat="1"/>
    <xf numFmtId="9" fontId="0" fillId="0" borderId="5" xfId="0" applyNumberFormat="1" applyBorder="1"/>
    <xf numFmtId="180" fontId="0" fillId="0" borderId="0" xfId="0" applyNumberFormat="1"/>
    <xf numFmtId="0" fontId="17" fillId="0" borderId="2" xfId="0" applyFont="1" applyBorder="1" applyAlignment="1">
      <alignment horizontal="left" indent="1"/>
    </xf>
    <xf numFmtId="176" fontId="17" fillId="0" borderId="2" xfId="0" applyNumberFormat="1" applyFont="1" applyBorder="1"/>
    <xf numFmtId="10" fontId="0" fillId="0" borderId="0" xfId="0" applyNumberFormat="1"/>
    <xf numFmtId="9" fontId="17" fillId="0" borderId="0" xfId="0" applyNumberFormat="1" applyFont="1"/>
    <xf numFmtId="165" fontId="17" fillId="0" borderId="4" xfId="0" applyNumberFormat="1" applyFont="1" applyBorder="1"/>
    <xf numFmtId="179" fontId="0" fillId="0" borderId="0" xfId="0" applyNumberFormat="1"/>
    <xf numFmtId="171" fontId="18" fillId="0" borderId="0" xfId="0" applyNumberFormat="1" applyFont="1"/>
    <xf numFmtId="0" fontId="29" fillId="2" borderId="0" xfId="0" applyFont="1" applyFill="1"/>
    <xf numFmtId="15" fontId="0" fillId="0" borderId="0" xfId="0" applyNumberFormat="1"/>
    <xf numFmtId="164" fontId="11" fillId="0" borderId="4" xfId="3" applyNumberFormat="1" applyFont="1" applyBorder="1" applyAlignment="1">
      <alignment horizontal="left" vertical="center"/>
    </xf>
    <xf numFmtId="164" fontId="13" fillId="0" borderId="4" xfId="1" applyNumberFormat="1" applyFont="1" applyFill="1" applyBorder="1"/>
    <xf numFmtId="164" fontId="11" fillId="0" borderId="4" xfId="3" applyNumberFormat="1" applyFont="1" applyBorder="1" applyAlignment="1">
      <alignment vertical="center"/>
    </xf>
    <xf numFmtId="164" fontId="0" fillId="0" borderId="4" xfId="0" applyNumberFormat="1" applyBorder="1"/>
    <xf numFmtId="164" fontId="10" fillId="0" borderId="2" xfId="3" applyNumberFormat="1" applyFont="1" applyBorder="1" applyAlignment="1">
      <alignment horizontal="left" vertical="center"/>
    </xf>
    <xf numFmtId="164" fontId="0" fillId="0" borderId="2" xfId="0" applyNumberFormat="1" applyBorder="1"/>
    <xf numFmtId="0" fontId="5" fillId="0" borderId="4" xfId="2" applyFont="1" applyBorder="1"/>
    <xf numFmtId="0" fontId="37" fillId="0" borderId="0" xfId="4"/>
    <xf numFmtId="0" fontId="28" fillId="2" borderId="0" xfId="0" applyFont="1" applyFill="1"/>
    <xf numFmtId="3" fontId="17" fillId="0" borderId="0" xfId="0" applyNumberFormat="1" applyFont="1"/>
    <xf numFmtId="0" fontId="38" fillId="0" borderId="0" xfId="0" applyFont="1" applyAlignment="1">
      <alignment horizontal="left" indent="1"/>
    </xf>
    <xf numFmtId="3" fontId="38" fillId="0" borderId="0" xfId="0" applyNumberFormat="1" applyFont="1" applyAlignment="1">
      <alignment horizontal="left" indent="1"/>
    </xf>
    <xf numFmtId="1" fontId="17" fillId="0" borderId="2" xfId="0" applyNumberFormat="1" applyFont="1" applyBorder="1"/>
    <xf numFmtId="1" fontId="39" fillId="0" borderId="2" xfId="0" applyNumberFormat="1" applyFont="1" applyBorder="1"/>
    <xf numFmtId="1" fontId="12" fillId="0" borderId="2" xfId="2" applyNumberFormat="1" applyFont="1" applyBorder="1"/>
    <xf numFmtId="164" fontId="14" fillId="0" borderId="0" xfId="1" applyNumberFormat="1" applyFont="1" applyFill="1" applyAlignment="1">
      <alignment horizontal="right"/>
    </xf>
    <xf numFmtId="9" fontId="39" fillId="0" borderId="0" xfId="1" applyFont="1"/>
    <xf numFmtId="9" fontId="38" fillId="0" borderId="0" xfId="1" applyFont="1"/>
    <xf numFmtId="0" fontId="38" fillId="0" borderId="0" xfId="0" applyFont="1"/>
    <xf numFmtId="0" fontId="39" fillId="0" borderId="2" xfId="0" applyFont="1" applyBorder="1"/>
    <xf numFmtId="9" fontId="39" fillId="0" borderId="0" xfId="1" applyFont="1" applyAlignment="1">
      <alignment horizontal="left"/>
    </xf>
    <xf numFmtId="9" fontId="38" fillId="0" borderId="0" xfId="1" applyFont="1" applyAlignment="1">
      <alignment horizontal="left" indent="1"/>
    </xf>
    <xf numFmtId="0" fontId="39" fillId="0" borderId="0" xfId="0" applyFont="1" applyAlignment="1">
      <alignment horizontal="left" vertical="center" wrapText="1"/>
    </xf>
    <xf numFmtId="0" fontId="0" fillId="0" borderId="0" xfId="0" applyAlignment="1">
      <alignment horizontal="center"/>
    </xf>
    <xf numFmtId="164" fontId="39" fillId="0" borderId="0" xfId="0" applyNumberFormat="1" applyFont="1"/>
    <xf numFmtId="1" fontId="38" fillId="0" borderId="0" xfId="0" applyNumberFormat="1" applyFont="1"/>
    <xf numFmtId="1" fontId="39" fillId="0" borderId="0" xfId="0" applyNumberFormat="1" applyFont="1"/>
    <xf numFmtId="1" fontId="38" fillId="0" borderId="4" xfId="0" applyNumberFormat="1" applyFont="1" applyBorder="1"/>
    <xf numFmtId="1" fontId="14" fillId="0" borderId="0" xfId="1" applyNumberFormat="1" applyFont="1" applyFill="1"/>
    <xf numFmtId="1" fontId="5" fillId="0" borderId="0" xfId="2" applyNumberFormat="1" applyFont="1"/>
    <xf numFmtId="15" fontId="18" fillId="0" borderId="0" xfId="0" applyNumberFormat="1" applyFont="1"/>
    <xf numFmtId="0" fontId="12" fillId="0" borderId="4" xfId="2" applyFont="1" applyBorder="1"/>
    <xf numFmtId="166" fontId="9" fillId="2" borderId="0" xfId="2" applyNumberFormat="1" applyFont="1" applyFill="1" applyAlignment="1">
      <alignment horizontal="left"/>
    </xf>
    <xf numFmtId="0" fontId="18" fillId="2" borderId="0" xfId="0" applyFont="1" applyFill="1"/>
    <xf numFmtId="165" fontId="38" fillId="0" borderId="0" xfId="1" applyNumberFormat="1" applyFont="1"/>
    <xf numFmtId="10" fontId="41" fillId="0" borderId="0" xfId="0" applyNumberFormat="1" applyFont="1"/>
    <xf numFmtId="0" fontId="42" fillId="0" borderId="0" xfId="0" applyFont="1"/>
    <xf numFmtId="10" fontId="39" fillId="0" borderId="0" xfId="0" applyNumberFormat="1" applyFont="1"/>
    <xf numFmtId="0" fontId="43" fillId="9" borderId="8" xfId="0" applyFont="1" applyFill="1" applyBorder="1" applyAlignment="1">
      <alignment vertical="center" wrapText="1"/>
    </xf>
    <xf numFmtId="0" fontId="43" fillId="9" borderId="9" xfId="0" applyFont="1" applyFill="1" applyBorder="1" applyAlignment="1">
      <alignment vertical="center" wrapText="1"/>
    </xf>
    <xf numFmtId="0" fontId="43" fillId="9" borderId="10" xfId="0" applyFont="1" applyFill="1" applyBorder="1" applyAlignment="1">
      <alignment vertical="center" wrapText="1"/>
    </xf>
    <xf numFmtId="0" fontId="44" fillId="8" borderId="11" xfId="0" applyFont="1" applyFill="1" applyBorder="1" applyAlignment="1">
      <alignment vertical="center" wrapText="1"/>
    </xf>
    <xf numFmtId="0" fontId="44" fillId="8" borderId="12" xfId="0" applyFont="1" applyFill="1" applyBorder="1" applyAlignment="1">
      <alignment vertical="center" wrapText="1"/>
    </xf>
    <xf numFmtId="0" fontId="44" fillId="8" borderId="13" xfId="0" applyFont="1" applyFill="1" applyBorder="1" applyAlignment="1">
      <alignment vertical="center" wrapText="1"/>
    </xf>
    <xf numFmtId="0" fontId="45" fillId="10" borderId="14" xfId="0" applyFont="1" applyFill="1" applyBorder="1" applyAlignment="1">
      <alignment vertical="center" wrapText="1"/>
    </xf>
    <xf numFmtId="0" fontId="44" fillId="10" borderId="15" xfId="0" applyFont="1" applyFill="1" applyBorder="1" applyAlignment="1">
      <alignment vertical="center" wrapText="1"/>
    </xf>
    <xf numFmtId="0" fontId="44" fillId="10" borderId="13" xfId="0" applyFont="1" applyFill="1" applyBorder="1" applyAlignment="1">
      <alignment vertical="center" wrapText="1"/>
    </xf>
    <xf numFmtId="0" fontId="45" fillId="8" borderId="11" xfId="0" applyFont="1" applyFill="1" applyBorder="1" applyAlignment="1">
      <alignment vertical="center" wrapText="1"/>
    </xf>
    <xf numFmtId="0" fontId="44" fillId="10" borderId="14" xfId="0" applyFont="1" applyFill="1" applyBorder="1" applyAlignment="1">
      <alignment vertical="center" wrapText="1"/>
    </xf>
    <xf numFmtId="0" fontId="44" fillId="10" borderId="16" xfId="0" applyFont="1" applyFill="1" applyBorder="1" applyAlignment="1">
      <alignment vertical="center" wrapText="1"/>
    </xf>
    <xf numFmtId="0" fontId="44" fillId="10" borderId="17" xfId="0" applyFont="1" applyFill="1" applyBorder="1" applyAlignment="1">
      <alignment vertical="center" wrapText="1"/>
    </xf>
    <xf numFmtId="0" fontId="44" fillId="10" borderId="18" xfId="0" applyFont="1" applyFill="1" applyBorder="1" applyAlignment="1">
      <alignment vertical="center" wrapText="1"/>
    </xf>
    <xf numFmtId="0" fontId="39" fillId="0" borderId="0" xfId="0" applyFont="1"/>
    <xf numFmtId="10" fontId="38" fillId="0" borderId="0" xfId="0" applyNumberFormat="1" applyFont="1"/>
    <xf numFmtId="9" fontId="38" fillId="0" borderId="0" xfId="0" applyNumberFormat="1" applyFont="1"/>
    <xf numFmtId="9" fontId="39" fillId="0" borderId="0" xfId="0" applyNumberFormat="1" applyFont="1"/>
    <xf numFmtId="0" fontId="18" fillId="0" borderId="0" xfId="0" applyFont="1"/>
    <xf numFmtId="0" fontId="37" fillId="0" borderId="0" xfId="4" applyFill="1"/>
    <xf numFmtId="0" fontId="41" fillId="0" borderId="0" xfId="0" applyFont="1"/>
    <xf numFmtId="10" fontId="39" fillId="0" borderId="0" xfId="1" applyNumberFormat="1" applyFont="1"/>
    <xf numFmtId="17" fontId="38" fillId="0" borderId="0" xfId="0" applyNumberFormat="1" applyFont="1"/>
    <xf numFmtId="0" fontId="46" fillId="0" borderId="0" xfId="0" applyFont="1"/>
    <xf numFmtId="3" fontId="0" fillId="0" borderId="0" xfId="0" applyNumberFormat="1" applyAlignment="1">
      <alignment horizontal="center"/>
    </xf>
    <xf numFmtId="10" fontId="0" fillId="0" borderId="0" xfId="1" applyNumberFormat="1" applyFont="1"/>
    <xf numFmtId="4" fontId="0" fillId="0" borderId="0" xfId="0" applyNumberFormat="1"/>
    <xf numFmtId="0" fontId="0" fillId="2" borderId="0" xfId="0" applyFill="1"/>
    <xf numFmtId="0" fontId="18" fillId="7" borderId="0" xfId="0" applyFont="1" applyFill="1"/>
    <xf numFmtId="165" fontId="0" fillId="0" borderId="3" xfId="0" applyNumberFormat="1" applyBorder="1"/>
    <xf numFmtId="165" fontId="26" fillId="0" borderId="3" xfId="1" applyNumberFormat="1" applyFont="1" applyFill="1" applyBorder="1"/>
    <xf numFmtId="0" fontId="22" fillId="0" borderId="0" xfId="0" applyFont="1"/>
    <xf numFmtId="0" fontId="22" fillId="0" borderId="1" xfId="0" applyFont="1" applyBorder="1"/>
    <xf numFmtId="164" fontId="10" fillId="6" borderId="0" xfId="3" applyNumberFormat="1" applyFont="1" applyFill="1" applyAlignment="1">
      <alignment vertical="center"/>
    </xf>
    <xf numFmtId="0" fontId="5" fillId="6" borderId="0" xfId="2" applyFont="1" applyFill="1"/>
    <xf numFmtId="9" fontId="23" fillId="6" borderId="0" xfId="1" applyFont="1" applyFill="1"/>
    <xf numFmtId="9" fontId="17" fillId="6" borderId="0" xfId="0" applyNumberFormat="1" applyFont="1" applyFill="1"/>
    <xf numFmtId="9" fontId="17" fillId="0" borderId="0" xfId="1" applyFont="1" applyBorder="1"/>
    <xf numFmtId="0" fontId="0" fillId="0" borderId="0" xfId="0" applyAlignment="1">
      <alignment wrapText="1"/>
    </xf>
    <xf numFmtId="9" fontId="17" fillId="6" borderId="0" xfId="1" applyFont="1" applyFill="1"/>
    <xf numFmtId="2" fontId="17" fillId="0" borderId="0" xfId="0" applyNumberFormat="1" applyFont="1"/>
    <xf numFmtId="2" fontId="17" fillId="0" borderId="0" xfId="1" applyNumberFormat="1" applyFont="1" applyFill="1" applyBorder="1"/>
    <xf numFmtId="9" fontId="23" fillId="0" borderId="0" xfId="1" applyFont="1" applyBorder="1"/>
    <xf numFmtId="165" fontId="17" fillId="0" borderId="0" xfId="1" applyNumberFormat="1" applyFont="1" applyFill="1"/>
    <xf numFmtId="165" fontId="17" fillId="0" borderId="0" xfId="1" applyNumberFormat="1" applyFont="1" applyFill="1" applyBorder="1"/>
    <xf numFmtId="0" fontId="0" fillId="7" borderId="0" xfId="0" applyFill="1"/>
    <xf numFmtId="164" fontId="17" fillId="0" borderId="0" xfId="0" applyNumberFormat="1" applyFont="1"/>
    <xf numFmtId="0" fontId="0" fillId="0" borderId="6" xfId="0" applyBorder="1" applyAlignment="1">
      <alignment horizontal="left"/>
    </xf>
    <xf numFmtId="0" fontId="5" fillId="0" borderId="6" xfId="2" applyFont="1" applyBorder="1"/>
    <xf numFmtId="164" fontId="14" fillId="0" borderId="6" xfId="1" applyNumberFormat="1" applyFont="1" applyFill="1" applyBorder="1"/>
    <xf numFmtId="0" fontId="52" fillId="2" borderId="0" xfId="0" applyFont="1" applyFill="1"/>
    <xf numFmtId="2" fontId="38" fillId="0" borderId="0" xfId="0" applyNumberFormat="1" applyFont="1"/>
    <xf numFmtId="2" fontId="52" fillId="0" borderId="0" xfId="0" applyNumberFormat="1" applyFont="1"/>
    <xf numFmtId="0" fontId="39" fillId="0" borderId="6" xfId="0" applyFont="1" applyBorder="1"/>
    <xf numFmtId="164" fontId="39" fillId="0" borderId="6" xfId="0" applyNumberFormat="1" applyFont="1" applyBorder="1"/>
    <xf numFmtId="0" fontId="0" fillId="6" borderId="0" xfId="0" applyFill="1" applyAlignment="1">
      <alignment horizontal="left" indent="1"/>
    </xf>
    <xf numFmtId="165" fontId="14" fillId="6" borderId="0" xfId="1" applyNumberFormat="1" applyFont="1" applyFill="1" applyBorder="1"/>
    <xf numFmtId="165" fontId="38" fillId="0" borderId="0" xfId="0" applyNumberFormat="1" applyFont="1"/>
    <xf numFmtId="165" fontId="14" fillId="0" borderId="0" xfId="1" applyNumberFormat="1" applyFont="1" applyFill="1" applyBorder="1"/>
    <xf numFmtId="165" fontId="39" fillId="0" borderId="6" xfId="1" applyNumberFormat="1" applyFont="1" applyBorder="1"/>
    <xf numFmtId="165" fontId="38" fillId="6" borderId="0" xfId="0" applyNumberFormat="1" applyFont="1" applyFill="1"/>
    <xf numFmtId="2" fontId="53" fillId="0" borderId="0" xfId="0" applyNumberFormat="1" applyFont="1"/>
    <xf numFmtId="1" fontId="53" fillId="0" borderId="0" xfId="0" applyNumberFormat="1" applyFont="1"/>
    <xf numFmtId="164" fontId="14" fillId="6" borderId="0" xfId="1" applyNumberFormat="1" applyFont="1" applyFill="1" applyBorder="1"/>
    <xf numFmtId="0" fontId="54" fillId="6" borderId="0" xfId="0" applyFont="1" applyFill="1" applyAlignment="1">
      <alignment horizontal="left"/>
    </xf>
    <xf numFmtId="0" fontId="55" fillId="6" borderId="0" xfId="2" applyFont="1" applyFill="1"/>
    <xf numFmtId="165" fontId="56" fillId="6" borderId="0" xfId="1" applyNumberFormat="1" applyFont="1" applyFill="1" applyBorder="1"/>
    <xf numFmtId="0" fontId="55" fillId="0" borderId="0" xfId="2" applyFont="1"/>
    <xf numFmtId="0" fontId="53" fillId="0" borderId="0" xfId="0" applyFont="1"/>
    <xf numFmtId="0" fontId="57" fillId="0" borderId="0" xfId="0" applyFont="1" applyAlignment="1">
      <alignment horizontal="left"/>
    </xf>
    <xf numFmtId="165" fontId="55" fillId="0" borderId="0" xfId="1" applyNumberFormat="1" applyFont="1" applyFill="1" applyBorder="1"/>
    <xf numFmtId="0" fontId="32" fillId="0" borderId="0" xfId="0" applyFont="1"/>
    <xf numFmtId="165" fontId="22" fillId="0" borderId="0" xfId="0" applyNumberFormat="1" applyFont="1"/>
    <xf numFmtId="10" fontId="22" fillId="0" borderId="0" xfId="1" applyNumberFormat="1" applyFont="1"/>
    <xf numFmtId="164" fontId="30" fillId="6" borderId="0" xfId="3" applyNumberFormat="1" applyFont="1" applyFill="1" applyAlignment="1">
      <alignment vertical="center"/>
    </xf>
    <xf numFmtId="165" fontId="22" fillId="6" borderId="0" xfId="1" applyNumberFormat="1" applyFont="1" applyFill="1"/>
    <xf numFmtId="10" fontId="32" fillId="0" borderId="0" xfId="1" applyNumberFormat="1" applyFont="1" applyBorder="1"/>
    <xf numFmtId="9" fontId="0" fillId="0" borderId="0" xfId="1" applyFont="1"/>
    <xf numFmtId="181" fontId="38" fillId="0" borderId="0" xfId="0" applyNumberFormat="1" applyFont="1"/>
    <xf numFmtId="0" fontId="38" fillId="0" borderId="0" xfId="0" applyFont="1" applyAlignment="1">
      <alignment horizontal="left"/>
    </xf>
    <xf numFmtId="3" fontId="38" fillId="0" borderId="0" xfId="0" applyNumberFormat="1" applyFont="1" applyAlignment="1">
      <alignment horizontal="left"/>
    </xf>
    <xf numFmtId="181" fontId="39" fillId="0" borderId="2" xfId="0" applyNumberFormat="1" applyFont="1" applyBorder="1"/>
    <xf numFmtId="165" fontId="38" fillId="6" borderId="0" xfId="1" applyNumberFormat="1" applyFont="1" applyFill="1"/>
    <xf numFmtId="0" fontId="38" fillId="7" borderId="0" xfId="0" applyFont="1" applyFill="1"/>
    <xf numFmtId="166" fontId="9" fillId="7" borderId="0" xfId="2" applyNumberFormat="1" applyFont="1" applyFill="1" applyAlignment="1">
      <alignment horizontal="left"/>
    </xf>
    <xf numFmtId="166" fontId="9" fillId="7" borderId="0" xfId="2" applyNumberFormat="1" applyFont="1" applyFill="1" applyAlignment="1">
      <alignment horizontal="right"/>
    </xf>
    <xf numFmtId="165" fontId="39" fillId="0" borderId="2" xfId="1" applyNumberFormat="1" applyFont="1" applyBorder="1"/>
    <xf numFmtId="178" fontId="38" fillId="0" borderId="0" xfId="0" applyNumberFormat="1" applyFont="1"/>
    <xf numFmtId="182" fontId="38" fillId="0" borderId="0" xfId="0" applyNumberFormat="1" applyFont="1"/>
    <xf numFmtId="0" fontId="38" fillId="3" borderId="0" xfId="0" applyFont="1" applyFill="1"/>
    <xf numFmtId="0" fontId="38" fillId="0" borderId="3" xfId="0" applyFont="1" applyBorder="1"/>
    <xf numFmtId="182" fontId="38" fillId="0" borderId="3" xfId="0" applyNumberFormat="1" applyFont="1" applyBorder="1"/>
    <xf numFmtId="0" fontId="38" fillId="6" borderId="6" xfId="0" applyFont="1" applyFill="1" applyBorder="1"/>
    <xf numFmtId="182" fontId="38" fillId="6" borderId="6" xfId="0" applyNumberFormat="1" applyFont="1" applyFill="1" applyBorder="1"/>
    <xf numFmtId="0" fontId="39" fillId="3" borderId="0" xfId="0" applyFont="1" applyFill="1"/>
    <xf numFmtId="183" fontId="26" fillId="0" borderId="1" xfId="0" applyNumberFormat="1" applyFont="1" applyBorder="1"/>
    <xf numFmtId="183" fontId="22" fillId="0" borderId="1" xfId="0" applyNumberFormat="1" applyFont="1" applyBorder="1"/>
    <xf numFmtId="183" fontId="32" fillId="0" borderId="2" xfId="0" applyNumberFormat="1" applyFont="1" applyBorder="1"/>
    <xf numFmtId="0" fontId="17" fillId="6" borderId="0" xfId="0" applyFont="1" applyFill="1"/>
    <xf numFmtId="173" fontId="17" fillId="6" borderId="0" xfId="0" applyNumberFormat="1" applyFont="1" applyFill="1"/>
    <xf numFmtId="173" fontId="58" fillId="6" borderId="0" xfId="0" applyNumberFormat="1" applyFont="1" applyFill="1"/>
    <xf numFmtId="165" fontId="17" fillId="6" borderId="0" xfId="1" applyNumberFormat="1" applyFont="1" applyFill="1" applyBorder="1"/>
    <xf numFmtId="165" fontId="39" fillId="0" borderId="0" xfId="1" applyNumberFormat="1" applyFont="1"/>
    <xf numFmtId="182" fontId="39" fillId="0" borderId="0" xfId="0" applyNumberFormat="1" applyFont="1"/>
    <xf numFmtId="1" fontId="0" fillId="0" borderId="0" xfId="0" applyNumberFormat="1"/>
    <xf numFmtId="171" fontId="34" fillId="0" borderId="0" xfId="0" applyNumberFormat="1" applyFont="1"/>
    <xf numFmtId="166" fontId="9" fillId="0" borderId="0" xfId="2" applyNumberFormat="1" applyFont="1" applyAlignment="1">
      <alignment horizontal="left"/>
    </xf>
    <xf numFmtId="166" fontId="9" fillId="0" borderId="0" xfId="2" applyNumberFormat="1" applyFont="1" applyAlignment="1">
      <alignment horizontal="right"/>
    </xf>
    <xf numFmtId="166" fontId="2" fillId="0" borderId="0" xfId="2" applyNumberFormat="1" applyFont="1" applyAlignment="1">
      <alignment horizontal="left"/>
    </xf>
    <xf numFmtId="166" fontId="2" fillId="0" borderId="0" xfId="2" applyNumberFormat="1" applyFont="1" applyAlignment="1">
      <alignment horizontal="right"/>
    </xf>
    <xf numFmtId="10" fontId="38" fillId="0" borderId="0" xfId="1" applyNumberFormat="1" applyFont="1"/>
    <xf numFmtId="0" fontId="38" fillId="6" borderId="0" xfId="0" applyFont="1" applyFill="1"/>
    <xf numFmtId="10" fontId="38" fillId="6" borderId="0" xfId="1" applyNumberFormat="1" applyFont="1" applyFill="1"/>
    <xf numFmtId="165" fontId="58" fillId="6" borderId="0" xfId="1" applyNumberFormat="1" applyFont="1" applyFill="1" applyBorder="1"/>
    <xf numFmtId="9" fontId="39" fillId="0" borderId="2" xfId="1" applyFont="1" applyBorder="1"/>
    <xf numFmtId="0" fontId="38" fillId="0" borderId="4" xfId="0" applyFont="1" applyBorder="1"/>
    <xf numFmtId="1" fontId="59" fillId="0" borderId="0" xfId="0" applyNumberFormat="1" applyFont="1"/>
    <xf numFmtId="165" fontId="38" fillId="0" borderId="0" xfId="1" applyNumberFormat="1" applyFont="1" applyFill="1"/>
    <xf numFmtId="0" fontId="60" fillId="0" borderId="0" xfId="0" applyFont="1"/>
    <xf numFmtId="184" fontId="61" fillId="6" borderId="0" xfId="0" applyNumberFormat="1" applyFont="1" applyFill="1"/>
    <xf numFmtId="0" fontId="60" fillId="6" borderId="0" xfId="0" applyFont="1" applyFill="1"/>
    <xf numFmtId="165" fontId="60" fillId="6" borderId="0" xfId="1" applyNumberFormat="1" applyFont="1" applyFill="1"/>
    <xf numFmtId="1" fontId="61" fillId="6" borderId="0" xfId="0" applyNumberFormat="1" applyFont="1" applyFill="1"/>
    <xf numFmtId="185" fontId="14" fillId="0" borderId="0" xfId="1" applyNumberFormat="1" applyFont="1" applyFill="1" applyBorder="1"/>
    <xf numFmtId="0" fontId="62" fillId="6" borderId="0" xfId="0" applyFont="1" applyFill="1"/>
    <xf numFmtId="1" fontId="62" fillId="6" borderId="0" xfId="0" applyNumberFormat="1" applyFont="1" applyFill="1"/>
    <xf numFmtId="165" fontId="60" fillId="0" borderId="0" xfId="1" applyNumberFormat="1" applyFont="1" applyFill="1"/>
    <xf numFmtId="9" fontId="61" fillId="6" borderId="0" xfId="1" applyFont="1" applyFill="1"/>
    <xf numFmtId="1" fontId="39" fillId="0" borderId="6" xfId="0" applyNumberFormat="1" applyFont="1" applyBorder="1"/>
    <xf numFmtId="165" fontId="22" fillId="0" borderId="0" xfId="1" applyNumberFormat="1" applyFont="1" applyFill="1" applyBorder="1"/>
    <xf numFmtId="165" fontId="24" fillId="0" borderId="0" xfId="1" applyNumberFormat="1" applyFont="1" applyFill="1" applyBorder="1"/>
    <xf numFmtId="183" fontId="26" fillId="0" borderId="4" xfId="0" applyNumberFormat="1" applyFont="1" applyBorder="1"/>
    <xf numFmtId="183" fontId="22" fillId="0" borderId="4" xfId="0" applyNumberFormat="1" applyFont="1" applyBorder="1"/>
    <xf numFmtId="183" fontId="26" fillId="0" borderId="0" xfId="0" applyNumberFormat="1" applyFont="1"/>
    <xf numFmtId="183" fontId="22" fillId="0" borderId="0" xfId="0" applyNumberFormat="1" applyFont="1"/>
    <xf numFmtId="1" fontId="0" fillId="4" borderId="0" xfId="0" applyNumberFormat="1" applyFill="1"/>
    <xf numFmtId="0" fontId="39" fillId="0" borderId="4" xfId="0" applyFont="1" applyBorder="1"/>
    <xf numFmtId="165" fontId="39" fillId="0" borderId="4" xfId="1" applyNumberFormat="1" applyFont="1" applyBorder="1"/>
    <xf numFmtId="165" fontId="39" fillId="0" borderId="0" xfId="1" applyNumberFormat="1" applyFont="1" applyBorder="1"/>
    <xf numFmtId="10" fontId="38" fillId="0" borderId="0" xfId="1" applyNumberFormat="1" applyFont="1" applyBorder="1"/>
    <xf numFmtId="0" fontId="38" fillId="0" borderId="6" xfId="0" applyFont="1" applyBorder="1"/>
    <xf numFmtId="0" fontId="38" fillId="11" borderId="0" xfId="0" applyFont="1" applyFill="1"/>
    <xf numFmtId="1" fontId="38" fillId="11" borderId="0" xfId="0" applyNumberFormat="1" applyFont="1" applyFill="1"/>
    <xf numFmtId="1" fontId="0" fillId="11" borderId="0" xfId="0" applyNumberFormat="1" applyFill="1"/>
    <xf numFmtId="9" fontId="38" fillId="11" borderId="0" xfId="1" applyFont="1" applyFill="1"/>
    <xf numFmtId="0" fontId="38" fillId="5" borderId="0" xfId="0" applyFont="1" applyFill="1"/>
    <xf numFmtId="9" fontId="38" fillId="5" borderId="0" xfId="1" applyFont="1" applyFill="1"/>
    <xf numFmtId="9" fontId="38" fillId="0" borderId="0" xfId="1" applyFont="1" applyFill="1"/>
    <xf numFmtId="186" fontId="21" fillId="0" borderId="5" xfId="0" applyNumberFormat="1" applyFont="1" applyBorder="1" applyAlignment="1">
      <alignment horizontal="left"/>
    </xf>
    <xf numFmtId="183" fontId="0" fillId="0" borderId="0" xfId="0" applyNumberFormat="1"/>
    <xf numFmtId="171" fontId="21" fillId="0" borderId="0" xfId="0" applyNumberFormat="1" applyFont="1"/>
    <xf numFmtId="171" fontId="0" fillId="5" borderId="0" xfId="0" applyNumberFormat="1" applyFill="1"/>
    <xf numFmtId="0" fontId="54" fillId="6" borderId="0" xfId="0" applyFont="1" applyFill="1"/>
    <xf numFmtId="9" fontId="54" fillId="6" borderId="0" xfId="1" applyFont="1" applyFill="1"/>
    <xf numFmtId="1" fontId="17" fillId="0" borderId="0" xfId="0" applyNumberFormat="1" applyFont="1"/>
    <xf numFmtId="9" fontId="0" fillId="0" borderId="0" xfId="1" applyFont="1" applyFill="1"/>
    <xf numFmtId="0" fontId="60" fillId="5" borderId="0" xfId="0" applyFont="1" applyFill="1"/>
    <xf numFmtId="9" fontId="54" fillId="5" borderId="0" xfId="1" applyFont="1" applyFill="1"/>
    <xf numFmtId="0" fontId="22" fillId="0" borderId="0" xfId="0" applyFont="1" applyAlignment="1">
      <alignment horizontal="left" indent="1"/>
    </xf>
    <xf numFmtId="0" fontId="32" fillId="0" borderId="4" xfId="0" applyFont="1" applyBorder="1"/>
    <xf numFmtId="171" fontId="22" fillId="7" borderId="0" xfId="0" applyNumberFormat="1" applyFont="1" applyFill="1"/>
    <xf numFmtId="171" fontId="22" fillId="0" borderId="4" xfId="0" applyNumberFormat="1" applyFont="1" applyBorder="1"/>
    <xf numFmtId="183" fontId="17" fillId="0" borderId="4" xfId="0" applyNumberFormat="1" applyFont="1" applyBorder="1"/>
    <xf numFmtId="164" fontId="4" fillId="0" borderId="4" xfId="3" applyNumberFormat="1" applyFont="1" applyBorder="1" applyAlignment="1">
      <alignment vertical="center"/>
    </xf>
    <xf numFmtId="187" fontId="0" fillId="5" borderId="0" xfId="0" applyNumberFormat="1" applyFill="1"/>
    <xf numFmtId="0" fontId="5" fillId="0" borderId="0" xfId="2" applyFont="1" applyAlignment="1">
      <alignment horizontal="left" indent="1"/>
    </xf>
    <xf numFmtId="9" fontId="38" fillId="6" borderId="0" xfId="1" applyFont="1" applyFill="1" applyAlignment="1">
      <alignment horizontal="left" indent="1"/>
    </xf>
    <xf numFmtId="9" fontId="38" fillId="5" borderId="0" xfId="1" applyFont="1" applyFill="1" applyAlignment="1">
      <alignment horizontal="left" indent="1"/>
    </xf>
    <xf numFmtId="2" fontId="39" fillId="0" borderId="0" xfId="0" applyNumberFormat="1" applyFont="1"/>
    <xf numFmtId="188" fontId="38" fillId="0" borderId="0" xfId="0" applyNumberFormat="1" applyFont="1"/>
    <xf numFmtId="188" fontId="38" fillId="0" borderId="0" xfId="1" applyNumberFormat="1" applyFont="1"/>
    <xf numFmtId="1" fontId="26" fillId="0" borderId="0" xfId="0" applyNumberFormat="1" applyFont="1"/>
    <xf numFmtId="1" fontId="38" fillId="0" borderId="0" xfId="1" applyNumberFormat="1" applyFont="1"/>
    <xf numFmtId="1" fontId="40" fillId="8" borderId="7" xfId="0" applyNumberFormat="1" applyFont="1" applyFill="1" applyBorder="1" applyAlignment="1">
      <alignment horizontal="right" vertical="top" wrapText="1"/>
    </xf>
    <xf numFmtId="1" fontId="38" fillId="0" borderId="0" xfId="0" applyNumberFormat="1" applyFont="1" applyAlignment="1">
      <alignment vertical="center" wrapText="1"/>
    </xf>
    <xf numFmtId="2" fontId="38" fillId="0" borderId="0" xfId="1" applyNumberFormat="1" applyFont="1"/>
    <xf numFmtId="2" fontId="39" fillId="0" borderId="2" xfId="0" applyNumberFormat="1" applyFont="1" applyBorder="1"/>
    <xf numFmtId="171" fontId="5" fillId="0" borderId="0" xfId="2" applyNumberFormat="1" applyFont="1"/>
    <xf numFmtId="1" fontId="22" fillId="0" borderId="0" xfId="0" applyNumberFormat="1" applyFont="1"/>
    <xf numFmtId="189" fontId="38" fillId="0" borderId="0" xfId="0" applyNumberFormat="1" applyFont="1"/>
    <xf numFmtId="0" fontId="17" fillId="0" borderId="0" xfId="0" applyFont="1" applyAlignment="1">
      <alignment horizontal="center" vertical="center" wrapText="1"/>
    </xf>
    <xf numFmtId="189" fontId="38" fillId="0" borderId="3" xfId="0" applyNumberFormat="1" applyFont="1" applyBorder="1"/>
    <xf numFmtId="0" fontId="63" fillId="0" borderId="0" xfId="0" applyFont="1"/>
    <xf numFmtId="9" fontId="63" fillId="0" borderId="0" xfId="1" applyFont="1"/>
    <xf numFmtId="178" fontId="38" fillId="5" borderId="0" xfId="0" applyNumberFormat="1" applyFont="1" applyFill="1"/>
    <xf numFmtId="0" fontId="61" fillId="0" borderId="0" xfId="0" applyFont="1"/>
    <xf numFmtId="9" fontId="61" fillId="0" borderId="0" xfId="1" applyFont="1"/>
    <xf numFmtId="173" fontId="58" fillId="6" borderId="2" xfId="0" applyNumberFormat="1" applyFont="1" applyFill="1" applyBorder="1"/>
    <xf numFmtId="175" fontId="21" fillId="0" borderId="0" xfId="0" applyNumberFormat="1" applyFont="1"/>
    <xf numFmtId="9" fontId="17" fillId="6" borderId="2" xfId="1" applyFont="1" applyFill="1" applyBorder="1"/>
    <xf numFmtId="9" fontId="25" fillId="6" borderId="2" xfId="1" applyFont="1" applyFill="1" applyBorder="1"/>
    <xf numFmtId="2" fontId="0" fillId="0" borderId="0" xfId="0" applyNumberFormat="1"/>
    <xf numFmtId="175" fontId="21" fillId="5" borderId="0" xfId="0" applyNumberFormat="1" applyFont="1" applyFill="1"/>
    <xf numFmtId="1" fontId="0" fillId="5" borderId="0" xfId="0" applyNumberFormat="1" applyFill="1"/>
    <xf numFmtId="0" fontId="0" fillId="5" borderId="0" xfId="0" applyFill="1" applyAlignment="1">
      <alignment horizontal="left"/>
    </xf>
    <xf numFmtId="10" fontId="38" fillId="5" borderId="0" xfId="1" applyNumberFormat="1" applyFont="1" applyFill="1"/>
    <xf numFmtId="165" fontId="58" fillId="0" borderId="4" xfId="1" applyNumberFormat="1" applyFont="1" applyBorder="1"/>
    <xf numFmtId="2" fontId="17" fillId="0" borderId="4" xfId="0" applyNumberFormat="1" applyFont="1" applyBorder="1"/>
    <xf numFmtId="165" fontId="38" fillId="5" borderId="0" xfId="1" applyNumberFormat="1" applyFont="1" applyFill="1"/>
    <xf numFmtId="165" fontId="38" fillId="0" borderId="4" xfId="1" applyNumberFormat="1" applyFont="1" applyBorder="1"/>
    <xf numFmtId="176" fontId="32" fillId="0" borderId="2" xfId="0" applyNumberFormat="1" applyFont="1" applyBorder="1"/>
    <xf numFmtId="2" fontId="39" fillId="0" borderId="4" xfId="0" applyNumberFormat="1" applyFont="1" applyBorder="1"/>
    <xf numFmtId="1" fontId="32" fillId="0" borderId="4" xfId="0" applyNumberFormat="1" applyFont="1" applyBorder="1"/>
    <xf numFmtId="165" fontId="26" fillId="0" borderId="0" xfId="1" applyNumberFormat="1" applyFont="1" applyFill="1"/>
    <xf numFmtId="0" fontId="33" fillId="0" borderId="4" xfId="2" applyFont="1" applyBorder="1"/>
    <xf numFmtId="165" fontId="58" fillId="6" borderId="2" xfId="1" applyNumberFormat="1" applyFont="1" applyFill="1" applyBorder="1"/>
    <xf numFmtId="171" fontId="17" fillId="0" borderId="0" xfId="0" applyNumberFormat="1" applyFont="1"/>
    <xf numFmtId="0" fontId="2" fillId="0" borderId="4" xfId="2" applyFont="1" applyBorder="1" applyAlignment="1">
      <alignment horizontal="left"/>
    </xf>
    <xf numFmtId="171" fontId="0" fillId="0" borderId="4" xfId="0" applyNumberFormat="1" applyBorder="1"/>
    <xf numFmtId="1" fontId="32" fillId="0" borderId="0" xfId="0" applyNumberFormat="1" applyFont="1"/>
    <xf numFmtId="10" fontId="0" fillId="5" borderId="0" xfId="1" applyNumberFormat="1" applyFont="1" applyFill="1"/>
    <xf numFmtId="174" fontId="32" fillId="0" borderId="4" xfId="0" applyNumberFormat="1" applyFont="1" applyBorder="1"/>
    <xf numFmtId="174" fontId="26" fillId="0" borderId="0" xfId="0" applyNumberFormat="1" applyFont="1"/>
    <xf numFmtId="174" fontId="22" fillId="0" borderId="0" xfId="0" applyNumberFormat="1" applyFont="1"/>
    <xf numFmtId="171" fontId="26" fillId="7" borderId="0" xfId="0" applyNumberFormat="1" applyFont="1" applyFill="1"/>
    <xf numFmtId="165" fontId="26" fillId="0" borderId="0" xfId="0" applyNumberFormat="1" applyFont="1"/>
    <xf numFmtId="9" fontId="32" fillId="0" borderId="0" xfId="1" applyFont="1"/>
    <xf numFmtId="9" fontId="0" fillId="0" borderId="2" xfId="1" applyFont="1" applyFill="1" applyBorder="1"/>
    <xf numFmtId="9" fontId="26" fillId="0" borderId="4" xfId="1" applyFont="1" applyBorder="1"/>
    <xf numFmtId="9" fontId="26" fillId="0" borderId="2" xfId="1" applyFont="1" applyBorder="1"/>
    <xf numFmtId="187" fontId="26" fillId="0" borderId="0" xfId="0" applyNumberFormat="1" applyFont="1"/>
    <xf numFmtId="187" fontId="0" fillId="0" borderId="4" xfId="0" applyNumberFormat="1" applyBorder="1"/>
    <xf numFmtId="165" fontId="5" fillId="0" borderId="0" xfId="1" applyNumberFormat="1" applyFont="1"/>
    <xf numFmtId="1" fontId="38" fillId="5" borderId="0" xfId="0" applyNumberFormat="1" applyFont="1" applyFill="1"/>
    <xf numFmtId="0" fontId="0" fillId="0" borderId="19" xfId="0" applyBorder="1"/>
    <xf numFmtId="9" fontId="26" fillId="0" borderId="0" xfId="1" applyFont="1" applyBorder="1"/>
    <xf numFmtId="9" fontId="22" fillId="0" borderId="0" xfId="1" applyFont="1" applyBorder="1"/>
    <xf numFmtId="10" fontId="26" fillId="6" borderId="0" xfId="0" applyNumberFormat="1" applyFont="1" applyFill="1"/>
    <xf numFmtId="165" fontId="26" fillId="6" borderId="0" xfId="1" applyNumberFormat="1" applyFont="1" applyFill="1"/>
    <xf numFmtId="0" fontId="65" fillId="0" borderId="0" xfId="0" applyFont="1"/>
    <xf numFmtId="0" fontId="66" fillId="2" borderId="0" xfId="0" applyFont="1" applyFill="1"/>
    <xf numFmtId="0" fontId="67" fillId="2" borderId="0" xfId="0" applyFont="1" applyFill="1"/>
    <xf numFmtId="0" fontId="65" fillId="2" borderId="0" xfId="0" applyFont="1" applyFill="1"/>
    <xf numFmtId="173" fontId="32" fillId="6" borderId="2" xfId="0" applyNumberFormat="1" applyFont="1" applyFill="1" applyBorder="1"/>
    <xf numFmtId="0" fontId="66" fillId="2" borderId="0" xfId="0" applyFont="1" applyFill="1" applyAlignment="1">
      <alignment horizontal="center"/>
    </xf>
    <xf numFmtId="0" fontId="68" fillId="0" borderId="1" xfId="0" applyFont="1" applyBorder="1"/>
    <xf numFmtId="169" fontId="69" fillId="0" borderId="1" xfId="0" applyNumberFormat="1" applyFont="1" applyBorder="1"/>
    <xf numFmtId="169" fontId="65" fillId="0" borderId="1" xfId="0" applyNumberFormat="1" applyFont="1" applyBorder="1"/>
    <xf numFmtId="169" fontId="65" fillId="0" borderId="0" xfId="0" applyNumberFormat="1" applyFont="1"/>
    <xf numFmtId="9" fontId="38" fillId="5" borderId="0" xfId="0" applyNumberFormat="1" applyFont="1" applyFill="1"/>
    <xf numFmtId="0" fontId="71" fillId="0" borderId="0" xfId="7" applyFont="1"/>
    <xf numFmtId="0" fontId="72" fillId="0" borderId="0" xfId="7" applyFont="1"/>
    <xf numFmtId="0" fontId="73" fillId="0" borderId="5" xfId="7" applyFont="1" applyBorder="1" applyAlignment="1">
      <alignment horizontal="centerContinuous"/>
    </xf>
    <xf numFmtId="0" fontId="73" fillId="0" borderId="5" xfId="7" applyFont="1" applyBorder="1"/>
    <xf numFmtId="0" fontId="73" fillId="0" borderId="5" xfId="7" applyFont="1" applyBorder="1" applyAlignment="1">
      <alignment horizontal="center"/>
    </xf>
    <xf numFmtId="0" fontId="74" fillId="0" borderId="5" xfId="7" applyFont="1" applyBorder="1" applyAlignment="1">
      <alignment horizontal="center"/>
    </xf>
    <xf numFmtId="2" fontId="74" fillId="0" borderId="5" xfId="7" applyNumberFormat="1" applyFont="1" applyBorder="1" applyAlignment="1">
      <alignment horizontal="center"/>
    </xf>
    <xf numFmtId="0" fontId="74" fillId="0" borderId="19" xfId="7" applyFont="1" applyBorder="1" applyAlignment="1">
      <alignment horizontal="center"/>
    </xf>
    <xf numFmtId="0" fontId="73" fillId="0" borderId="21" xfId="7" applyFont="1" applyBorder="1" applyAlignment="1">
      <alignment horizontal="center"/>
    </xf>
    <xf numFmtId="10" fontId="53" fillId="0" borderId="22" xfId="7" applyNumberFormat="1" applyFont="1" applyBorder="1" applyAlignment="1">
      <alignment horizontal="center"/>
    </xf>
    <xf numFmtId="0" fontId="71" fillId="0" borderId="0" xfId="7" applyFont="1" applyAlignment="1">
      <alignment horizontal="center"/>
    </xf>
    <xf numFmtId="0" fontId="72" fillId="0" borderId="0" xfId="7" applyFont="1" applyAlignment="1">
      <alignment horizontal="center"/>
    </xf>
    <xf numFmtId="0" fontId="75" fillId="0" borderId="0" xfId="0" applyFont="1"/>
    <xf numFmtId="0" fontId="17" fillId="5" borderId="6" xfId="0" applyFont="1" applyFill="1" applyBorder="1"/>
    <xf numFmtId="0" fontId="0" fillId="0" borderId="23" xfId="0" applyBorder="1"/>
    <xf numFmtId="0" fontId="0" fillId="0" borderId="24" xfId="0" applyBorder="1"/>
    <xf numFmtId="10" fontId="0" fillId="0" borderId="23" xfId="0" applyNumberFormat="1" applyBorder="1" applyAlignment="1">
      <alignment horizontal="center"/>
    </xf>
    <xf numFmtId="10" fontId="0" fillId="0" borderId="3" xfId="0" applyNumberFormat="1" applyBorder="1" applyAlignment="1">
      <alignment horizontal="center"/>
    </xf>
    <xf numFmtId="0" fontId="0" fillId="0" borderId="3" xfId="0" applyBorder="1" applyAlignment="1">
      <alignment horizontal="center"/>
    </xf>
    <xf numFmtId="10" fontId="17" fillId="5" borderId="6" xfId="0" applyNumberFormat="1" applyFont="1" applyFill="1" applyBorder="1" applyAlignment="1">
      <alignment horizontal="center"/>
    </xf>
    <xf numFmtId="0" fontId="58" fillId="0" borderId="20" xfId="0" applyFont="1" applyBorder="1" applyAlignment="1">
      <alignment horizontal="left"/>
    </xf>
    <xf numFmtId="10" fontId="58" fillId="0" borderId="20" xfId="0" applyNumberFormat="1" applyFont="1" applyBorder="1" applyAlignment="1">
      <alignment horizontal="left"/>
    </xf>
    <xf numFmtId="10" fontId="58" fillId="0" borderId="20" xfId="1" applyNumberFormat="1" applyFont="1" applyBorder="1" applyAlignment="1">
      <alignment horizontal="left"/>
    </xf>
    <xf numFmtId="9" fontId="58" fillId="0" borderId="20" xfId="1" applyFont="1" applyBorder="1" applyAlignment="1">
      <alignment horizontal="left"/>
    </xf>
    <xf numFmtId="2" fontId="58" fillId="0" borderId="20" xfId="0" applyNumberFormat="1" applyFont="1" applyBorder="1" applyAlignment="1">
      <alignment horizontal="left"/>
    </xf>
    <xf numFmtId="0" fontId="18" fillId="2" borderId="0" xfId="0" applyFont="1" applyFill="1" applyAlignment="1">
      <alignment vertical="top" wrapText="1"/>
    </xf>
    <xf numFmtId="0" fontId="18" fillId="2" borderId="0" xfId="0" applyFont="1" applyFill="1" applyAlignment="1">
      <alignment horizontal="center"/>
    </xf>
    <xf numFmtId="9" fontId="0" fillId="0" borderId="3" xfId="0" applyNumberFormat="1" applyBorder="1" applyAlignment="1">
      <alignment horizontal="center"/>
    </xf>
    <xf numFmtId="10" fontId="0" fillId="0" borderId="24" xfId="0" applyNumberFormat="1" applyBorder="1" applyAlignment="1">
      <alignment horizontal="center"/>
    </xf>
    <xf numFmtId="192" fontId="17" fillId="0" borderId="0" xfId="0" applyNumberFormat="1" applyFont="1"/>
    <xf numFmtId="180" fontId="17" fillId="0" borderId="0" xfId="0" applyNumberFormat="1" applyFont="1"/>
    <xf numFmtId="192" fontId="0" fillId="0" borderId="0" xfId="0" applyNumberFormat="1"/>
    <xf numFmtId="3" fontId="0" fillId="0" borderId="0" xfId="0" applyNumberFormat="1"/>
    <xf numFmtId="0" fontId="18" fillId="2" borderId="0" xfId="0" applyFont="1" applyFill="1" applyAlignment="1">
      <alignment vertical="top"/>
    </xf>
    <xf numFmtId="3" fontId="0" fillId="5" borderId="0" xfId="0" applyNumberFormat="1" applyFill="1"/>
    <xf numFmtId="0" fontId="17" fillId="12" borderId="0" xfId="0" applyFont="1" applyFill="1"/>
    <xf numFmtId="2" fontId="17" fillId="12" borderId="0" xfId="0" applyNumberFormat="1" applyFont="1" applyFill="1"/>
    <xf numFmtId="165" fontId="0" fillId="0" borderId="0" xfId="1" applyNumberFormat="1" applyFont="1" applyAlignment="1">
      <alignment wrapText="1"/>
    </xf>
    <xf numFmtId="2" fontId="0" fillId="0" borderId="23" xfId="0" applyNumberFormat="1" applyBorder="1"/>
    <xf numFmtId="165" fontId="0" fillId="0" borderId="23" xfId="1" applyNumberFormat="1" applyFont="1" applyBorder="1"/>
    <xf numFmtId="165" fontId="0" fillId="0" borderId="23" xfId="1" applyNumberFormat="1" applyFont="1" applyBorder="1" applyAlignment="1">
      <alignment wrapText="1"/>
    </xf>
    <xf numFmtId="3" fontId="0" fillId="0" borderId="3" xfId="0" applyNumberFormat="1" applyBorder="1"/>
    <xf numFmtId="2" fontId="0" fillId="0" borderId="3" xfId="0" applyNumberFormat="1" applyBorder="1"/>
    <xf numFmtId="165" fontId="0" fillId="0" borderId="3" xfId="1" applyNumberFormat="1" applyFont="1" applyBorder="1"/>
    <xf numFmtId="180" fontId="0" fillId="0" borderId="3" xfId="0" applyNumberFormat="1" applyBorder="1"/>
    <xf numFmtId="165" fontId="0" fillId="0" borderId="3" xfId="1" applyNumberFormat="1" applyFont="1" applyBorder="1" applyAlignment="1">
      <alignment wrapText="1"/>
    </xf>
    <xf numFmtId="3" fontId="0" fillId="0" borderId="24" xfId="0" applyNumberFormat="1" applyBorder="1"/>
    <xf numFmtId="2" fontId="0" fillId="0" borderId="24" xfId="0" applyNumberFormat="1" applyBorder="1"/>
    <xf numFmtId="165" fontId="0" fillId="0" borderId="24" xfId="1" applyNumberFormat="1" applyFont="1" applyBorder="1"/>
    <xf numFmtId="180" fontId="0" fillId="0" borderId="24" xfId="0" applyNumberFormat="1" applyBorder="1"/>
    <xf numFmtId="0" fontId="17" fillId="0" borderId="25" xfId="0" applyFont="1" applyBorder="1"/>
    <xf numFmtId="165" fontId="17" fillId="0" borderId="25" xfId="1" applyNumberFormat="1" applyFont="1" applyBorder="1"/>
    <xf numFmtId="180" fontId="17" fillId="0" borderId="25" xfId="0" applyNumberFormat="1" applyFont="1" applyBorder="1"/>
    <xf numFmtId="3" fontId="17" fillId="0" borderId="25" xfId="0" applyNumberFormat="1" applyFont="1" applyBorder="1"/>
    <xf numFmtId="2" fontId="17" fillId="0" borderId="25" xfId="0" applyNumberFormat="1" applyFont="1" applyBorder="1"/>
    <xf numFmtId="2" fontId="0" fillId="0" borderId="4" xfId="0" applyNumberFormat="1" applyBorder="1"/>
    <xf numFmtId="192" fontId="17" fillId="12" borderId="0" xfId="0" applyNumberFormat="1" applyFont="1" applyFill="1"/>
    <xf numFmtId="180" fontId="17" fillId="12" borderId="0" xfId="0" applyNumberFormat="1" applyFont="1" applyFill="1"/>
    <xf numFmtId="0" fontId="0" fillId="13" borderId="0" xfId="0" applyFill="1"/>
    <xf numFmtId="0" fontId="17" fillId="13" borderId="0" xfId="0" applyFont="1" applyFill="1"/>
    <xf numFmtId="191" fontId="17" fillId="13" borderId="0" xfId="0" applyNumberFormat="1" applyFont="1" applyFill="1"/>
    <xf numFmtId="192" fontId="0" fillId="13" borderId="0" xfId="0" applyNumberFormat="1" applyFill="1"/>
    <xf numFmtId="192" fontId="17" fillId="13" borderId="0" xfId="0" applyNumberFormat="1" applyFont="1" applyFill="1"/>
    <xf numFmtId="165" fontId="17" fillId="0" borderId="0" xfId="1" applyNumberFormat="1" applyFont="1"/>
    <xf numFmtId="2" fontId="0" fillId="0" borderId="24" xfId="1" applyNumberFormat="1" applyFont="1" applyBorder="1"/>
    <xf numFmtId="2" fontId="0" fillId="0" borderId="24" xfId="0" applyNumberFormat="1" applyBorder="1" applyAlignment="1">
      <alignment horizontal="center"/>
    </xf>
    <xf numFmtId="0" fontId="0" fillId="0" borderId="0" xfId="0" applyAlignment="1">
      <alignment vertical="top"/>
    </xf>
    <xf numFmtId="0" fontId="76" fillId="0" borderId="0" xfId="0" applyFont="1" applyAlignment="1">
      <alignment horizontal="left"/>
    </xf>
    <xf numFmtId="0" fontId="0" fillId="0" borderId="0" xfId="0" applyAlignment="1">
      <alignment vertical="top" wrapText="1"/>
    </xf>
    <xf numFmtId="0" fontId="76" fillId="0" borderId="0" xfId="0" applyFont="1"/>
    <xf numFmtId="170" fontId="17" fillId="0" borderId="0" xfId="0" applyNumberFormat="1" applyFont="1"/>
    <xf numFmtId="174" fontId="17" fillId="0" borderId="4" xfId="0" applyNumberFormat="1" applyFont="1" applyBorder="1"/>
    <xf numFmtId="169" fontId="26" fillId="0" borderId="1" xfId="0" applyNumberFormat="1" applyFont="1" applyBorder="1"/>
    <xf numFmtId="174" fontId="26" fillId="0" borderId="4" xfId="0" applyNumberFormat="1" applyFont="1" applyBorder="1"/>
    <xf numFmtId="176" fontId="21" fillId="0" borderId="0" xfId="0" applyNumberFormat="1" applyFont="1"/>
    <xf numFmtId="9" fontId="18" fillId="2" borderId="0" xfId="0" applyNumberFormat="1" applyFont="1" applyFill="1"/>
    <xf numFmtId="10" fontId="18" fillId="2" borderId="0" xfId="0" applyNumberFormat="1" applyFont="1" applyFill="1"/>
    <xf numFmtId="184" fontId="18" fillId="2" borderId="0" xfId="0" applyNumberFormat="1" applyFont="1" applyFill="1"/>
    <xf numFmtId="0" fontId="17" fillId="0" borderId="23" xfId="0" applyFont="1" applyBorder="1"/>
    <xf numFmtId="0" fontId="17" fillId="0" borderId="3" xfId="0" applyFont="1" applyBorder="1"/>
    <xf numFmtId="3" fontId="17" fillId="0" borderId="23" xfId="0" applyNumberFormat="1" applyFont="1" applyBorder="1"/>
    <xf numFmtId="2" fontId="17" fillId="0" borderId="23" xfId="0" applyNumberFormat="1" applyFont="1" applyBorder="1"/>
    <xf numFmtId="165" fontId="17" fillId="0" borderId="23" xfId="1" applyNumberFormat="1" applyFont="1" applyBorder="1"/>
    <xf numFmtId="180" fontId="17" fillId="0" borderId="23" xfId="0" applyNumberFormat="1" applyFont="1" applyBorder="1"/>
    <xf numFmtId="165" fontId="17" fillId="0" borderId="23" xfId="1" applyNumberFormat="1" applyFont="1" applyBorder="1" applyAlignment="1">
      <alignment wrapText="1"/>
    </xf>
    <xf numFmtId="0" fontId="17" fillId="0" borderId="23" xfId="0" applyFont="1" applyBorder="1" applyAlignment="1">
      <alignment horizontal="center"/>
    </xf>
    <xf numFmtId="3" fontId="17" fillId="0" borderId="3" xfId="0" applyNumberFormat="1" applyFont="1" applyBorder="1"/>
    <xf numFmtId="2" fontId="17" fillId="0" borderId="3" xfId="0" applyNumberFormat="1" applyFont="1" applyBorder="1"/>
    <xf numFmtId="165" fontId="17" fillId="0" borderId="3" xfId="1" applyNumberFormat="1" applyFont="1" applyBorder="1"/>
    <xf numFmtId="180" fontId="17" fillId="0" borderId="3" xfId="0" applyNumberFormat="1" applyFont="1" applyBorder="1"/>
    <xf numFmtId="165" fontId="17" fillId="0" borderId="3" xfId="1" applyNumberFormat="1" applyFont="1" applyBorder="1" applyAlignment="1">
      <alignment wrapText="1"/>
    </xf>
    <xf numFmtId="0" fontId="17" fillId="0" borderId="3" xfId="0" applyFont="1" applyBorder="1" applyAlignment="1">
      <alignment horizontal="center"/>
    </xf>
    <xf numFmtId="179" fontId="21" fillId="0" borderId="0" xfId="0" applyNumberFormat="1" applyFont="1"/>
    <xf numFmtId="170" fontId="26" fillId="0" borderId="0" xfId="0" applyNumberFormat="1" applyFont="1"/>
    <xf numFmtId="194" fontId="0" fillId="0" borderId="0" xfId="0" applyNumberFormat="1"/>
    <xf numFmtId="195" fontId="26" fillId="0" borderId="0" xfId="0" applyNumberFormat="1" applyFont="1"/>
    <xf numFmtId="170" fontId="17" fillId="0" borderId="4" xfId="0" applyNumberFormat="1" applyFont="1" applyBorder="1"/>
    <xf numFmtId="176" fontId="0" fillId="7" borderId="4" xfId="0" applyNumberFormat="1" applyFill="1" applyBorder="1"/>
    <xf numFmtId="169" fontId="26" fillId="0" borderId="0" xfId="0" applyNumberFormat="1" applyFont="1"/>
    <xf numFmtId="174" fontId="32" fillId="0" borderId="2" xfId="0" applyNumberFormat="1" applyFont="1" applyBorder="1"/>
    <xf numFmtId="179" fontId="17" fillId="0" borderId="4" xfId="1" applyNumberFormat="1" applyFont="1" applyBorder="1"/>
    <xf numFmtId="178" fontId="0" fillId="0" borderId="4" xfId="0" applyNumberFormat="1" applyBorder="1"/>
    <xf numFmtId="184" fontId="0" fillId="0" borderId="0" xfId="0" applyNumberFormat="1"/>
    <xf numFmtId="0" fontId="17" fillId="0" borderId="26" xfId="0" applyFont="1" applyBorder="1"/>
    <xf numFmtId="0" fontId="17" fillId="0" borderId="1" xfId="0" applyFont="1" applyBorder="1"/>
    <xf numFmtId="169" fontId="25" fillId="0" borderId="1" xfId="0" applyNumberFormat="1" applyFont="1" applyBorder="1"/>
    <xf numFmtId="9" fontId="17" fillId="0" borderId="4" xfId="1" applyFont="1" applyBorder="1"/>
    <xf numFmtId="165" fontId="17" fillId="0" borderId="26" xfId="0" applyNumberFormat="1" applyFont="1" applyBorder="1"/>
    <xf numFmtId="169" fontId="32" fillId="7" borderId="1" xfId="0" applyNumberFormat="1" applyFont="1" applyFill="1" applyBorder="1"/>
    <xf numFmtId="165" fontId="0" fillId="0" borderId="25" xfId="0" applyNumberFormat="1" applyBorder="1"/>
    <xf numFmtId="165" fontId="0" fillId="0" borderId="23" xfId="0" applyNumberFormat="1" applyBorder="1"/>
    <xf numFmtId="165" fontId="17" fillId="0" borderId="25" xfId="0" applyNumberFormat="1" applyFont="1" applyBorder="1"/>
    <xf numFmtId="165" fontId="17" fillId="0" borderId="3" xfId="0" applyNumberFormat="1" applyFont="1" applyBorder="1"/>
    <xf numFmtId="165" fontId="17" fillId="0" borderId="23" xfId="0" applyNumberFormat="1" applyFont="1" applyBorder="1"/>
    <xf numFmtId="196" fontId="18" fillId="2" borderId="0" xfId="0" applyNumberFormat="1" applyFont="1" applyFill="1"/>
    <xf numFmtId="196" fontId="18" fillId="2" borderId="0" xfId="0" applyNumberFormat="1" applyFont="1" applyFill="1" applyAlignment="1">
      <alignment horizontal="left"/>
    </xf>
    <xf numFmtId="197" fontId="18" fillId="2" borderId="0" xfId="0" applyNumberFormat="1" applyFont="1" applyFill="1" applyAlignment="1">
      <alignment horizontal="left"/>
    </xf>
    <xf numFmtId="0" fontId="38" fillId="0" borderId="25" xfId="0" applyFont="1" applyBorder="1"/>
    <xf numFmtId="3" fontId="38" fillId="0" borderId="25" xfId="0" applyNumberFormat="1" applyFont="1" applyBorder="1"/>
    <xf numFmtId="165" fontId="38" fillId="0" borderId="25" xfId="1" applyNumberFormat="1" applyFont="1" applyBorder="1"/>
    <xf numFmtId="178" fontId="38" fillId="0" borderId="25" xfId="1" applyNumberFormat="1" applyFont="1" applyBorder="1"/>
    <xf numFmtId="3" fontId="38" fillId="0" borderId="3" xfId="0" applyNumberFormat="1" applyFont="1" applyBorder="1"/>
    <xf numFmtId="165" fontId="38" fillId="0" borderId="3" xfId="1" applyNumberFormat="1" applyFont="1" applyBorder="1"/>
    <xf numFmtId="178" fontId="38" fillId="0" borderId="3" xfId="1" applyNumberFormat="1" applyFont="1" applyBorder="1"/>
    <xf numFmtId="0" fontId="38" fillId="0" borderId="24" xfId="0" applyFont="1" applyBorder="1"/>
    <xf numFmtId="3" fontId="38" fillId="0" borderId="24" xfId="0" applyNumberFormat="1" applyFont="1" applyBorder="1"/>
    <xf numFmtId="1" fontId="38" fillId="0" borderId="24" xfId="0" applyNumberFormat="1" applyFont="1" applyBorder="1"/>
    <xf numFmtId="165" fontId="38" fillId="0" borderId="24" xfId="1" applyNumberFormat="1" applyFont="1" applyBorder="1"/>
    <xf numFmtId="178" fontId="38" fillId="0" borderId="24" xfId="1" applyNumberFormat="1" applyFont="1" applyBorder="1"/>
    <xf numFmtId="0" fontId="38" fillId="3" borderId="25" xfId="0" applyFont="1" applyFill="1" applyBorder="1"/>
    <xf numFmtId="0" fontId="38" fillId="3" borderId="3" xfId="0" applyFont="1" applyFill="1" applyBorder="1"/>
    <xf numFmtId="0" fontId="39" fillId="3" borderId="3" xfId="0" applyFont="1" applyFill="1" applyBorder="1"/>
    <xf numFmtId="0" fontId="38" fillId="3" borderId="24" xfId="0" applyFont="1" applyFill="1" applyBorder="1"/>
    <xf numFmtId="0" fontId="0" fillId="16" borderId="0" xfId="0" applyFill="1"/>
    <xf numFmtId="178" fontId="0" fillId="0" borderId="0" xfId="0" applyNumberFormat="1"/>
    <xf numFmtId="198" fontId="22" fillId="0" borderId="0" xfId="0" applyNumberFormat="1" applyFont="1"/>
    <xf numFmtId="198" fontId="32" fillId="0" borderId="3" xfId="0" applyNumberFormat="1" applyFont="1" applyBorder="1"/>
    <xf numFmtId="0" fontId="17" fillId="0" borderId="24" xfId="0" applyFont="1" applyBorder="1"/>
    <xf numFmtId="198" fontId="32" fillId="0" borderId="24" xfId="0" applyNumberFormat="1" applyFont="1" applyBorder="1"/>
    <xf numFmtId="0" fontId="64" fillId="0" borderId="20" xfId="0" applyFont="1" applyBorder="1" applyProtection="1">
      <protection locked="0"/>
    </xf>
    <xf numFmtId="0" fontId="58" fillId="0" borderId="20" xfId="0" applyFont="1" applyBorder="1" applyAlignment="1" applyProtection="1">
      <alignment horizontal="left"/>
      <protection locked="0"/>
    </xf>
    <xf numFmtId="4" fontId="17" fillId="0" borderId="0" xfId="0" applyNumberFormat="1" applyFont="1"/>
    <xf numFmtId="0" fontId="17" fillId="0" borderId="0" xfId="0" applyFont="1" applyAlignment="1">
      <alignment horizontal="right"/>
    </xf>
    <xf numFmtId="1" fontId="17" fillId="0" borderId="0" xfId="0" applyNumberFormat="1" applyFont="1" applyAlignment="1">
      <alignment horizontal="right"/>
    </xf>
    <xf numFmtId="0" fontId="0" fillId="0" borderId="0" xfId="0" applyAlignment="1">
      <alignment horizontal="right"/>
    </xf>
    <xf numFmtId="0" fontId="38" fillId="0" borderId="0" xfId="0" applyFont="1" applyAlignment="1">
      <alignment horizontal="right"/>
    </xf>
    <xf numFmtId="196" fontId="38" fillId="0" borderId="0" xfId="0" applyNumberFormat="1" applyFont="1"/>
    <xf numFmtId="197" fontId="38" fillId="0" borderId="0" xfId="0" applyNumberFormat="1" applyFont="1"/>
    <xf numFmtId="196" fontId="39" fillId="0" borderId="0" xfId="0" applyNumberFormat="1" applyFont="1"/>
    <xf numFmtId="197" fontId="39" fillId="0" borderId="0" xfId="0" applyNumberFormat="1" applyFont="1"/>
    <xf numFmtId="196" fontId="0" fillId="0" borderId="0" xfId="0" applyNumberFormat="1"/>
    <xf numFmtId="199" fontId="0" fillId="0" borderId="0" xfId="0" applyNumberFormat="1"/>
    <xf numFmtId="10" fontId="26" fillId="0" borderId="0" xfId="0" applyNumberFormat="1" applyFont="1" applyAlignment="1">
      <alignment horizontal="center"/>
    </xf>
    <xf numFmtId="10" fontId="26" fillId="0" borderId="3" xfId="0" applyNumberFormat="1" applyFont="1" applyBorder="1" applyAlignment="1">
      <alignment horizontal="center"/>
    </xf>
    <xf numFmtId="0" fontId="26" fillId="0" borderId="3" xfId="0" applyFont="1" applyBorder="1" applyAlignment="1">
      <alignment horizontal="center"/>
    </xf>
    <xf numFmtId="9" fontId="26" fillId="0" borderId="3" xfId="0" applyNumberFormat="1" applyFont="1" applyBorder="1" applyAlignment="1">
      <alignment horizontal="center"/>
    </xf>
    <xf numFmtId="10" fontId="26" fillId="0" borderId="23" xfId="1" applyNumberFormat="1" applyFont="1" applyBorder="1" applyAlignment="1">
      <alignment horizontal="center"/>
    </xf>
    <xf numFmtId="10" fontId="26" fillId="0" borderId="23" xfId="0" applyNumberFormat="1" applyFont="1" applyBorder="1" applyAlignment="1">
      <alignment horizontal="center"/>
    </xf>
    <xf numFmtId="171" fontId="17" fillId="0" borderId="2" xfId="0" applyNumberFormat="1" applyFont="1" applyBorder="1"/>
    <xf numFmtId="200" fontId="17" fillId="0" borderId="2" xfId="0" applyNumberFormat="1" applyFont="1" applyBorder="1"/>
    <xf numFmtId="0" fontId="66" fillId="0" borderId="0" xfId="0" applyFont="1"/>
    <xf numFmtId="171" fontId="0" fillId="14" borderId="0" xfId="0" applyNumberFormat="1" applyFill="1"/>
    <xf numFmtId="171" fontId="22" fillId="14" borderId="0" xfId="0" applyNumberFormat="1" applyFont="1" applyFill="1"/>
    <xf numFmtId="165" fontId="18" fillId="2" borderId="0" xfId="0" applyNumberFormat="1" applyFont="1" applyFill="1"/>
    <xf numFmtId="0" fontId="73" fillId="0" borderId="19" xfId="7" applyFont="1" applyBorder="1" applyAlignment="1">
      <alignment horizontal="center"/>
    </xf>
    <xf numFmtId="0" fontId="73" fillId="0" borderId="20" xfId="7" applyFont="1" applyBorder="1" applyAlignment="1">
      <alignment horizontal="center"/>
    </xf>
    <xf numFmtId="0" fontId="0" fillId="3" borderId="0" xfId="0" applyFill="1" applyAlignment="1">
      <alignment horizontal="center"/>
    </xf>
    <xf numFmtId="15" fontId="18" fillId="2" borderId="0" xfId="0" applyNumberFormat="1" applyFont="1" applyFill="1" applyAlignment="1">
      <alignment horizontal="center" vertical="center"/>
    </xf>
    <xf numFmtId="0" fontId="18" fillId="14" borderId="0" xfId="0" applyFont="1" applyFill="1" applyAlignment="1">
      <alignment horizontal="center"/>
    </xf>
    <xf numFmtId="0" fontId="0" fillId="0" borderId="0" xfId="0" applyAlignment="1">
      <alignment horizontal="left" wrapText="1"/>
    </xf>
    <xf numFmtId="0" fontId="0" fillId="15" borderId="0" xfId="0" applyFill="1" applyAlignment="1">
      <alignment horizontal="center"/>
    </xf>
    <xf numFmtId="0" fontId="65" fillId="3" borderId="0" xfId="0" applyFont="1" applyFill="1" applyAlignment="1">
      <alignment horizontal="center"/>
    </xf>
    <xf numFmtId="0" fontId="65" fillId="15" borderId="0" xfId="0" applyFont="1" applyFill="1" applyAlignment="1">
      <alignment horizontal="center"/>
    </xf>
    <xf numFmtId="15" fontId="28" fillId="2" borderId="0" xfId="0" applyNumberFormat="1" applyFont="1" applyFill="1" applyAlignment="1">
      <alignment horizontal="center" vertical="center"/>
    </xf>
    <xf numFmtId="0" fontId="18" fillId="15" borderId="0" xfId="0" applyFont="1" applyFill="1" applyAlignment="1">
      <alignment horizontal="center"/>
    </xf>
    <xf numFmtId="0" fontId="0" fillId="0" borderId="0" xfId="0" applyAlignment="1">
      <alignment horizontal="left" vertical="top" wrapText="1"/>
    </xf>
    <xf numFmtId="0" fontId="0" fillId="0" borderId="0" xfId="0" applyAlignment="1">
      <alignment horizontal="left"/>
    </xf>
    <xf numFmtId="0" fontId="0" fillId="0" borderId="0" xfId="0" applyAlignment="1">
      <alignment horizontal="right" vertical="center" textRotation="90"/>
    </xf>
    <xf numFmtId="0" fontId="0" fillId="0" borderId="0" xfId="0" applyAlignment="1">
      <alignment horizontal="center"/>
    </xf>
    <xf numFmtId="0" fontId="66" fillId="2" borderId="0" xfId="0" applyFont="1" applyFill="1" applyAlignment="1">
      <alignment horizontal="center"/>
    </xf>
    <xf numFmtId="0" fontId="28" fillId="2" borderId="0" xfId="0" applyFont="1" applyFill="1" applyAlignment="1">
      <alignment horizontal="center"/>
    </xf>
  </cellXfs>
  <cellStyles count="14">
    <cellStyle name="Comma 2" xfId="13" xr:uid="{3DACAAD1-C174-4DE9-8FB7-E7D99A460BC4}"/>
    <cellStyle name="Currency 2" xfId="8" xr:uid="{42F401AA-8659-467F-B899-EEF567585C0D}"/>
    <cellStyle name="Currency 3" xfId="11" xr:uid="{DDA4A807-9A3C-458F-9922-FAB5342AE3C7}"/>
    <cellStyle name="Hyperlink" xfId="4" builtinId="8"/>
    <cellStyle name="Hyperlink 2" xfId="6" xr:uid="{268EACD7-8C2C-48EE-BB97-79411B5EC4A2}"/>
    <cellStyle name="Normal" xfId="0" builtinId="0"/>
    <cellStyle name="Normal 2" xfId="3" xr:uid="{3FDC719C-D55D-47C4-A983-FBE97D19701C}"/>
    <cellStyle name="Normal 3" xfId="2" xr:uid="{A8E48AEC-AEA1-424A-A68B-DCD242593CD0}"/>
    <cellStyle name="Normal 4" xfId="5" xr:uid="{22A2981D-2CE7-42FD-AB9D-910393F5947A}"/>
    <cellStyle name="Normal 5" xfId="7" xr:uid="{FB152A2A-5AB9-4B18-B8FC-21A70559F3C2}"/>
    <cellStyle name="Normal 6" xfId="10" xr:uid="{4DC16631-85A6-42DA-A530-B2DC54EF7838}"/>
    <cellStyle name="Percent" xfId="1" builtinId="5"/>
    <cellStyle name="Percent 2" xfId="9" xr:uid="{C9B5AC7B-C058-45A2-BB64-5F8BD89AAA1D}"/>
    <cellStyle name="Percent 5" xfId="12" xr:uid="{A19CD6E7-CDEC-44D8-AC91-560AAFC0545C}"/>
  </cellStyles>
  <dxfs count="0"/>
  <tableStyles count="0" defaultTableStyle="TableStyleMedium2" defaultPivotStyle="PivotStyleLight16"/>
  <colors>
    <mruColors>
      <color rgb="FFEE3048"/>
      <color rgb="FF913493"/>
      <color rgb="FF002060"/>
      <color rgb="FFBFBFBF"/>
      <color rgb="FFD183D3"/>
      <color rgb="FF5D93FF"/>
      <color rgb="FFF58B98"/>
      <color rgb="FF3333FF"/>
      <color rgb="FF000099"/>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6094925634295716E-2"/>
          <c:y val="0.16069324447228178"/>
          <c:w val="0.8825717410323709"/>
          <c:h val="0.69254205787294321"/>
        </c:manualLayout>
      </c:layout>
      <c:lineChart>
        <c:grouping val="standard"/>
        <c:varyColors val="0"/>
        <c:ser>
          <c:idx val="0"/>
          <c:order val="0"/>
          <c:tx>
            <c:strRef>
              <c:f>'Assumptions Working'!$B$465</c:f>
              <c:strCache>
                <c:ptCount val="1"/>
                <c:pt idx="0">
                  <c:v>Particulars </c:v>
                </c:pt>
              </c:strCache>
            </c:strRef>
          </c:tx>
          <c:spPr>
            <a:ln w="28575" cap="rnd">
              <a:solidFill>
                <a:schemeClr val="accent1"/>
              </a:solidFill>
              <a:round/>
            </a:ln>
            <a:effectLst/>
          </c:spPr>
          <c:marker>
            <c:symbol val="none"/>
          </c:marker>
          <c:val>
            <c:numRef>
              <c:f>'Assumptions Working'!$C$465:$H$465</c:f>
              <c:numCache>
                <c:formatCode>General</c:formatCode>
                <c:ptCount val="6"/>
                <c:pt idx="1">
                  <c:v>2021</c:v>
                </c:pt>
                <c:pt idx="2">
                  <c:v>2022</c:v>
                </c:pt>
                <c:pt idx="3">
                  <c:v>2023</c:v>
                </c:pt>
                <c:pt idx="4">
                  <c:v>2024</c:v>
                </c:pt>
                <c:pt idx="5">
                  <c:v>2025</c:v>
                </c:pt>
              </c:numCache>
            </c:numRef>
          </c:val>
          <c:smooth val="0"/>
          <c:extLst>
            <c:ext xmlns:c16="http://schemas.microsoft.com/office/drawing/2014/chart" uri="{C3380CC4-5D6E-409C-BE32-E72D297353CC}">
              <c16:uniqueId val="{00000000-E36B-4772-A18E-A1C415485E74}"/>
            </c:ext>
          </c:extLst>
        </c:ser>
        <c:ser>
          <c:idx val="1"/>
          <c:order val="1"/>
          <c:tx>
            <c:strRef>
              <c:f>'Assumptions Working'!$B$467</c:f>
              <c:strCache>
                <c:ptCount val="1"/>
                <c:pt idx="0">
                  <c:v>Revenue Growth YOY %</c:v>
                </c:pt>
              </c:strCache>
            </c:strRef>
          </c:tx>
          <c:spPr>
            <a:ln w="28575" cap="rnd">
              <a:solidFill>
                <a:schemeClr val="accent2"/>
              </a:solidFill>
              <a:round/>
            </a:ln>
            <a:effectLst/>
          </c:spPr>
          <c:marker>
            <c:symbol val="none"/>
          </c:marker>
          <c:val>
            <c:numRef>
              <c:f>'Assumptions Working'!$C$467:$H$467</c:f>
              <c:numCache>
                <c:formatCode>General</c:formatCode>
                <c:ptCount val="6"/>
                <c:pt idx="2" formatCode="0.0%">
                  <c:v>0.87092882991556086</c:v>
                </c:pt>
                <c:pt idx="3" formatCode="0.0%">
                  <c:v>0.41070277240490016</c:v>
                </c:pt>
                <c:pt idx="4" formatCode="0.0%">
                  <c:v>-0.11837294332723947</c:v>
                </c:pt>
                <c:pt idx="5" formatCode="0.0%">
                  <c:v>0.32192846034214617</c:v>
                </c:pt>
              </c:numCache>
            </c:numRef>
          </c:val>
          <c:smooth val="0"/>
          <c:extLst>
            <c:ext xmlns:c16="http://schemas.microsoft.com/office/drawing/2014/chart" uri="{C3380CC4-5D6E-409C-BE32-E72D297353CC}">
              <c16:uniqueId val="{00000001-E36B-4772-A18E-A1C415485E74}"/>
            </c:ext>
          </c:extLst>
        </c:ser>
        <c:ser>
          <c:idx val="2"/>
          <c:order val="2"/>
          <c:tx>
            <c:strRef>
              <c:f>'Assumptions Working'!$B$470</c:f>
              <c:strCache>
                <c:ptCount val="1"/>
                <c:pt idx="0">
                  <c:v>Inventory Growth YOY %</c:v>
                </c:pt>
              </c:strCache>
            </c:strRef>
          </c:tx>
          <c:spPr>
            <a:ln w="28575" cap="rnd">
              <a:solidFill>
                <a:schemeClr val="accent3"/>
              </a:solidFill>
              <a:round/>
            </a:ln>
            <a:effectLst/>
          </c:spPr>
          <c:marker>
            <c:symbol val="none"/>
          </c:marker>
          <c:val>
            <c:numRef>
              <c:f>'Assumptions Working'!$C$470:$H$470</c:f>
              <c:numCache>
                <c:formatCode>General</c:formatCode>
                <c:ptCount val="6"/>
                <c:pt idx="2" formatCode="0.0%">
                  <c:v>1.8518518518518516</c:v>
                </c:pt>
                <c:pt idx="3" formatCode="0.0%">
                  <c:v>0.37662337662337664</c:v>
                </c:pt>
                <c:pt idx="4" formatCode="0.0%">
                  <c:v>0.24056603773584895</c:v>
                </c:pt>
                <c:pt idx="5" formatCode="0.0%">
                  <c:v>0.47528517110266155</c:v>
                </c:pt>
              </c:numCache>
            </c:numRef>
          </c:val>
          <c:smooth val="0"/>
          <c:extLst>
            <c:ext xmlns:c16="http://schemas.microsoft.com/office/drawing/2014/chart" uri="{C3380CC4-5D6E-409C-BE32-E72D297353CC}">
              <c16:uniqueId val="{00000002-E36B-4772-A18E-A1C415485E74}"/>
            </c:ext>
          </c:extLst>
        </c:ser>
        <c:dLbls>
          <c:showLegendKey val="0"/>
          <c:showVal val="0"/>
          <c:showCatName val="0"/>
          <c:showSerName val="0"/>
          <c:showPercent val="0"/>
          <c:showBubbleSize val="0"/>
        </c:dLbls>
        <c:smooth val="0"/>
        <c:axId val="1365962896"/>
        <c:axId val="1365973936"/>
      </c:lineChart>
      <c:catAx>
        <c:axId val="136596289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973936"/>
        <c:crossesAt val="0"/>
        <c:auto val="0"/>
        <c:lblAlgn val="ctr"/>
        <c:lblOffset val="100"/>
        <c:noMultiLvlLbl val="0"/>
      </c:catAx>
      <c:valAx>
        <c:axId val="1365973936"/>
        <c:scaling>
          <c:orientation val="minMax"/>
          <c:max val="1"/>
          <c:min val="-0.1"/>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96289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'Assumptions Working'!$B$517</c:f>
              <c:strCache>
                <c:ptCount val="1"/>
                <c:pt idx="0">
                  <c:v>Revenue Growth YOY %</c:v>
                </c:pt>
              </c:strCache>
            </c:strRef>
          </c:tx>
          <c:spPr>
            <a:ln w="28575" cap="rnd">
              <a:solidFill>
                <a:schemeClr val="accent1"/>
              </a:solidFill>
              <a:round/>
            </a:ln>
            <a:effectLst/>
          </c:spPr>
          <c:marker>
            <c:symbol val="none"/>
          </c:marker>
          <c:cat>
            <c:numRef>
              <c:f>'Assumptions Working'!$C$515:$H$515</c:f>
              <c:numCache>
                <c:formatCode>General</c:formatCode>
                <c:ptCount val="6"/>
                <c:pt idx="1">
                  <c:v>2021</c:v>
                </c:pt>
                <c:pt idx="2">
                  <c:v>2022</c:v>
                </c:pt>
                <c:pt idx="3">
                  <c:v>2023</c:v>
                </c:pt>
                <c:pt idx="4">
                  <c:v>2024</c:v>
                </c:pt>
                <c:pt idx="5">
                  <c:v>2025</c:v>
                </c:pt>
              </c:numCache>
            </c:numRef>
          </c:cat>
          <c:val>
            <c:numRef>
              <c:f>'Assumptions Working'!$C$517:$H$517</c:f>
              <c:numCache>
                <c:formatCode>General</c:formatCode>
                <c:ptCount val="6"/>
                <c:pt idx="2" formatCode="0.0%">
                  <c:v>0.87092882991556086</c:v>
                </c:pt>
                <c:pt idx="3" formatCode="0.0%">
                  <c:v>0.41070277240490016</c:v>
                </c:pt>
                <c:pt idx="4" formatCode="0.0%">
                  <c:v>-0.11837294332723947</c:v>
                </c:pt>
                <c:pt idx="5" formatCode="0.0%">
                  <c:v>0.32192846034214617</c:v>
                </c:pt>
              </c:numCache>
            </c:numRef>
          </c:val>
          <c:smooth val="0"/>
          <c:extLst>
            <c:ext xmlns:c16="http://schemas.microsoft.com/office/drawing/2014/chart" uri="{C3380CC4-5D6E-409C-BE32-E72D297353CC}">
              <c16:uniqueId val="{00000000-06D9-4856-BCE8-82CC29E80AA5}"/>
            </c:ext>
          </c:extLst>
        </c:ser>
        <c:ser>
          <c:idx val="1"/>
          <c:order val="1"/>
          <c:tx>
            <c:strRef>
              <c:f>'Assumptions Working'!$B$520</c:f>
              <c:strCache>
                <c:ptCount val="1"/>
                <c:pt idx="0">
                  <c:v>Trade Receivable YOY %</c:v>
                </c:pt>
              </c:strCache>
            </c:strRef>
          </c:tx>
          <c:spPr>
            <a:ln w="28575" cap="rnd">
              <a:solidFill>
                <a:schemeClr val="accent2"/>
              </a:solidFill>
              <a:round/>
            </a:ln>
            <a:effectLst/>
          </c:spPr>
          <c:marker>
            <c:symbol val="none"/>
          </c:marker>
          <c:cat>
            <c:numRef>
              <c:f>'Assumptions Working'!$C$515:$H$515</c:f>
              <c:numCache>
                <c:formatCode>General</c:formatCode>
                <c:ptCount val="6"/>
                <c:pt idx="1">
                  <c:v>2021</c:v>
                </c:pt>
                <c:pt idx="2">
                  <c:v>2022</c:v>
                </c:pt>
                <c:pt idx="3">
                  <c:v>2023</c:v>
                </c:pt>
                <c:pt idx="4">
                  <c:v>2024</c:v>
                </c:pt>
                <c:pt idx="5">
                  <c:v>2025</c:v>
                </c:pt>
              </c:numCache>
            </c:numRef>
          </c:cat>
          <c:val>
            <c:numRef>
              <c:f>'Assumptions Working'!$C$520:$H$520</c:f>
              <c:numCache>
                <c:formatCode>General</c:formatCode>
                <c:ptCount val="6"/>
                <c:pt idx="2" formatCode="0.0%">
                  <c:v>1.1512605042016806</c:v>
                </c:pt>
                <c:pt idx="3" formatCode="0.0%">
                  <c:v>-0.3515625</c:v>
                </c:pt>
                <c:pt idx="4" formatCode="0.0%">
                  <c:v>7.8313253012048278E-2</c:v>
                </c:pt>
                <c:pt idx="5" formatCode="0.0%">
                  <c:v>0.2960893854748603</c:v>
                </c:pt>
              </c:numCache>
            </c:numRef>
          </c:val>
          <c:smooth val="0"/>
          <c:extLst>
            <c:ext xmlns:c16="http://schemas.microsoft.com/office/drawing/2014/chart" uri="{C3380CC4-5D6E-409C-BE32-E72D297353CC}">
              <c16:uniqueId val="{00000001-06D9-4856-BCE8-82CC29E80AA5}"/>
            </c:ext>
          </c:extLst>
        </c:ser>
        <c:dLbls>
          <c:showLegendKey val="0"/>
          <c:showVal val="0"/>
          <c:showCatName val="0"/>
          <c:showSerName val="0"/>
          <c:showPercent val="0"/>
          <c:showBubbleSize val="0"/>
        </c:dLbls>
        <c:smooth val="0"/>
        <c:axId val="1581103168"/>
        <c:axId val="1581103648"/>
      </c:lineChart>
      <c:catAx>
        <c:axId val="158110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103648"/>
        <c:crossesAt val="0"/>
        <c:auto val="0"/>
        <c:lblAlgn val="ctr"/>
        <c:lblOffset val="100"/>
        <c:noMultiLvlLbl val="0"/>
      </c:catAx>
      <c:valAx>
        <c:axId val="1581103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103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9997594050743664E-2"/>
          <c:y val="0.17171296296296296"/>
          <c:w val="0.88944685039370075"/>
          <c:h val="0.61498432487605714"/>
        </c:manualLayout>
      </c:layout>
      <c:barChart>
        <c:barDir val="col"/>
        <c:grouping val="clustered"/>
        <c:varyColors val="0"/>
        <c:ser>
          <c:idx val="0"/>
          <c:order val="0"/>
          <c:tx>
            <c:strRef>
              <c:f>'Assumptions Working'!$B$813</c:f>
              <c:strCache>
                <c:ptCount val="1"/>
                <c:pt idx="0">
                  <c:v>Trade Payables % Revenue</c:v>
                </c:pt>
              </c:strCache>
            </c:strRef>
          </c:tx>
          <c:spPr>
            <a:solidFill>
              <a:schemeClr val="accent1"/>
            </a:solidFill>
            <a:ln>
              <a:noFill/>
            </a:ln>
            <a:effectLst/>
          </c:spPr>
          <c:invertIfNegative val="0"/>
          <c:cat>
            <c:numRef>
              <c:f>'Assumptions Working'!$C$800:$H$800</c:f>
              <c:numCache>
                <c:formatCode>"FY"###0</c:formatCode>
                <c:ptCount val="6"/>
                <c:pt idx="1">
                  <c:v>2021</c:v>
                </c:pt>
                <c:pt idx="2">
                  <c:v>2022</c:v>
                </c:pt>
                <c:pt idx="3">
                  <c:v>2023</c:v>
                </c:pt>
                <c:pt idx="4">
                  <c:v>2024</c:v>
                </c:pt>
                <c:pt idx="5">
                  <c:v>2025</c:v>
                </c:pt>
              </c:numCache>
            </c:numRef>
          </c:cat>
          <c:val>
            <c:numRef>
              <c:f>'Assumptions Working'!$C$813:$H$813</c:f>
              <c:numCache>
                <c:formatCode>0%</c:formatCode>
                <c:ptCount val="6"/>
                <c:pt idx="1">
                  <c:v>8.805790108564536E-2</c:v>
                </c:pt>
                <c:pt idx="2">
                  <c:v>5.6737588652482268E-2</c:v>
                </c:pt>
                <c:pt idx="3">
                  <c:v>5.0274223034734916E-2</c:v>
                </c:pt>
                <c:pt idx="4">
                  <c:v>9.5386210471747016E-2</c:v>
                </c:pt>
                <c:pt idx="5">
                  <c:v>7.2941176470588232E-2</c:v>
                </c:pt>
              </c:numCache>
            </c:numRef>
          </c:val>
          <c:extLst>
            <c:ext xmlns:c16="http://schemas.microsoft.com/office/drawing/2014/chart" uri="{C3380CC4-5D6E-409C-BE32-E72D297353CC}">
              <c16:uniqueId val="{00000000-B21C-4526-88BF-87B3419B22EA}"/>
            </c:ext>
          </c:extLst>
        </c:ser>
        <c:ser>
          <c:idx val="1"/>
          <c:order val="1"/>
          <c:tx>
            <c:strRef>
              <c:f>'Assumptions Working'!$B$814</c:f>
              <c:strCache>
                <c:ptCount val="1"/>
                <c:pt idx="0">
                  <c:v>Trade Receivables % Revenue</c:v>
                </c:pt>
              </c:strCache>
            </c:strRef>
          </c:tx>
          <c:spPr>
            <a:solidFill>
              <a:schemeClr val="accent2"/>
            </a:solidFill>
            <a:ln>
              <a:noFill/>
            </a:ln>
            <a:effectLst/>
          </c:spPr>
          <c:invertIfNegative val="0"/>
          <c:cat>
            <c:numRef>
              <c:f>'Assumptions Working'!$C$800:$H$800</c:f>
              <c:numCache>
                <c:formatCode>"FY"###0</c:formatCode>
                <c:ptCount val="6"/>
                <c:pt idx="1">
                  <c:v>2021</c:v>
                </c:pt>
                <c:pt idx="2">
                  <c:v>2022</c:v>
                </c:pt>
                <c:pt idx="3">
                  <c:v>2023</c:v>
                </c:pt>
                <c:pt idx="4">
                  <c:v>2024</c:v>
                </c:pt>
                <c:pt idx="5">
                  <c:v>2025</c:v>
                </c:pt>
              </c:numCache>
            </c:numRef>
          </c:cat>
          <c:val>
            <c:numRef>
              <c:f>'Assumptions Working'!$C$814:$H$814</c:f>
              <c:numCache>
                <c:formatCode>0%</c:formatCode>
                <c:ptCount val="6"/>
                <c:pt idx="1">
                  <c:v>0.14354644149577805</c:v>
                </c:pt>
                <c:pt idx="2">
                  <c:v>0.16505480335267569</c:v>
                </c:pt>
                <c:pt idx="3">
                  <c:v>7.5868372943327239E-2</c:v>
                </c:pt>
                <c:pt idx="4">
                  <c:v>9.2794193882840853E-2</c:v>
                </c:pt>
                <c:pt idx="5">
                  <c:v>9.0980392156862738E-2</c:v>
                </c:pt>
              </c:numCache>
            </c:numRef>
          </c:val>
          <c:extLst>
            <c:ext xmlns:c16="http://schemas.microsoft.com/office/drawing/2014/chart" uri="{C3380CC4-5D6E-409C-BE32-E72D297353CC}">
              <c16:uniqueId val="{00000001-B21C-4526-88BF-87B3419B22EA}"/>
            </c:ext>
          </c:extLst>
        </c:ser>
        <c:dLbls>
          <c:showLegendKey val="0"/>
          <c:showVal val="0"/>
          <c:showCatName val="0"/>
          <c:showSerName val="0"/>
          <c:showPercent val="0"/>
          <c:showBubbleSize val="0"/>
        </c:dLbls>
        <c:gapWidth val="219"/>
        <c:overlap val="-27"/>
        <c:axId val="1475890623"/>
        <c:axId val="1475887263"/>
      </c:barChart>
      <c:catAx>
        <c:axId val="1475890623"/>
        <c:scaling>
          <c:orientation val="minMax"/>
        </c:scaling>
        <c:delete val="0"/>
        <c:axPos val="b"/>
        <c:numFmt formatCode="&quot;FY&quot;###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887263"/>
        <c:crosses val="autoZero"/>
        <c:auto val="1"/>
        <c:lblAlgn val="ctr"/>
        <c:lblOffset val="100"/>
        <c:noMultiLvlLbl val="0"/>
      </c:catAx>
      <c:valAx>
        <c:axId val="14758872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58906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692191106513318E-2"/>
          <c:y val="0.19885737106690962"/>
          <c:w val="0.88375920281068532"/>
          <c:h val="0.48064336096537075"/>
        </c:manualLayout>
      </c:layout>
      <c:bar3DChart>
        <c:barDir val="col"/>
        <c:grouping val="stacked"/>
        <c:varyColors val="0"/>
        <c:ser>
          <c:idx val="0"/>
          <c:order val="0"/>
          <c:tx>
            <c:strRef>
              <c:f>'Assumptions Working'!$B$982</c:f>
              <c:strCache>
                <c:ptCount val="1"/>
                <c:pt idx="0">
                  <c:v>Operating Cash</c:v>
                </c:pt>
              </c:strCache>
            </c:strRef>
          </c:tx>
          <c:spPr>
            <a:solidFill>
              <a:schemeClr val="accent1"/>
            </a:solidFill>
            <a:ln>
              <a:noFill/>
            </a:ln>
            <a:effectLst/>
            <a:sp3d/>
          </c:spPr>
          <c:invertIfNegative val="0"/>
          <c:cat>
            <c:numRef>
              <c:f>'Assumptions Working'!$C$971:$Q$971</c:f>
              <c:numCache>
                <c:formatCode>"FY"###0</c:formatCode>
                <c:ptCount val="15"/>
                <c:pt idx="1">
                  <c:v>2021</c:v>
                </c:pt>
                <c:pt idx="2">
                  <c:v>2022</c:v>
                </c:pt>
                <c:pt idx="3">
                  <c:v>2023</c:v>
                </c:pt>
                <c:pt idx="4">
                  <c:v>2024</c:v>
                </c:pt>
                <c:pt idx="5">
                  <c:v>2025</c:v>
                </c:pt>
                <c:pt idx="6" formatCode="General">
                  <c:v>2026</c:v>
                </c:pt>
                <c:pt idx="7">
                  <c:v>2026</c:v>
                </c:pt>
                <c:pt idx="8">
                  <c:v>2027</c:v>
                </c:pt>
                <c:pt idx="9">
                  <c:v>2028</c:v>
                </c:pt>
                <c:pt idx="10">
                  <c:v>2029</c:v>
                </c:pt>
                <c:pt idx="11">
                  <c:v>2030</c:v>
                </c:pt>
                <c:pt idx="12">
                  <c:v>2031</c:v>
                </c:pt>
                <c:pt idx="13">
                  <c:v>2032</c:v>
                </c:pt>
                <c:pt idx="14">
                  <c:v>2033</c:v>
                </c:pt>
              </c:numCache>
            </c:numRef>
          </c:cat>
          <c:val>
            <c:numRef>
              <c:f>'Assumptions Working'!$C$982:$Q$982</c:f>
              <c:numCache>
                <c:formatCode>0</c:formatCode>
                <c:ptCount val="15"/>
                <c:pt idx="1">
                  <c:v>0.7</c:v>
                </c:pt>
                <c:pt idx="2">
                  <c:v>25.000000000000004</c:v>
                </c:pt>
                <c:pt idx="3">
                  <c:v>14</c:v>
                </c:pt>
                <c:pt idx="4">
                  <c:v>3.1799999999999979</c:v>
                </c:pt>
                <c:pt idx="5">
                  <c:v>18.639999999999979</c:v>
                </c:pt>
                <c:pt idx="7">
                  <c:v>59.160000000000004</c:v>
                </c:pt>
                <c:pt idx="8">
                  <c:v>72.175200000000004</c:v>
                </c:pt>
                <c:pt idx="9">
                  <c:v>90.218999999999994</c:v>
                </c:pt>
                <c:pt idx="10">
                  <c:v>112.77375000000001</c:v>
                </c:pt>
                <c:pt idx="11">
                  <c:v>138.993646875</c:v>
                </c:pt>
                <c:pt idx="12">
                  <c:v>168.87728095312497</c:v>
                </c:pt>
                <c:pt idx="13">
                  <c:v>202.23054394136716</c:v>
                </c:pt>
                <c:pt idx="14">
                  <c:v>238.63204185081324</c:v>
                </c:pt>
              </c:numCache>
            </c:numRef>
          </c:val>
          <c:extLst>
            <c:ext xmlns:c16="http://schemas.microsoft.com/office/drawing/2014/chart" uri="{C3380CC4-5D6E-409C-BE32-E72D297353CC}">
              <c16:uniqueId val="{00000000-E7DC-4D0B-A489-388C8E963844}"/>
            </c:ext>
          </c:extLst>
        </c:ser>
        <c:ser>
          <c:idx val="1"/>
          <c:order val="1"/>
          <c:tx>
            <c:strRef>
              <c:f>'Assumptions Working'!$B$984</c:f>
              <c:strCache>
                <c:ptCount val="1"/>
                <c:pt idx="0">
                  <c:v>Excess Cash</c:v>
                </c:pt>
              </c:strCache>
            </c:strRef>
          </c:tx>
          <c:spPr>
            <a:solidFill>
              <a:schemeClr val="accent2"/>
            </a:solidFill>
            <a:ln>
              <a:noFill/>
            </a:ln>
            <a:effectLst/>
            <a:sp3d/>
          </c:spPr>
          <c:invertIfNegative val="0"/>
          <c:cat>
            <c:numRef>
              <c:f>'Assumptions Working'!$C$971:$Q$971</c:f>
              <c:numCache>
                <c:formatCode>"FY"###0</c:formatCode>
                <c:ptCount val="15"/>
                <c:pt idx="1">
                  <c:v>2021</c:v>
                </c:pt>
                <c:pt idx="2">
                  <c:v>2022</c:v>
                </c:pt>
                <c:pt idx="3">
                  <c:v>2023</c:v>
                </c:pt>
                <c:pt idx="4">
                  <c:v>2024</c:v>
                </c:pt>
                <c:pt idx="5">
                  <c:v>2025</c:v>
                </c:pt>
                <c:pt idx="6" formatCode="General">
                  <c:v>2026</c:v>
                </c:pt>
                <c:pt idx="7">
                  <c:v>2026</c:v>
                </c:pt>
                <c:pt idx="8">
                  <c:v>2027</c:v>
                </c:pt>
                <c:pt idx="9">
                  <c:v>2028</c:v>
                </c:pt>
                <c:pt idx="10">
                  <c:v>2029</c:v>
                </c:pt>
                <c:pt idx="11">
                  <c:v>2030</c:v>
                </c:pt>
                <c:pt idx="12">
                  <c:v>2031</c:v>
                </c:pt>
                <c:pt idx="13">
                  <c:v>2032</c:v>
                </c:pt>
                <c:pt idx="14">
                  <c:v>2033</c:v>
                </c:pt>
              </c:numCache>
            </c:numRef>
          </c:cat>
          <c:val>
            <c:numRef>
              <c:f>'Assumptions Working'!$C$984:$Q$984</c:f>
              <c:numCache>
                <c:formatCode>"₹"\ #,##0;\("₹"\ #,##0\);\-</c:formatCode>
                <c:ptCount val="15"/>
                <c:pt idx="1">
                  <c:v>0</c:v>
                </c:pt>
                <c:pt idx="2">
                  <c:v>0</c:v>
                </c:pt>
                <c:pt idx="3">
                  <c:v>0</c:v>
                </c:pt>
                <c:pt idx="4">
                  <c:v>0</c:v>
                </c:pt>
                <c:pt idx="5">
                  <c:v>0</c:v>
                </c:pt>
                <c:pt idx="6">
                  <c:v>0</c:v>
                </c:pt>
                <c:pt idx="7" formatCode="0">
                  <c:v>88.863692171920064</c:v>
                </c:pt>
                <c:pt idx="8" formatCode="0">
                  <c:v>85.2754502836125</c:v>
                </c:pt>
                <c:pt idx="9" formatCode="0">
                  <c:v>30.049368021608586</c:v>
                </c:pt>
                <c:pt idx="10" formatCode="0">
                  <c:v>-9.7888158600857764</c:v>
                </c:pt>
                <c:pt idx="11" formatCode="0">
                  <c:v>-12.880391180577391</c:v>
                </c:pt>
                <c:pt idx="12" formatCode="0">
                  <c:v>-5.3261388735805326</c:v>
                </c:pt>
                <c:pt idx="13" formatCode="0">
                  <c:v>70.615334581892967</c:v>
                </c:pt>
                <c:pt idx="14" formatCode="0">
                  <c:v>88.576988200242141</c:v>
                </c:pt>
              </c:numCache>
            </c:numRef>
          </c:val>
          <c:extLst>
            <c:ext xmlns:c16="http://schemas.microsoft.com/office/drawing/2014/chart" uri="{C3380CC4-5D6E-409C-BE32-E72D297353CC}">
              <c16:uniqueId val="{00000001-E7DC-4D0B-A489-388C8E963844}"/>
            </c:ext>
          </c:extLst>
        </c:ser>
        <c:dLbls>
          <c:showLegendKey val="0"/>
          <c:showVal val="0"/>
          <c:showCatName val="0"/>
          <c:showSerName val="0"/>
          <c:showPercent val="0"/>
          <c:showBubbleSize val="0"/>
        </c:dLbls>
        <c:gapWidth val="150"/>
        <c:shape val="box"/>
        <c:axId val="14037695"/>
        <c:axId val="13976255"/>
        <c:axId val="0"/>
      </c:bar3DChart>
      <c:catAx>
        <c:axId val="14037695"/>
        <c:scaling>
          <c:orientation val="minMax"/>
        </c:scaling>
        <c:delete val="0"/>
        <c:axPos val="b"/>
        <c:numFmt formatCode="&quot;FY&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6255"/>
        <c:crosses val="autoZero"/>
        <c:auto val="1"/>
        <c:lblAlgn val="ctr"/>
        <c:lblOffset val="100"/>
        <c:noMultiLvlLbl val="0"/>
      </c:catAx>
      <c:valAx>
        <c:axId val="13976255"/>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76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rgbClr val="002060"/>
                </a:solidFill>
                <a:latin typeface="+mn-lt"/>
                <a:ea typeface="+mn-ea"/>
                <a:cs typeface="+mn-cs"/>
              </a:defRPr>
            </a:pPr>
            <a:r>
              <a:rPr lang="en-US" sz="1400" b="0" i="0" u="none" strike="noStrike" baseline="0">
                <a:solidFill>
                  <a:srgbClr val="002060"/>
                </a:solidFill>
                <a:latin typeface="Calibri" panose="020F0502020204030204"/>
              </a:rPr>
              <a:t>Product Wise Breakup</a:t>
            </a:r>
          </a:p>
        </c:rich>
      </c:tx>
      <c:overlay val="0"/>
      <c:spPr>
        <a:noFill/>
        <a:ln>
          <a:noFill/>
        </a:ln>
        <a:effectLst/>
      </c:spPr>
      <c:txPr>
        <a:bodyPr rot="0" spcFirstLastPara="1" vertOverflow="ellipsis" vert="horz" wrap="square" anchor="ctr" anchorCtr="1"/>
        <a:lstStyle/>
        <a:p>
          <a:pPr>
            <a:defRPr sz="1400" b="0" i="0" u="none" strike="noStrike" baseline="0">
              <a:solidFill>
                <a:srgbClr val="002060"/>
              </a:solidFill>
              <a:latin typeface="+mn-lt"/>
              <a:ea typeface="+mn-ea"/>
              <a:cs typeface="+mn-cs"/>
            </a:defRPr>
          </a:pPr>
          <a:endParaRPr lang="en-US"/>
        </a:p>
      </c:txPr>
    </c:title>
    <c:autoTitleDeleted val="0"/>
    <c:plotArea>
      <c:layout>
        <c:manualLayout>
          <c:layoutTarget val="inner"/>
          <c:xMode val="edge"/>
          <c:yMode val="edge"/>
          <c:x val="0.34062958258277654"/>
          <c:y val="0.22283808577325898"/>
          <c:w val="0.31874083483444693"/>
          <c:h val="0.56022131335524805"/>
        </c:manualLayout>
      </c:layout>
      <c:doughnutChart>
        <c:varyColors val="1"/>
        <c:ser>
          <c:idx val="1"/>
          <c:order val="1"/>
          <c:spPr>
            <a:solidFill>
              <a:srgbClr val="EE3048"/>
            </a:solidFill>
          </c:spPr>
          <c:dPt>
            <c:idx val="0"/>
            <c:bubble3D val="0"/>
            <c:spPr>
              <a:solidFill>
                <a:srgbClr val="913493"/>
              </a:solidFill>
              <a:ln w="19050">
                <a:solidFill>
                  <a:schemeClr val="lt1"/>
                </a:solidFill>
              </a:ln>
              <a:effectLst/>
            </c:spPr>
            <c:extLst>
              <c:ext xmlns:c16="http://schemas.microsoft.com/office/drawing/2014/chart" uri="{C3380CC4-5D6E-409C-BE32-E72D297353CC}">
                <c16:uniqueId val="{00000004-4220-49F8-92E2-A9D3C22AF52D}"/>
              </c:ext>
            </c:extLst>
          </c:dPt>
          <c:dPt>
            <c:idx val="1"/>
            <c:bubble3D val="0"/>
            <c:explosion val="4"/>
            <c:spPr>
              <a:solidFill>
                <a:srgbClr val="EE3048">
                  <a:alpha val="94000"/>
                </a:srgbClr>
              </a:solidFill>
              <a:ln w="19050">
                <a:solidFill>
                  <a:schemeClr val="lt1"/>
                </a:solidFill>
              </a:ln>
              <a:effectLst/>
            </c:spPr>
            <c:extLst>
              <c:ext xmlns:c16="http://schemas.microsoft.com/office/drawing/2014/chart" uri="{C3380CC4-5D6E-409C-BE32-E72D297353CC}">
                <c16:uniqueId val="{00000003-4220-49F8-92E2-A9D3C22AF52D}"/>
              </c:ext>
            </c:extLst>
          </c:dPt>
          <c:dLbls>
            <c:dLbl>
              <c:idx val="0"/>
              <c:layout>
                <c:manualLayout>
                  <c:x val="0.10908192354178632"/>
                  <c:y val="9.2592592592592587E-3"/>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220-49F8-92E2-A9D3C22AF52D}"/>
                </c:ext>
              </c:extLst>
            </c:dLbl>
            <c:dLbl>
              <c:idx val="1"/>
              <c:layout>
                <c:manualLayout>
                  <c:x val="-0.10069100634626425"/>
                  <c:y val="-4.6296296296296719E-3"/>
                </c:manualLayout>
              </c:layout>
              <c:spPr>
                <a:noFill/>
                <a:ln>
                  <a:noFill/>
                </a:ln>
                <a:effectLst/>
              </c:spPr>
              <c:txPr>
                <a:bodyPr rot="0" spcFirstLastPara="1" vertOverflow="ellipsis" vert="horz" wrap="square" lIns="38100" tIns="19050" rIns="38100" bIns="19050" anchor="t" anchorCtr="0">
                  <a:spAutoFit/>
                </a:bodyPr>
                <a:lstStyle/>
                <a:p>
                  <a:pPr>
                    <a:defRPr sz="900" b="0" i="0" u="none" strike="noStrike"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220-49F8-92E2-A9D3C22AF52D}"/>
                </c:ext>
              </c:extLst>
            </c:dLbl>
            <c:spPr>
              <a:noFill/>
              <a:ln>
                <a:noFill/>
              </a:ln>
              <a:effectLst/>
            </c:spPr>
            <c:txPr>
              <a:bodyPr rot="0" spcFirstLastPara="1" vertOverflow="ellipsis" vert="horz" wrap="square" lIns="38100" tIns="19050" rIns="38100" bIns="19050" anchor="t" anchorCtr="0">
                <a:spAutoFit/>
              </a:bodyPr>
              <a:lstStyle/>
              <a:p>
                <a:pPr>
                  <a:defRPr sz="900" b="0" i="0" u="none" strike="noStrike"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Report!$B$6:$B$7</c:f>
              <c:strCache>
                <c:ptCount val="2"/>
                <c:pt idx="0">
                  <c:v>Derivatives &amp; Specialty Products</c:v>
                </c:pt>
                <c:pt idx="1">
                  <c:v>Basic Chlor-Alkali (Commodity chemicals)</c:v>
                </c:pt>
              </c:strCache>
              <c:extLst xmlns:c15="http://schemas.microsoft.com/office/drawing/2012/chart"/>
            </c:strRef>
          </c:cat>
          <c:val>
            <c:numRef>
              <c:f>Report!$C$6:$C$7</c:f>
              <c:numCache>
                <c:formatCode>0%</c:formatCode>
                <c:ptCount val="2"/>
                <c:pt idx="0">
                  <c:v>0.75</c:v>
                </c:pt>
                <c:pt idx="1">
                  <c:v>0.25</c:v>
                </c:pt>
              </c:numCache>
            </c:numRef>
          </c:val>
          <c:extLst>
            <c:ext xmlns:c16="http://schemas.microsoft.com/office/drawing/2014/chart" uri="{C3380CC4-5D6E-409C-BE32-E72D297353CC}">
              <c16:uniqueId val="{00000001-4220-49F8-92E2-A9D3C22AF52D}"/>
            </c:ext>
          </c:extLst>
        </c:ser>
        <c:dLbls>
          <c:showLegendKey val="0"/>
          <c:showVal val="1"/>
          <c:showCatName val="0"/>
          <c:showSerName val="0"/>
          <c:showPercent val="0"/>
          <c:showBubbleSize val="0"/>
          <c:showLeaderLines val="1"/>
        </c:dLbls>
        <c:firstSliceAng val="0"/>
        <c:holeSize val="62"/>
        <c:extLst>
          <c:ext xmlns:c15="http://schemas.microsoft.com/office/drawing/2012/chart" uri="{02D57815-91ED-43cb-92C2-25804820EDAC}">
            <c15:filteredPieSeries>
              <c15: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5-29E7-4C14-90B5-EE548F10D3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29E7-4C14-90B5-EE548F10D33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lt1"/>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uri="{CE6537A1-D6FC-4f65-9D91-7224C49458BB}"/>
                  </c:extLst>
                </c:dLbls>
                <c:cat>
                  <c:strRef>
                    <c:extLst>
                      <c:ext uri="{02D57815-91ED-43cb-92C2-25804820EDAC}">
                        <c15:formulaRef>
                          <c15:sqref>Report!$B$6:$B$7</c15:sqref>
                        </c15:formulaRef>
                      </c:ext>
                    </c:extLst>
                    <c:strCache>
                      <c:ptCount val="2"/>
                      <c:pt idx="0">
                        <c:v>Derivatives &amp; Specialty Products</c:v>
                      </c:pt>
                      <c:pt idx="1">
                        <c:v>Basic Chlor-Alkali (Commodity chemicals)</c:v>
                      </c:pt>
                    </c:strCache>
                  </c:strRef>
                </c:cat>
                <c:val>
                  <c:numRef>
                    <c:extLst>
                      <c:ext uri="{02D57815-91ED-43cb-92C2-25804820EDAC}">
                        <c15:formulaRef>
                          <c15:sqref>Report!$C$6:$C$7</c15:sqref>
                        </c15:formulaRef>
                      </c:ext>
                    </c:extLst>
                    <c:numCache>
                      <c:formatCode>0%</c:formatCode>
                      <c:ptCount val="2"/>
                      <c:pt idx="0">
                        <c:v>0.75</c:v>
                      </c:pt>
                      <c:pt idx="1">
                        <c:v>0.25</c:v>
                      </c:pt>
                    </c:numCache>
                  </c:numRef>
                </c:val>
                <c:extLst>
                  <c:ext xmlns:c16="http://schemas.microsoft.com/office/drawing/2014/chart" uri="{C3380CC4-5D6E-409C-BE32-E72D297353CC}">
                    <c16:uniqueId val="{00000000-4220-49F8-92E2-A9D3C22AF52D}"/>
                  </c:ext>
                </c:extLst>
              </c15:ser>
            </c15:filteredPieSeries>
          </c:ext>
        </c:extLst>
      </c:doughnutChart>
      <c:spPr>
        <a:noFill/>
        <a:ln>
          <a:noFill/>
        </a:ln>
        <a:effectLst/>
      </c:spPr>
    </c:plotArea>
    <c:legend>
      <c:legendPos val="b"/>
      <c:legendEntry>
        <c:idx val="1"/>
        <c:txPr>
          <a:bodyPr rot="0" spcFirstLastPara="1" vertOverflow="ellipsis" vert="horz" wrap="square" anchor="ctr" anchorCtr="1"/>
          <a:lstStyle/>
          <a:p>
            <a:pPr rtl="0">
              <a:defRPr sz="900" b="0" i="0" u="none" strike="noStrike" baseline="0">
                <a:solidFill>
                  <a:schemeClr val="tx1">
                    <a:alpha val="96000"/>
                  </a:schemeClr>
                </a:solidFill>
                <a:latin typeface="+mn-lt"/>
                <a:ea typeface="+mn-ea"/>
                <a:cs typeface="+mn-cs"/>
              </a:defRPr>
            </a:pPr>
            <a:endParaRPr lang="en-US"/>
          </a:p>
        </c:txPr>
      </c:legendEntry>
      <c:layout>
        <c:manualLayout>
          <c:xMode val="edge"/>
          <c:yMode val="edge"/>
          <c:x val="4.9999955953190574E-2"/>
          <c:y val="0.82928186060075804"/>
          <c:w val="0.89999986785957176"/>
          <c:h val="0.14294036162146395"/>
        </c:manualLayout>
      </c:layout>
      <c:overlay val="0"/>
      <c:spPr>
        <a:solidFill>
          <a:schemeClr val="bg1"/>
        </a:solidFill>
        <a:ln>
          <a:noFill/>
        </a:ln>
        <a:effectLst/>
      </c:spPr>
      <c:txPr>
        <a:bodyPr rot="0" spcFirstLastPara="1" vertOverflow="ellipsis" vert="horz" wrap="square" anchor="ctr" anchorCtr="1"/>
        <a:lstStyle/>
        <a:p>
          <a:pPr rtl="0">
            <a:defRPr sz="900" b="0" i="0" u="none" strike="noStrike"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9101466236320884E-2"/>
          <c:y val="5.8747324191825233E-2"/>
          <c:w val="0.8945541014921522"/>
          <c:h val="0.73351492018102538"/>
        </c:manualLayout>
      </c:layout>
      <c:lineChart>
        <c:grouping val="standard"/>
        <c:varyColors val="0"/>
        <c:ser>
          <c:idx val="0"/>
          <c:order val="0"/>
          <c:tx>
            <c:strRef>
              <c:f>Report!$B$14</c:f>
              <c:strCache>
                <c:ptCount val="1"/>
                <c:pt idx="0">
                  <c:v>Price</c:v>
                </c:pt>
              </c:strCache>
            </c:strRef>
          </c:tx>
          <c:spPr>
            <a:ln w="28575" cap="rnd">
              <a:solidFill>
                <a:schemeClr val="accent1"/>
              </a:solidFill>
              <a:round/>
            </a:ln>
            <a:effectLst/>
          </c:spPr>
          <c:marker>
            <c:symbol val="none"/>
          </c:marker>
          <c:cat>
            <c:numRef>
              <c:f>Report!$A$15:$A$262</c:f>
              <c:numCache>
                <c:formatCode>d\-mmm\-yy</c:formatCode>
                <c:ptCount val="248"/>
                <c:pt idx="0">
                  <c:v>45707</c:v>
                </c:pt>
                <c:pt idx="1">
                  <c:v>45708</c:v>
                </c:pt>
                <c:pt idx="2">
                  <c:v>45709</c:v>
                </c:pt>
                <c:pt idx="3">
                  <c:v>45712</c:v>
                </c:pt>
                <c:pt idx="4">
                  <c:v>45713</c:v>
                </c:pt>
                <c:pt idx="5">
                  <c:v>45715</c:v>
                </c:pt>
                <c:pt idx="6">
                  <c:v>45716</c:v>
                </c:pt>
                <c:pt idx="7">
                  <c:v>45719</c:v>
                </c:pt>
                <c:pt idx="8">
                  <c:v>45720</c:v>
                </c:pt>
                <c:pt idx="9">
                  <c:v>45721</c:v>
                </c:pt>
                <c:pt idx="10">
                  <c:v>45722</c:v>
                </c:pt>
                <c:pt idx="11">
                  <c:v>45723</c:v>
                </c:pt>
                <c:pt idx="12">
                  <c:v>45726</c:v>
                </c:pt>
                <c:pt idx="13">
                  <c:v>45727</c:v>
                </c:pt>
                <c:pt idx="14">
                  <c:v>45728</c:v>
                </c:pt>
                <c:pt idx="15">
                  <c:v>45729</c:v>
                </c:pt>
                <c:pt idx="16">
                  <c:v>45733</c:v>
                </c:pt>
                <c:pt idx="17">
                  <c:v>45734</c:v>
                </c:pt>
                <c:pt idx="18">
                  <c:v>45735</c:v>
                </c:pt>
                <c:pt idx="19">
                  <c:v>45736</c:v>
                </c:pt>
                <c:pt idx="20">
                  <c:v>45737</c:v>
                </c:pt>
                <c:pt idx="21">
                  <c:v>45740</c:v>
                </c:pt>
                <c:pt idx="22">
                  <c:v>45741</c:v>
                </c:pt>
                <c:pt idx="23">
                  <c:v>45742</c:v>
                </c:pt>
                <c:pt idx="24">
                  <c:v>45743</c:v>
                </c:pt>
                <c:pt idx="25">
                  <c:v>45744</c:v>
                </c:pt>
                <c:pt idx="26">
                  <c:v>45748</c:v>
                </c:pt>
                <c:pt idx="27">
                  <c:v>45749</c:v>
                </c:pt>
                <c:pt idx="28">
                  <c:v>45750</c:v>
                </c:pt>
                <c:pt idx="29">
                  <c:v>45751</c:v>
                </c:pt>
                <c:pt idx="30">
                  <c:v>45754</c:v>
                </c:pt>
                <c:pt idx="31">
                  <c:v>45755</c:v>
                </c:pt>
                <c:pt idx="32">
                  <c:v>45756</c:v>
                </c:pt>
                <c:pt idx="33">
                  <c:v>45758</c:v>
                </c:pt>
                <c:pt idx="34">
                  <c:v>45762</c:v>
                </c:pt>
                <c:pt idx="35">
                  <c:v>45763</c:v>
                </c:pt>
                <c:pt idx="36">
                  <c:v>45764</c:v>
                </c:pt>
                <c:pt idx="37">
                  <c:v>45768</c:v>
                </c:pt>
                <c:pt idx="38">
                  <c:v>45769</c:v>
                </c:pt>
                <c:pt idx="39">
                  <c:v>45770</c:v>
                </c:pt>
                <c:pt idx="40">
                  <c:v>45771</c:v>
                </c:pt>
                <c:pt idx="41">
                  <c:v>45772</c:v>
                </c:pt>
                <c:pt idx="42">
                  <c:v>45775</c:v>
                </c:pt>
                <c:pt idx="43">
                  <c:v>45776</c:v>
                </c:pt>
                <c:pt idx="44">
                  <c:v>45777</c:v>
                </c:pt>
                <c:pt idx="45">
                  <c:v>45779</c:v>
                </c:pt>
                <c:pt idx="46">
                  <c:v>45782</c:v>
                </c:pt>
                <c:pt idx="47">
                  <c:v>45783</c:v>
                </c:pt>
                <c:pt idx="48">
                  <c:v>45784</c:v>
                </c:pt>
                <c:pt idx="49">
                  <c:v>45785</c:v>
                </c:pt>
                <c:pt idx="50">
                  <c:v>45786</c:v>
                </c:pt>
                <c:pt idx="51">
                  <c:v>45789</c:v>
                </c:pt>
                <c:pt idx="52">
                  <c:v>45790</c:v>
                </c:pt>
                <c:pt idx="53">
                  <c:v>45791</c:v>
                </c:pt>
                <c:pt idx="54">
                  <c:v>45792</c:v>
                </c:pt>
                <c:pt idx="55">
                  <c:v>45793</c:v>
                </c:pt>
                <c:pt idx="56">
                  <c:v>45796</c:v>
                </c:pt>
                <c:pt idx="57">
                  <c:v>45797</c:v>
                </c:pt>
                <c:pt idx="58">
                  <c:v>45798</c:v>
                </c:pt>
                <c:pt idx="59">
                  <c:v>45799</c:v>
                </c:pt>
                <c:pt idx="60">
                  <c:v>45800</c:v>
                </c:pt>
                <c:pt idx="61">
                  <c:v>45803</c:v>
                </c:pt>
                <c:pt idx="62">
                  <c:v>45804</c:v>
                </c:pt>
                <c:pt idx="63">
                  <c:v>45805</c:v>
                </c:pt>
                <c:pt idx="64">
                  <c:v>45806</c:v>
                </c:pt>
                <c:pt idx="65">
                  <c:v>45807</c:v>
                </c:pt>
                <c:pt idx="66">
                  <c:v>45810</c:v>
                </c:pt>
                <c:pt idx="67">
                  <c:v>45811</c:v>
                </c:pt>
                <c:pt idx="68">
                  <c:v>45812</c:v>
                </c:pt>
                <c:pt idx="69">
                  <c:v>45813</c:v>
                </c:pt>
                <c:pt idx="70">
                  <c:v>45814</c:v>
                </c:pt>
                <c:pt idx="71">
                  <c:v>45817</c:v>
                </c:pt>
                <c:pt idx="72">
                  <c:v>45818</c:v>
                </c:pt>
                <c:pt idx="73">
                  <c:v>45819</c:v>
                </c:pt>
                <c:pt idx="74">
                  <c:v>45820</c:v>
                </c:pt>
                <c:pt idx="75">
                  <c:v>45821</c:v>
                </c:pt>
                <c:pt idx="76">
                  <c:v>45824</c:v>
                </c:pt>
                <c:pt idx="77">
                  <c:v>45825</c:v>
                </c:pt>
                <c:pt idx="78">
                  <c:v>45826</c:v>
                </c:pt>
                <c:pt idx="79">
                  <c:v>45827</c:v>
                </c:pt>
                <c:pt idx="80">
                  <c:v>45828</c:v>
                </c:pt>
                <c:pt idx="81">
                  <c:v>45831</c:v>
                </c:pt>
                <c:pt idx="82">
                  <c:v>45832</c:v>
                </c:pt>
                <c:pt idx="83">
                  <c:v>45833</c:v>
                </c:pt>
                <c:pt idx="84">
                  <c:v>45834</c:v>
                </c:pt>
                <c:pt idx="85">
                  <c:v>45835</c:v>
                </c:pt>
                <c:pt idx="86">
                  <c:v>45838</c:v>
                </c:pt>
                <c:pt idx="87">
                  <c:v>45839</c:v>
                </c:pt>
                <c:pt idx="88">
                  <c:v>45840</c:v>
                </c:pt>
                <c:pt idx="89">
                  <c:v>45841</c:v>
                </c:pt>
                <c:pt idx="90">
                  <c:v>45842</c:v>
                </c:pt>
                <c:pt idx="91">
                  <c:v>45845</c:v>
                </c:pt>
                <c:pt idx="92">
                  <c:v>45846</c:v>
                </c:pt>
                <c:pt idx="93">
                  <c:v>45847</c:v>
                </c:pt>
                <c:pt idx="94">
                  <c:v>45848</c:v>
                </c:pt>
                <c:pt idx="95">
                  <c:v>45849</c:v>
                </c:pt>
                <c:pt idx="96">
                  <c:v>45852</c:v>
                </c:pt>
                <c:pt idx="97">
                  <c:v>45853</c:v>
                </c:pt>
                <c:pt idx="98">
                  <c:v>45854</c:v>
                </c:pt>
                <c:pt idx="99">
                  <c:v>45855</c:v>
                </c:pt>
                <c:pt idx="100">
                  <c:v>45856</c:v>
                </c:pt>
                <c:pt idx="101">
                  <c:v>45859</c:v>
                </c:pt>
                <c:pt idx="102">
                  <c:v>45860</c:v>
                </c:pt>
                <c:pt idx="103">
                  <c:v>45861</c:v>
                </c:pt>
                <c:pt idx="104">
                  <c:v>45862</c:v>
                </c:pt>
                <c:pt idx="105">
                  <c:v>45863</c:v>
                </c:pt>
                <c:pt idx="106">
                  <c:v>45866</c:v>
                </c:pt>
                <c:pt idx="107">
                  <c:v>45867</c:v>
                </c:pt>
                <c:pt idx="108">
                  <c:v>45868</c:v>
                </c:pt>
                <c:pt idx="109">
                  <c:v>45869</c:v>
                </c:pt>
                <c:pt idx="110">
                  <c:v>45870</c:v>
                </c:pt>
                <c:pt idx="111">
                  <c:v>45873</c:v>
                </c:pt>
                <c:pt idx="112">
                  <c:v>45874</c:v>
                </c:pt>
                <c:pt idx="113">
                  <c:v>45875</c:v>
                </c:pt>
                <c:pt idx="114">
                  <c:v>45876</c:v>
                </c:pt>
                <c:pt idx="115">
                  <c:v>45877</c:v>
                </c:pt>
                <c:pt idx="116">
                  <c:v>45880</c:v>
                </c:pt>
                <c:pt idx="117">
                  <c:v>45881</c:v>
                </c:pt>
                <c:pt idx="118">
                  <c:v>45882</c:v>
                </c:pt>
                <c:pt idx="119">
                  <c:v>45883</c:v>
                </c:pt>
                <c:pt idx="120">
                  <c:v>45887</c:v>
                </c:pt>
                <c:pt idx="121">
                  <c:v>45888</c:v>
                </c:pt>
                <c:pt idx="122">
                  <c:v>45889</c:v>
                </c:pt>
                <c:pt idx="123">
                  <c:v>45890</c:v>
                </c:pt>
                <c:pt idx="124">
                  <c:v>45891</c:v>
                </c:pt>
                <c:pt idx="125">
                  <c:v>45894</c:v>
                </c:pt>
                <c:pt idx="126">
                  <c:v>45895</c:v>
                </c:pt>
                <c:pt idx="127">
                  <c:v>45897</c:v>
                </c:pt>
                <c:pt idx="128">
                  <c:v>45898</c:v>
                </c:pt>
                <c:pt idx="129">
                  <c:v>45901</c:v>
                </c:pt>
                <c:pt idx="130">
                  <c:v>45902</c:v>
                </c:pt>
                <c:pt idx="131">
                  <c:v>45903</c:v>
                </c:pt>
                <c:pt idx="132">
                  <c:v>45904</c:v>
                </c:pt>
                <c:pt idx="133">
                  <c:v>45905</c:v>
                </c:pt>
                <c:pt idx="134">
                  <c:v>45908</c:v>
                </c:pt>
                <c:pt idx="135">
                  <c:v>45909</c:v>
                </c:pt>
                <c:pt idx="136">
                  <c:v>45910</c:v>
                </c:pt>
                <c:pt idx="137">
                  <c:v>45911</c:v>
                </c:pt>
                <c:pt idx="138">
                  <c:v>45912</c:v>
                </c:pt>
                <c:pt idx="139">
                  <c:v>45915</c:v>
                </c:pt>
                <c:pt idx="140">
                  <c:v>45916</c:v>
                </c:pt>
                <c:pt idx="141">
                  <c:v>45917</c:v>
                </c:pt>
                <c:pt idx="142">
                  <c:v>45918</c:v>
                </c:pt>
                <c:pt idx="143">
                  <c:v>45919</c:v>
                </c:pt>
                <c:pt idx="144">
                  <c:v>45922</c:v>
                </c:pt>
                <c:pt idx="145">
                  <c:v>45923</c:v>
                </c:pt>
                <c:pt idx="146">
                  <c:v>45924</c:v>
                </c:pt>
                <c:pt idx="147">
                  <c:v>45925</c:v>
                </c:pt>
                <c:pt idx="148">
                  <c:v>45926</c:v>
                </c:pt>
                <c:pt idx="149">
                  <c:v>45929</c:v>
                </c:pt>
                <c:pt idx="150">
                  <c:v>45930</c:v>
                </c:pt>
                <c:pt idx="151">
                  <c:v>45931</c:v>
                </c:pt>
                <c:pt idx="152">
                  <c:v>45933</c:v>
                </c:pt>
                <c:pt idx="153">
                  <c:v>45936</c:v>
                </c:pt>
                <c:pt idx="154">
                  <c:v>45937</c:v>
                </c:pt>
                <c:pt idx="155">
                  <c:v>45938</c:v>
                </c:pt>
                <c:pt idx="156">
                  <c:v>45939</c:v>
                </c:pt>
                <c:pt idx="157">
                  <c:v>45940</c:v>
                </c:pt>
                <c:pt idx="158">
                  <c:v>45943</c:v>
                </c:pt>
                <c:pt idx="159">
                  <c:v>45944</c:v>
                </c:pt>
                <c:pt idx="160">
                  <c:v>45945</c:v>
                </c:pt>
                <c:pt idx="161">
                  <c:v>45946</c:v>
                </c:pt>
                <c:pt idx="162">
                  <c:v>45947</c:v>
                </c:pt>
                <c:pt idx="163">
                  <c:v>45950</c:v>
                </c:pt>
                <c:pt idx="164">
                  <c:v>45951</c:v>
                </c:pt>
                <c:pt idx="165">
                  <c:v>45953</c:v>
                </c:pt>
                <c:pt idx="166">
                  <c:v>45954</c:v>
                </c:pt>
                <c:pt idx="167">
                  <c:v>45957</c:v>
                </c:pt>
                <c:pt idx="168">
                  <c:v>45958</c:v>
                </c:pt>
                <c:pt idx="169">
                  <c:v>45959</c:v>
                </c:pt>
                <c:pt idx="170">
                  <c:v>45960</c:v>
                </c:pt>
                <c:pt idx="171">
                  <c:v>45961</c:v>
                </c:pt>
                <c:pt idx="172">
                  <c:v>45964</c:v>
                </c:pt>
                <c:pt idx="173">
                  <c:v>45965</c:v>
                </c:pt>
                <c:pt idx="174">
                  <c:v>45967</c:v>
                </c:pt>
                <c:pt idx="175">
                  <c:v>45968</c:v>
                </c:pt>
                <c:pt idx="176">
                  <c:v>45971</c:v>
                </c:pt>
                <c:pt idx="177">
                  <c:v>45972</c:v>
                </c:pt>
                <c:pt idx="178">
                  <c:v>45973</c:v>
                </c:pt>
                <c:pt idx="179">
                  <c:v>45974</c:v>
                </c:pt>
                <c:pt idx="180">
                  <c:v>45975</c:v>
                </c:pt>
                <c:pt idx="181">
                  <c:v>45978</c:v>
                </c:pt>
                <c:pt idx="182">
                  <c:v>45979</c:v>
                </c:pt>
                <c:pt idx="183">
                  <c:v>45980</c:v>
                </c:pt>
                <c:pt idx="184">
                  <c:v>45981</c:v>
                </c:pt>
                <c:pt idx="185">
                  <c:v>45982</c:v>
                </c:pt>
                <c:pt idx="186">
                  <c:v>45985</c:v>
                </c:pt>
                <c:pt idx="187">
                  <c:v>45986</c:v>
                </c:pt>
                <c:pt idx="188">
                  <c:v>45987</c:v>
                </c:pt>
                <c:pt idx="189">
                  <c:v>45988</c:v>
                </c:pt>
                <c:pt idx="190">
                  <c:v>45989</c:v>
                </c:pt>
                <c:pt idx="191">
                  <c:v>45992</c:v>
                </c:pt>
                <c:pt idx="192">
                  <c:v>45993</c:v>
                </c:pt>
                <c:pt idx="193">
                  <c:v>45994</c:v>
                </c:pt>
                <c:pt idx="194">
                  <c:v>45995</c:v>
                </c:pt>
                <c:pt idx="195">
                  <c:v>45996</c:v>
                </c:pt>
                <c:pt idx="196">
                  <c:v>45999</c:v>
                </c:pt>
                <c:pt idx="197">
                  <c:v>46000</c:v>
                </c:pt>
                <c:pt idx="198">
                  <c:v>46001</c:v>
                </c:pt>
                <c:pt idx="199">
                  <c:v>46002</c:v>
                </c:pt>
                <c:pt idx="200">
                  <c:v>46003</c:v>
                </c:pt>
                <c:pt idx="201">
                  <c:v>46006</c:v>
                </c:pt>
                <c:pt idx="202">
                  <c:v>46007</c:v>
                </c:pt>
                <c:pt idx="203">
                  <c:v>46008</c:v>
                </c:pt>
                <c:pt idx="204">
                  <c:v>46009</c:v>
                </c:pt>
                <c:pt idx="205">
                  <c:v>46010</c:v>
                </c:pt>
                <c:pt idx="206">
                  <c:v>46013</c:v>
                </c:pt>
                <c:pt idx="207">
                  <c:v>46014</c:v>
                </c:pt>
                <c:pt idx="208">
                  <c:v>46015</c:v>
                </c:pt>
                <c:pt idx="209">
                  <c:v>46017</c:v>
                </c:pt>
                <c:pt idx="210">
                  <c:v>46020</c:v>
                </c:pt>
                <c:pt idx="211">
                  <c:v>46021</c:v>
                </c:pt>
                <c:pt idx="212">
                  <c:v>46022</c:v>
                </c:pt>
                <c:pt idx="213">
                  <c:v>46023</c:v>
                </c:pt>
                <c:pt idx="214">
                  <c:v>46024</c:v>
                </c:pt>
                <c:pt idx="215">
                  <c:v>46027</c:v>
                </c:pt>
                <c:pt idx="216">
                  <c:v>46028</c:v>
                </c:pt>
                <c:pt idx="217">
                  <c:v>46029</c:v>
                </c:pt>
                <c:pt idx="218">
                  <c:v>46030</c:v>
                </c:pt>
                <c:pt idx="219">
                  <c:v>46031</c:v>
                </c:pt>
                <c:pt idx="220">
                  <c:v>46034</c:v>
                </c:pt>
                <c:pt idx="221">
                  <c:v>46035</c:v>
                </c:pt>
                <c:pt idx="222">
                  <c:v>46036</c:v>
                </c:pt>
                <c:pt idx="223">
                  <c:v>46038</c:v>
                </c:pt>
                <c:pt idx="224">
                  <c:v>46041</c:v>
                </c:pt>
                <c:pt idx="225">
                  <c:v>46042</c:v>
                </c:pt>
                <c:pt idx="226">
                  <c:v>46043</c:v>
                </c:pt>
                <c:pt idx="227">
                  <c:v>46044</c:v>
                </c:pt>
                <c:pt idx="228">
                  <c:v>46045</c:v>
                </c:pt>
                <c:pt idx="229">
                  <c:v>46049</c:v>
                </c:pt>
                <c:pt idx="230">
                  <c:v>46050</c:v>
                </c:pt>
                <c:pt idx="231">
                  <c:v>46051</c:v>
                </c:pt>
                <c:pt idx="232">
                  <c:v>46052</c:v>
                </c:pt>
                <c:pt idx="233">
                  <c:v>46054</c:v>
                </c:pt>
                <c:pt idx="234">
                  <c:v>46055</c:v>
                </c:pt>
                <c:pt idx="235">
                  <c:v>46056</c:v>
                </c:pt>
                <c:pt idx="236">
                  <c:v>46057</c:v>
                </c:pt>
                <c:pt idx="237">
                  <c:v>46058</c:v>
                </c:pt>
                <c:pt idx="238">
                  <c:v>46059</c:v>
                </c:pt>
                <c:pt idx="239">
                  <c:v>46062</c:v>
                </c:pt>
                <c:pt idx="240">
                  <c:v>46063</c:v>
                </c:pt>
                <c:pt idx="241">
                  <c:v>46064</c:v>
                </c:pt>
                <c:pt idx="242">
                  <c:v>46065</c:v>
                </c:pt>
                <c:pt idx="243">
                  <c:v>46066</c:v>
                </c:pt>
                <c:pt idx="244">
                  <c:v>46069</c:v>
                </c:pt>
                <c:pt idx="245">
                  <c:v>46070</c:v>
                </c:pt>
                <c:pt idx="246">
                  <c:v>46071</c:v>
                </c:pt>
                <c:pt idx="247">
                  <c:v>46072</c:v>
                </c:pt>
              </c:numCache>
            </c:numRef>
          </c:cat>
          <c:val>
            <c:numRef>
              <c:f>Report!$B$15:$B$262</c:f>
              <c:numCache>
                <c:formatCode>#,##0</c:formatCode>
                <c:ptCount val="248"/>
                <c:pt idx="0">
                  <c:v>1772.8</c:v>
                </c:pt>
                <c:pt idx="1">
                  <c:v>1794.6</c:v>
                </c:pt>
                <c:pt idx="2">
                  <c:v>1738.1</c:v>
                </c:pt>
                <c:pt idx="3">
                  <c:v>1709.1</c:v>
                </c:pt>
                <c:pt idx="4">
                  <c:v>1676.35</c:v>
                </c:pt>
                <c:pt idx="5">
                  <c:v>1630.1</c:v>
                </c:pt>
                <c:pt idx="6">
                  <c:v>1613.35</c:v>
                </c:pt>
                <c:pt idx="7">
                  <c:v>1555.25</c:v>
                </c:pt>
                <c:pt idx="8">
                  <c:v>1711</c:v>
                </c:pt>
                <c:pt idx="9">
                  <c:v>1730</c:v>
                </c:pt>
                <c:pt idx="10">
                  <c:v>1763.6</c:v>
                </c:pt>
                <c:pt idx="11">
                  <c:v>1866.9</c:v>
                </c:pt>
                <c:pt idx="12">
                  <c:v>1775</c:v>
                </c:pt>
                <c:pt idx="13">
                  <c:v>1807.5</c:v>
                </c:pt>
                <c:pt idx="14">
                  <c:v>1792.6</c:v>
                </c:pt>
                <c:pt idx="15">
                  <c:v>1813.75</c:v>
                </c:pt>
                <c:pt idx="16">
                  <c:v>1775.8</c:v>
                </c:pt>
                <c:pt idx="17">
                  <c:v>1825.05</c:v>
                </c:pt>
                <c:pt idx="18">
                  <c:v>1884.05</c:v>
                </c:pt>
                <c:pt idx="19">
                  <c:v>1905.3</c:v>
                </c:pt>
                <c:pt idx="20">
                  <c:v>1923.95</c:v>
                </c:pt>
                <c:pt idx="21">
                  <c:v>1980.2</c:v>
                </c:pt>
                <c:pt idx="22">
                  <c:v>1891.3</c:v>
                </c:pt>
                <c:pt idx="23">
                  <c:v>1892.6</c:v>
                </c:pt>
                <c:pt idx="24">
                  <c:v>1910.35</c:v>
                </c:pt>
                <c:pt idx="25">
                  <c:v>1904.1</c:v>
                </c:pt>
                <c:pt idx="26">
                  <c:v>1897.9</c:v>
                </c:pt>
                <c:pt idx="27">
                  <c:v>1946.9</c:v>
                </c:pt>
                <c:pt idx="28">
                  <c:v>1942.8</c:v>
                </c:pt>
                <c:pt idx="29">
                  <c:v>1765</c:v>
                </c:pt>
                <c:pt idx="30">
                  <c:v>1671.75</c:v>
                </c:pt>
                <c:pt idx="31">
                  <c:v>1717</c:v>
                </c:pt>
                <c:pt idx="32">
                  <c:v>1679.15</c:v>
                </c:pt>
                <c:pt idx="33">
                  <c:v>1784.65</c:v>
                </c:pt>
                <c:pt idx="34">
                  <c:v>1835.7</c:v>
                </c:pt>
                <c:pt idx="35">
                  <c:v>1876.9</c:v>
                </c:pt>
                <c:pt idx="36">
                  <c:v>1878.3</c:v>
                </c:pt>
                <c:pt idx="37">
                  <c:v>1897.4</c:v>
                </c:pt>
                <c:pt idx="38">
                  <c:v>1950.3</c:v>
                </c:pt>
                <c:pt idx="39">
                  <c:v>1889.5</c:v>
                </c:pt>
                <c:pt idx="40">
                  <c:v>1913.2</c:v>
                </c:pt>
                <c:pt idx="41">
                  <c:v>1839.2</c:v>
                </c:pt>
                <c:pt idx="42">
                  <c:v>1855</c:v>
                </c:pt>
                <c:pt idx="43">
                  <c:v>1822.8</c:v>
                </c:pt>
                <c:pt idx="44">
                  <c:v>1735.2</c:v>
                </c:pt>
                <c:pt idx="45">
                  <c:v>1762.9</c:v>
                </c:pt>
                <c:pt idx="46">
                  <c:v>1779.6</c:v>
                </c:pt>
                <c:pt idx="47">
                  <c:v>1772</c:v>
                </c:pt>
                <c:pt idx="48">
                  <c:v>1795.2</c:v>
                </c:pt>
                <c:pt idx="49">
                  <c:v>1762.9</c:v>
                </c:pt>
                <c:pt idx="50">
                  <c:v>1751.9</c:v>
                </c:pt>
                <c:pt idx="51">
                  <c:v>1841</c:v>
                </c:pt>
                <c:pt idx="52">
                  <c:v>1848.7</c:v>
                </c:pt>
                <c:pt idx="53">
                  <c:v>1820</c:v>
                </c:pt>
                <c:pt idx="54">
                  <c:v>1856.7</c:v>
                </c:pt>
                <c:pt idx="55">
                  <c:v>1836.5</c:v>
                </c:pt>
                <c:pt idx="56">
                  <c:v>1954</c:v>
                </c:pt>
                <c:pt idx="57">
                  <c:v>1888.3</c:v>
                </c:pt>
                <c:pt idx="58">
                  <c:v>1886</c:v>
                </c:pt>
                <c:pt idx="59">
                  <c:v>1871</c:v>
                </c:pt>
                <c:pt idx="60">
                  <c:v>1858.8</c:v>
                </c:pt>
                <c:pt idx="61">
                  <c:v>1880.8</c:v>
                </c:pt>
                <c:pt idx="62">
                  <c:v>1870.6</c:v>
                </c:pt>
                <c:pt idx="63">
                  <c:v>1818.7</c:v>
                </c:pt>
                <c:pt idx="64">
                  <c:v>1786.6</c:v>
                </c:pt>
                <c:pt idx="65">
                  <c:v>1780.1</c:v>
                </c:pt>
                <c:pt idx="66">
                  <c:v>1778.2</c:v>
                </c:pt>
                <c:pt idx="67">
                  <c:v>1784</c:v>
                </c:pt>
                <c:pt idx="68">
                  <c:v>1775.1</c:v>
                </c:pt>
                <c:pt idx="69">
                  <c:v>1796.1</c:v>
                </c:pt>
                <c:pt idx="70">
                  <c:v>1781.2</c:v>
                </c:pt>
                <c:pt idx="71">
                  <c:v>1836.4</c:v>
                </c:pt>
                <c:pt idx="72">
                  <c:v>1816</c:v>
                </c:pt>
                <c:pt idx="73">
                  <c:v>1828.1</c:v>
                </c:pt>
                <c:pt idx="74">
                  <c:v>1817</c:v>
                </c:pt>
                <c:pt idx="75">
                  <c:v>1819.4</c:v>
                </c:pt>
                <c:pt idx="76">
                  <c:v>1815.9</c:v>
                </c:pt>
                <c:pt idx="77">
                  <c:v>1794.4</c:v>
                </c:pt>
                <c:pt idx="78">
                  <c:v>1781.8</c:v>
                </c:pt>
                <c:pt idx="79">
                  <c:v>1715.3</c:v>
                </c:pt>
                <c:pt idx="80">
                  <c:v>1731.4</c:v>
                </c:pt>
                <c:pt idx="81">
                  <c:v>1738.1</c:v>
                </c:pt>
                <c:pt idx="82">
                  <c:v>1753.8</c:v>
                </c:pt>
                <c:pt idx="83">
                  <c:v>1817.2</c:v>
                </c:pt>
                <c:pt idx="84">
                  <c:v>1809.4</c:v>
                </c:pt>
                <c:pt idx="85">
                  <c:v>1800.2</c:v>
                </c:pt>
                <c:pt idx="86">
                  <c:v>1808.2</c:v>
                </c:pt>
                <c:pt idx="87">
                  <c:v>1834.8</c:v>
                </c:pt>
                <c:pt idx="88">
                  <c:v>1826.7</c:v>
                </c:pt>
                <c:pt idx="89">
                  <c:v>1822.4</c:v>
                </c:pt>
                <c:pt idx="90">
                  <c:v>1816.6</c:v>
                </c:pt>
                <c:pt idx="91">
                  <c:v>1785</c:v>
                </c:pt>
                <c:pt idx="92">
                  <c:v>1777.9</c:v>
                </c:pt>
                <c:pt idx="93">
                  <c:v>1788.5</c:v>
                </c:pt>
                <c:pt idx="94">
                  <c:v>1762.6</c:v>
                </c:pt>
                <c:pt idx="95">
                  <c:v>1741.2</c:v>
                </c:pt>
                <c:pt idx="96">
                  <c:v>1736.3</c:v>
                </c:pt>
                <c:pt idx="97">
                  <c:v>1767.9</c:v>
                </c:pt>
                <c:pt idx="98">
                  <c:v>1767.9</c:v>
                </c:pt>
                <c:pt idx="99">
                  <c:v>1802.5</c:v>
                </c:pt>
                <c:pt idx="100">
                  <c:v>1798.4</c:v>
                </c:pt>
                <c:pt idx="101">
                  <c:v>1789.1</c:v>
                </c:pt>
                <c:pt idx="102">
                  <c:v>1786.9</c:v>
                </c:pt>
                <c:pt idx="103">
                  <c:v>1802.8</c:v>
                </c:pt>
                <c:pt idx="104">
                  <c:v>1850.9</c:v>
                </c:pt>
                <c:pt idx="105">
                  <c:v>1847.9</c:v>
                </c:pt>
                <c:pt idx="106">
                  <c:v>1817.2</c:v>
                </c:pt>
                <c:pt idx="107">
                  <c:v>1953.2</c:v>
                </c:pt>
                <c:pt idx="108">
                  <c:v>2088.6999999999998</c:v>
                </c:pt>
                <c:pt idx="109">
                  <c:v>2019.2</c:v>
                </c:pt>
                <c:pt idx="110">
                  <c:v>1956.3</c:v>
                </c:pt>
                <c:pt idx="111">
                  <c:v>1829.4</c:v>
                </c:pt>
                <c:pt idx="112">
                  <c:v>1918.9</c:v>
                </c:pt>
                <c:pt idx="113">
                  <c:v>1851.2</c:v>
                </c:pt>
                <c:pt idx="114">
                  <c:v>1856.4</c:v>
                </c:pt>
                <c:pt idx="115">
                  <c:v>1832</c:v>
                </c:pt>
                <c:pt idx="116">
                  <c:v>1863</c:v>
                </c:pt>
                <c:pt idx="117">
                  <c:v>1854.9</c:v>
                </c:pt>
                <c:pt idx="118">
                  <c:v>1864.7</c:v>
                </c:pt>
                <c:pt idx="119">
                  <c:v>1868</c:v>
                </c:pt>
                <c:pt idx="120">
                  <c:v>1880.6</c:v>
                </c:pt>
                <c:pt idx="121">
                  <c:v>1861.6</c:v>
                </c:pt>
                <c:pt idx="122">
                  <c:v>1862.5</c:v>
                </c:pt>
                <c:pt idx="123">
                  <c:v>1893.5</c:v>
                </c:pt>
                <c:pt idx="124">
                  <c:v>1845.3</c:v>
                </c:pt>
                <c:pt idx="125">
                  <c:v>1833.5</c:v>
                </c:pt>
                <c:pt idx="126">
                  <c:v>1791.1</c:v>
                </c:pt>
                <c:pt idx="127">
                  <c:v>1818.6</c:v>
                </c:pt>
                <c:pt idx="128">
                  <c:v>1811.4</c:v>
                </c:pt>
                <c:pt idx="129">
                  <c:v>1808.3</c:v>
                </c:pt>
                <c:pt idx="130">
                  <c:v>1797.8</c:v>
                </c:pt>
                <c:pt idx="131">
                  <c:v>1802.4</c:v>
                </c:pt>
                <c:pt idx="132">
                  <c:v>1772.8</c:v>
                </c:pt>
                <c:pt idx="133">
                  <c:v>1760.7</c:v>
                </c:pt>
                <c:pt idx="134">
                  <c:v>1763.8</c:v>
                </c:pt>
                <c:pt idx="135">
                  <c:v>1780.8</c:v>
                </c:pt>
                <c:pt idx="136">
                  <c:v>1784.6</c:v>
                </c:pt>
                <c:pt idx="137">
                  <c:v>1798.7</c:v>
                </c:pt>
                <c:pt idx="138">
                  <c:v>1786.4</c:v>
                </c:pt>
                <c:pt idx="139">
                  <c:v>1758.6</c:v>
                </c:pt>
                <c:pt idx="140">
                  <c:v>1772.9</c:v>
                </c:pt>
                <c:pt idx="141">
                  <c:v>1792.2</c:v>
                </c:pt>
                <c:pt idx="142">
                  <c:v>1782.2</c:v>
                </c:pt>
                <c:pt idx="143">
                  <c:v>1763.2</c:v>
                </c:pt>
                <c:pt idx="144">
                  <c:v>1745.6</c:v>
                </c:pt>
                <c:pt idx="145">
                  <c:v>1735.1</c:v>
                </c:pt>
                <c:pt idx="146">
                  <c:v>1714.7</c:v>
                </c:pt>
                <c:pt idx="147">
                  <c:v>1707.7</c:v>
                </c:pt>
                <c:pt idx="148">
                  <c:v>1659.2</c:v>
                </c:pt>
                <c:pt idx="149">
                  <c:v>1701.6</c:v>
                </c:pt>
                <c:pt idx="150">
                  <c:v>1691.1</c:v>
                </c:pt>
                <c:pt idx="151">
                  <c:v>1731.4</c:v>
                </c:pt>
                <c:pt idx="152">
                  <c:v>1753.7</c:v>
                </c:pt>
                <c:pt idx="153">
                  <c:v>1734</c:v>
                </c:pt>
                <c:pt idx="154">
                  <c:v>1723.7</c:v>
                </c:pt>
                <c:pt idx="155">
                  <c:v>1714.2</c:v>
                </c:pt>
                <c:pt idx="156">
                  <c:v>1712.7</c:v>
                </c:pt>
                <c:pt idx="157">
                  <c:v>1715.9</c:v>
                </c:pt>
                <c:pt idx="158">
                  <c:v>1706.3</c:v>
                </c:pt>
                <c:pt idx="159">
                  <c:v>1685.8</c:v>
                </c:pt>
                <c:pt idx="160">
                  <c:v>1670</c:v>
                </c:pt>
                <c:pt idx="161">
                  <c:v>1702.1</c:v>
                </c:pt>
                <c:pt idx="162">
                  <c:v>1700.6</c:v>
                </c:pt>
                <c:pt idx="163">
                  <c:v>1686.1</c:v>
                </c:pt>
                <c:pt idx="164">
                  <c:v>1704.5</c:v>
                </c:pt>
                <c:pt idx="165">
                  <c:v>1700.8</c:v>
                </c:pt>
                <c:pt idx="166">
                  <c:v>1705.8</c:v>
                </c:pt>
                <c:pt idx="167">
                  <c:v>1697.1</c:v>
                </c:pt>
                <c:pt idx="168">
                  <c:v>1697.6</c:v>
                </c:pt>
                <c:pt idx="169">
                  <c:v>1706.5</c:v>
                </c:pt>
                <c:pt idx="170">
                  <c:v>1689.3</c:v>
                </c:pt>
                <c:pt idx="171">
                  <c:v>1689.7</c:v>
                </c:pt>
                <c:pt idx="172">
                  <c:v>1697.6</c:v>
                </c:pt>
                <c:pt idx="173">
                  <c:v>1682</c:v>
                </c:pt>
                <c:pt idx="174">
                  <c:v>1670.1</c:v>
                </c:pt>
                <c:pt idx="175">
                  <c:v>1648.1</c:v>
                </c:pt>
                <c:pt idx="176">
                  <c:v>1528</c:v>
                </c:pt>
                <c:pt idx="177">
                  <c:v>1491</c:v>
                </c:pt>
                <c:pt idx="178">
                  <c:v>1530.9</c:v>
                </c:pt>
                <c:pt idx="179">
                  <c:v>1531</c:v>
                </c:pt>
                <c:pt idx="180">
                  <c:v>1507.7</c:v>
                </c:pt>
                <c:pt idx="181">
                  <c:v>1513.1</c:v>
                </c:pt>
                <c:pt idx="182">
                  <c:v>1482.9</c:v>
                </c:pt>
                <c:pt idx="183">
                  <c:v>1467</c:v>
                </c:pt>
                <c:pt idx="184">
                  <c:v>1455.3</c:v>
                </c:pt>
                <c:pt idx="185">
                  <c:v>1451.8</c:v>
                </c:pt>
                <c:pt idx="186">
                  <c:v>1418.7</c:v>
                </c:pt>
                <c:pt idx="187">
                  <c:v>1436.2</c:v>
                </c:pt>
                <c:pt idx="188">
                  <c:v>1468.4</c:v>
                </c:pt>
                <c:pt idx="189">
                  <c:v>1482.2</c:v>
                </c:pt>
                <c:pt idx="190">
                  <c:v>1511.7</c:v>
                </c:pt>
                <c:pt idx="191">
                  <c:v>1500.9</c:v>
                </c:pt>
                <c:pt idx="192">
                  <c:v>1495.9</c:v>
                </c:pt>
                <c:pt idx="193">
                  <c:v>1461.8</c:v>
                </c:pt>
                <c:pt idx="194">
                  <c:v>1475.2</c:v>
                </c:pt>
                <c:pt idx="195">
                  <c:v>1471.8</c:v>
                </c:pt>
                <c:pt idx="196">
                  <c:v>1431.6</c:v>
                </c:pt>
                <c:pt idx="197">
                  <c:v>1444.8</c:v>
                </c:pt>
                <c:pt idx="198">
                  <c:v>1431</c:v>
                </c:pt>
                <c:pt idx="199">
                  <c:v>1420.8</c:v>
                </c:pt>
                <c:pt idx="200">
                  <c:v>1412.5</c:v>
                </c:pt>
                <c:pt idx="201">
                  <c:v>1436.5</c:v>
                </c:pt>
                <c:pt idx="202">
                  <c:v>1418</c:v>
                </c:pt>
                <c:pt idx="203">
                  <c:v>1401</c:v>
                </c:pt>
                <c:pt idx="204">
                  <c:v>1439.8</c:v>
                </c:pt>
                <c:pt idx="205">
                  <c:v>1389.1</c:v>
                </c:pt>
                <c:pt idx="206">
                  <c:v>1332.6</c:v>
                </c:pt>
                <c:pt idx="207">
                  <c:v>1336.9</c:v>
                </c:pt>
                <c:pt idx="208">
                  <c:v>1318.8</c:v>
                </c:pt>
                <c:pt idx="209">
                  <c:v>1277.7</c:v>
                </c:pt>
                <c:pt idx="210">
                  <c:v>1252</c:v>
                </c:pt>
                <c:pt idx="211">
                  <c:v>1234</c:v>
                </c:pt>
                <c:pt idx="212">
                  <c:v>1220.0999999999999</c:v>
                </c:pt>
                <c:pt idx="213">
                  <c:v>1262.5999999999999</c:v>
                </c:pt>
                <c:pt idx="214">
                  <c:v>1245.8</c:v>
                </c:pt>
                <c:pt idx="215">
                  <c:v>1189.7</c:v>
                </c:pt>
                <c:pt idx="216">
                  <c:v>1166.7</c:v>
                </c:pt>
                <c:pt idx="217">
                  <c:v>1161.3</c:v>
                </c:pt>
                <c:pt idx="218">
                  <c:v>1138.2</c:v>
                </c:pt>
                <c:pt idx="219">
                  <c:v>1118.4000000000001</c:v>
                </c:pt>
                <c:pt idx="220">
                  <c:v>1151</c:v>
                </c:pt>
                <c:pt idx="221">
                  <c:v>1161.5</c:v>
                </c:pt>
                <c:pt idx="222">
                  <c:v>1173.9000000000001</c:v>
                </c:pt>
                <c:pt idx="223">
                  <c:v>1158.3</c:v>
                </c:pt>
                <c:pt idx="224">
                  <c:v>1148</c:v>
                </c:pt>
                <c:pt idx="225">
                  <c:v>1101.8</c:v>
                </c:pt>
                <c:pt idx="226">
                  <c:v>1083.7</c:v>
                </c:pt>
                <c:pt idx="227">
                  <c:v>1093.5</c:v>
                </c:pt>
                <c:pt idx="228">
                  <c:v>1065.5999999999999</c:v>
                </c:pt>
                <c:pt idx="229">
                  <c:v>1056</c:v>
                </c:pt>
                <c:pt idx="230">
                  <c:v>1046</c:v>
                </c:pt>
                <c:pt idx="231">
                  <c:v>1029.5</c:v>
                </c:pt>
                <c:pt idx="232">
                  <c:v>1043.0999999999999</c:v>
                </c:pt>
                <c:pt idx="233">
                  <c:v>964.5</c:v>
                </c:pt>
                <c:pt idx="234">
                  <c:v>922.8</c:v>
                </c:pt>
                <c:pt idx="235">
                  <c:v>1034</c:v>
                </c:pt>
                <c:pt idx="236">
                  <c:v>1026.5999999999999</c:v>
                </c:pt>
                <c:pt idx="237">
                  <c:v>1003</c:v>
                </c:pt>
                <c:pt idx="238">
                  <c:v>991.9</c:v>
                </c:pt>
                <c:pt idx="239">
                  <c:v>1043.9000000000001</c:v>
                </c:pt>
                <c:pt idx="240">
                  <c:v>1040</c:v>
                </c:pt>
                <c:pt idx="241">
                  <c:v>1007.5</c:v>
                </c:pt>
                <c:pt idx="242">
                  <c:v>1002.3</c:v>
                </c:pt>
                <c:pt idx="243">
                  <c:v>977.3</c:v>
                </c:pt>
                <c:pt idx="244">
                  <c:v>990.9</c:v>
                </c:pt>
                <c:pt idx="245">
                  <c:v>991.4</c:v>
                </c:pt>
                <c:pt idx="246">
                  <c:v>1002.5</c:v>
                </c:pt>
                <c:pt idx="247">
                  <c:v>979.6</c:v>
                </c:pt>
              </c:numCache>
            </c:numRef>
          </c:val>
          <c:smooth val="0"/>
          <c:extLst>
            <c:ext xmlns:c16="http://schemas.microsoft.com/office/drawing/2014/chart" uri="{C3380CC4-5D6E-409C-BE32-E72D297353CC}">
              <c16:uniqueId val="{00000000-62A3-47FE-9450-AA918D2D1A31}"/>
            </c:ext>
          </c:extLst>
        </c:ser>
        <c:dLbls>
          <c:showLegendKey val="0"/>
          <c:showVal val="0"/>
          <c:showCatName val="0"/>
          <c:showSerName val="0"/>
          <c:showPercent val="0"/>
          <c:showBubbleSize val="0"/>
        </c:dLbls>
        <c:smooth val="0"/>
        <c:axId val="1949568847"/>
        <c:axId val="1949572207"/>
      </c:lineChart>
      <c:catAx>
        <c:axId val="1949568847"/>
        <c:scaling>
          <c:orientation val="minMax"/>
        </c:scaling>
        <c:delete val="0"/>
        <c:axPos val="b"/>
        <c:numFmt formatCode="mmm/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572207"/>
        <c:crosses val="autoZero"/>
        <c:auto val="0"/>
        <c:lblAlgn val="ctr"/>
        <c:lblOffset val="100"/>
        <c:noMultiLvlLbl val="0"/>
      </c:catAx>
      <c:valAx>
        <c:axId val="1949572207"/>
        <c:scaling>
          <c:orientation val="minMax"/>
          <c:max val="2200"/>
          <c:min val="85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9568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Global GDP Projections%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Report!$F$43</c:f>
              <c:strCache>
                <c:ptCount val="1"/>
                <c:pt idx="0">
                  <c:v>2024A</c:v>
                </c:pt>
              </c:strCache>
            </c:strRef>
          </c:tx>
          <c:spPr>
            <a:solidFill>
              <a:srgbClr val="002060"/>
            </a:solidFill>
            <a:ln>
              <a:noFill/>
            </a:ln>
            <a:effectLst/>
          </c:spPr>
          <c:invertIfNegative val="0"/>
          <c:cat>
            <c:strRef>
              <c:f>Report!$E$44:$E$52</c:f>
              <c:strCache>
                <c:ptCount val="9"/>
                <c:pt idx="0">
                  <c:v>World</c:v>
                </c:pt>
                <c:pt idx="1">
                  <c:v>Advanced Economies</c:v>
                </c:pt>
                <c:pt idx="2">
                  <c:v>Developing Economies</c:v>
                </c:pt>
                <c:pt idx="3">
                  <c:v>Euro Area</c:v>
                </c:pt>
                <c:pt idx="4">
                  <c:v>US</c:v>
                </c:pt>
                <c:pt idx="5">
                  <c:v>Japan</c:v>
                </c:pt>
                <c:pt idx="6">
                  <c:v>Uk</c:v>
                </c:pt>
                <c:pt idx="7">
                  <c:v>China</c:v>
                </c:pt>
                <c:pt idx="8">
                  <c:v>India</c:v>
                </c:pt>
              </c:strCache>
            </c:strRef>
          </c:cat>
          <c:val>
            <c:numRef>
              <c:f>Report!$F$44:$F$52</c:f>
              <c:numCache>
                <c:formatCode>General</c:formatCode>
                <c:ptCount val="9"/>
                <c:pt idx="0">
                  <c:v>3.3</c:v>
                </c:pt>
                <c:pt idx="1">
                  <c:v>1.8</c:v>
                </c:pt>
                <c:pt idx="2">
                  <c:v>4.3</c:v>
                </c:pt>
                <c:pt idx="3">
                  <c:v>0.9</c:v>
                </c:pt>
                <c:pt idx="4">
                  <c:v>2.8</c:v>
                </c:pt>
                <c:pt idx="5">
                  <c:v>0.1</c:v>
                </c:pt>
                <c:pt idx="6">
                  <c:v>1.1000000000000001</c:v>
                </c:pt>
                <c:pt idx="7">
                  <c:v>5</c:v>
                </c:pt>
                <c:pt idx="8">
                  <c:v>6.5</c:v>
                </c:pt>
              </c:numCache>
            </c:numRef>
          </c:val>
          <c:extLst>
            <c:ext xmlns:c16="http://schemas.microsoft.com/office/drawing/2014/chart" uri="{C3380CC4-5D6E-409C-BE32-E72D297353CC}">
              <c16:uniqueId val="{00000000-ADB8-4A3F-9727-6FD0F10EB328}"/>
            </c:ext>
          </c:extLst>
        </c:ser>
        <c:ser>
          <c:idx val="1"/>
          <c:order val="1"/>
          <c:tx>
            <c:strRef>
              <c:f>Report!$G$43</c:f>
              <c:strCache>
                <c:ptCount val="1"/>
                <c:pt idx="0">
                  <c:v>2025P</c:v>
                </c:pt>
              </c:strCache>
            </c:strRef>
          </c:tx>
          <c:spPr>
            <a:solidFill>
              <a:srgbClr val="913493"/>
            </a:solidFill>
            <a:ln>
              <a:noFill/>
            </a:ln>
            <a:effectLst/>
          </c:spPr>
          <c:invertIfNegative val="0"/>
          <c:cat>
            <c:strRef>
              <c:f>Report!$E$44:$E$52</c:f>
              <c:strCache>
                <c:ptCount val="9"/>
                <c:pt idx="0">
                  <c:v>World</c:v>
                </c:pt>
                <c:pt idx="1">
                  <c:v>Advanced Economies</c:v>
                </c:pt>
                <c:pt idx="2">
                  <c:v>Developing Economies</c:v>
                </c:pt>
                <c:pt idx="3">
                  <c:v>Euro Area</c:v>
                </c:pt>
                <c:pt idx="4">
                  <c:v>US</c:v>
                </c:pt>
                <c:pt idx="5">
                  <c:v>Japan</c:v>
                </c:pt>
                <c:pt idx="6">
                  <c:v>Uk</c:v>
                </c:pt>
                <c:pt idx="7">
                  <c:v>China</c:v>
                </c:pt>
                <c:pt idx="8">
                  <c:v>India</c:v>
                </c:pt>
              </c:strCache>
            </c:strRef>
          </c:cat>
          <c:val>
            <c:numRef>
              <c:f>Report!$G$44:$G$52</c:f>
              <c:numCache>
                <c:formatCode>General</c:formatCode>
                <c:ptCount val="9"/>
                <c:pt idx="0">
                  <c:v>3.2</c:v>
                </c:pt>
                <c:pt idx="1">
                  <c:v>1.6</c:v>
                </c:pt>
                <c:pt idx="2">
                  <c:v>4.2</c:v>
                </c:pt>
                <c:pt idx="3">
                  <c:v>1.2</c:v>
                </c:pt>
                <c:pt idx="4">
                  <c:v>2</c:v>
                </c:pt>
                <c:pt idx="5">
                  <c:v>1.1000000000000001</c:v>
                </c:pt>
                <c:pt idx="6">
                  <c:v>1.3</c:v>
                </c:pt>
                <c:pt idx="7">
                  <c:v>4.8</c:v>
                </c:pt>
                <c:pt idx="8">
                  <c:v>6.6</c:v>
                </c:pt>
              </c:numCache>
            </c:numRef>
          </c:val>
          <c:extLst>
            <c:ext xmlns:c16="http://schemas.microsoft.com/office/drawing/2014/chart" uri="{C3380CC4-5D6E-409C-BE32-E72D297353CC}">
              <c16:uniqueId val="{00000001-ADB8-4A3F-9727-6FD0F10EB328}"/>
            </c:ext>
          </c:extLst>
        </c:ser>
        <c:ser>
          <c:idx val="2"/>
          <c:order val="2"/>
          <c:tx>
            <c:strRef>
              <c:f>Report!$H$43</c:f>
              <c:strCache>
                <c:ptCount val="1"/>
                <c:pt idx="0">
                  <c:v>2026P</c:v>
                </c:pt>
              </c:strCache>
            </c:strRef>
          </c:tx>
          <c:spPr>
            <a:solidFill>
              <a:schemeClr val="accent3"/>
            </a:solidFill>
            <a:ln>
              <a:noFill/>
            </a:ln>
            <a:effectLst/>
          </c:spPr>
          <c:invertIfNegative val="0"/>
          <c:cat>
            <c:strRef>
              <c:f>Report!$E$44:$E$52</c:f>
              <c:strCache>
                <c:ptCount val="9"/>
                <c:pt idx="0">
                  <c:v>World</c:v>
                </c:pt>
                <c:pt idx="1">
                  <c:v>Advanced Economies</c:v>
                </c:pt>
                <c:pt idx="2">
                  <c:v>Developing Economies</c:v>
                </c:pt>
                <c:pt idx="3">
                  <c:v>Euro Area</c:v>
                </c:pt>
                <c:pt idx="4">
                  <c:v>US</c:v>
                </c:pt>
                <c:pt idx="5">
                  <c:v>Japan</c:v>
                </c:pt>
                <c:pt idx="6">
                  <c:v>Uk</c:v>
                </c:pt>
                <c:pt idx="7">
                  <c:v>China</c:v>
                </c:pt>
                <c:pt idx="8">
                  <c:v>India</c:v>
                </c:pt>
              </c:strCache>
            </c:strRef>
          </c:cat>
          <c:val>
            <c:numRef>
              <c:f>Report!$H$44:$H$52</c:f>
              <c:numCache>
                <c:formatCode>General</c:formatCode>
                <c:ptCount val="9"/>
                <c:pt idx="0">
                  <c:v>3.1</c:v>
                </c:pt>
                <c:pt idx="1">
                  <c:v>1.6</c:v>
                </c:pt>
                <c:pt idx="2">
                  <c:v>4</c:v>
                </c:pt>
                <c:pt idx="3">
                  <c:v>1.1000000000000001</c:v>
                </c:pt>
                <c:pt idx="4">
                  <c:v>2.1</c:v>
                </c:pt>
                <c:pt idx="5">
                  <c:v>0.6</c:v>
                </c:pt>
                <c:pt idx="6">
                  <c:v>1.3</c:v>
                </c:pt>
                <c:pt idx="7">
                  <c:v>4.2</c:v>
                </c:pt>
                <c:pt idx="8">
                  <c:v>6.2</c:v>
                </c:pt>
              </c:numCache>
            </c:numRef>
          </c:val>
          <c:extLst>
            <c:ext xmlns:c16="http://schemas.microsoft.com/office/drawing/2014/chart" uri="{C3380CC4-5D6E-409C-BE32-E72D297353CC}">
              <c16:uniqueId val="{00000002-ADB8-4A3F-9727-6FD0F10EB328}"/>
            </c:ext>
          </c:extLst>
        </c:ser>
        <c:dLbls>
          <c:showLegendKey val="0"/>
          <c:showVal val="0"/>
          <c:showCatName val="0"/>
          <c:showSerName val="0"/>
          <c:showPercent val="0"/>
          <c:showBubbleSize val="0"/>
        </c:dLbls>
        <c:gapWidth val="182"/>
        <c:axId val="70306112"/>
        <c:axId val="70303232"/>
      </c:barChart>
      <c:catAx>
        <c:axId val="7030611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0303232"/>
        <c:crosses val="autoZero"/>
        <c:auto val="1"/>
        <c:lblAlgn val="ctr"/>
        <c:lblOffset val="100"/>
        <c:noMultiLvlLbl val="0"/>
      </c:catAx>
      <c:valAx>
        <c:axId val="70303232"/>
        <c:scaling>
          <c:orientation val="minMax"/>
          <c:max val="7"/>
          <c:min val="5.000000000000001E-2"/>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3061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Indai vs</a:t>
            </a:r>
            <a:r>
              <a:rPr lang="en-IN" baseline="0"/>
              <a:t> Global GDP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0350382136286886E-2"/>
          <c:y val="0.18004854368932041"/>
          <c:w val="0.93964961786371315"/>
          <c:h val="0.65550913538720279"/>
        </c:manualLayout>
      </c:layout>
      <c:barChart>
        <c:barDir val="col"/>
        <c:grouping val="clustered"/>
        <c:varyColors val="0"/>
        <c:ser>
          <c:idx val="0"/>
          <c:order val="0"/>
          <c:tx>
            <c:strRef>
              <c:f>Report!$G$56</c:f>
              <c:strCache>
                <c:ptCount val="1"/>
                <c:pt idx="0">
                  <c:v>India</c:v>
                </c:pt>
              </c:strCache>
            </c:strRef>
          </c:tx>
          <c:spPr>
            <a:solidFill>
              <a:srgbClr val="D183D3"/>
            </a:solidFill>
            <a:ln>
              <a:noFill/>
            </a:ln>
            <a:effectLst/>
          </c:spPr>
          <c:invertIfNegative val="0"/>
          <c:dPt>
            <c:idx val="6"/>
            <c:invertIfNegative val="0"/>
            <c:bubble3D val="0"/>
            <c:spPr>
              <a:solidFill>
                <a:srgbClr val="F58B98"/>
              </a:solidFill>
              <a:ln>
                <a:noFill/>
              </a:ln>
              <a:effectLst/>
            </c:spPr>
            <c:extLst>
              <c:ext xmlns:c16="http://schemas.microsoft.com/office/drawing/2014/chart" uri="{C3380CC4-5D6E-409C-BE32-E72D297353CC}">
                <c16:uniqueId val="{00000002-6D9D-440D-801C-F0809A37D5F0}"/>
              </c:ext>
            </c:extLst>
          </c:dPt>
          <c:dPt>
            <c:idx val="7"/>
            <c:invertIfNegative val="0"/>
            <c:bubble3D val="0"/>
            <c:spPr>
              <a:solidFill>
                <a:srgbClr val="F58B98"/>
              </a:solidFill>
              <a:ln>
                <a:noFill/>
              </a:ln>
              <a:effectLst/>
            </c:spPr>
            <c:extLst>
              <c:ext xmlns:c16="http://schemas.microsoft.com/office/drawing/2014/chart" uri="{C3380CC4-5D6E-409C-BE32-E72D297353CC}">
                <c16:uniqueId val="{00000003-6D9D-440D-801C-F0809A37D5F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Report!$F$57:$F$64</c:f>
              <c:strCache>
                <c:ptCount val="8"/>
                <c:pt idx="0">
                  <c:v>2019</c:v>
                </c:pt>
                <c:pt idx="1">
                  <c:v>2020</c:v>
                </c:pt>
                <c:pt idx="2">
                  <c:v>2021</c:v>
                </c:pt>
                <c:pt idx="3">
                  <c:v>2022</c:v>
                </c:pt>
                <c:pt idx="4">
                  <c:v>2023</c:v>
                </c:pt>
                <c:pt idx="5">
                  <c:v>2024</c:v>
                </c:pt>
                <c:pt idx="6">
                  <c:v>2025P</c:v>
                </c:pt>
                <c:pt idx="7">
                  <c:v>2026P</c:v>
                </c:pt>
              </c:strCache>
            </c:strRef>
          </c:cat>
          <c:val>
            <c:numRef>
              <c:f>Report!$G$57:$G$64</c:f>
              <c:numCache>
                <c:formatCode>0.00%</c:formatCode>
                <c:ptCount val="8"/>
                <c:pt idx="0">
                  <c:v>3.9E-2</c:v>
                </c:pt>
                <c:pt idx="1">
                  <c:v>-5.8000000000000003E-2</c:v>
                </c:pt>
                <c:pt idx="2">
                  <c:v>9.7000000000000003E-2</c:v>
                </c:pt>
                <c:pt idx="3">
                  <c:v>7.5999999999999998E-2</c:v>
                </c:pt>
                <c:pt idx="4">
                  <c:v>9.1999999999999998E-2</c:v>
                </c:pt>
                <c:pt idx="5">
                  <c:v>6.5000000000000002E-2</c:v>
                </c:pt>
                <c:pt idx="6">
                  <c:v>6.6000000000000003E-2</c:v>
                </c:pt>
                <c:pt idx="7">
                  <c:v>6.2E-2</c:v>
                </c:pt>
              </c:numCache>
            </c:numRef>
          </c:val>
          <c:extLst>
            <c:ext xmlns:c16="http://schemas.microsoft.com/office/drawing/2014/chart" uri="{C3380CC4-5D6E-409C-BE32-E72D297353CC}">
              <c16:uniqueId val="{00000000-6D9D-440D-801C-F0809A37D5F0}"/>
            </c:ext>
          </c:extLst>
        </c:ser>
        <c:dLbls>
          <c:showLegendKey val="0"/>
          <c:showVal val="0"/>
          <c:showCatName val="0"/>
          <c:showSerName val="0"/>
          <c:showPercent val="0"/>
          <c:showBubbleSize val="0"/>
        </c:dLbls>
        <c:gapWidth val="219"/>
        <c:axId val="70312352"/>
        <c:axId val="70299872"/>
      </c:barChart>
      <c:lineChart>
        <c:grouping val="standard"/>
        <c:varyColors val="0"/>
        <c:ser>
          <c:idx val="1"/>
          <c:order val="1"/>
          <c:tx>
            <c:strRef>
              <c:f>Report!$H$56</c:f>
              <c:strCache>
                <c:ptCount val="1"/>
                <c:pt idx="0">
                  <c:v>Global</c:v>
                </c:pt>
              </c:strCache>
            </c:strRef>
          </c:tx>
          <c:spPr>
            <a:ln w="28575" cap="rnd">
              <a:solidFill>
                <a:schemeClr val="bg1">
                  <a:lumMod val="65000"/>
                </a:schemeClr>
              </a:solidFill>
              <a:round/>
            </a:ln>
            <a:effectLst/>
          </c:spPr>
          <c:marker>
            <c:symbol val="none"/>
          </c:marker>
          <c:cat>
            <c:strRef>
              <c:f>Report!$F$57:$F$64</c:f>
              <c:strCache>
                <c:ptCount val="8"/>
                <c:pt idx="0">
                  <c:v>2019</c:v>
                </c:pt>
                <c:pt idx="1">
                  <c:v>2020</c:v>
                </c:pt>
                <c:pt idx="2">
                  <c:v>2021</c:v>
                </c:pt>
                <c:pt idx="3">
                  <c:v>2022</c:v>
                </c:pt>
                <c:pt idx="4">
                  <c:v>2023</c:v>
                </c:pt>
                <c:pt idx="5">
                  <c:v>2024</c:v>
                </c:pt>
                <c:pt idx="6">
                  <c:v>2025P</c:v>
                </c:pt>
                <c:pt idx="7">
                  <c:v>2026P</c:v>
                </c:pt>
              </c:strCache>
            </c:strRef>
          </c:cat>
          <c:val>
            <c:numRef>
              <c:f>Report!$H$57:$H$64</c:f>
              <c:numCache>
                <c:formatCode>0.00%</c:formatCode>
                <c:ptCount val="8"/>
                <c:pt idx="0">
                  <c:v>2.7E-2</c:v>
                </c:pt>
                <c:pt idx="1">
                  <c:v>-2.8000000000000001E-2</c:v>
                </c:pt>
                <c:pt idx="2">
                  <c:v>6.4000000000000001E-2</c:v>
                </c:pt>
                <c:pt idx="3">
                  <c:v>3.4000000000000002E-2</c:v>
                </c:pt>
                <c:pt idx="4">
                  <c:v>2.9000000000000001E-2</c:v>
                </c:pt>
                <c:pt idx="5">
                  <c:v>2.9000000000000001E-2</c:v>
                </c:pt>
                <c:pt idx="6">
                  <c:v>3.0499999999999999E-2</c:v>
                </c:pt>
                <c:pt idx="7">
                  <c:v>3.1E-2</c:v>
                </c:pt>
              </c:numCache>
            </c:numRef>
          </c:val>
          <c:smooth val="0"/>
          <c:extLst>
            <c:ext xmlns:c16="http://schemas.microsoft.com/office/drawing/2014/chart" uri="{C3380CC4-5D6E-409C-BE32-E72D297353CC}">
              <c16:uniqueId val="{00000001-6D9D-440D-801C-F0809A37D5F0}"/>
            </c:ext>
          </c:extLst>
        </c:ser>
        <c:dLbls>
          <c:showLegendKey val="0"/>
          <c:showVal val="0"/>
          <c:showCatName val="0"/>
          <c:showSerName val="0"/>
          <c:showPercent val="0"/>
          <c:showBubbleSize val="0"/>
        </c:dLbls>
        <c:marker val="1"/>
        <c:smooth val="0"/>
        <c:axId val="70312352"/>
        <c:axId val="70299872"/>
      </c:lineChart>
      <c:catAx>
        <c:axId val="70312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0299872"/>
        <c:crosses val="autoZero"/>
        <c:auto val="1"/>
        <c:lblAlgn val="ctr"/>
        <c:lblOffset val="100"/>
        <c:noMultiLvlLbl val="0"/>
      </c:catAx>
      <c:valAx>
        <c:axId val="70299872"/>
        <c:scaling>
          <c:orientation val="minMax"/>
        </c:scaling>
        <c:delete val="1"/>
        <c:axPos val="l"/>
        <c:numFmt formatCode="0.00%" sourceLinked="1"/>
        <c:majorTickMark val="none"/>
        <c:minorTickMark val="none"/>
        <c:tickLblPos val="nextTo"/>
        <c:crossAx val="70312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r>
              <a:rPr lang="en-IN" sz="1200" b="1">
                <a:solidFill>
                  <a:srgbClr val="002060"/>
                </a:solidFill>
              </a:rPr>
              <a:t>Indian GDP Quarterly Growth -Actual vs  Projected</a:t>
            </a:r>
          </a:p>
          <a:p>
            <a:pPr>
              <a:defRPr sz="1200" b="1">
                <a:solidFill>
                  <a:srgbClr val="002060"/>
                </a:solidFill>
              </a:defRPr>
            </a:pPr>
            <a:endParaRPr lang="en-IN" sz="1200" b="1">
              <a:solidFill>
                <a:srgbClr val="002060"/>
              </a:solidFill>
            </a:endParaRPr>
          </a:p>
        </c:rich>
      </c:tx>
      <c:layout>
        <c:manualLayout>
          <c:xMode val="edge"/>
          <c:yMode val="edge"/>
          <c:x val="0.13081755542326196"/>
          <c:y val="2.8080567939374097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rgbClr val="002060"/>
              </a:solidFill>
              <a:latin typeface="+mn-lt"/>
              <a:ea typeface="+mn-ea"/>
              <a:cs typeface="+mn-cs"/>
            </a:defRPr>
          </a:pPr>
          <a:endParaRPr lang="en-US"/>
        </a:p>
      </c:txPr>
    </c:title>
    <c:autoTitleDeleted val="0"/>
    <c:plotArea>
      <c:layout>
        <c:manualLayout>
          <c:layoutTarget val="inner"/>
          <c:xMode val="edge"/>
          <c:yMode val="edge"/>
          <c:x val="9.8872366508170856E-2"/>
          <c:y val="0.16951772102989215"/>
          <c:w val="0.87191801401350832"/>
          <c:h val="0.53107932478475872"/>
        </c:manualLayout>
      </c:layout>
      <c:barChart>
        <c:barDir val="col"/>
        <c:grouping val="clustered"/>
        <c:varyColors val="0"/>
        <c:ser>
          <c:idx val="0"/>
          <c:order val="0"/>
          <c:tx>
            <c:strRef>
              <c:f>Report!$F$67</c:f>
              <c:strCache>
                <c:ptCount val="1"/>
                <c:pt idx="0">
                  <c:v>Actual </c:v>
                </c:pt>
              </c:strCache>
            </c:strRef>
          </c:tx>
          <c:spPr>
            <a:solidFill>
              <a:srgbClr val="91349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Report!$E$68:$E$75</c:f>
              <c:strCache>
                <c:ptCount val="8"/>
                <c:pt idx="0">
                  <c:v>Q3 FY2024</c:v>
                </c:pt>
                <c:pt idx="1">
                  <c:v>Q4 FY2024</c:v>
                </c:pt>
                <c:pt idx="2">
                  <c:v>Q1 FY2025</c:v>
                </c:pt>
                <c:pt idx="3">
                  <c:v>Q2 FY2025</c:v>
                </c:pt>
                <c:pt idx="4">
                  <c:v>Q3 FY2025</c:v>
                </c:pt>
                <c:pt idx="5">
                  <c:v>Q4 FY2025</c:v>
                </c:pt>
                <c:pt idx="6">
                  <c:v>Q1 FY2026</c:v>
                </c:pt>
                <c:pt idx="7">
                  <c:v>Q2 FY2026</c:v>
                </c:pt>
              </c:strCache>
            </c:strRef>
          </c:cat>
          <c:val>
            <c:numRef>
              <c:f>Report!$F$68:$F$75</c:f>
              <c:numCache>
                <c:formatCode>0.00%</c:formatCode>
                <c:ptCount val="8"/>
                <c:pt idx="0">
                  <c:v>8.4000000000000005E-2</c:v>
                </c:pt>
                <c:pt idx="1">
                  <c:v>7.8E-2</c:v>
                </c:pt>
                <c:pt idx="2">
                  <c:v>6.7000000000000004E-2</c:v>
                </c:pt>
                <c:pt idx="3">
                  <c:v>5.3999999999999999E-2</c:v>
                </c:pt>
                <c:pt idx="4">
                  <c:v>6.2E-2</c:v>
                </c:pt>
                <c:pt idx="5">
                  <c:v>7.3999999999999996E-2</c:v>
                </c:pt>
                <c:pt idx="6">
                  <c:v>7.8E-2</c:v>
                </c:pt>
                <c:pt idx="7">
                  <c:v>8.199999999999999E-2</c:v>
                </c:pt>
              </c:numCache>
            </c:numRef>
          </c:val>
          <c:extLst>
            <c:ext xmlns:c16="http://schemas.microsoft.com/office/drawing/2014/chart" uri="{C3380CC4-5D6E-409C-BE32-E72D297353CC}">
              <c16:uniqueId val="{00000000-9B18-4AE1-B515-7E9449F9FEE9}"/>
            </c:ext>
          </c:extLst>
        </c:ser>
        <c:ser>
          <c:idx val="1"/>
          <c:order val="1"/>
          <c:tx>
            <c:strRef>
              <c:f>Report!$G$67</c:f>
              <c:strCache>
                <c:ptCount val="1"/>
                <c:pt idx="0">
                  <c:v>Projected</c:v>
                </c:pt>
              </c:strCache>
            </c:strRef>
          </c:tx>
          <c:spPr>
            <a:solidFill>
              <a:srgbClr val="D183D3"/>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Report!$E$68:$E$75</c:f>
              <c:strCache>
                <c:ptCount val="8"/>
                <c:pt idx="0">
                  <c:v>Q3 FY2024</c:v>
                </c:pt>
                <c:pt idx="1">
                  <c:v>Q4 FY2024</c:v>
                </c:pt>
                <c:pt idx="2">
                  <c:v>Q1 FY2025</c:v>
                </c:pt>
                <c:pt idx="3">
                  <c:v>Q2 FY2025</c:v>
                </c:pt>
                <c:pt idx="4">
                  <c:v>Q3 FY2025</c:v>
                </c:pt>
                <c:pt idx="5">
                  <c:v>Q4 FY2025</c:v>
                </c:pt>
                <c:pt idx="6">
                  <c:v>Q1 FY2026</c:v>
                </c:pt>
                <c:pt idx="7">
                  <c:v>Q2 FY2026</c:v>
                </c:pt>
              </c:strCache>
            </c:strRef>
          </c:cat>
          <c:val>
            <c:numRef>
              <c:f>Report!$G$68:$G$75</c:f>
              <c:numCache>
                <c:formatCode>0.00%</c:formatCode>
                <c:ptCount val="8"/>
                <c:pt idx="0">
                  <c:v>6.6000000000000003E-2</c:v>
                </c:pt>
                <c:pt idx="1">
                  <c:v>6.7000000000000004E-2</c:v>
                </c:pt>
                <c:pt idx="2">
                  <c:v>6.9000000000000006E-2</c:v>
                </c:pt>
                <c:pt idx="3">
                  <c:v>6.5000000000000002E-2</c:v>
                </c:pt>
                <c:pt idx="4">
                  <c:v>6.3E-2</c:v>
                </c:pt>
                <c:pt idx="5">
                  <c:v>6.7000000000000004E-2</c:v>
                </c:pt>
                <c:pt idx="6">
                  <c:v>6.6000000000000003E-2</c:v>
                </c:pt>
                <c:pt idx="7">
                  <c:v>7.2999999999999995E-2</c:v>
                </c:pt>
              </c:numCache>
            </c:numRef>
          </c:val>
          <c:extLst>
            <c:ext xmlns:c16="http://schemas.microsoft.com/office/drawing/2014/chart" uri="{C3380CC4-5D6E-409C-BE32-E72D297353CC}">
              <c16:uniqueId val="{00000001-9B18-4AE1-B515-7E9449F9FEE9}"/>
            </c:ext>
          </c:extLst>
        </c:ser>
        <c:dLbls>
          <c:showLegendKey val="0"/>
          <c:showVal val="0"/>
          <c:showCatName val="0"/>
          <c:showSerName val="0"/>
          <c:showPercent val="0"/>
          <c:showBubbleSize val="0"/>
        </c:dLbls>
        <c:gapWidth val="219"/>
        <c:overlap val="-27"/>
        <c:axId val="283959024"/>
        <c:axId val="283952304"/>
      </c:barChart>
      <c:catAx>
        <c:axId val="28395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952304"/>
        <c:crosses val="autoZero"/>
        <c:auto val="0"/>
        <c:lblAlgn val="ctr"/>
        <c:lblOffset val="100"/>
        <c:noMultiLvlLbl val="0"/>
      </c:catAx>
      <c:valAx>
        <c:axId val="283952304"/>
        <c:scaling>
          <c:orientation val="minMax"/>
          <c:max val="8.500000000000002E-2"/>
          <c:min val="4.5000000000000012E-2"/>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959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landscape"/>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t>Global Specialty Chemicals Market Size Forecasts(USD </a:t>
            </a:r>
          </a:p>
          <a:p>
            <a:pPr>
              <a:defRPr/>
            </a:pPr>
            <a:r>
              <a:rPr lang="en-IN" sz="1200"/>
              <a:t>Billion)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Report!$F$81</c:f>
              <c:strCache>
                <c:ptCount val="1"/>
                <c:pt idx="0">
                  <c:v>Volume</c:v>
                </c:pt>
              </c:strCache>
            </c:strRef>
          </c:tx>
          <c:spPr>
            <a:solidFill>
              <a:srgbClr val="913493"/>
            </a:solidFill>
            <a:ln>
              <a:noFill/>
            </a:ln>
            <a:effectLst/>
          </c:spPr>
          <c:invertIfNegative val="0"/>
          <c:dPt>
            <c:idx val="0"/>
            <c:invertIfNegative val="0"/>
            <c:bubble3D val="0"/>
            <c:spPr>
              <a:solidFill>
                <a:srgbClr val="EE3048"/>
              </a:solidFill>
              <a:ln>
                <a:noFill/>
              </a:ln>
              <a:effectLst/>
            </c:spPr>
            <c:extLst>
              <c:ext xmlns:c16="http://schemas.microsoft.com/office/drawing/2014/chart" uri="{C3380CC4-5D6E-409C-BE32-E72D297353CC}">
                <c16:uniqueId val="{00000002-4259-4CDC-876C-F807346C11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Report!$E$82:$E$92</c:f>
              <c:numCache>
                <c:formatCode>0"F"</c:formatCode>
                <c:ptCount val="11"/>
                <c:pt idx="0" formatCode="0&quot;A&quot;">
                  <c:v>2025</c:v>
                </c:pt>
                <c:pt idx="1">
                  <c:v>2026</c:v>
                </c:pt>
                <c:pt idx="2">
                  <c:v>2027</c:v>
                </c:pt>
                <c:pt idx="3">
                  <c:v>2028</c:v>
                </c:pt>
                <c:pt idx="4">
                  <c:v>2029</c:v>
                </c:pt>
                <c:pt idx="5">
                  <c:v>2030</c:v>
                </c:pt>
                <c:pt idx="6">
                  <c:v>2031</c:v>
                </c:pt>
                <c:pt idx="7">
                  <c:v>2032</c:v>
                </c:pt>
                <c:pt idx="8">
                  <c:v>2033</c:v>
                </c:pt>
                <c:pt idx="9">
                  <c:v>2034</c:v>
                </c:pt>
                <c:pt idx="10">
                  <c:v>2035</c:v>
                </c:pt>
              </c:numCache>
            </c:numRef>
          </c:cat>
          <c:val>
            <c:numRef>
              <c:f>Report!$F$82:$F$92</c:f>
              <c:numCache>
                <c:formatCode>General</c:formatCode>
                <c:ptCount val="11"/>
                <c:pt idx="0" formatCode="0">
                  <c:v>940.72</c:v>
                </c:pt>
                <c:pt idx="1">
                  <c:v>978</c:v>
                </c:pt>
                <c:pt idx="2">
                  <c:v>1018</c:v>
                </c:pt>
                <c:pt idx="3">
                  <c:v>1060</c:v>
                </c:pt>
                <c:pt idx="4">
                  <c:v>1104</c:v>
                </c:pt>
                <c:pt idx="5">
                  <c:v>1151</c:v>
                </c:pt>
                <c:pt idx="6">
                  <c:v>1196</c:v>
                </c:pt>
                <c:pt idx="7">
                  <c:v>1241</c:v>
                </c:pt>
                <c:pt idx="8">
                  <c:v>1286</c:v>
                </c:pt>
                <c:pt idx="9">
                  <c:v>1332</c:v>
                </c:pt>
                <c:pt idx="10">
                  <c:v>1377</c:v>
                </c:pt>
              </c:numCache>
            </c:numRef>
          </c:val>
          <c:extLst>
            <c:ext xmlns:c16="http://schemas.microsoft.com/office/drawing/2014/chart" uri="{C3380CC4-5D6E-409C-BE32-E72D297353CC}">
              <c16:uniqueId val="{00000000-4259-4CDC-876C-F807346C1193}"/>
            </c:ext>
          </c:extLst>
        </c:ser>
        <c:dLbls>
          <c:showLegendKey val="0"/>
          <c:showVal val="0"/>
          <c:showCatName val="0"/>
          <c:showSerName val="0"/>
          <c:showPercent val="0"/>
          <c:showBubbleSize val="0"/>
        </c:dLbls>
        <c:gapWidth val="219"/>
        <c:overlap val="-27"/>
        <c:axId val="45281904"/>
        <c:axId val="45276624"/>
      </c:barChart>
      <c:catAx>
        <c:axId val="45281904"/>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192000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45276624"/>
        <c:crosses val="autoZero"/>
        <c:auto val="1"/>
        <c:lblAlgn val="ctr"/>
        <c:lblOffset val="100"/>
        <c:noMultiLvlLbl val="0"/>
      </c:catAx>
      <c:valAx>
        <c:axId val="45276624"/>
        <c:scaling>
          <c:orientation val="minMax"/>
          <c:max val="1400"/>
          <c:min val="80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8190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Market Share By Region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9145056867891511"/>
          <c:y val="0.14597039953339166"/>
          <c:w val="0.44765463692038493"/>
          <c:h val="0.74609106153397498"/>
        </c:manualLayout>
      </c:layout>
      <c:doughnutChart>
        <c:varyColors val="1"/>
        <c:ser>
          <c:idx val="0"/>
          <c:order val="0"/>
          <c:spPr>
            <a:ln w="50800" cap="sq"/>
          </c:spPr>
          <c:dPt>
            <c:idx val="0"/>
            <c:bubble3D val="0"/>
            <c:spPr>
              <a:solidFill>
                <a:srgbClr val="BFBFBF"/>
              </a:solidFill>
              <a:ln w="50800" cap="sq">
                <a:solidFill>
                  <a:schemeClr val="lt1"/>
                </a:solidFill>
              </a:ln>
              <a:effectLst/>
            </c:spPr>
            <c:extLst>
              <c:ext xmlns:c16="http://schemas.microsoft.com/office/drawing/2014/chart" uri="{C3380CC4-5D6E-409C-BE32-E72D297353CC}">
                <c16:uniqueId val="{00000001-EAC6-41BF-9702-A2153A2CF38F}"/>
              </c:ext>
            </c:extLst>
          </c:dPt>
          <c:dPt>
            <c:idx val="1"/>
            <c:bubble3D val="0"/>
            <c:spPr>
              <a:solidFill>
                <a:srgbClr val="EE3048"/>
              </a:solidFill>
              <a:ln w="50800" cap="sq">
                <a:solidFill>
                  <a:schemeClr val="lt1"/>
                </a:solidFill>
              </a:ln>
              <a:effectLst/>
            </c:spPr>
            <c:extLst>
              <c:ext xmlns:c16="http://schemas.microsoft.com/office/drawing/2014/chart" uri="{C3380CC4-5D6E-409C-BE32-E72D297353CC}">
                <c16:uniqueId val="{00000003-EAC6-41BF-9702-A2153A2CF38F}"/>
              </c:ext>
            </c:extLst>
          </c:dPt>
          <c:dPt>
            <c:idx val="2"/>
            <c:bubble3D val="0"/>
            <c:spPr>
              <a:solidFill>
                <a:srgbClr val="913493"/>
              </a:solidFill>
              <a:ln w="50800" cap="sq">
                <a:solidFill>
                  <a:schemeClr val="lt1"/>
                </a:solidFill>
              </a:ln>
              <a:effectLst/>
            </c:spPr>
            <c:extLst>
              <c:ext xmlns:c16="http://schemas.microsoft.com/office/drawing/2014/chart" uri="{C3380CC4-5D6E-409C-BE32-E72D297353CC}">
                <c16:uniqueId val="{00000002-EAC6-41BF-9702-A2153A2CF38F}"/>
              </c:ext>
            </c:extLst>
          </c:dPt>
          <c:dPt>
            <c:idx val="3"/>
            <c:bubble3D val="0"/>
            <c:spPr>
              <a:solidFill>
                <a:schemeClr val="accent4"/>
              </a:solidFill>
              <a:ln w="50800" cap="sq">
                <a:solidFill>
                  <a:schemeClr val="lt1"/>
                </a:solidFill>
              </a:ln>
              <a:effectLst/>
            </c:spPr>
            <c:extLst>
              <c:ext xmlns:c16="http://schemas.microsoft.com/office/drawing/2014/chart" uri="{C3380CC4-5D6E-409C-BE32-E72D297353CC}">
                <c16:uniqueId val="{00000004-EAC6-41BF-9702-A2153A2CF38F}"/>
              </c:ext>
            </c:extLst>
          </c:dPt>
          <c:dLbls>
            <c:dLbl>
              <c:idx val="0"/>
              <c:layout>
                <c:manualLayout>
                  <c:x val="8.0555555555555561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C6-41BF-9702-A2153A2CF38F}"/>
                </c:ext>
              </c:extLst>
            </c:dLbl>
            <c:dLbl>
              <c:idx val="1"/>
              <c:layout>
                <c:manualLayout>
                  <c:x val="7.4999999999999997E-2"/>
                  <c:y val="2.77777777777776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AC6-41BF-9702-A2153A2CF38F}"/>
                </c:ext>
              </c:extLst>
            </c:dLbl>
            <c:dLbl>
              <c:idx val="2"/>
              <c:layout>
                <c:manualLayout>
                  <c:x val="-7.7777777777777779E-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C6-41BF-9702-A2153A2CF38F}"/>
                </c:ext>
              </c:extLst>
            </c:dLbl>
            <c:dLbl>
              <c:idx val="3"/>
              <c:layout>
                <c:manualLayout>
                  <c:x val="-4.9999999999999947E-2"/>
                  <c:y val="-6.0185185185185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AC6-41BF-9702-A2153A2CF38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Report!$E$97:$E$100</c:f>
              <c:strCache>
                <c:ptCount val="4"/>
                <c:pt idx="0">
                  <c:v>North America</c:v>
                </c:pt>
                <c:pt idx="1">
                  <c:v>Europe</c:v>
                </c:pt>
                <c:pt idx="2">
                  <c:v>Asia Pacific</c:v>
                </c:pt>
                <c:pt idx="3">
                  <c:v>Lamea</c:v>
                </c:pt>
              </c:strCache>
            </c:strRef>
          </c:cat>
          <c:val>
            <c:numRef>
              <c:f>Report!$F$97:$F$100</c:f>
              <c:numCache>
                <c:formatCode>0.00%</c:formatCode>
                <c:ptCount val="4"/>
                <c:pt idx="0">
                  <c:v>0.23380000000000001</c:v>
                </c:pt>
                <c:pt idx="1">
                  <c:v>0.2666</c:v>
                </c:pt>
                <c:pt idx="2">
                  <c:v>0.41049999999999998</c:v>
                </c:pt>
                <c:pt idx="3">
                  <c:v>8.9099999999999999E-2</c:v>
                </c:pt>
              </c:numCache>
            </c:numRef>
          </c:val>
          <c:extLst>
            <c:ext xmlns:c16="http://schemas.microsoft.com/office/drawing/2014/chart" uri="{C3380CC4-5D6E-409C-BE32-E72D297353CC}">
              <c16:uniqueId val="{00000000-EAC6-41BF-9702-A2153A2CF38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Indian</a:t>
            </a:r>
            <a:r>
              <a:rPr lang="en-IN" baseline="0"/>
              <a:t> Specialty Forecast growth in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rgbClr val="913493"/>
            </a:solidFill>
            <a:ln>
              <a:noFill/>
            </a:ln>
            <a:effectLst/>
          </c:spPr>
          <c:invertIfNegative val="0"/>
          <c:dPt>
            <c:idx val="0"/>
            <c:invertIfNegative val="0"/>
            <c:bubble3D val="0"/>
            <c:spPr>
              <a:solidFill>
                <a:srgbClr val="EE3048"/>
              </a:solidFill>
              <a:ln>
                <a:noFill/>
              </a:ln>
              <a:effectLst/>
            </c:spPr>
            <c:extLst>
              <c:ext xmlns:c16="http://schemas.microsoft.com/office/drawing/2014/chart" uri="{C3380CC4-5D6E-409C-BE32-E72D297353CC}">
                <c16:uniqueId val="{00000002-9491-4EBD-97B7-77CE501596DE}"/>
              </c:ext>
            </c:extLst>
          </c:dPt>
          <c:dPt>
            <c:idx val="1"/>
            <c:invertIfNegative val="0"/>
            <c:bubble3D val="0"/>
            <c:spPr>
              <a:solidFill>
                <a:srgbClr val="EE3048"/>
              </a:solidFill>
              <a:ln>
                <a:noFill/>
              </a:ln>
              <a:effectLst/>
            </c:spPr>
            <c:extLst>
              <c:ext xmlns:c16="http://schemas.microsoft.com/office/drawing/2014/chart" uri="{C3380CC4-5D6E-409C-BE32-E72D297353CC}">
                <c16:uniqueId val="{00000004-9491-4EBD-97B7-77CE501596D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Report!$E$118:$E$128</c:f>
              <c:numCache>
                <c:formatCode>0"A"</c:formatCode>
                <c:ptCount val="11"/>
                <c:pt idx="0">
                  <c:v>2024</c:v>
                </c:pt>
                <c:pt idx="1">
                  <c:v>2025</c:v>
                </c:pt>
                <c:pt idx="2" formatCode="0&quot;F&quot;">
                  <c:v>2026</c:v>
                </c:pt>
                <c:pt idx="3" formatCode="0&quot;F&quot;">
                  <c:v>2027</c:v>
                </c:pt>
                <c:pt idx="4" formatCode="0&quot;F&quot;">
                  <c:v>2028</c:v>
                </c:pt>
                <c:pt idx="5" formatCode="0&quot;F&quot;">
                  <c:v>2029</c:v>
                </c:pt>
                <c:pt idx="6">
                  <c:v>2030</c:v>
                </c:pt>
                <c:pt idx="7" formatCode="0&quot;F&quot;">
                  <c:v>2031</c:v>
                </c:pt>
                <c:pt idx="8" formatCode="0&quot;F&quot;">
                  <c:v>2032</c:v>
                </c:pt>
                <c:pt idx="9" formatCode="0&quot;F&quot;">
                  <c:v>2033</c:v>
                </c:pt>
                <c:pt idx="10" formatCode="0&quot;F&quot;">
                  <c:v>2034</c:v>
                </c:pt>
              </c:numCache>
            </c:numRef>
          </c:cat>
          <c:val>
            <c:numRef>
              <c:f>Report!$F$118:$F$128</c:f>
              <c:numCache>
                <c:formatCode>General</c:formatCode>
                <c:ptCount val="11"/>
                <c:pt idx="0">
                  <c:v>62.78</c:v>
                </c:pt>
                <c:pt idx="1">
                  <c:v>65.55</c:v>
                </c:pt>
                <c:pt idx="2">
                  <c:v>68.45</c:v>
                </c:pt>
                <c:pt idx="3">
                  <c:v>71.47</c:v>
                </c:pt>
                <c:pt idx="4">
                  <c:v>74.63</c:v>
                </c:pt>
                <c:pt idx="5">
                  <c:v>77.930000000000007</c:v>
                </c:pt>
                <c:pt idx="6">
                  <c:v>81.37</c:v>
                </c:pt>
                <c:pt idx="7">
                  <c:v>84.96</c:v>
                </c:pt>
                <c:pt idx="8">
                  <c:v>88.72</c:v>
                </c:pt>
                <c:pt idx="9">
                  <c:v>92.64</c:v>
                </c:pt>
                <c:pt idx="10">
                  <c:v>96.73</c:v>
                </c:pt>
              </c:numCache>
            </c:numRef>
          </c:val>
          <c:extLst>
            <c:ext xmlns:c16="http://schemas.microsoft.com/office/drawing/2014/chart" uri="{C3380CC4-5D6E-409C-BE32-E72D297353CC}">
              <c16:uniqueId val="{00000000-9491-4EBD-97B7-77CE501596DE}"/>
            </c:ext>
          </c:extLst>
        </c:ser>
        <c:dLbls>
          <c:showLegendKey val="0"/>
          <c:showVal val="0"/>
          <c:showCatName val="0"/>
          <c:showSerName val="0"/>
          <c:showPercent val="0"/>
          <c:showBubbleSize val="0"/>
        </c:dLbls>
        <c:gapWidth val="219"/>
        <c:overlap val="-27"/>
        <c:axId val="45259824"/>
        <c:axId val="45262224"/>
      </c:barChart>
      <c:catAx>
        <c:axId val="45259824"/>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228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62224"/>
        <c:crosses val="autoZero"/>
        <c:auto val="1"/>
        <c:lblAlgn val="ctr"/>
        <c:lblOffset val="100"/>
        <c:noMultiLvlLbl val="0"/>
      </c:catAx>
      <c:valAx>
        <c:axId val="45262224"/>
        <c:scaling>
          <c:orientation val="minMax"/>
          <c:max val="100"/>
          <c:min val="5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598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a:t>Historical CAGR</a:t>
            </a:r>
            <a:r>
              <a:rPr lang="en-IN" sz="1200" baseline="0"/>
              <a:t> %</a:t>
            </a:r>
            <a:endParaRPr lang="en-IN"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rgbClr val="913493"/>
            </a:solidFill>
            <a:ln>
              <a:noFill/>
            </a:ln>
            <a:effectLst/>
          </c:spPr>
          <c:invertIfNegative val="0"/>
          <c:dPt>
            <c:idx val="0"/>
            <c:invertIfNegative val="0"/>
            <c:bubble3D val="0"/>
            <c:spPr>
              <a:solidFill>
                <a:srgbClr val="EE3048"/>
              </a:solidFill>
              <a:ln>
                <a:noFill/>
              </a:ln>
              <a:effectLst/>
            </c:spPr>
            <c:extLst>
              <c:ext xmlns:c16="http://schemas.microsoft.com/office/drawing/2014/chart" uri="{C3380CC4-5D6E-409C-BE32-E72D297353CC}">
                <c16:uniqueId val="{00000001-C48D-43B2-AE1E-57561098DB14}"/>
              </c:ext>
            </c:extLst>
          </c:dPt>
          <c:cat>
            <c:strRef>
              <c:f>Report!$E$131:$E$136</c:f>
              <c:strCache>
                <c:ptCount val="6"/>
                <c:pt idx="0">
                  <c:v>India</c:v>
                </c:pt>
                <c:pt idx="1">
                  <c:v>China</c:v>
                </c:pt>
                <c:pt idx="2">
                  <c:v>Global</c:v>
                </c:pt>
                <c:pt idx="3">
                  <c:v>North America</c:v>
                </c:pt>
                <c:pt idx="4">
                  <c:v>Western Europe</c:v>
                </c:pt>
                <c:pt idx="5">
                  <c:v>Japan</c:v>
                </c:pt>
              </c:strCache>
            </c:strRef>
          </c:cat>
          <c:val>
            <c:numRef>
              <c:f>Report!$F$131:$F$136</c:f>
              <c:numCache>
                <c:formatCode>0%</c:formatCode>
                <c:ptCount val="6"/>
                <c:pt idx="0">
                  <c:v>0.12</c:v>
                </c:pt>
                <c:pt idx="1">
                  <c:v>0.06</c:v>
                </c:pt>
                <c:pt idx="2">
                  <c:v>0.04</c:v>
                </c:pt>
                <c:pt idx="3">
                  <c:v>0.03</c:v>
                </c:pt>
                <c:pt idx="4">
                  <c:v>0.02</c:v>
                </c:pt>
                <c:pt idx="5">
                  <c:v>0.01</c:v>
                </c:pt>
              </c:numCache>
            </c:numRef>
          </c:val>
          <c:extLst>
            <c:ext xmlns:c16="http://schemas.microsoft.com/office/drawing/2014/chart" uri="{C3380CC4-5D6E-409C-BE32-E72D297353CC}">
              <c16:uniqueId val="{00000000-C48D-43B2-AE1E-57561098DB14}"/>
            </c:ext>
          </c:extLst>
        </c:ser>
        <c:dLbls>
          <c:showLegendKey val="0"/>
          <c:showVal val="0"/>
          <c:showCatName val="0"/>
          <c:showSerName val="0"/>
          <c:showPercent val="0"/>
          <c:showBubbleSize val="0"/>
        </c:dLbls>
        <c:gapWidth val="219"/>
        <c:overlap val="-27"/>
        <c:axId val="45269424"/>
        <c:axId val="45269904"/>
      </c:barChart>
      <c:catAx>
        <c:axId val="4526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69904"/>
        <c:crosses val="autoZero"/>
        <c:auto val="1"/>
        <c:lblAlgn val="ctr"/>
        <c:lblOffset val="100"/>
        <c:noMultiLvlLbl val="0"/>
      </c:catAx>
      <c:valAx>
        <c:axId val="4526990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6942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Report!$E$145</c:f>
              <c:strCache>
                <c:ptCount val="1"/>
                <c:pt idx="0">
                  <c:v>Capex</c:v>
                </c:pt>
              </c:strCache>
            </c:strRef>
          </c:tx>
          <c:spPr>
            <a:solidFill>
              <a:srgbClr val="913493"/>
            </a:solidFill>
            <a:ln>
              <a:noFill/>
            </a:ln>
            <a:effectLst/>
          </c:spPr>
          <c:invertIfNegative val="0"/>
          <c:dPt>
            <c:idx val="0"/>
            <c:invertIfNegative val="0"/>
            <c:bubble3D val="0"/>
            <c:spPr>
              <a:solidFill>
                <a:srgbClr val="EE3048"/>
              </a:solidFill>
              <a:ln>
                <a:noFill/>
              </a:ln>
              <a:effectLst/>
            </c:spPr>
            <c:extLst>
              <c:ext xmlns:c16="http://schemas.microsoft.com/office/drawing/2014/chart" uri="{C3380CC4-5D6E-409C-BE32-E72D297353CC}">
                <c16:uniqueId val="{00000004-BE16-4679-9548-1B5B17041301}"/>
              </c:ext>
            </c:extLst>
          </c:dPt>
          <c:dPt>
            <c:idx val="1"/>
            <c:invertIfNegative val="0"/>
            <c:bubble3D val="0"/>
            <c:spPr>
              <a:solidFill>
                <a:srgbClr val="EE3048"/>
              </a:solidFill>
              <a:ln>
                <a:noFill/>
              </a:ln>
              <a:effectLst/>
            </c:spPr>
            <c:extLst>
              <c:ext xmlns:c16="http://schemas.microsoft.com/office/drawing/2014/chart" uri="{C3380CC4-5D6E-409C-BE32-E72D297353CC}">
                <c16:uniqueId val="{00000003-BE16-4679-9548-1B5B17041301}"/>
              </c:ext>
            </c:extLst>
          </c:dPt>
          <c:dPt>
            <c:idx val="2"/>
            <c:invertIfNegative val="0"/>
            <c:bubble3D val="0"/>
            <c:spPr>
              <a:solidFill>
                <a:srgbClr val="EE3048"/>
              </a:solidFill>
              <a:ln>
                <a:noFill/>
              </a:ln>
              <a:effectLst/>
            </c:spPr>
            <c:extLst>
              <c:ext xmlns:c16="http://schemas.microsoft.com/office/drawing/2014/chart" uri="{C3380CC4-5D6E-409C-BE32-E72D297353CC}">
                <c16:uniqueId val="{00000002-BE16-4679-9548-1B5B17041301}"/>
              </c:ext>
            </c:extLst>
          </c:dPt>
          <c:dPt>
            <c:idx val="3"/>
            <c:invertIfNegative val="0"/>
            <c:bubble3D val="0"/>
            <c:spPr>
              <a:solidFill>
                <a:srgbClr val="EE3048"/>
              </a:solidFill>
              <a:ln>
                <a:noFill/>
              </a:ln>
              <a:effectLst/>
            </c:spPr>
            <c:extLst>
              <c:ext xmlns:c16="http://schemas.microsoft.com/office/drawing/2014/chart" uri="{C3380CC4-5D6E-409C-BE32-E72D297353CC}">
                <c16:uniqueId val="{00000001-BE16-4679-9548-1B5B17041301}"/>
              </c:ext>
            </c:extLst>
          </c:dPt>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Report!$F$144:$W$144</c:f>
              <c:numCache>
                <c:formatCode>0"A"</c:formatCode>
                <c:ptCount val="18"/>
                <c:pt idx="0">
                  <c:v>2022</c:v>
                </c:pt>
                <c:pt idx="1">
                  <c:v>2023</c:v>
                </c:pt>
                <c:pt idx="2">
                  <c:v>2024</c:v>
                </c:pt>
                <c:pt idx="3">
                  <c:v>2025</c:v>
                </c:pt>
                <c:pt idx="4" formatCode="0&quot;E&quot;">
                  <c:v>2026</c:v>
                </c:pt>
                <c:pt idx="5" formatCode="0&quot;E&quot;">
                  <c:v>2027</c:v>
                </c:pt>
                <c:pt idx="6" formatCode="0&quot;E&quot;">
                  <c:v>2028</c:v>
                </c:pt>
                <c:pt idx="7" formatCode="0&quot;E&quot;">
                  <c:v>2029</c:v>
                </c:pt>
                <c:pt idx="8" formatCode="0&quot;E&quot;">
                  <c:v>2030</c:v>
                </c:pt>
                <c:pt idx="9" formatCode="0&quot;E&quot;">
                  <c:v>2031</c:v>
                </c:pt>
                <c:pt idx="10" formatCode="0&quot;E&quot;">
                  <c:v>2032</c:v>
                </c:pt>
                <c:pt idx="11" formatCode="0&quot;E&quot;">
                  <c:v>2033</c:v>
                </c:pt>
                <c:pt idx="12" formatCode="0&quot;E&quot;">
                  <c:v>2034</c:v>
                </c:pt>
                <c:pt idx="13" formatCode="0&quot;E&quot;">
                  <c:v>2035</c:v>
                </c:pt>
                <c:pt idx="14" formatCode="0&quot;E&quot;">
                  <c:v>2036</c:v>
                </c:pt>
                <c:pt idx="15" formatCode="0&quot;E&quot;">
                  <c:v>2037</c:v>
                </c:pt>
                <c:pt idx="16" formatCode="0&quot;E&quot;">
                  <c:v>2038</c:v>
                </c:pt>
                <c:pt idx="17" formatCode="0&quot;E&quot;">
                  <c:v>2039</c:v>
                </c:pt>
              </c:numCache>
            </c:numRef>
          </c:cat>
          <c:val>
            <c:numRef>
              <c:f>Report!$F$145:$W$145</c:f>
              <c:numCache>
                <c:formatCode>0</c:formatCode>
                <c:ptCount val="18"/>
                <c:pt idx="0">
                  <c:v>456.3</c:v>
                </c:pt>
                <c:pt idx="1">
                  <c:v>416.45</c:v>
                </c:pt>
                <c:pt idx="2">
                  <c:v>398.44</c:v>
                </c:pt>
                <c:pt idx="3">
                  <c:v>186.35</c:v>
                </c:pt>
                <c:pt idx="4">
                  <c:v>450</c:v>
                </c:pt>
                <c:pt idx="5">
                  <c:v>600</c:v>
                </c:pt>
                <c:pt idx="6">
                  <c:v>750</c:v>
                </c:pt>
                <c:pt idx="7">
                  <c:v>900</c:v>
                </c:pt>
                <c:pt idx="8">
                  <c:v>1050</c:v>
                </c:pt>
                <c:pt idx="9">
                  <c:v>1200</c:v>
                </c:pt>
                <c:pt idx="10">
                  <c:v>1350</c:v>
                </c:pt>
                <c:pt idx="11">
                  <c:v>1500</c:v>
                </c:pt>
                <c:pt idx="12">
                  <c:v>1560</c:v>
                </c:pt>
                <c:pt idx="13">
                  <c:v>1622.4</c:v>
                </c:pt>
                <c:pt idx="14">
                  <c:v>1687.296</c:v>
                </c:pt>
                <c:pt idx="15">
                  <c:v>1754.7878400000002</c:v>
                </c:pt>
                <c:pt idx="16">
                  <c:v>1824.9793536000002</c:v>
                </c:pt>
                <c:pt idx="17">
                  <c:v>1897.9785277440003</c:v>
                </c:pt>
              </c:numCache>
            </c:numRef>
          </c:val>
          <c:extLst>
            <c:ext xmlns:c16="http://schemas.microsoft.com/office/drawing/2014/chart" uri="{C3380CC4-5D6E-409C-BE32-E72D297353CC}">
              <c16:uniqueId val="{00000000-BE16-4679-9548-1B5B17041301}"/>
            </c:ext>
          </c:extLst>
        </c:ser>
        <c:dLbls>
          <c:showLegendKey val="0"/>
          <c:showVal val="0"/>
          <c:showCatName val="0"/>
          <c:showSerName val="0"/>
          <c:showPercent val="0"/>
          <c:showBubbleSize val="0"/>
        </c:dLbls>
        <c:gapWidth val="219"/>
        <c:overlap val="-27"/>
        <c:axId val="2135700000"/>
        <c:axId val="2135711040"/>
      </c:barChart>
      <c:catAx>
        <c:axId val="2135700000"/>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711040"/>
        <c:crosses val="autoZero"/>
        <c:auto val="1"/>
        <c:lblAlgn val="ctr"/>
        <c:lblOffset val="100"/>
        <c:noMultiLvlLbl val="0"/>
      </c:catAx>
      <c:valAx>
        <c:axId val="2135711040"/>
        <c:scaling>
          <c:orientation val="minMax"/>
          <c:max val="1900"/>
          <c:min val="5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570000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Growth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Report!$E$169</c:f>
              <c:strCache>
                <c:ptCount val="1"/>
                <c:pt idx="0">
                  <c:v>Reveune</c:v>
                </c:pt>
              </c:strCache>
            </c:strRef>
          </c:tx>
          <c:spPr>
            <a:solidFill>
              <a:srgbClr val="913493"/>
            </a:solidFill>
            <a:ln>
              <a:noFill/>
            </a:ln>
            <a:effectLst/>
          </c:spPr>
          <c:invertIfNegative val="0"/>
          <c:dPt>
            <c:idx val="0"/>
            <c:invertIfNegative val="0"/>
            <c:bubble3D val="0"/>
            <c:spPr>
              <a:solidFill>
                <a:srgbClr val="EE3048"/>
              </a:solidFill>
              <a:ln>
                <a:noFill/>
              </a:ln>
              <a:effectLst/>
            </c:spPr>
            <c:extLst>
              <c:ext xmlns:c16="http://schemas.microsoft.com/office/drawing/2014/chart" uri="{C3380CC4-5D6E-409C-BE32-E72D297353CC}">
                <c16:uniqueId val="{00000003-38BC-47A6-AB38-DFDB3A83822C}"/>
              </c:ext>
            </c:extLst>
          </c:dPt>
          <c:dPt>
            <c:idx val="9"/>
            <c:invertIfNegative val="0"/>
            <c:bubble3D val="0"/>
            <c:spPr>
              <a:solidFill>
                <a:srgbClr val="002060"/>
              </a:solidFill>
              <a:ln>
                <a:noFill/>
              </a:ln>
              <a:effectLst/>
            </c:spPr>
            <c:extLst>
              <c:ext xmlns:c16="http://schemas.microsoft.com/office/drawing/2014/chart" uri="{C3380CC4-5D6E-409C-BE32-E72D297353CC}">
                <c16:uniqueId val="{00000004-38BC-47A6-AB38-DFDB3A83822C}"/>
              </c:ext>
            </c:extLst>
          </c:dPt>
          <c:dPt>
            <c:idx val="10"/>
            <c:invertIfNegative val="0"/>
            <c:bubble3D val="0"/>
            <c:spPr>
              <a:solidFill>
                <a:srgbClr val="002060"/>
              </a:solidFill>
              <a:ln>
                <a:noFill/>
              </a:ln>
              <a:effectLst/>
            </c:spPr>
            <c:extLst>
              <c:ext xmlns:c16="http://schemas.microsoft.com/office/drawing/2014/chart" uri="{C3380CC4-5D6E-409C-BE32-E72D297353CC}">
                <c16:uniqueId val="{00000005-38BC-47A6-AB38-DFDB3A83822C}"/>
              </c:ext>
            </c:extLst>
          </c:dPt>
          <c:dPt>
            <c:idx val="11"/>
            <c:invertIfNegative val="0"/>
            <c:bubble3D val="0"/>
            <c:spPr>
              <a:solidFill>
                <a:srgbClr val="002060"/>
              </a:solidFill>
              <a:ln>
                <a:noFill/>
              </a:ln>
              <a:effectLst/>
            </c:spPr>
            <c:extLst>
              <c:ext xmlns:c16="http://schemas.microsoft.com/office/drawing/2014/chart" uri="{C3380CC4-5D6E-409C-BE32-E72D297353CC}">
                <c16:uniqueId val="{00000006-38BC-47A6-AB38-DFDB3A83822C}"/>
              </c:ext>
            </c:extLst>
          </c:dPt>
          <c:dPt>
            <c:idx val="12"/>
            <c:invertIfNegative val="0"/>
            <c:bubble3D val="0"/>
            <c:spPr>
              <a:solidFill>
                <a:srgbClr val="002060"/>
              </a:solidFill>
              <a:ln>
                <a:noFill/>
              </a:ln>
              <a:effectLst/>
            </c:spPr>
            <c:extLst>
              <c:ext xmlns:c16="http://schemas.microsoft.com/office/drawing/2014/chart" uri="{C3380CC4-5D6E-409C-BE32-E72D297353CC}">
                <c16:uniqueId val="{00000007-38BC-47A6-AB38-DFDB3A83822C}"/>
              </c:ext>
            </c:extLst>
          </c:dPt>
          <c:dPt>
            <c:idx val="13"/>
            <c:invertIfNegative val="0"/>
            <c:bubble3D val="0"/>
            <c:spPr>
              <a:solidFill>
                <a:srgbClr val="002060"/>
              </a:solidFill>
              <a:ln>
                <a:noFill/>
              </a:ln>
              <a:effectLst/>
            </c:spPr>
            <c:extLst>
              <c:ext xmlns:c16="http://schemas.microsoft.com/office/drawing/2014/chart" uri="{C3380CC4-5D6E-409C-BE32-E72D297353CC}">
                <c16:uniqueId val="{00000008-38BC-47A6-AB38-DFDB3A83822C}"/>
              </c:ext>
            </c:extLst>
          </c:dPt>
          <c:dPt>
            <c:idx val="14"/>
            <c:invertIfNegative val="0"/>
            <c:bubble3D val="0"/>
            <c:spPr>
              <a:solidFill>
                <a:srgbClr val="002060"/>
              </a:solidFill>
              <a:ln>
                <a:noFill/>
              </a:ln>
              <a:effectLst/>
            </c:spPr>
            <c:extLst>
              <c:ext xmlns:c16="http://schemas.microsoft.com/office/drawing/2014/chart" uri="{C3380CC4-5D6E-409C-BE32-E72D297353CC}">
                <c16:uniqueId val="{00000009-38BC-47A6-AB38-DFDB3A83822C}"/>
              </c:ext>
            </c:extLst>
          </c:dPt>
          <c:cat>
            <c:numRef>
              <c:f>Report!$F$168:$T$168</c:f>
              <c:numCache>
                <c:formatCode>0"E"</c:formatCode>
                <c:ptCount val="15"/>
                <c:pt idx="0" formatCode="0&quot;A&quot;">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numCache>
            </c:numRef>
          </c:cat>
          <c:val>
            <c:numRef>
              <c:f>Report!$F$169:$T$169</c:f>
              <c:numCache>
                <c:formatCode>0</c:formatCode>
                <c:ptCount val="15"/>
                <c:pt idx="0">
                  <c:v>2550</c:v>
                </c:pt>
                <c:pt idx="1">
                  <c:v>2958</c:v>
                </c:pt>
                <c:pt idx="2">
                  <c:v>3549.6</c:v>
                </c:pt>
                <c:pt idx="3">
                  <c:v>4437</c:v>
                </c:pt>
                <c:pt idx="4">
                  <c:v>5546.25</c:v>
                </c:pt>
                <c:pt idx="5">
                  <c:v>6835.7531249999993</c:v>
                </c:pt>
                <c:pt idx="6">
                  <c:v>8305.4400468749973</c:v>
                </c:pt>
                <c:pt idx="7">
                  <c:v>9945.7644561328088</c:v>
                </c:pt>
                <c:pt idx="8">
                  <c:v>11736.002058236714</c:v>
                </c:pt>
                <c:pt idx="9">
                  <c:v>13496.402366972221</c:v>
                </c:pt>
                <c:pt idx="10">
                  <c:v>15385.898698348334</c:v>
                </c:pt>
                <c:pt idx="11">
                  <c:v>17232.206542150136</c:v>
                </c:pt>
                <c:pt idx="12">
                  <c:v>18955.427196365152</c:v>
                </c:pt>
                <c:pt idx="13">
                  <c:v>20471.861372074367</c:v>
                </c:pt>
                <c:pt idx="14">
                  <c:v>21495.454440678088</c:v>
                </c:pt>
              </c:numCache>
            </c:numRef>
          </c:val>
          <c:extLst>
            <c:ext xmlns:c16="http://schemas.microsoft.com/office/drawing/2014/chart" uri="{C3380CC4-5D6E-409C-BE32-E72D297353CC}">
              <c16:uniqueId val="{00000000-38BC-47A6-AB38-DFDB3A83822C}"/>
            </c:ext>
          </c:extLst>
        </c:ser>
        <c:dLbls>
          <c:showLegendKey val="0"/>
          <c:showVal val="0"/>
          <c:showCatName val="0"/>
          <c:showSerName val="0"/>
          <c:showPercent val="0"/>
          <c:showBubbleSize val="0"/>
        </c:dLbls>
        <c:gapWidth val="219"/>
        <c:overlap val="-27"/>
        <c:axId val="915477647"/>
        <c:axId val="915480047"/>
      </c:barChart>
      <c:lineChart>
        <c:grouping val="standard"/>
        <c:varyColors val="0"/>
        <c:ser>
          <c:idx val="1"/>
          <c:order val="1"/>
          <c:tx>
            <c:strRef>
              <c:f>Report!$E$170</c:f>
              <c:strCache>
                <c:ptCount val="1"/>
                <c:pt idx="0">
                  <c:v>YOY Growth %</c:v>
                </c:pt>
              </c:strCache>
            </c:strRef>
          </c:tx>
          <c:spPr>
            <a:ln w="22225" cap="rnd">
              <a:solidFill>
                <a:srgbClr val="BFBFBF"/>
              </a:solidFill>
              <a:round/>
            </a:ln>
            <a:effectLst/>
          </c:spPr>
          <c:marker>
            <c:symbol val="none"/>
          </c:marker>
          <c:cat>
            <c:numRef>
              <c:f>Report!$F$168:$T$168</c:f>
              <c:numCache>
                <c:formatCode>0"E"</c:formatCode>
                <c:ptCount val="15"/>
                <c:pt idx="0" formatCode="0&quot;A&quot;">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numCache>
            </c:numRef>
          </c:cat>
          <c:val>
            <c:numRef>
              <c:f>Report!$F$170:$T$170</c:f>
              <c:numCache>
                <c:formatCode>0%</c:formatCode>
                <c:ptCount val="15"/>
                <c:pt idx="1">
                  <c:v>0.15999999999999992</c:v>
                </c:pt>
                <c:pt idx="2">
                  <c:v>0.19999999999999996</c:v>
                </c:pt>
                <c:pt idx="3">
                  <c:v>0.25</c:v>
                </c:pt>
                <c:pt idx="4">
                  <c:v>0.25</c:v>
                </c:pt>
                <c:pt idx="5">
                  <c:v>0.23249999999999993</c:v>
                </c:pt>
                <c:pt idx="6">
                  <c:v>0.21499999999999964</c:v>
                </c:pt>
                <c:pt idx="7">
                  <c:v>0.19750000000000001</c:v>
                </c:pt>
                <c:pt idx="8">
                  <c:v>0.17999999999999994</c:v>
                </c:pt>
                <c:pt idx="9">
                  <c:v>0.14999999999999991</c:v>
                </c:pt>
                <c:pt idx="10">
                  <c:v>0.14000000000000012</c:v>
                </c:pt>
                <c:pt idx="11">
                  <c:v>0.12000000000000011</c:v>
                </c:pt>
                <c:pt idx="12">
                  <c:v>0.10000000000000009</c:v>
                </c:pt>
                <c:pt idx="13">
                  <c:v>8.0000000000000071E-2</c:v>
                </c:pt>
                <c:pt idx="14">
                  <c:v>5.0000000000000044E-2</c:v>
                </c:pt>
              </c:numCache>
            </c:numRef>
          </c:val>
          <c:smooth val="0"/>
          <c:extLst>
            <c:ext xmlns:c16="http://schemas.microsoft.com/office/drawing/2014/chart" uri="{C3380CC4-5D6E-409C-BE32-E72D297353CC}">
              <c16:uniqueId val="{00000001-38BC-47A6-AB38-DFDB3A83822C}"/>
            </c:ext>
          </c:extLst>
        </c:ser>
        <c:dLbls>
          <c:showLegendKey val="0"/>
          <c:showVal val="0"/>
          <c:showCatName val="0"/>
          <c:showSerName val="0"/>
          <c:showPercent val="0"/>
          <c:showBubbleSize val="0"/>
        </c:dLbls>
        <c:marker val="1"/>
        <c:smooth val="0"/>
        <c:axId val="915483407"/>
        <c:axId val="915478127"/>
      </c:lineChart>
      <c:catAx>
        <c:axId val="915477647"/>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5480047"/>
        <c:crosses val="autoZero"/>
        <c:auto val="1"/>
        <c:lblAlgn val="ctr"/>
        <c:lblOffset val="100"/>
        <c:noMultiLvlLbl val="0"/>
      </c:catAx>
      <c:valAx>
        <c:axId val="9154800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477647"/>
        <c:crosses val="autoZero"/>
        <c:crossBetween val="between"/>
      </c:valAx>
      <c:valAx>
        <c:axId val="915478127"/>
        <c:scaling>
          <c:orientation val="minMax"/>
          <c:min val="0"/>
        </c:scaling>
        <c:delete val="0"/>
        <c:axPos val="r"/>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483407"/>
        <c:crosses val="max"/>
        <c:crossBetween val="between"/>
      </c:valAx>
      <c:catAx>
        <c:axId val="915483407"/>
        <c:scaling>
          <c:orientation val="minMax"/>
        </c:scaling>
        <c:delete val="1"/>
        <c:axPos val="b"/>
        <c:numFmt formatCode="0&quot;A&quot;" sourceLinked="1"/>
        <c:majorTickMark val="none"/>
        <c:minorTickMark val="none"/>
        <c:tickLblPos val="nextTo"/>
        <c:crossAx val="91547812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Report!$E$173</c:f>
              <c:strCache>
                <c:ptCount val="1"/>
                <c:pt idx="0">
                  <c:v>Gross Margins</c:v>
                </c:pt>
              </c:strCache>
            </c:strRef>
          </c:tx>
          <c:spPr>
            <a:solidFill>
              <a:srgbClr val="913493"/>
            </a:solidFill>
            <a:ln>
              <a:noFill/>
            </a:ln>
            <a:effectLst/>
          </c:spPr>
          <c:invertIfNegative val="0"/>
          <c:dPt>
            <c:idx val="0"/>
            <c:invertIfNegative val="0"/>
            <c:bubble3D val="0"/>
            <c:spPr>
              <a:solidFill>
                <a:srgbClr val="EE3048"/>
              </a:solidFill>
              <a:ln>
                <a:noFill/>
              </a:ln>
              <a:effectLst/>
            </c:spPr>
            <c:extLst>
              <c:ext xmlns:c16="http://schemas.microsoft.com/office/drawing/2014/chart" uri="{C3380CC4-5D6E-409C-BE32-E72D297353CC}">
                <c16:uniqueId val="{00000001-71AD-4945-BF96-431834A4D9C7}"/>
              </c:ext>
            </c:extLst>
          </c:dPt>
          <c:dPt>
            <c:idx val="10"/>
            <c:invertIfNegative val="0"/>
            <c:bubble3D val="0"/>
            <c:spPr>
              <a:solidFill>
                <a:srgbClr val="002060"/>
              </a:solidFill>
              <a:ln>
                <a:noFill/>
              </a:ln>
              <a:effectLst/>
            </c:spPr>
            <c:extLst>
              <c:ext xmlns:c16="http://schemas.microsoft.com/office/drawing/2014/chart" uri="{C3380CC4-5D6E-409C-BE32-E72D297353CC}">
                <c16:uniqueId val="{00000002-71AD-4945-BF96-431834A4D9C7}"/>
              </c:ext>
            </c:extLst>
          </c:dPt>
          <c:dPt>
            <c:idx val="11"/>
            <c:invertIfNegative val="0"/>
            <c:bubble3D val="0"/>
            <c:spPr>
              <a:solidFill>
                <a:srgbClr val="002060"/>
              </a:solidFill>
              <a:ln>
                <a:noFill/>
              </a:ln>
              <a:effectLst/>
            </c:spPr>
            <c:extLst>
              <c:ext xmlns:c16="http://schemas.microsoft.com/office/drawing/2014/chart" uri="{C3380CC4-5D6E-409C-BE32-E72D297353CC}">
                <c16:uniqueId val="{00000003-71AD-4945-BF96-431834A4D9C7}"/>
              </c:ext>
            </c:extLst>
          </c:dPt>
          <c:dPt>
            <c:idx val="12"/>
            <c:invertIfNegative val="0"/>
            <c:bubble3D val="0"/>
            <c:spPr>
              <a:solidFill>
                <a:srgbClr val="002060"/>
              </a:solidFill>
              <a:ln>
                <a:noFill/>
              </a:ln>
              <a:effectLst/>
            </c:spPr>
            <c:extLst>
              <c:ext xmlns:c16="http://schemas.microsoft.com/office/drawing/2014/chart" uri="{C3380CC4-5D6E-409C-BE32-E72D297353CC}">
                <c16:uniqueId val="{00000004-71AD-4945-BF96-431834A4D9C7}"/>
              </c:ext>
            </c:extLst>
          </c:dPt>
          <c:dPt>
            <c:idx val="13"/>
            <c:invertIfNegative val="0"/>
            <c:bubble3D val="0"/>
            <c:spPr>
              <a:solidFill>
                <a:srgbClr val="002060"/>
              </a:solidFill>
              <a:ln>
                <a:noFill/>
              </a:ln>
              <a:effectLst/>
            </c:spPr>
            <c:extLst>
              <c:ext xmlns:c16="http://schemas.microsoft.com/office/drawing/2014/chart" uri="{C3380CC4-5D6E-409C-BE32-E72D297353CC}">
                <c16:uniqueId val="{00000005-71AD-4945-BF96-431834A4D9C7}"/>
              </c:ext>
            </c:extLst>
          </c:dPt>
          <c:dPt>
            <c:idx val="14"/>
            <c:invertIfNegative val="0"/>
            <c:bubble3D val="0"/>
            <c:spPr>
              <a:solidFill>
                <a:srgbClr val="002060"/>
              </a:solidFill>
              <a:ln>
                <a:noFill/>
              </a:ln>
              <a:effectLst/>
            </c:spPr>
            <c:extLst>
              <c:ext xmlns:c16="http://schemas.microsoft.com/office/drawing/2014/chart" uri="{C3380CC4-5D6E-409C-BE32-E72D297353CC}">
                <c16:uniqueId val="{00000006-71AD-4945-BF96-431834A4D9C7}"/>
              </c:ext>
            </c:extLst>
          </c:dPt>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Report!$F$172:$T$172</c:f>
              <c:numCache>
                <c:formatCode>0"E"</c:formatCode>
                <c:ptCount val="15"/>
                <c:pt idx="0" formatCode="0&quot;A&quot;">
                  <c:v>2025</c:v>
                </c:pt>
                <c:pt idx="1">
                  <c:v>2026</c:v>
                </c:pt>
                <c:pt idx="2">
                  <c:v>2027</c:v>
                </c:pt>
                <c:pt idx="3">
                  <c:v>2028</c:v>
                </c:pt>
                <c:pt idx="4">
                  <c:v>2029</c:v>
                </c:pt>
                <c:pt idx="5">
                  <c:v>2030</c:v>
                </c:pt>
                <c:pt idx="6">
                  <c:v>2031</c:v>
                </c:pt>
                <c:pt idx="7">
                  <c:v>2032</c:v>
                </c:pt>
                <c:pt idx="8">
                  <c:v>2033</c:v>
                </c:pt>
                <c:pt idx="9">
                  <c:v>2034</c:v>
                </c:pt>
                <c:pt idx="10">
                  <c:v>2035</c:v>
                </c:pt>
                <c:pt idx="11">
                  <c:v>2036</c:v>
                </c:pt>
                <c:pt idx="12">
                  <c:v>2037</c:v>
                </c:pt>
                <c:pt idx="13">
                  <c:v>2038</c:v>
                </c:pt>
                <c:pt idx="14">
                  <c:v>2039</c:v>
                </c:pt>
              </c:numCache>
            </c:numRef>
          </c:cat>
          <c:val>
            <c:numRef>
              <c:f>Report!$F$173:$T$173</c:f>
              <c:numCache>
                <c:formatCode>0%</c:formatCode>
                <c:ptCount val="15"/>
                <c:pt idx="0">
                  <c:v>0.46941176470588236</c:v>
                </c:pt>
                <c:pt idx="1">
                  <c:v>0.44999999999999996</c:v>
                </c:pt>
                <c:pt idx="2">
                  <c:v>0.44999999999999996</c:v>
                </c:pt>
                <c:pt idx="3">
                  <c:v>0.4499999999999999</c:v>
                </c:pt>
                <c:pt idx="4">
                  <c:v>0.45599999999999996</c:v>
                </c:pt>
                <c:pt idx="5">
                  <c:v>0.46199999999999997</c:v>
                </c:pt>
                <c:pt idx="6">
                  <c:v>0.46800000000000003</c:v>
                </c:pt>
                <c:pt idx="7">
                  <c:v>0.47399999999999998</c:v>
                </c:pt>
                <c:pt idx="8">
                  <c:v>0.48</c:v>
                </c:pt>
                <c:pt idx="9">
                  <c:v>0.51</c:v>
                </c:pt>
                <c:pt idx="10">
                  <c:v>0.51</c:v>
                </c:pt>
                <c:pt idx="11">
                  <c:v>0.51</c:v>
                </c:pt>
                <c:pt idx="12">
                  <c:v>0.52</c:v>
                </c:pt>
                <c:pt idx="13">
                  <c:v>0.52</c:v>
                </c:pt>
                <c:pt idx="14">
                  <c:v>0.52</c:v>
                </c:pt>
              </c:numCache>
            </c:numRef>
          </c:val>
          <c:extLst>
            <c:ext xmlns:c16="http://schemas.microsoft.com/office/drawing/2014/chart" uri="{C3380CC4-5D6E-409C-BE32-E72D297353CC}">
              <c16:uniqueId val="{00000000-71AD-4945-BF96-431834A4D9C7}"/>
            </c:ext>
          </c:extLst>
        </c:ser>
        <c:dLbls>
          <c:showLegendKey val="0"/>
          <c:showVal val="0"/>
          <c:showCatName val="0"/>
          <c:showSerName val="0"/>
          <c:showPercent val="0"/>
          <c:showBubbleSize val="0"/>
        </c:dLbls>
        <c:gapWidth val="219"/>
        <c:overlap val="-27"/>
        <c:axId val="404971391"/>
        <c:axId val="404971871"/>
      </c:barChart>
      <c:catAx>
        <c:axId val="404971391"/>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04971871"/>
        <c:crosses val="autoZero"/>
        <c:auto val="1"/>
        <c:lblAlgn val="ctr"/>
        <c:lblOffset val="100"/>
        <c:noMultiLvlLbl val="0"/>
      </c:catAx>
      <c:valAx>
        <c:axId val="40497187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04971391"/>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SG&amp;A %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Report!$E$194</c:f>
              <c:strCache>
                <c:ptCount val="1"/>
                <c:pt idx="0">
                  <c:v>SG&amp;A Expenses</c:v>
                </c:pt>
              </c:strCache>
            </c:strRef>
          </c:tx>
          <c:spPr>
            <a:solidFill>
              <a:srgbClr val="913493"/>
            </a:solidFill>
            <a:ln>
              <a:noFill/>
            </a:ln>
            <a:effectLst/>
          </c:spPr>
          <c:invertIfNegative val="0"/>
          <c:dPt>
            <c:idx val="0"/>
            <c:invertIfNegative val="0"/>
            <c:bubble3D val="0"/>
            <c:spPr>
              <a:solidFill>
                <a:srgbClr val="EE3048"/>
              </a:solidFill>
              <a:ln>
                <a:noFill/>
              </a:ln>
              <a:effectLst/>
            </c:spPr>
            <c:extLst>
              <c:ext xmlns:c16="http://schemas.microsoft.com/office/drawing/2014/chart" uri="{C3380CC4-5D6E-409C-BE32-E72D297353CC}">
                <c16:uniqueId val="{00000002-05B6-4F67-9289-38456854E2FC}"/>
              </c:ext>
            </c:extLst>
          </c:dPt>
          <c:dPt>
            <c:idx val="1"/>
            <c:invertIfNegative val="0"/>
            <c:bubble3D val="0"/>
            <c:spPr>
              <a:solidFill>
                <a:srgbClr val="EE3048"/>
              </a:solidFill>
              <a:ln>
                <a:noFill/>
              </a:ln>
              <a:effectLst/>
            </c:spPr>
            <c:extLst>
              <c:ext xmlns:c16="http://schemas.microsoft.com/office/drawing/2014/chart" uri="{C3380CC4-5D6E-409C-BE32-E72D297353CC}">
                <c16:uniqueId val="{00000003-05B6-4F67-9289-38456854E2FC}"/>
              </c:ext>
            </c:extLst>
          </c:dPt>
          <c:dPt>
            <c:idx val="2"/>
            <c:invertIfNegative val="0"/>
            <c:bubble3D val="0"/>
            <c:spPr>
              <a:solidFill>
                <a:srgbClr val="EE3048"/>
              </a:solidFill>
              <a:ln>
                <a:noFill/>
              </a:ln>
              <a:effectLst/>
            </c:spPr>
            <c:extLst>
              <c:ext xmlns:c16="http://schemas.microsoft.com/office/drawing/2014/chart" uri="{C3380CC4-5D6E-409C-BE32-E72D297353CC}">
                <c16:uniqueId val="{00000004-05B6-4F67-9289-38456854E2FC}"/>
              </c:ext>
            </c:extLst>
          </c:dPt>
          <c:dPt>
            <c:idx val="11"/>
            <c:invertIfNegative val="0"/>
            <c:bubble3D val="0"/>
            <c:spPr>
              <a:solidFill>
                <a:srgbClr val="002060"/>
              </a:solidFill>
              <a:ln>
                <a:noFill/>
              </a:ln>
              <a:effectLst/>
            </c:spPr>
            <c:extLst>
              <c:ext xmlns:c16="http://schemas.microsoft.com/office/drawing/2014/chart" uri="{C3380CC4-5D6E-409C-BE32-E72D297353CC}">
                <c16:uniqueId val="{00000005-05B6-4F67-9289-38456854E2FC}"/>
              </c:ext>
            </c:extLst>
          </c:dPt>
          <c:dPt>
            <c:idx val="12"/>
            <c:invertIfNegative val="0"/>
            <c:bubble3D val="0"/>
            <c:spPr>
              <a:solidFill>
                <a:srgbClr val="002060"/>
              </a:solidFill>
              <a:ln>
                <a:noFill/>
              </a:ln>
              <a:effectLst/>
            </c:spPr>
            <c:extLst>
              <c:ext xmlns:c16="http://schemas.microsoft.com/office/drawing/2014/chart" uri="{C3380CC4-5D6E-409C-BE32-E72D297353CC}">
                <c16:uniqueId val="{00000006-05B6-4F67-9289-38456854E2FC}"/>
              </c:ext>
            </c:extLst>
          </c:dPt>
          <c:dPt>
            <c:idx val="13"/>
            <c:invertIfNegative val="0"/>
            <c:bubble3D val="0"/>
            <c:spPr>
              <a:solidFill>
                <a:srgbClr val="002060"/>
              </a:solidFill>
              <a:ln>
                <a:noFill/>
              </a:ln>
              <a:effectLst/>
            </c:spPr>
            <c:extLst>
              <c:ext xmlns:c16="http://schemas.microsoft.com/office/drawing/2014/chart" uri="{C3380CC4-5D6E-409C-BE32-E72D297353CC}">
                <c16:uniqueId val="{00000007-05B6-4F67-9289-38456854E2FC}"/>
              </c:ext>
            </c:extLst>
          </c:dPt>
          <c:dPt>
            <c:idx val="14"/>
            <c:invertIfNegative val="0"/>
            <c:bubble3D val="0"/>
            <c:spPr>
              <a:solidFill>
                <a:srgbClr val="002060"/>
              </a:solidFill>
              <a:ln>
                <a:noFill/>
              </a:ln>
              <a:effectLst/>
            </c:spPr>
            <c:extLst>
              <c:ext xmlns:c16="http://schemas.microsoft.com/office/drawing/2014/chart" uri="{C3380CC4-5D6E-409C-BE32-E72D297353CC}">
                <c16:uniqueId val="{00000008-05B6-4F67-9289-38456854E2FC}"/>
              </c:ext>
            </c:extLst>
          </c:dPt>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Report!$F$211:$T$211</c:f>
              <c:numCache>
                <c:formatCode>0"A"</c:formatCode>
                <c:ptCount val="15"/>
                <c:pt idx="0">
                  <c:v>2023</c:v>
                </c:pt>
                <c:pt idx="1">
                  <c:v>2024</c:v>
                </c:pt>
                <c:pt idx="2">
                  <c:v>2025</c:v>
                </c:pt>
                <c:pt idx="3" formatCode="0&quot;E&quot;">
                  <c:v>2026</c:v>
                </c:pt>
                <c:pt idx="4" formatCode="0&quot;E&quot;">
                  <c:v>2027</c:v>
                </c:pt>
                <c:pt idx="5" formatCode="0&quot;E&quot;">
                  <c:v>2028</c:v>
                </c:pt>
                <c:pt idx="6" formatCode="0&quot;E&quot;">
                  <c:v>2029</c:v>
                </c:pt>
                <c:pt idx="7" formatCode="0&quot;E&quot;">
                  <c:v>2030</c:v>
                </c:pt>
                <c:pt idx="8" formatCode="0&quot;E&quot;">
                  <c:v>2031</c:v>
                </c:pt>
                <c:pt idx="9" formatCode="0&quot;E&quot;">
                  <c:v>2032</c:v>
                </c:pt>
                <c:pt idx="10" formatCode="0&quot;E&quot;">
                  <c:v>2033</c:v>
                </c:pt>
                <c:pt idx="11" formatCode="0&quot;E&quot;">
                  <c:v>2034</c:v>
                </c:pt>
                <c:pt idx="12" formatCode="0&quot;E&quot;">
                  <c:v>2035</c:v>
                </c:pt>
                <c:pt idx="13" formatCode="0&quot;E&quot;">
                  <c:v>2036</c:v>
                </c:pt>
                <c:pt idx="14" formatCode="0&quot;E&quot;">
                  <c:v>2037</c:v>
                </c:pt>
              </c:numCache>
            </c:numRef>
          </c:cat>
          <c:val>
            <c:numRef>
              <c:f>Report!$F$194:$T$194</c:f>
              <c:numCache>
                <c:formatCode>0</c:formatCode>
                <c:ptCount val="15"/>
                <c:pt idx="0">
                  <c:v>383.6</c:v>
                </c:pt>
                <c:pt idx="1">
                  <c:v>387.3</c:v>
                </c:pt>
                <c:pt idx="2">
                  <c:v>485.6</c:v>
                </c:pt>
                <c:pt idx="3">
                  <c:v>562.0200000000001</c:v>
                </c:pt>
                <c:pt idx="4">
                  <c:v>674.42399999999998</c:v>
                </c:pt>
                <c:pt idx="5">
                  <c:v>843.03000000000009</c:v>
                </c:pt>
                <c:pt idx="6">
                  <c:v>1053.7874999999999</c:v>
                </c:pt>
                <c:pt idx="7">
                  <c:v>1298.79309375</c:v>
                </c:pt>
                <c:pt idx="8">
                  <c:v>1578.0336089062496</c:v>
                </c:pt>
                <c:pt idx="9">
                  <c:v>1889.6952466652338</c:v>
                </c:pt>
                <c:pt idx="10">
                  <c:v>2229.8403910649758</c:v>
                </c:pt>
                <c:pt idx="11">
                  <c:v>2564.3164497247221</c:v>
                </c:pt>
                <c:pt idx="12">
                  <c:v>2923.3207526861834</c:v>
                </c:pt>
                <c:pt idx="13">
                  <c:v>3274.1192430085257</c:v>
                </c:pt>
                <c:pt idx="14">
                  <c:v>3601.5311673093793</c:v>
                </c:pt>
              </c:numCache>
            </c:numRef>
          </c:val>
          <c:extLst>
            <c:ext xmlns:c16="http://schemas.microsoft.com/office/drawing/2014/chart" uri="{C3380CC4-5D6E-409C-BE32-E72D297353CC}">
              <c16:uniqueId val="{00000000-05B6-4F67-9289-38456854E2FC}"/>
            </c:ext>
          </c:extLst>
        </c:ser>
        <c:dLbls>
          <c:showLegendKey val="0"/>
          <c:showVal val="0"/>
          <c:showCatName val="0"/>
          <c:showSerName val="0"/>
          <c:showPercent val="0"/>
          <c:showBubbleSize val="0"/>
        </c:dLbls>
        <c:gapWidth val="219"/>
        <c:overlap val="-27"/>
        <c:axId val="402647407"/>
        <c:axId val="402651247"/>
      </c:barChart>
      <c:lineChart>
        <c:grouping val="standard"/>
        <c:varyColors val="0"/>
        <c:ser>
          <c:idx val="1"/>
          <c:order val="1"/>
          <c:tx>
            <c:strRef>
              <c:f>Report!$E$195</c:f>
              <c:strCache>
                <c:ptCount val="1"/>
                <c:pt idx="0">
                  <c:v>SG&amp;A % Revenue</c:v>
                </c:pt>
              </c:strCache>
            </c:strRef>
          </c:tx>
          <c:spPr>
            <a:ln w="22098" cap="rnd">
              <a:solidFill>
                <a:srgbClr val="BFBFBF"/>
              </a:solidFill>
              <a:round/>
            </a:ln>
            <a:effectLst/>
          </c:spPr>
          <c:marker>
            <c:symbol val="none"/>
          </c:marker>
          <c:cat>
            <c:numRef>
              <c:f>Report!$F$211:$T$211</c:f>
              <c:numCache>
                <c:formatCode>0"A"</c:formatCode>
                <c:ptCount val="15"/>
                <c:pt idx="0">
                  <c:v>2023</c:v>
                </c:pt>
                <c:pt idx="1">
                  <c:v>2024</c:v>
                </c:pt>
                <c:pt idx="2">
                  <c:v>2025</c:v>
                </c:pt>
                <c:pt idx="3" formatCode="0&quot;E&quot;">
                  <c:v>2026</c:v>
                </c:pt>
                <c:pt idx="4" formatCode="0&quot;E&quot;">
                  <c:v>2027</c:v>
                </c:pt>
                <c:pt idx="5" formatCode="0&quot;E&quot;">
                  <c:v>2028</c:v>
                </c:pt>
                <c:pt idx="6" formatCode="0&quot;E&quot;">
                  <c:v>2029</c:v>
                </c:pt>
                <c:pt idx="7" formatCode="0&quot;E&quot;">
                  <c:v>2030</c:v>
                </c:pt>
                <c:pt idx="8" formatCode="0&quot;E&quot;">
                  <c:v>2031</c:v>
                </c:pt>
                <c:pt idx="9" formatCode="0&quot;E&quot;">
                  <c:v>2032</c:v>
                </c:pt>
                <c:pt idx="10" formatCode="0&quot;E&quot;">
                  <c:v>2033</c:v>
                </c:pt>
                <c:pt idx="11" formatCode="0&quot;E&quot;">
                  <c:v>2034</c:v>
                </c:pt>
                <c:pt idx="12" formatCode="0&quot;E&quot;">
                  <c:v>2035</c:v>
                </c:pt>
                <c:pt idx="13" formatCode="0&quot;E&quot;">
                  <c:v>2036</c:v>
                </c:pt>
                <c:pt idx="14" formatCode="0&quot;E&quot;">
                  <c:v>2037</c:v>
                </c:pt>
              </c:numCache>
            </c:numRef>
          </c:cat>
          <c:val>
            <c:numRef>
              <c:f>Report!$F$195:$T$195</c:f>
              <c:numCache>
                <c:formatCode>0.0%</c:formatCode>
                <c:ptCount val="15"/>
                <c:pt idx="0">
                  <c:v>0.17531992687385742</c:v>
                </c:pt>
                <c:pt idx="1">
                  <c:v>0.20077760497667185</c:v>
                </c:pt>
                <c:pt idx="2">
                  <c:v>0.19043137254901962</c:v>
                </c:pt>
                <c:pt idx="3">
                  <c:v>0.19000000000000003</c:v>
                </c:pt>
                <c:pt idx="4">
                  <c:v>0.19</c:v>
                </c:pt>
                <c:pt idx="5">
                  <c:v>0.19000000000000003</c:v>
                </c:pt>
                <c:pt idx="6">
                  <c:v>0.18999999999999997</c:v>
                </c:pt>
                <c:pt idx="7">
                  <c:v>0.19000000000000003</c:v>
                </c:pt>
                <c:pt idx="8">
                  <c:v>0.19</c:v>
                </c:pt>
                <c:pt idx="9">
                  <c:v>0.19</c:v>
                </c:pt>
                <c:pt idx="10">
                  <c:v>0.19</c:v>
                </c:pt>
                <c:pt idx="11">
                  <c:v>0.19</c:v>
                </c:pt>
                <c:pt idx="12">
                  <c:v>0.19</c:v>
                </c:pt>
                <c:pt idx="13">
                  <c:v>0.19</c:v>
                </c:pt>
                <c:pt idx="14">
                  <c:v>0.19000000000000003</c:v>
                </c:pt>
              </c:numCache>
            </c:numRef>
          </c:val>
          <c:smooth val="0"/>
          <c:extLst>
            <c:ext xmlns:c16="http://schemas.microsoft.com/office/drawing/2014/chart" uri="{C3380CC4-5D6E-409C-BE32-E72D297353CC}">
              <c16:uniqueId val="{00000001-05B6-4F67-9289-38456854E2FC}"/>
            </c:ext>
          </c:extLst>
        </c:ser>
        <c:dLbls>
          <c:showLegendKey val="0"/>
          <c:showVal val="0"/>
          <c:showCatName val="0"/>
          <c:showSerName val="0"/>
          <c:showPercent val="0"/>
          <c:showBubbleSize val="0"/>
        </c:dLbls>
        <c:marker val="1"/>
        <c:smooth val="0"/>
        <c:axId val="915469967"/>
        <c:axId val="915448847"/>
      </c:lineChart>
      <c:catAx>
        <c:axId val="402647407"/>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02651247"/>
        <c:crosses val="autoZero"/>
        <c:auto val="1"/>
        <c:lblAlgn val="ctr"/>
        <c:lblOffset val="100"/>
        <c:noMultiLvlLbl val="0"/>
      </c:catAx>
      <c:valAx>
        <c:axId val="4026512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647407"/>
        <c:crosses val="autoZero"/>
        <c:crossBetween val="between"/>
      </c:valAx>
      <c:valAx>
        <c:axId val="915448847"/>
        <c:scaling>
          <c:orientation val="minMax"/>
          <c:max val="0.2"/>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469967"/>
        <c:crosses val="max"/>
        <c:crossBetween val="between"/>
      </c:valAx>
      <c:catAx>
        <c:axId val="915469967"/>
        <c:scaling>
          <c:orientation val="minMax"/>
        </c:scaling>
        <c:delete val="1"/>
        <c:axPos val="b"/>
        <c:numFmt formatCode="0&quot;A&quot;" sourceLinked="1"/>
        <c:majorTickMark val="out"/>
        <c:minorTickMark val="none"/>
        <c:tickLblPos val="nextTo"/>
        <c:crossAx val="91544884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Inventory</a:t>
            </a:r>
            <a:r>
              <a:rPr lang="en-IN"/>
              <a:t>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Report!$E$212</c:f>
              <c:strCache>
                <c:ptCount val="1"/>
                <c:pt idx="0">
                  <c:v>Inventory</c:v>
                </c:pt>
              </c:strCache>
            </c:strRef>
          </c:tx>
          <c:spPr>
            <a:solidFill>
              <a:srgbClr val="913493"/>
            </a:solidFill>
            <a:ln>
              <a:noFill/>
            </a:ln>
            <a:effectLst/>
          </c:spPr>
          <c:invertIfNegative val="0"/>
          <c:dPt>
            <c:idx val="0"/>
            <c:invertIfNegative val="0"/>
            <c:bubble3D val="0"/>
            <c:spPr>
              <a:solidFill>
                <a:srgbClr val="EE3048"/>
              </a:solidFill>
              <a:ln>
                <a:noFill/>
              </a:ln>
              <a:effectLst/>
            </c:spPr>
            <c:extLst>
              <c:ext xmlns:c16="http://schemas.microsoft.com/office/drawing/2014/chart" uri="{C3380CC4-5D6E-409C-BE32-E72D297353CC}">
                <c16:uniqueId val="{00000002-404B-423A-ABB8-EF8C89EF5F44}"/>
              </c:ext>
            </c:extLst>
          </c:dPt>
          <c:dPt>
            <c:idx val="1"/>
            <c:invertIfNegative val="0"/>
            <c:bubble3D val="0"/>
            <c:spPr>
              <a:solidFill>
                <a:srgbClr val="EE3048"/>
              </a:solidFill>
              <a:ln>
                <a:noFill/>
              </a:ln>
              <a:effectLst/>
            </c:spPr>
            <c:extLst>
              <c:ext xmlns:c16="http://schemas.microsoft.com/office/drawing/2014/chart" uri="{C3380CC4-5D6E-409C-BE32-E72D297353CC}">
                <c16:uniqueId val="{00000003-404B-423A-ABB8-EF8C89EF5F44}"/>
              </c:ext>
            </c:extLst>
          </c:dPt>
          <c:dPt>
            <c:idx val="2"/>
            <c:invertIfNegative val="0"/>
            <c:bubble3D val="0"/>
            <c:spPr>
              <a:solidFill>
                <a:srgbClr val="EE3048"/>
              </a:solidFill>
              <a:ln>
                <a:noFill/>
              </a:ln>
              <a:effectLst/>
            </c:spPr>
            <c:extLst>
              <c:ext xmlns:c16="http://schemas.microsoft.com/office/drawing/2014/chart" uri="{C3380CC4-5D6E-409C-BE32-E72D297353CC}">
                <c16:uniqueId val="{00000004-404B-423A-ABB8-EF8C89EF5F44}"/>
              </c:ext>
            </c:extLst>
          </c:dPt>
          <c:dPt>
            <c:idx val="11"/>
            <c:invertIfNegative val="0"/>
            <c:bubble3D val="0"/>
            <c:spPr>
              <a:solidFill>
                <a:srgbClr val="002060"/>
              </a:solidFill>
              <a:ln>
                <a:noFill/>
              </a:ln>
              <a:effectLst/>
            </c:spPr>
            <c:extLst>
              <c:ext xmlns:c16="http://schemas.microsoft.com/office/drawing/2014/chart" uri="{C3380CC4-5D6E-409C-BE32-E72D297353CC}">
                <c16:uniqueId val="{00000005-404B-423A-ABB8-EF8C89EF5F44}"/>
              </c:ext>
            </c:extLst>
          </c:dPt>
          <c:dPt>
            <c:idx val="12"/>
            <c:invertIfNegative val="0"/>
            <c:bubble3D val="0"/>
            <c:spPr>
              <a:solidFill>
                <a:srgbClr val="002060"/>
              </a:solidFill>
              <a:ln>
                <a:noFill/>
              </a:ln>
              <a:effectLst/>
            </c:spPr>
            <c:extLst>
              <c:ext xmlns:c16="http://schemas.microsoft.com/office/drawing/2014/chart" uri="{C3380CC4-5D6E-409C-BE32-E72D297353CC}">
                <c16:uniqueId val="{00000006-404B-423A-ABB8-EF8C89EF5F44}"/>
              </c:ext>
            </c:extLst>
          </c:dPt>
          <c:dPt>
            <c:idx val="13"/>
            <c:invertIfNegative val="0"/>
            <c:bubble3D val="0"/>
            <c:spPr>
              <a:solidFill>
                <a:srgbClr val="002060"/>
              </a:solidFill>
              <a:ln>
                <a:noFill/>
              </a:ln>
              <a:effectLst/>
            </c:spPr>
            <c:extLst>
              <c:ext xmlns:c16="http://schemas.microsoft.com/office/drawing/2014/chart" uri="{C3380CC4-5D6E-409C-BE32-E72D297353CC}">
                <c16:uniqueId val="{00000007-404B-423A-ABB8-EF8C89EF5F44}"/>
              </c:ext>
            </c:extLst>
          </c:dPt>
          <c:dPt>
            <c:idx val="14"/>
            <c:invertIfNegative val="0"/>
            <c:bubble3D val="0"/>
            <c:spPr>
              <a:solidFill>
                <a:srgbClr val="002060"/>
              </a:solidFill>
              <a:ln>
                <a:noFill/>
              </a:ln>
              <a:effectLst/>
            </c:spPr>
            <c:extLst>
              <c:ext xmlns:c16="http://schemas.microsoft.com/office/drawing/2014/chart" uri="{C3380CC4-5D6E-409C-BE32-E72D297353CC}">
                <c16:uniqueId val="{00000008-404B-423A-ABB8-EF8C89EF5F44}"/>
              </c:ext>
            </c:extLst>
          </c:dPt>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Report!$F$211:$T$211</c:f>
              <c:numCache>
                <c:formatCode>0"A"</c:formatCode>
                <c:ptCount val="15"/>
                <c:pt idx="0">
                  <c:v>2023</c:v>
                </c:pt>
                <c:pt idx="1">
                  <c:v>2024</c:v>
                </c:pt>
                <c:pt idx="2">
                  <c:v>2025</c:v>
                </c:pt>
                <c:pt idx="3" formatCode="0&quot;E&quot;">
                  <c:v>2026</c:v>
                </c:pt>
                <c:pt idx="4" formatCode="0&quot;E&quot;">
                  <c:v>2027</c:v>
                </c:pt>
                <c:pt idx="5" formatCode="0&quot;E&quot;">
                  <c:v>2028</c:v>
                </c:pt>
                <c:pt idx="6" formatCode="0&quot;E&quot;">
                  <c:v>2029</c:v>
                </c:pt>
                <c:pt idx="7" formatCode="0&quot;E&quot;">
                  <c:v>2030</c:v>
                </c:pt>
                <c:pt idx="8" formatCode="0&quot;E&quot;">
                  <c:v>2031</c:v>
                </c:pt>
                <c:pt idx="9" formatCode="0&quot;E&quot;">
                  <c:v>2032</c:v>
                </c:pt>
                <c:pt idx="10" formatCode="0&quot;E&quot;">
                  <c:v>2033</c:v>
                </c:pt>
                <c:pt idx="11" formatCode="0&quot;E&quot;">
                  <c:v>2034</c:v>
                </c:pt>
                <c:pt idx="12" formatCode="0&quot;E&quot;">
                  <c:v>2035</c:v>
                </c:pt>
                <c:pt idx="13" formatCode="0&quot;E&quot;">
                  <c:v>2036</c:v>
                </c:pt>
                <c:pt idx="14" formatCode="0&quot;E&quot;">
                  <c:v>2037</c:v>
                </c:pt>
              </c:numCache>
            </c:numRef>
          </c:cat>
          <c:val>
            <c:numRef>
              <c:f>Report!$F$212:$T$212</c:f>
              <c:numCache>
                <c:formatCode>0</c:formatCode>
                <c:ptCount val="15"/>
                <c:pt idx="0">
                  <c:v>212</c:v>
                </c:pt>
                <c:pt idx="1">
                  <c:v>263</c:v>
                </c:pt>
                <c:pt idx="2">
                  <c:v>388</c:v>
                </c:pt>
                <c:pt idx="3">
                  <c:v>393.67808219178085</c:v>
                </c:pt>
                <c:pt idx="4">
                  <c:v>452.72979452054784</c:v>
                </c:pt>
                <c:pt idx="5">
                  <c:v>541.88984589041092</c:v>
                </c:pt>
                <c:pt idx="6">
                  <c:v>675.76851369862993</c:v>
                </c:pt>
                <c:pt idx="7">
                  <c:v>793.72745964774924</c:v>
                </c:pt>
                <c:pt idx="8">
                  <c:v>929.7078013610286</c:v>
                </c:pt>
                <c:pt idx="9">
                  <c:v>1064.2419890873891</c:v>
                </c:pt>
                <c:pt idx="10">
                  <c:v>1255.8055471231194</c:v>
                </c:pt>
                <c:pt idx="11">
                  <c:v>1255.8055471231194</c:v>
                </c:pt>
                <c:pt idx="12">
                  <c:v>1255.8055471231194</c:v>
                </c:pt>
                <c:pt idx="13">
                  <c:v>1255.8055471231194</c:v>
                </c:pt>
                <c:pt idx="14">
                  <c:v>1255.8055471231194</c:v>
                </c:pt>
              </c:numCache>
            </c:numRef>
          </c:val>
          <c:extLst>
            <c:ext xmlns:c16="http://schemas.microsoft.com/office/drawing/2014/chart" uri="{C3380CC4-5D6E-409C-BE32-E72D297353CC}">
              <c16:uniqueId val="{00000000-404B-423A-ABB8-EF8C89EF5F44}"/>
            </c:ext>
          </c:extLst>
        </c:ser>
        <c:dLbls>
          <c:showLegendKey val="0"/>
          <c:showVal val="0"/>
          <c:showCatName val="0"/>
          <c:showSerName val="0"/>
          <c:showPercent val="0"/>
          <c:showBubbleSize val="0"/>
        </c:dLbls>
        <c:gapWidth val="150"/>
        <c:axId val="915545119"/>
        <c:axId val="915538399"/>
      </c:barChart>
      <c:lineChart>
        <c:grouping val="standard"/>
        <c:varyColors val="0"/>
        <c:ser>
          <c:idx val="1"/>
          <c:order val="1"/>
          <c:tx>
            <c:strRef>
              <c:f>Report!$E$213</c:f>
              <c:strCache>
                <c:ptCount val="1"/>
                <c:pt idx="0">
                  <c:v>Inventory Days</c:v>
                </c:pt>
              </c:strCache>
            </c:strRef>
          </c:tx>
          <c:spPr>
            <a:ln w="28575" cap="rnd">
              <a:solidFill>
                <a:srgbClr val="BFBFBF"/>
              </a:solidFill>
              <a:round/>
            </a:ln>
            <a:effectLst/>
          </c:spPr>
          <c:marker>
            <c:symbol val="none"/>
          </c:marker>
          <c:cat>
            <c:numRef>
              <c:f>Report!$F$211:$T$211</c:f>
              <c:numCache>
                <c:formatCode>0"A"</c:formatCode>
                <c:ptCount val="15"/>
                <c:pt idx="0">
                  <c:v>2023</c:v>
                </c:pt>
                <c:pt idx="1">
                  <c:v>2024</c:v>
                </c:pt>
                <c:pt idx="2">
                  <c:v>2025</c:v>
                </c:pt>
                <c:pt idx="3" formatCode="0&quot;E&quot;">
                  <c:v>2026</c:v>
                </c:pt>
                <c:pt idx="4" formatCode="0&quot;E&quot;">
                  <c:v>2027</c:v>
                </c:pt>
                <c:pt idx="5" formatCode="0&quot;E&quot;">
                  <c:v>2028</c:v>
                </c:pt>
                <c:pt idx="6" formatCode="0&quot;E&quot;">
                  <c:v>2029</c:v>
                </c:pt>
                <c:pt idx="7" formatCode="0&quot;E&quot;">
                  <c:v>2030</c:v>
                </c:pt>
                <c:pt idx="8" formatCode="0&quot;E&quot;">
                  <c:v>2031</c:v>
                </c:pt>
                <c:pt idx="9" formatCode="0&quot;E&quot;">
                  <c:v>2032</c:v>
                </c:pt>
                <c:pt idx="10" formatCode="0&quot;E&quot;">
                  <c:v>2033</c:v>
                </c:pt>
                <c:pt idx="11" formatCode="0&quot;E&quot;">
                  <c:v>2034</c:v>
                </c:pt>
                <c:pt idx="12" formatCode="0&quot;E&quot;">
                  <c:v>2035</c:v>
                </c:pt>
                <c:pt idx="13" formatCode="0&quot;E&quot;">
                  <c:v>2036</c:v>
                </c:pt>
                <c:pt idx="14" formatCode="0&quot;E&quot;">
                  <c:v>2037</c:v>
                </c:pt>
              </c:numCache>
            </c:numRef>
          </c:cat>
          <c:val>
            <c:numRef>
              <c:f>Report!$F$213:$T$213</c:f>
              <c:numCache>
                <c:formatCode>0</c:formatCode>
                <c:ptCount val="15"/>
                <c:pt idx="0">
                  <c:v>69.399103139013448</c:v>
                </c:pt>
                <c:pt idx="1">
                  <c:v>90.475966069745525</c:v>
                </c:pt>
                <c:pt idx="2">
                  <c:v>104.6711012564671</c:v>
                </c:pt>
                <c:pt idx="3">
                  <c:v>88.322884012539191</c:v>
                </c:pt>
                <c:pt idx="4">
                  <c:v>84.642763845350018</c:v>
                </c:pt>
                <c:pt idx="5">
                  <c:v>81.04976489028212</c:v>
                </c:pt>
                <c:pt idx="6">
                  <c:v>81.750887423935055</c:v>
                </c:pt>
                <c:pt idx="7">
                  <c:v>78.776308277798805</c:v>
                </c:pt>
                <c:pt idx="8">
                  <c:v>76.800679018123432</c:v>
                </c:pt>
                <c:pt idx="9">
                  <c:v>74.252202496768248</c:v>
                </c:pt>
                <c:pt idx="10">
                  <c:v>75.108958679423282</c:v>
                </c:pt>
                <c:pt idx="11">
                  <c:v>69.31084030754235</c:v>
                </c:pt>
                <c:pt idx="12">
                  <c:v>60.798982725914328</c:v>
                </c:pt>
                <c:pt idx="13">
                  <c:v>54.28480600528065</c:v>
                </c:pt>
                <c:pt idx="14">
                  <c:v>50.377944967021804</c:v>
                </c:pt>
              </c:numCache>
            </c:numRef>
          </c:val>
          <c:smooth val="0"/>
          <c:extLst>
            <c:ext xmlns:c16="http://schemas.microsoft.com/office/drawing/2014/chart" uri="{C3380CC4-5D6E-409C-BE32-E72D297353CC}">
              <c16:uniqueId val="{00000001-404B-423A-ABB8-EF8C89EF5F44}"/>
            </c:ext>
          </c:extLst>
        </c:ser>
        <c:dLbls>
          <c:showLegendKey val="0"/>
          <c:showVal val="0"/>
          <c:showCatName val="0"/>
          <c:showSerName val="0"/>
          <c:showPercent val="0"/>
          <c:showBubbleSize val="0"/>
        </c:dLbls>
        <c:marker val="1"/>
        <c:smooth val="0"/>
        <c:axId val="915539839"/>
        <c:axId val="915541279"/>
      </c:lineChart>
      <c:catAx>
        <c:axId val="915545119"/>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538399"/>
        <c:crosses val="autoZero"/>
        <c:auto val="1"/>
        <c:lblAlgn val="ctr"/>
        <c:lblOffset val="100"/>
        <c:noMultiLvlLbl val="0"/>
      </c:catAx>
      <c:valAx>
        <c:axId val="91553839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545119"/>
        <c:crosses val="autoZero"/>
        <c:crossBetween val="between"/>
      </c:valAx>
      <c:valAx>
        <c:axId val="915541279"/>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539839"/>
        <c:crosses val="max"/>
        <c:crossBetween val="between"/>
      </c:valAx>
      <c:catAx>
        <c:axId val="915539839"/>
        <c:scaling>
          <c:orientation val="minMax"/>
        </c:scaling>
        <c:delete val="1"/>
        <c:axPos val="b"/>
        <c:numFmt formatCode="0&quot;A&quot;" sourceLinked="1"/>
        <c:majorTickMark val="out"/>
        <c:minorTickMark val="none"/>
        <c:tickLblPos val="nextTo"/>
        <c:crossAx val="91554127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Trade Receivable</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Report!$E$218</c:f>
              <c:strCache>
                <c:ptCount val="1"/>
                <c:pt idx="0">
                  <c:v>Trade Receivable</c:v>
                </c:pt>
              </c:strCache>
            </c:strRef>
          </c:tx>
          <c:spPr>
            <a:solidFill>
              <a:srgbClr val="913493"/>
            </a:solidFill>
            <a:ln>
              <a:noFill/>
            </a:ln>
            <a:effectLst/>
          </c:spPr>
          <c:invertIfNegative val="0"/>
          <c:dPt>
            <c:idx val="0"/>
            <c:invertIfNegative val="0"/>
            <c:bubble3D val="0"/>
            <c:spPr>
              <a:solidFill>
                <a:srgbClr val="EE3048"/>
              </a:solidFill>
              <a:ln>
                <a:noFill/>
              </a:ln>
              <a:effectLst/>
            </c:spPr>
            <c:extLst>
              <c:ext xmlns:c16="http://schemas.microsoft.com/office/drawing/2014/chart" uri="{C3380CC4-5D6E-409C-BE32-E72D297353CC}">
                <c16:uniqueId val="{00000000-88A5-453E-BEA4-867CF80379D6}"/>
              </c:ext>
            </c:extLst>
          </c:dPt>
          <c:dPt>
            <c:idx val="1"/>
            <c:invertIfNegative val="0"/>
            <c:bubble3D val="0"/>
            <c:spPr>
              <a:solidFill>
                <a:srgbClr val="EE3048"/>
              </a:solidFill>
              <a:ln>
                <a:noFill/>
              </a:ln>
              <a:effectLst/>
            </c:spPr>
            <c:extLst>
              <c:ext xmlns:c16="http://schemas.microsoft.com/office/drawing/2014/chart" uri="{C3380CC4-5D6E-409C-BE32-E72D297353CC}">
                <c16:uniqueId val="{00000001-88A5-453E-BEA4-867CF80379D6}"/>
              </c:ext>
            </c:extLst>
          </c:dPt>
          <c:dPt>
            <c:idx val="2"/>
            <c:invertIfNegative val="0"/>
            <c:bubble3D val="0"/>
            <c:spPr>
              <a:solidFill>
                <a:srgbClr val="EE3048"/>
              </a:solidFill>
              <a:ln>
                <a:noFill/>
              </a:ln>
              <a:effectLst/>
            </c:spPr>
            <c:extLst>
              <c:ext xmlns:c16="http://schemas.microsoft.com/office/drawing/2014/chart" uri="{C3380CC4-5D6E-409C-BE32-E72D297353CC}">
                <c16:uniqueId val="{00000002-88A5-453E-BEA4-867CF80379D6}"/>
              </c:ext>
            </c:extLst>
          </c:dPt>
          <c:dPt>
            <c:idx val="11"/>
            <c:invertIfNegative val="0"/>
            <c:bubble3D val="0"/>
            <c:spPr>
              <a:solidFill>
                <a:srgbClr val="002060"/>
              </a:solidFill>
              <a:ln>
                <a:noFill/>
              </a:ln>
              <a:effectLst/>
            </c:spPr>
            <c:extLst>
              <c:ext xmlns:c16="http://schemas.microsoft.com/office/drawing/2014/chart" uri="{C3380CC4-5D6E-409C-BE32-E72D297353CC}">
                <c16:uniqueId val="{00000003-88A5-453E-BEA4-867CF80379D6}"/>
              </c:ext>
            </c:extLst>
          </c:dPt>
          <c:dPt>
            <c:idx val="12"/>
            <c:invertIfNegative val="0"/>
            <c:bubble3D val="0"/>
            <c:spPr>
              <a:solidFill>
                <a:srgbClr val="002060"/>
              </a:solidFill>
              <a:ln>
                <a:noFill/>
              </a:ln>
              <a:effectLst/>
            </c:spPr>
            <c:extLst>
              <c:ext xmlns:c16="http://schemas.microsoft.com/office/drawing/2014/chart" uri="{C3380CC4-5D6E-409C-BE32-E72D297353CC}">
                <c16:uniqueId val="{00000004-88A5-453E-BEA4-867CF80379D6}"/>
              </c:ext>
            </c:extLst>
          </c:dPt>
          <c:dPt>
            <c:idx val="13"/>
            <c:invertIfNegative val="0"/>
            <c:bubble3D val="0"/>
            <c:spPr>
              <a:solidFill>
                <a:srgbClr val="002060"/>
              </a:solidFill>
              <a:ln>
                <a:noFill/>
              </a:ln>
              <a:effectLst/>
            </c:spPr>
            <c:extLst>
              <c:ext xmlns:c16="http://schemas.microsoft.com/office/drawing/2014/chart" uri="{C3380CC4-5D6E-409C-BE32-E72D297353CC}">
                <c16:uniqueId val="{00000005-88A5-453E-BEA4-867CF80379D6}"/>
              </c:ext>
            </c:extLst>
          </c:dPt>
          <c:dPt>
            <c:idx val="14"/>
            <c:invertIfNegative val="0"/>
            <c:bubble3D val="0"/>
            <c:spPr>
              <a:solidFill>
                <a:srgbClr val="002060"/>
              </a:solidFill>
              <a:ln>
                <a:noFill/>
              </a:ln>
              <a:effectLst/>
            </c:spPr>
            <c:extLst>
              <c:ext xmlns:c16="http://schemas.microsoft.com/office/drawing/2014/chart" uri="{C3380CC4-5D6E-409C-BE32-E72D297353CC}">
                <c16:uniqueId val="{00000006-88A5-453E-BEA4-867CF80379D6}"/>
              </c:ext>
            </c:extLst>
          </c:dPt>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Report!$F$217:$T$217</c:f>
              <c:numCache>
                <c:formatCode>0"A"</c:formatCode>
                <c:ptCount val="15"/>
                <c:pt idx="0">
                  <c:v>2023</c:v>
                </c:pt>
                <c:pt idx="1">
                  <c:v>2024</c:v>
                </c:pt>
                <c:pt idx="2">
                  <c:v>2025</c:v>
                </c:pt>
                <c:pt idx="3" formatCode="0&quot;E&quot;">
                  <c:v>2026</c:v>
                </c:pt>
                <c:pt idx="4" formatCode="0&quot;E&quot;">
                  <c:v>2027</c:v>
                </c:pt>
                <c:pt idx="5" formatCode="0&quot;E&quot;">
                  <c:v>2028</c:v>
                </c:pt>
                <c:pt idx="6" formatCode="0&quot;E&quot;">
                  <c:v>2029</c:v>
                </c:pt>
                <c:pt idx="7" formatCode="0&quot;E&quot;">
                  <c:v>2030</c:v>
                </c:pt>
                <c:pt idx="8" formatCode="0&quot;E&quot;">
                  <c:v>2031</c:v>
                </c:pt>
                <c:pt idx="9" formatCode="0&quot;E&quot;">
                  <c:v>2032</c:v>
                </c:pt>
                <c:pt idx="10" formatCode="0&quot;E&quot;">
                  <c:v>2033</c:v>
                </c:pt>
                <c:pt idx="11" formatCode="0&quot;E&quot;">
                  <c:v>2034</c:v>
                </c:pt>
                <c:pt idx="12" formatCode="0&quot;E&quot;">
                  <c:v>2035</c:v>
                </c:pt>
                <c:pt idx="13" formatCode="0&quot;E&quot;">
                  <c:v>2036</c:v>
                </c:pt>
                <c:pt idx="14" formatCode="0&quot;E&quot;">
                  <c:v>2037</c:v>
                </c:pt>
              </c:numCache>
            </c:numRef>
          </c:cat>
          <c:val>
            <c:numRef>
              <c:f>Report!$F$218:$T$218</c:f>
              <c:numCache>
                <c:formatCode>0</c:formatCode>
                <c:ptCount val="15"/>
                <c:pt idx="0">
                  <c:v>166</c:v>
                </c:pt>
                <c:pt idx="1">
                  <c:v>179</c:v>
                </c:pt>
                <c:pt idx="2">
                  <c:v>232</c:v>
                </c:pt>
                <c:pt idx="3">
                  <c:v>283.64383561643837</c:v>
                </c:pt>
                <c:pt idx="4">
                  <c:v>340.37260273972601</c:v>
                </c:pt>
                <c:pt idx="5">
                  <c:v>425.46575342465752</c:v>
                </c:pt>
                <c:pt idx="6">
                  <c:v>531.83219178082186</c:v>
                </c:pt>
                <c:pt idx="7">
                  <c:v>655.48317636986292</c:v>
                </c:pt>
                <c:pt idx="8">
                  <c:v>796.41205928938336</c:v>
                </c:pt>
                <c:pt idx="9">
                  <c:v>953.70344099903639</c:v>
                </c:pt>
                <c:pt idx="10">
                  <c:v>1125.3700603788629</c:v>
                </c:pt>
                <c:pt idx="11">
                  <c:v>1294.1755694356925</c:v>
                </c:pt>
                <c:pt idx="12">
                  <c:v>1475.3601491566897</c:v>
                </c:pt>
                <c:pt idx="13">
                  <c:v>1652.4033670554925</c:v>
                </c:pt>
                <c:pt idx="14">
                  <c:v>1817.6437037610419</c:v>
                </c:pt>
              </c:numCache>
            </c:numRef>
          </c:val>
          <c:extLst>
            <c:ext xmlns:c16="http://schemas.microsoft.com/office/drawing/2014/chart" uri="{C3380CC4-5D6E-409C-BE32-E72D297353CC}">
              <c16:uniqueId val="{00000000-66A9-47E4-BE7A-F94A3870FD92}"/>
            </c:ext>
          </c:extLst>
        </c:ser>
        <c:dLbls>
          <c:showLegendKey val="0"/>
          <c:showVal val="0"/>
          <c:showCatName val="0"/>
          <c:showSerName val="0"/>
          <c:showPercent val="0"/>
          <c:showBubbleSize val="0"/>
        </c:dLbls>
        <c:gapWidth val="150"/>
        <c:axId val="915475727"/>
        <c:axId val="915481967"/>
      </c:barChart>
      <c:lineChart>
        <c:grouping val="standard"/>
        <c:varyColors val="0"/>
        <c:ser>
          <c:idx val="1"/>
          <c:order val="1"/>
          <c:tx>
            <c:strRef>
              <c:f>Report!$E$219</c:f>
              <c:strCache>
                <c:ptCount val="1"/>
                <c:pt idx="0">
                  <c:v>Trade Receivable Days</c:v>
                </c:pt>
              </c:strCache>
            </c:strRef>
          </c:tx>
          <c:spPr>
            <a:ln w="28575" cap="rnd">
              <a:solidFill>
                <a:srgbClr val="BFBFBF"/>
              </a:solidFill>
              <a:round/>
            </a:ln>
            <a:effectLst/>
          </c:spPr>
          <c:marker>
            <c:symbol val="none"/>
          </c:marker>
          <c:cat>
            <c:numRef>
              <c:f>Report!$F$217:$T$217</c:f>
              <c:numCache>
                <c:formatCode>0"A"</c:formatCode>
                <c:ptCount val="15"/>
                <c:pt idx="0">
                  <c:v>2023</c:v>
                </c:pt>
                <c:pt idx="1">
                  <c:v>2024</c:v>
                </c:pt>
                <c:pt idx="2">
                  <c:v>2025</c:v>
                </c:pt>
                <c:pt idx="3" formatCode="0&quot;E&quot;">
                  <c:v>2026</c:v>
                </c:pt>
                <c:pt idx="4" formatCode="0&quot;E&quot;">
                  <c:v>2027</c:v>
                </c:pt>
                <c:pt idx="5" formatCode="0&quot;E&quot;">
                  <c:v>2028</c:v>
                </c:pt>
                <c:pt idx="6" formatCode="0&quot;E&quot;">
                  <c:v>2029</c:v>
                </c:pt>
                <c:pt idx="7" formatCode="0&quot;E&quot;">
                  <c:v>2030</c:v>
                </c:pt>
                <c:pt idx="8" formatCode="0&quot;E&quot;">
                  <c:v>2031</c:v>
                </c:pt>
                <c:pt idx="9" formatCode="0&quot;E&quot;">
                  <c:v>2032</c:v>
                </c:pt>
                <c:pt idx="10" formatCode="0&quot;E&quot;">
                  <c:v>2033</c:v>
                </c:pt>
                <c:pt idx="11" formatCode="0&quot;E&quot;">
                  <c:v>2034</c:v>
                </c:pt>
                <c:pt idx="12" formatCode="0&quot;E&quot;">
                  <c:v>2035</c:v>
                </c:pt>
                <c:pt idx="13" formatCode="0&quot;E&quot;">
                  <c:v>2036</c:v>
                </c:pt>
                <c:pt idx="14" formatCode="0&quot;E&quot;">
                  <c:v>2037</c:v>
                </c:pt>
              </c:numCache>
            </c:numRef>
          </c:cat>
          <c:val>
            <c:numRef>
              <c:f>Report!$F$219:$T$219</c:f>
              <c:numCache>
                <c:formatCode>0</c:formatCode>
                <c:ptCount val="15"/>
                <c:pt idx="0">
                  <c:v>27.691956124314441</c:v>
                </c:pt>
                <c:pt idx="1">
                  <c:v>33.869880767236914</c:v>
                </c:pt>
                <c:pt idx="2">
                  <c:v>33.207843137254898</c:v>
                </c:pt>
                <c:pt idx="3">
                  <c:v>35</c:v>
                </c:pt>
                <c:pt idx="4">
                  <c:v>35</c:v>
                </c:pt>
                <c:pt idx="5">
                  <c:v>35</c:v>
                </c:pt>
                <c:pt idx="6">
                  <c:v>35</c:v>
                </c:pt>
                <c:pt idx="7">
                  <c:v>35</c:v>
                </c:pt>
                <c:pt idx="8">
                  <c:v>35</c:v>
                </c:pt>
                <c:pt idx="9">
                  <c:v>35</c:v>
                </c:pt>
                <c:pt idx="10">
                  <c:v>35</c:v>
                </c:pt>
                <c:pt idx="11">
                  <c:v>35</c:v>
                </c:pt>
                <c:pt idx="12">
                  <c:v>35</c:v>
                </c:pt>
                <c:pt idx="13">
                  <c:v>35</c:v>
                </c:pt>
                <c:pt idx="14">
                  <c:v>35</c:v>
                </c:pt>
              </c:numCache>
            </c:numRef>
          </c:val>
          <c:smooth val="0"/>
          <c:extLst>
            <c:ext xmlns:c16="http://schemas.microsoft.com/office/drawing/2014/chart" uri="{C3380CC4-5D6E-409C-BE32-E72D297353CC}">
              <c16:uniqueId val="{00000001-66A9-47E4-BE7A-F94A3870FD92}"/>
            </c:ext>
          </c:extLst>
        </c:ser>
        <c:dLbls>
          <c:showLegendKey val="0"/>
          <c:showVal val="0"/>
          <c:showCatName val="0"/>
          <c:showSerName val="0"/>
          <c:showPercent val="0"/>
          <c:showBubbleSize val="0"/>
        </c:dLbls>
        <c:marker val="1"/>
        <c:smooth val="0"/>
        <c:axId val="813882511"/>
        <c:axId val="813880111"/>
      </c:lineChart>
      <c:catAx>
        <c:axId val="915475727"/>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481967"/>
        <c:crosses val="autoZero"/>
        <c:auto val="1"/>
        <c:lblAlgn val="ctr"/>
        <c:lblOffset val="100"/>
        <c:noMultiLvlLbl val="0"/>
      </c:catAx>
      <c:valAx>
        <c:axId val="915481967"/>
        <c:scaling>
          <c:orientation val="minMax"/>
          <c:max val="1900"/>
          <c:min val="1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5475727"/>
        <c:crosses val="autoZero"/>
        <c:crossBetween val="between"/>
        <c:minorUnit val="20"/>
      </c:valAx>
      <c:valAx>
        <c:axId val="813880111"/>
        <c:scaling>
          <c:orientation val="minMax"/>
          <c:max val="40"/>
          <c:min val="25"/>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3882511"/>
        <c:crosses val="max"/>
        <c:crossBetween val="between"/>
        <c:majorUnit val="2"/>
      </c:valAx>
      <c:catAx>
        <c:axId val="813882511"/>
        <c:scaling>
          <c:orientation val="minMax"/>
        </c:scaling>
        <c:delete val="1"/>
        <c:axPos val="b"/>
        <c:numFmt formatCode="0&quot;A&quot;" sourceLinked="1"/>
        <c:majorTickMark val="out"/>
        <c:minorTickMark val="none"/>
        <c:tickLblPos val="nextTo"/>
        <c:crossAx val="81388011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effectLst/>
              </a:rPr>
              <a:t>Trade Payable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Report!$E$223</c:f>
              <c:strCache>
                <c:ptCount val="1"/>
                <c:pt idx="0">
                  <c:v>Trade Payable</c:v>
                </c:pt>
              </c:strCache>
            </c:strRef>
          </c:tx>
          <c:spPr>
            <a:solidFill>
              <a:srgbClr val="913493"/>
            </a:solidFill>
            <a:ln>
              <a:noFill/>
            </a:ln>
            <a:effectLst/>
          </c:spPr>
          <c:invertIfNegative val="0"/>
          <c:dPt>
            <c:idx val="0"/>
            <c:invertIfNegative val="0"/>
            <c:bubble3D val="0"/>
            <c:spPr>
              <a:solidFill>
                <a:srgbClr val="EE3048"/>
              </a:solidFill>
              <a:ln>
                <a:noFill/>
              </a:ln>
              <a:effectLst/>
            </c:spPr>
            <c:extLst>
              <c:ext xmlns:c16="http://schemas.microsoft.com/office/drawing/2014/chart" uri="{C3380CC4-5D6E-409C-BE32-E72D297353CC}">
                <c16:uniqueId val="{00000002-5B26-42D2-9867-F0ECBFD8652A}"/>
              </c:ext>
            </c:extLst>
          </c:dPt>
          <c:dPt>
            <c:idx val="1"/>
            <c:invertIfNegative val="0"/>
            <c:bubble3D val="0"/>
            <c:spPr>
              <a:solidFill>
                <a:srgbClr val="EE3048"/>
              </a:solidFill>
              <a:ln>
                <a:noFill/>
              </a:ln>
              <a:effectLst/>
            </c:spPr>
            <c:extLst>
              <c:ext xmlns:c16="http://schemas.microsoft.com/office/drawing/2014/chart" uri="{C3380CC4-5D6E-409C-BE32-E72D297353CC}">
                <c16:uniqueId val="{00000003-5B26-42D2-9867-F0ECBFD8652A}"/>
              </c:ext>
            </c:extLst>
          </c:dPt>
          <c:dPt>
            <c:idx val="2"/>
            <c:invertIfNegative val="0"/>
            <c:bubble3D val="0"/>
            <c:spPr>
              <a:solidFill>
                <a:srgbClr val="EE3048"/>
              </a:solidFill>
              <a:ln>
                <a:noFill/>
              </a:ln>
              <a:effectLst/>
            </c:spPr>
            <c:extLst>
              <c:ext xmlns:c16="http://schemas.microsoft.com/office/drawing/2014/chart" uri="{C3380CC4-5D6E-409C-BE32-E72D297353CC}">
                <c16:uniqueId val="{00000004-5B26-42D2-9867-F0ECBFD8652A}"/>
              </c:ext>
            </c:extLst>
          </c:dPt>
          <c:dPt>
            <c:idx val="11"/>
            <c:invertIfNegative val="0"/>
            <c:bubble3D val="0"/>
            <c:spPr>
              <a:solidFill>
                <a:srgbClr val="002060"/>
              </a:solidFill>
              <a:ln>
                <a:noFill/>
              </a:ln>
              <a:effectLst/>
            </c:spPr>
            <c:extLst>
              <c:ext xmlns:c16="http://schemas.microsoft.com/office/drawing/2014/chart" uri="{C3380CC4-5D6E-409C-BE32-E72D297353CC}">
                <c16:uniqueId val="{00000005-5B26-42D2-9867-F0ECBFD8652A}"/>
              </c:ext>
            </c:extLst>
          </c:dPt>
          <c:dPt>
            <c:idx val="12"/>
            <c:invertIfNegative val="0"/>
            <c:bubble3D val="0"/>
            <c:spPr>
              <a:solidFill>
                <a:srgbClr val="002060"/>
              </a:solidFill>
              <a:ln>
                <a:noFill/>
              </a:ln>
              <a:effectLst/>
            </c:spPr>
            <c:extLst>
              <c:ext xmlns:c16="http://schemas.microsoft.com/office/drawing/2014/chart" uri="{C3380CC4-5D6E-409C-BE32-E72D297353CC}">
                <c16:uniqueId val="{00000006-5B26-42D2-9867-F0ECBFD8652A}"/>
              </c:ext>
            </c:extLst>
          </c:dPt>
          <c:dPt>
            <c:idx val="13"/>
            <c:invertIfNegative val="0"/>
            <c:bubble3D val="0"/>
            <c:spPr>
              <a:solidFill>
                <a:srgbClr val="002060"/>
              </a:solidFill>
              <a:ln>
                <a:noFill/>
              </a:ln>
              <a:effectLst/>
            </c:spPr>
            <c:extLst>
              <c:ext xmlns:c16="http://schemas.microsoft.com/office/drawing/2014/chart" uri="{C3380CC4-5D6E-409C-BE32-E72D297353CC}">
                <c16:uniqueId val="{00000007-5B26-42D2-9867-F0ECBFD8652A}"/>
              </c:ext>
            </c:extLst>
          </c:dPt>
          <c:dPt>
            <c:idx val="14"/>
            <c:invertIfNegative val="0"/>
            <c:bubble3D val="0"/>
            <c:spPr>
              <a:solidFill>
                <a:srgbClr val="002060"/>
              </a:solidFill>
              <a:ln>
                <a:noFill/>
              </a:ln>
              <a:effectLst/>
            </c:spPr>
            <c:extLst>
              <c:ext xmlns:c16="http://schemas.microsoft.com/office/drawing/2014/chart" uri="{C3380CC4-5D6E-409C-BE32-E72D297353CC}">
                <c16:uniqueId val="{00000008-5B26-42D2-9867-F0ECBFD8652A}"/>
              </c:ext>
            </c:extLst>
          </c:dPt>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Report!$F$222:$T$222</c:f>
              <c:numCache>
                <c:formatCode>0"A"</c:formatCode>
                <c:ptCount val="15"/>
                <c:pt idx="0">
                  <c:v>2023</c:v>
                </c:pt>
                <c:pt idx="1">
                  <c:v>2024</c:v>
                </c:pt>
                <c:pt idx="2">
                  <c:v>2025</c:v>
                </c:pt>
                <c:pt idx="3" formatCode="0&quot;E&quot;">
                  <c:v>2026</c:v>
                </c:pt>
                <c:pt idx="4" formatCode="0&quot;E&quot;">
                  <c:v>2027</c:v>
                </c:pt>
                <c:pt idx="5" formatCode="0&quot;E&quot;">
                  <c:v>2028</c:v>
                </c:pt>
                <c:pt idx="6" formatCode="0&quot;E&quot;">
                  <c:v>2029</c:v>
                </c:pt>
                <c:pt idx="7" formatCode="0&quot;E&quot;">
                  <c:v>2030</c:v>
                </c:pt>
                <c:pt idx="8" formatCode="0&quot;E&quot;">
                  <c:v>2031</c:v>
                </c:pt>
                <c:pt idx="9" formatCode="0&quot;E&quot;">
                  <c:v>2032</c:v>
                </c:pt>
                <c:pt idx="10" formatCode="0&quot;E&quot;">
                  <c:v>2033</c:v>
                </c:pt>
                <c:pt idx="11" formatCode="0&quot;E&quot;">
                  <c:v>2034</c:v>
                </c:pt>
                <c:pt idx="12" formatCode="0&quot;E&quot;">
                  <c:v>2035</c:v>
                </c:pt>
                <c:pt idx="13" formatCode="0&quot;E&quot;">
                  <c:v>2036</c:v>
                </c:pt>
                <c:pt idx="14" formatCode="0&quot;E&quot;">
                  <c:v>2037</c:v>
                </c:pt>
              </c:numCache>
            </c:numRef>
          </c:cat>
          <c:val>
            <c:numRef>
              <c:f>Report!$F$223:$T$223</c:f>
              <c:numCache>
                <c:formatCode>0</c:formatCode>
                <c:ptCount val="15"/>
                <c:pt idx="0">
                  <c:v>110</c:v>
                </c:pt>
                <c:pt idx="1">
                  <c:v>184</c:v>
                </c:pt>
                <c:pt idx="2">
                  <c:v>186</c:v>
                </c:pt>
                <c:pt idx="3">
                  <c:v>222.86301369863014</c:v>
                </c:pt>
                <c:pt idx="4">
                  <c:v>267.43561643835619</c:v>
                </c:pt>
                <c:pt idx="5">
                  <c:v>334.29452054794524</c:v>
                </c:pt>
                <c:pt idx="6">
                  <c:v>413.30958904109593</c:v>
                </c:pt>
                <c:pt idx="7">
                  <c:v>503.78564126712331</c:v>
                </c:pt>
                <c:pt idx="8">
                  <c:v>605.27316505993122</c:v>
                </c:pt>
                <c:pt idx="9">
                  <c:v>716.64001423641878</c:v>
                </c:pt>
                <c:pt idx="10">
                  <c:v>835.98918771001252</c:v>
                </c:pt>
                <c:pt idx="11">
                  <c:v>905.92289860498477</c:v>
                </c:pt>
                <c:pt idx="12">
                  <c:v>1032.7521044096827</c:v>
                </c:pt>
                <c:pt idx="13">
                  <c:v>1156.6823569388448</c:v>
                </c:pt>
                <c:pt idx="14">
                  <c:v>1246.3842540075716</c:v>
                </c:pt>
              </c:numCache>
            </c:numRef>
          </c:val>
          <c:extLst>
            <c:ext xmlns:c16="http://schemas.microsoft.com/office/drawing/2014/chart" uri="{C3380CC4-5D6E-409C-BE32-E72D297353CC}">
              <c16:uniqueId val="{00000000-5B26-42D2-9867-F0ECBFD8652A}"/>
            </c:ext>
          </c:extLst>
        </c:ser>
        <c:dLbls>
          <c:showLegendKey val="0"/>
          <c:showVal val="0"/>
          <c:showCatName val="0"/>
          <c:showSerName val="0"/>
          <c:showPercent val="0"/>
          <c:showBubbleSize val="0"/>
        </c:dLbls>
        <c:gapWidth val="150"/>
        <c:axId val="813882991"/>
        <c:axId val="813883471"/>
      </c:barChart>
      <c:lineChart>
        <c:grouping val="standard"/>
        <c:varyColors val="0"/>
        <c:ser>
          <c:idx val="1"/>
          <c:order val="1"/>
          <c:tx>
            <c:strRef>
              <c:f>Report!$E$224</c:f>
              <c:strCache>
                <c:ptCount val="1"/>
                <c:pt idx="0">
                  <c:v>Trade Payable Days</c:v>
                </c:pt>
              </c:strCache>
            </c:strRef>
          </c:tx>
          <c:spPr>
            <a:ln w="28575" cap="rnd">
              <a:solidFill>
                <a:srgbClr val="BFBFBF"/>
              </a:solidFill>
              <a:round/>
            </a:ln>
            <a:effectLst/>
          </c:spPr>
          <c:marker>
            <c:symbol val="none"/>
          </c:marker>
          <c:cat>
            <c:numRef>
              <c:f>Report!$F$222:$T$222</c:f>
              <c:numCache>
                <c:formatCode>0"A"</c:formatCode>
                <c:ptCount val="15"/>
                <c:pt idx="0">
                  <c:v>2023</c:v>
                </c:pt>
                <c:pt idx="1">
                  <c:v>2024</c:v>
                </c:pt>
                <c:pt idx="2">
                  <c:v>2025</c:v>
                </c:pt>
                <c:pt idx="3" formatCode="0&quot;E&quot;">
                  <c:v>2026</c:v>
                </c:pt>
                <c:pt idx="4" formatCode="0&quot;E&quot;">
                  <c:v>2027</c:v>
                </c:pt>
                <c:pt idx="5" formatCode="0&quot;E&quot;">
                  <c:v>2028</c:v>
                </c:pt>
                <c:pt idx="6" formatCode="0&quot;E&quot;">
                  <c:v>2029</c:v>
                </c:pt>
                <c:pt idx="7" formatCode="0&quot;E&quot;">
                  <c:v>2030</c:v>
                </c:pt>
                <c:pt idx="8" formatCode="0&quot;E&quot;">
                  <c:v>2031</c:v>
                </c:pt>
                <c:pt idx="9" formatCode="0&quot;E&quot;">
                  <c:v>2032</c:v>
                </c:pt>
                <c:pt idx="10" formatCode="0&quot;E&quot;">
                  <c:v>2033</c:v>
                </c:pt>
                <c:pt idx="11" formatCode="0&quot;E&quot;">
                  <c:v>2034</c:v>
                </c:pt>
                <c:pt idx="12" formatCode="0&quot;E&quot;">
                  <c:v>2035</c:v>
                </c:pt>
                <c:pt idx="13" formatCode="0&quot;E&quot;">
                  <c:v>2036</c:v>
                </c:pt>
                <c:pt idx="14" formatCode="0&quot;E&quot;">
                  <c:v>2037</c:v>
                </c:pt>
              </c:numCache>
            </c:numRef>
          </c:cat>
          <c:val>
            <c:numRef>
              <c:f>Report!$F$224:$T$224</c:f>
              <c:numCache>
                <c:formatCode>0</c:formatCode>
                <c:ptCount val="15"/>
                <c:pt idx="0">
                  <c:v>36.00896860986547</c:v>
                </c:pt>
                <c:pt idx="1">
                  <c:v>63.298774740810558</c:v>
                </c:pt>
                <c:pt idx="2">
                  <c:v>50.17738359201774</c:v>
                </c:pt>
                <c:pt idx="3">
                  <c:v>50</c:v>
                </c:pt>
                <c:pt idx="4">
                  <c:v>50</c:v>
                </c:pt>
                <c:pt idx="5">
                  <c:v>50</c:v>
                </c:pt>
                <c:pt idx="6">
                  <c:v>50</c:v>
                </c:pt>
                <c:pt idx="7">
                  <c:v>50.000000000000007</c:v>
                </c:pt>
                <c:pt idx="8">
                  <c:v>50</c:v>
                </c:pt>
                <c:pt idx="9">
                  <c:v>50</c:v>
                </c:pt>
                <c:pt idx="10">
                  <c:v>50</c:v>
                </c:pt>
                <c:pt idx="11">
                  <c:v>50.000000000000007</c:v>
                </c:pt>
                <c:pt idx="12">
                  <c:v>50</c:v>
                </c:pt>
                <c:pt idx="13">
                  <c:v>50.000000000000007</c:v>
                </c:pt>
                <c:pt idx="14">
                  <c:v>50</c:v>
                </c:pt>
              </c:numCache>
            </c:numRef>
          </c:val>
          <c:smooth val="0"/>
          <c:extLst>
            <c:ext xmlns:c16="http://schemas.microsoft.com/office/drawing/2014/chart" uri="{C3380CC4-5D6E-409C-BE32-E72D297353CC}">
              <c16:uniqueId val="{00000001-5B26-42D2-9867-F0ECBFD8652A}"/>
            </c:ext>
          </c:extLst>
        </c:ser>
        <c:dLbls>
          <c:showLegendKey val="0"/>
          <c:showVal val="0"/>
          <c:showCatName val="0"/>
          <c:showSerName val="0"/>
          <c:showPercent val="0"/>
          <c:showBubbleSize val="0"/>
        </c:dLbls>
        <c:marker val="1"/>
        <c:smooth val="0"/>
        <c:axId val="1120690191"/>
        <c:axId val="1120679151"/>
      </c:lineChart>
      <c:catAx>
        <c:axId val="813882991"/>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13883471"/>
        <c:crosses val="autoZero"/>
        <c:auto val="1"/>
        <c:lblAlgn val="ctr"/>
        <c:lblOffset val="100"/>
        <c:noMultiLvlLbl val="0"/>
      </c:catAx>
      <c:valAx>
        <c:axId val="813883471"/>
        <c:scaling>
          <c:orientation val="minMax"/>
          <c:max val="1400"/>
          <c:min val="0"/>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13882991"/>
        <c:crosses val="autoZero"/>
        <c:crossBetween val="between"/>
        <c:majorUnit val="150"/>
        <c:minorUnit val="10"/>
      </c:valAx>
      <c:valAx>
        <c:axId val="1120679151"/>
        <c:scaling>
          <c:orientation val="minMax"/>
          <c:max val="70"/>
          <c:min val="30"/>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0690191"/>
        <c:crosses val="max"/>
        <c:crossBetween val="between"/>
      </c:valAx>
      <c:catAx>
        <c:axId val="1120690191"/>
        <c:scaling>
          <c:orientation val="minMax"/>
        </c:scaling>
        <c:delete val="1"/>
        <c:axPos val="b"/>
        <c:numFmt formatCode="0&quot;A&quot;" sourceLinked="1"/>
        <c:majorTickMark val="out"/>
        <c:minorTickMark val="none"/>
        <c:tickLblPos val="nextTo"/>
        <c:crossAx val="1120679151"/>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Borrowings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156714785651792"/>
          <c:y val="0.21800925925925929"/>
          <c:w val="0.8028772965879265"/>
          <c:h val="0.56868802857976097"/>
        </c:manualLayout>
      </c:layout>
      <c:barChart>
        <c:barDir val="col"/>
        <c:grouping val="percentStacked"/>
        <c:varyColors val="0"/>
        <c:ser>
          <c:idx val="0"/>
          <c:order val="0"/>
          <c:tx>
            <c:strRef>
              <c:f>Report!$E$229</c:f>
              <c:strCache>
                <c:ptCount val="1"/>
                <c:pt idx="0">
                  <c:v>LTB% Tb</c:v>
                </c:pt>
              </c:strCache>
            </c:strRef>
          </c:tx>
          <c:spPr>
            <a:solidFill>
              <a:srgbClr val="91349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Report!$F$228:$J$228</c:f>
              <c:numCache>
                <c:formatCode>0"A"</c:formatCode>
                <c:ptCount val="5"/>
                <c:pt idx="0">
                  <c:v>2021</c:v>
                </c:pt>
                <c:pt idx="1">
                  <c:v>2022</c:v>
                </c:pt>
                <c:pt idx="2">
                  <c:v>2023</c:v>
                </c:pt>
                <c:pt idx="3">
                  <c:v>2024</c:v>
                </c:pt>
                <c:pt idx="4">
                  <c:v>2025</c:v>
                </c:pt>
              </c:numCache>
            </c:numRef>
          </c:cat>
          <c:val>
            <c:numRef>
              <c:f>Report!$F$229:$J$229</c:f>
              <c:numCache>
                <c:formatCode>0%</c:formatCode>
                <c:ptCount val="5"/>
                <c:pt idx="0">
                  <c:v>0.81927710843373491</c:v>
                </c:pt>
                <c:pt idx="1">
                  <c:v>0.90566037735849059</c:v>
                </c:pt>
                <c:pt idx="2">
                  <c:v>0.85557299843014134</c:v>
                </c:pt>
                <c:pt idx="3">
                  <c:v>0.71223958333333337</c:v>
                </c:pt>
                <c:pt idx="4">
                  <c:v>0.8997995991983968</c:v>
                </c:pt>
              </c:numCache>
            </c:numRef>
          </c:val>
          <c:extLst>
            <c:ext xmlns:c16="http://schemas.microsoft.com/office/drawing/2014/chart" uri="{C3380CC4-5D6E-409C-BE32-E72D297353CC}">
              <c16:uniqueId val="{00000000-9DA2-47DB-858B-A68A5D93B43F}"/>
            </c:ext>
          </c:extLst>
        </c:ser>
        <c:ser>
          <c:idx val="1"/>
          <c:order val="1"/>
          <c:tx>
            <c:strRef>
              <c:f>Report!$E$230</c:f>
              <c:strCache>
                <c:ptCount val="1"/>
                <c:pt idx="0">
                  <c:v>STB%TB</c:v>
                </c:pt>
              </c:strCache>
            </c:strRef>
          </c:tx>
          <c:spPr>
            <a:solidFill>
              <a:srgbClr val="EE304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Report!$F$228:$J$228</c:f>
              <c:numCache>
                <c:formatCode>0"A"</c:formatCode>
                <c:ptCount val="5"/>
                <c:pt idx="0">
                  <c:v>2021</c:v>
                </c:pt>
                <c:pt idx="1">
                  <c:v>2022</c:v>
                </c:pt>
                <c:pt idx="2">
                  <c:v>2023</c:v>
                </c:pt>
                <c:pt idx="3">
                  <c:v>2024</c:v>
                </c:pt>
                <c:pt idx="4">
                  <c:v>2025</c:v>
                </c:pt>
              </c:numCache>
            </c:numRef>
          </c:cat>
          <c:val>
            <c:numRef>
              <c:f>Report!$F$230:$J$230</c:f>
              <c:numCache>
                <c:formatCode>0%</c:formatCode>
                <c:ptCount val="5"/>
                <c:pt idx="0">
                  <c:v>0.18072289156626506</c:v>
                </c:pt>
                <c:pt idx="1">
                  <c:v>9.4339622641509441E-2</c:v>
                </c:pt>
                <c:pt idx="2">
                  <c:v>0.14442700156985872</c:v>
                </c:pt>
                <c:pt idx="3">
                  <c:v>0.28776041666666669</c:v>
                </c:pt>
                <c:pt idx="4">
                  <c:v>0.10020040080160321</c:v>
                </c:pt>
              </c:numCache>
            </c:numRef>
          </c:val>
          <c:extLst>
            <c:ext xmlns:c16="http://schemas.microsoft.com/office/drawing/2014/chart" uri="{C3380CC4-5D6E-409C-BE32-E72D297353CC}">
              <c16:uniqueId val="{00000001-9DA2-47DB-858B-A68A5D93B43F}"/>
            </c:ext>
          </c:extLst>
        </c:ser>
        <c:dLbls>
          <c:showLegendKey val="0"/>
          <c:showVal val="0"/>
          <c:showCatName val="0"/>
          <c:showSerName val="0"/>
          <c:showPercent val="0"/>
          <c:showBubbleSize val="0"/>
        </c:dLbls>
        <c:gapWidth val="150"/>
        <c:overlap val="100"/>
        <c:axId val="516686383"/>
        <c:axId val="516670063"/>
      </c:barChart>
      <c:catAx>
        <c:axId val="516686383"/>
        <c:scaling>
          <c:orientation val="minMax"/>
        </c:scaling>
        <c:delete val="0"/>
        <c:axPos val="b"/>
        <c:numFmt formatCode="0&quot;A&quot;"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670063"/>
        <c:crosses val="autoZero"/>
        <c:auto val="1"/>
        <c:lblAlgn val="ctr"/>
        <c:lblOffset val="100"/>
        <c:noMultiLvlLbl val="0"/>
      </c:catAx>
      <c:valAx>
        <c:axId val="51667006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6863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Young Population 18</a:t>
            </a:r>
            <a:r>
              <a:rPr lang="en-US" baseline="0"/>
              <a:t> - 35</a:t>
            </a:r>
            <a:r>
              <a:rPr lang="en-US"/>
              <a:t> (Working)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6111111111111108E-2"/>
          <c:y val="0.17634259259259263"/>
          <c:w val="0.93888888888888888"/>
          <c:h val="0.72088764946048411"/>
        </c:manualLayout>
      </c:layout>
      <c:barChart>
        <c:barDir val="col"/>
        <c:grouping val="clustered"/>
        <c:varyColors val="0"/>
        <c:ser>
          <c:idx val="0"/>
          <c:order val="0"/>
          <c:tx>
            <c:strRef>
              <c:f>'Growth Drivers'!$C$11</c:f>
              <c:strCache>
                <c:ptCount val="1"/>
                <c:pt idx="0">
                  <c:v>Young Population (Working)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'Growth Drivers'!$B$12:$B$17</c:f>
              <c:numCache>
                <c:formatCode>General</c:formatCode>
                <c:ptCount val="6"/>
                <c:pt idx="0">
                  <c:v>2018</c:v>
                </c:pt>
                <c:pt idx="1">
                  <c:v>2019</c:v>
                </c:pt>
                <c:pt idx="2">
                  <c:v>2020</c:v>
                </c:pt>
                <c:pt idx="3">
                  <c:v>2021</c:v>
                </c:pt>
                <c:pt idx="4">
                  <c:v>2022</c:v>
                </c:pt>
                <c:pt idx="5">
                  <c:v>2023</c:v>
                </c:pt>
              </c:numCache>
            </c:numRef>
          </c:cat>
          <c:val>
            <c:numRef>
              <c:f>'Growth Drivers'!$C$12:$C$17</c:f>
              <c:numCache>
                <c:formatCode>0.00%</c:formatCode>
                <c:ptCount val="6"/>
                <c:pt idx="0">
                  <c:v>0.66649999999999998</c:v>
                </c:pt>
                <c:pt idx="1">
                  <c:v>0.6694</c:v>
                </c:pt>
                <c:pt idx="2">
                  <c:v>0.6724</c:v>
                </c:pt>
                <c:pt idx="3">
                  <c:v>0.67549999999999999</c:v>
                </c:pt>
                <c:pt idx="4">
                  <c:v>0.67810000000000004</c:v>
                </c:pt>
                <c:pt idx="5">
                  <c:v>0.68020000000000003</c:v>
                </c:pt>
              </c:numCache>
            </c:numRef>
          </c:val>
          <c:extLst>
            <c:ext xmlns:c16="http://schemas.microsoft.com/office/drawing/2014/chart" uri="{C3380CC4-5D6E-409C-BE32-E72D297353CC}">
              <c16:uniqueId val="{00000000-063C-4B30-A4EC-393930F26050}"/>
            </c:ext>
          </c:extLst>
        </c:ser>
        <c:dLbls>
          <c:showLegendKey val="0"/>
          <c:showVal val="0"/>
          <c:showCatName val="0"/>
          <c:showSerName val="0"/>
          <c:showPercent val="0"/>
          <c:showBubbleSize val="0"/>
        </c:dLbls>
        <c:gapWidth val="219"/>
        <c:overlap val="-27"/>
        <c:axId val="455878672"/>
        <c:axId val="455879152"/>
      </c:barChart>
      <c:catAx>
        <c:axId val="455878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5879152"/>
        <c:crossesAt val="0.65500000000000014"/>
        <c:auto val="1"/>
        <c:lblAlgn val="ctr"/>
        <c:lblOffset val="100"/>
        <c:noMultiLvlLbl val="0"/>
      </c:catAx>
      <c:valAx>
        <c:axId val="455879152"/>
        <c:scaling>
          <c:orientation val="minMax"/>
        </c:scaling>
        <c:delete val="1"/>
        <c:axPos val="l"/>
        <c:numFmt formatCode="0.00%" sourceLinked="1"/>
        <c:majorTickMark val="none"/>
        <c:minorTickMark val="none"/>
        <c:tickLblPos val="nextTo"/>
        <c:crossAx val="45587867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effectLst/>
              </a:rPr>
              <a:t>Accelerated Urbanization</a:t>
            </a:r>
            <a:r>
              <a:rPr lang="en-IN" sz="1400" b="0" i="0" u="none" strike="noStrike" baseline="0">
                <a:effectLst/>
              </a:rPr>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'Growth Drivers'!$F$24</c:f>
              <c:strCache>
                <c:ptCount val="1"/>
                <c:pt idx="0">
                  <c:v>Urban Population</c:v>
                </c:pt>
              </c:strCache>
            </c:strRef>
          </c:tx>
          <c:spPr>
            <a:solidFill>
              <a:schemeClr val="accent1"/>
            </a:solidFill>
            <a:ln>
              <a:noFill/>
            </a:ln>
            <a:effectLst/>
          </c:spPr>
          <c:invertIfNegative val="0"/>
          <c:cat>
            <c:numRef>
              <c:f>'Growth Drivers'!$E$25:$E$30</c:f>
              <c:numCache>
                <c:formatCode>General</c:formatCode>
                <c:ptCount val="6"/>
                <c:pt idx="0">
                  <c:v>2018</c:v>
                </c:pt>
                <c:pt idx="1">
                  <c:v>2019</c:v>
                </c:pt>
                <c:pt idx="2">
                  <c:v>2020</c:v>
                </c:pt>
                <c:pt idx="3">
                  <c:v>2021</c:v>
                </c:pt>
                <c:pt idx="4">
                  <c:v>2022</c:v>
                </c:pt>
                <c:pt idx="5">
                  <c:v>2023</c:v>
                </c:pt>
              </c:numCache>
            </c:numRef>
          </c:cat>
          <c:val>
            <c:numRef>
              <c:f>'Growth Drivers'!$F$25:$F$30</c:f>
              <c:numCache>
                <c:formatCode>#,##0</c:formatCode>
                <c:ptCount val="6"/>
                <c:pt idx="0">
                  <c:v>46.779647900000001</c:v>
                </c:pt>
                <c:pt idx="1">
                  <c:v>47.882652900000004</c:v>
                </c:pt>
                <c:pt idx="2">
                  <c:v>48.987825599999994</c:v>
                </c:pt>
                <c:pt idx="3">
                  <c:v>50.052918499999997</c:v>
                </c:pt>
                <c:pt idx="4">
                  <c:v>51.1327815</c:v>
                </c:pt>
                <c:pt idx="5">
                  <c:v>52.293962800000003</c:v>
                </c:pt>
              </c:numCache>
            </c:numRef>
          </c:val>
          <c:extLst>
            <c:ext xmlns:c16="http://schemas.microsoft.com/office/drawing/2014/chart" uri="{C3380CC4-5D6E-409C-BE32-E72D297353CC}">
              <c16:uniqueId val="{00000000-20C0-416B-89CE-8DD62EAE02E2}"/>
            </c:ext>
          </c:extLst>
        </c:ser>
        <c:dLbls>
          <c:showLegendKey val="0"/>
          <c:showVal val="0"/>
          <c:showCatName val="0"/>
          <c:showSerName val="0"/>
          <c:showPercent val="0"/>
          <c:showBubbleSize val="0"/>
        </c:dLbls>
        <c:gapWidth val="219"/>
        <c:overlap val="-27"/>
        <c:axId val="468638448"/>
        <c:axId val="468642288"/>
      </c:barChart>
      <c:lineChart>
        <c:grouping val="standard"/>
        <c:varyColors val="0"/>
        <c:ser>
          <c:idx val="1"/>
          <c:order val="1"/>
          <c:tx>
            <c:strRef>
              <c:f>'Growth Drivers'!$I$24</c:f>
              <c:strCache>
                <c:ptCount val="1"/>
                <c:pt idx="0">
                  <c:v>% of Total Population</c:v>
                </c:pt>
              </c:strCache>
            </c:strRef>
          </c:tx>
          <c:spPr>
            <a:ln w="28575" cap="rnd">
              <a:solidFill>
                <a:schemeClr val="accent2"/>
              </a:solidFill>
              <a:round/>
            </a:ln>
            <a:effectLst/>
          </c:spPr>
          <c:marker>
            <c:symbol val="none"/>
          </c:marker>
          <c:cat>
            <c:numRef>
              <c:f>'Growth Drivers'!$E$25:$E$30</c:f>
              <c:numCache>
                <c:formatCode>General</c:formatCode>
                <c:ptCount val="6"/>
                <c:pt idx="0">
                  <c:v>2018</c:v>
                </c:pt>
                <c:pt idx="1">
                  <c:v>2019</c:v>
                </c:pt>
                <c:pt idx="2">
                  <c:v>2020</c:v>
                </c:pt>
                <c:pt idx="3">
                  <c:v>2021</c:v>
                </c:pt>
                <c:pt idx="4">
                  <c:v>2022</c:v>
                </c:pt>
                <c:pt idx="5">
                  <c:v>2023</c:v>
                </c:pt>
              </c:numCache>
            </c:numRef>
          </c:cat>
          <c:val>
            <c:numRef>
              <c:f>'Growth Drivers'!$I$25:$I$30</c:f>
              <c:numCache>
                <c:formatCode>0.00%</c:formatCode>
                <c:ptCount val="6"/>
                <c:pt idx="0">
                  <c:v>0.34029999965140451</c:v>
                </c:pt>
                <c:pt idx="1">
                  <c:v>0.34471999989011043</c:v>
                </c:pt>
                <c:pt idx="2">
                  <c:v>0.34925999988899326</c:v>
                </c:pt>
                <c:pt idx="3">
                  <c:v>0.35393000006273495</c:v>
                </c:pt>
                <c:pt idx="4">
                  <c:v>0.35872000027455703</c:v>
                </c:pt>
                <c:pt idx="5">
                  <c:v>0.36364000007688085</c:v>
                </c:pt>
              </c:numCache>
            </c:numRef>
          </c:val>
          <c:smooth val="0"/>
          <c:extLst>
            <c:ext xmlns:c16="http://schemas.microsoft.com/office/drawing/2014/chart" uri="{C3380CC4-5D6E-409C-BE32-E72D297353CC}">
              <c16:uniqueId val="{00000001-20C0-416B-89CE-8DD62EAE02E2}"/>
            </c:ext>
          </c:extLst>
        </c:ser>
        <c:dLbls>
          <c:showLegendKey val="0"/>
          <c:showVal val="0"/>
          <c:showCatName val="0"/>
          <c:showSerName val="0"/>
          <c:showPercent val="0"/>
          <c:showBubbleSize val="0"/>
        </c:dLbls>
        <c:marker val="1"/>
        <c:smooth val="0"/>
        <c:axId val="468643248"/>
        <c:axId val="468640368"/>
      </c:lineChart>
      <c:catAx>
        <c:axId val="46863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642288"/>
        <c:crossesAt val="44"/>
        <c:auto val="0"/>
        <c:lblAlgn val="ctr"/>
        <c:lblOffset val="100"/>
        <c:noMultiLvlLbl val="0"/>
      </c:catAx>
      <c:valAx>
        <c:axId val="46864228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638448"/>
        <c:crosses val="autoZero"/>
        <c:crossBetween val="between"/>
      </c:valAx>
      <c:valAx>
        <c:axId val="468640368"/>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643248"/>
        <c:crosses val="max"/>
        <c:crossBetween val="between"/>
      </c:valAx>
      <c:catAx>
        <c:axId val="468643248"/>
        <c:scaling>
          <c:orientation val="minMax"/>
        </c:scaling>
        <c:delete val="1"/>
        <c:axPos val="b"/>
        <c:numFmt formatCode="General" sourceLinked="1"/>
        <c:majorTickMark val="none"/>
        <c:minorTickMark val="none"/>
        <c:tickLblPos val="nextTo"/>
        <c:crossAx val="468640368"/>
        <c:crosses val="autoZero"/>
        <c:auto val="1"/>
        <c:lblAlgn val="ctr"/>
        <c:lblOffset val="100"/>
        <c:noMultiLvlLbl val="0"/>
      </c:cat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Style="combo" dx="22" fmlaLink="$I$3" fmlaRange="$M$2:$M$4" sel="1" val="0"/>
</file>

<file path=xl/ctrlProps/ctrlProp2.xml><?xml version="1.0" encoding="utf-8"?>
<formControlPr xmlns="http://schemas.microsoft.com/office/spreadsheetml/2009/9/main" objectType="Drop" dropStyle="combo" dx="22" fmlaLink="'Control Sheet'!$I$3" fmlaRange="'Control Sheet'!$M$2:$M$5" noThreeD="1" sel="1" val="0"/>
</file>

<file path=xl/ctrlProps/ctrlProp3.xml><?xml version="1.0" encoding="utf-8"?>
<formControlPr xmlns="http://schemas.microsoft.com/office/spreadsheetml/2009/9/main" objectType="Drop" dropStyle="combo" dx="22" fmlaLink="'Control Sheet'!$I$3" fmlaRange="'Control Sheet'!$M$2:$M$4" noThreeD="1" sel="1" val="0"/>
</file>

<file path=xl/ctrlProps/ctrlProp4.xml><?xml version="1.0" encoding="utf-8"?>
<formControlPr xmlns="http://schemas.microsoft.com/office/spreadsheetml/2009/9/main" objectType="Drop" dropStyle="combo" dx="22" fmlaLink="'Control Sheet'!$I$3" fmlaRange="'Control Sheet'!$M$2:$M$4" noThreeD="1" sel="1" val="0"/>
</file>

<file path=xl/ctrlProps/ctrlProp5.xml><?xml version="1.0" encoding="utf-8"?>
<formControlPr xmlns="http://schemas.microsoft.com/office/spreadsheetml/2009/9/main" objectType="Drop" dropStyle="combo" dx="22" fmlaLink="'Control Sheet'!$I$3" fmlaRange="'Control Sheet'!$M$2:$M$4" noThreeD="1" sel="1" val="0"/>
</file>

<file path=xl/ctrlProps/ctrlProp6.xml><?xml version="1.0" encoding="utf-8"?>
<formControlPr xmlns="http://schemas.microsoft.com/office/spreadsheetml/2009/9/main" objectType="Drop" dropStyle="combo" dx="22" fmlaLink="'Control Sheet'!$I$3" fmlaRange="'Control Sheet'!$M$2:$M$4" noThreeD="1" sel="1" val="0"/>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chart" Target="../charts/chart1.xml"/><Relationship Id="rId26" Type="http://schemas.openxmlformats.org/officeDocument/2006/relationships/image" Target="../media/image23.png"/><Relationship Id="rId3" Type="http://schemas.openxmlformats.org/officeDocument/2006/relationships/image" Target="../media/image3.png"/><Relationship Id="rId21" Type="http://schemas.openxmlformats.org/officeDocument/2006/relationships/image" Target="../media/image19.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chart" Target="../charts/chart3.xml"/><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18.png"/><Relationship Id="rId29" Type="http://schemas.openxmlformats.org/officeDocument/2006/relationships/image" Target="../media/image25.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2.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1.png"/><Relationship Id="rId28" Type="http://schemas.openxmlformats.org/officeDocument/2006/relationships/chart" Target="../charts/chart4.xml"/><Relationship Id="rId10" Type="http://schemas.openxmlformats.org/officeDocument/2006/relationships/image" Target="../media/image10.png"/><Relationship Id="rId19" Type="http://schemas.openxmlformats.org/officeDocument/2006/relationships/chart" Target="../charts/chart2.xml"/><Relationship Id="rId31" Type="http://schemas.openxmlformats.org/officeDocument/2006/relationships/image" Target="../media/image27.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0.png"/><Relationship Id="rId27" Type="http://schemas.openxmlformats.org/officeDocument/2006/relationships/image" Target="../media/image24.png"/><Relationship Id="rId30" Type="http://schemas.openxmlformats.org/officeDocument/2006/relationships/image" Target="../media/image26.png"/></Relationships>
</file>

<file path=xl/drawings/_rels/drawing8.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image" Target="../media/image28.png"/></Relationships>
</file>

<file path=xl/drawings/_rels/drawing10.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26.png"/><Relationship Id="rId18" Type="http://schemas.openxmlformats.org/officeDocument/2006/relationships/chart" Target="../charts/chart15.xml"/><Relationship Id="rId3" Type="http://schemas.openxmlformats.org/officeDocument/2006/relationships/chart" Target="../charts/chart5.xml"/><Relationship Id="rId21" Type="http://schemas.openxmlformats.org/officeDocument/2006/relationships/chart" Target="../charts/chart18.xml"/><Relationship Id="rId7" Type="http://schemas.openxmlformats.org/officeDocument/2006/relationships/chart" Target="../charts/chart9.xml"/><Relationship Id="rId12" Type="http://schemas.openxmlformats.org/officeDocument/2006/relationships/chart" Target="../charts/chart11.xml"/><Relationship Id="rId17" Type="http://schemas.openxmlformats.org/officeDocument/2006/relationships/chart" Target="../charts/chart14.xml"/><Relationship Id="rId2" Type="http://schemas.openxmlformats.org/officeDocument/2006/relationships/image" Target="../media/image4.png"/><Relationship Id="rId16" Type="http://schemas.openxmlformats.org/officeDocument/2006/relationships/chart" Target="../charts/chart13.xml"/><Relationship Id="rId20" Type="http://schemas.openxmlformats.org/officeDocument/2006/relationships/chart" Target="../charts/chart17.xml"/><Relationship Id="rId1" Type="http://schemas.openxmlformats.org/officeDocument/2006/relationships/image" Target="../media/image3.png"/><Relationship Id="rId6" Type="http://schemas.openxmlformats.org/officeDocument/2006/relationships/chart" Target="../charts/chart8.xml"/><Relationship Id="rId11" Type="http://schemas.openxmlformats.org/officeDocument/2006/relationships/image" Target="../media/image25.png"/><Relationship Id="rId24" Type="http://schemas.openxmlformats.org/officeDocument/2006/relationships/chart" Target="../charts/chart21.xml"/><Relationship Id="rId5" Type="http://schemas.openxmlformats.org/officeDocument/2006/relationships/chart" Target="../charts/chart7.xml"/><Relationship Id="rId15" Type="http://schemas.openxmlformats.org/officeDocument/2006/relationships/chart" Target="../charts/chart12.xml"/><Relationship Id="rId23" Type="http://schemas.openxmlformats.org/officeDocument/2006/relationships/chart" Target="../charts/chart20.xml"/><Relationship Id="rId10" Type="http://schemas.openxmlformats.org/officeDocument/2006/relationships/chart" Target="../charts/chart10.xml"/><Relationship Id="rId19" Type="http://schemas.openxmlformats.org/officeDocument/2006/relationships/chart" Target="../charts/chart16.xml"/><Relationship Id="rId4" Type="http://schemas.openxmlformats.org/officeDocument/2006/relationships/chart" Target="../charts/chart6.xml"/><Relationship Id="rId9" Type="http://schemas.openxmlformats.org/officeDocument/2006/relationships/image" Target="../media/image2.png"/><Relationship Id="rId14" Type="http://schemas.openxmlformats.org/officeDocument/2006/relationships/image" Target="../media/image27.png"/><Relationship Id="rId22"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22.xml"/><Relationship Id="rId2" Type="http://schemas.openxmlformats.org/officeDocument/2006/relationships/image" Target="../media/image31.png"/><Relationship Id="rId1" Type="http://schemas.openxmlformats.org/officeDocument/2006/relationships/image" Target="../media/image30.png"/><Relationship Id="rId4"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1</xdr:col>
      <xdr:colOff>97415</xdr:colOff>
      <xdr:row>11</xdr:row>
      <xdr:rowOff>151534</xdr:rowOff>
    </xdr:from>
    <xdr:to>
      <xdr:col>9</xdr:col>
      <xdr:colOff>184006</xdr:colOff>
      <xdr:row>21</xdr:row>
      <xdr:rowOff>119062</xdr:rowOff>
    </xdr:to>
    <xdr:sp macro="" textlink="">
      <xdr:nvSpPr>
        <xdr:cNvPr id="2" name="TextBox 1">
          <a:extLst>
            <a:ext uri="{FF2B5EF4-FFF2-40B4-BE49-F238E27FC236}">
              <a16:creationId xmlns:a16="http://schemas.microsoft.com/office/drawing/2014/main" id="{3D7406C8-15DB-80E6-DA5B-09276914272B}"/>
            </a:ext>
          </a:extLst>
        </xdr:cNvPr>
        <xdr:cNvSpPr txBox="1"/>
      </xdr:nvSpPr>
      <xdr:spPr>
        <a:xfrm>
          <a:off x="238125" y="1948295"/>
          <a:ext cx="13356648" cy="19158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a:t>The </a:t>
          </a:r>
          <a:r>
            <a:rPr lang="en-IN" b="1"/>
            <a:t>DCF analysis suggests that the company is</a:t>
          </a:r>
          <a:r>
            <a:rPr lang="en-IN" b="1" baseline="0"/>
            <a:t> </a:t>
          </a:r>
          <a:r>
            <a:rPr lang="en-IN" b="1"/>
            <a:t>moderately undervalued</a:t>
          </a:r>
          <a:r>
            <a:rPr lang="en-IN"/>
            <a:t>, with the intrinsic value under the </a:t>
          </a:r>
          <a:r>
            <a:rPr lang="en-IN" b="1"/>
            <a:t>perpetuity growth approach indicating roughly 9.9% upside</a:t>
          </a:r>
          <a:r>
            <a:rPr lang="en-IN"/>
            <a:t> compared with the current market price. Under the </a:t>
          </a:r>
          <a:r>
            <a:rPr lang="en-IN" b="1"/>
            <a:t>exit multiple method</a:t>
          </a:r>
          <a:r>
            <a:rPr lang="en-IN"/>
            <a:t>, the valuation implies a significantly higher potential upside of approximately </a:t>
          </a:r>
          <a:r>
            <a:rPr lang="en-IN" b="1"/>
            <a:t>128%</a:t>
          </a:r>
          <a:r>
            <a:rPr lang="en-IN"/>
            <a:t>, reflecting the sensitivity of terminal assumptions and exit multiples in the model.</a:t>
          </a:r>
          <a:r>
            <a:rPr lang="en-IN" baseline="0"/>
            <a:t> </a:t>
          </a:r>
          <a:r>
            <a:rPr lang="en-IN"/>
            <a:t>Relative valuation methods provide mixed signals but generally support the view of undervaluation. The </a:t>
          </a:r>
          <a:r>
            <a:rPr lang="en-IN" b="1"/>
            <a:t>EV/EBITDA approach indicates an upside of around 74.9%</a:t>
          </a:r>
          <a:r>
            <a:rPr lang="en-IN"/>
            <a:t>, suggesting the stock may be trading below peer valuation levels if operating performance continues to improve. However, the </a:t>
          </a:r>
          <a:r>
            <a:rPr lang="en-IN" b="1"/>
            <a:t>EV/Sales method points to an overvaluation of nearly 50%</a:t>
          </a:r>
          <a:r>
            <a:rPr lang="en-IN"/>
            <a:t>, indicating that the market price is relatively high when assessed purely on revenue multiples. This divergence is expected since sales-based multiples do not fully capture profitability advantages or margin strength.</a:t>
          </a:r>
        </a:p>
        <a:p>
          <a:pPr algn="l"/>
          <a:endParaRPr lang="en-IN"/>
        </a:p>
        <a:p>
          <a:pPr algn="l"/>
          <a:r>
            <a:rPr lang="en-IN"/>
            <a:t>Meanwhile, the </a:t>
          </a:r>
          <a:r>
            <a:rPr lang="en-IN" b="1"/>
            <a:t>P/E based valuation implies substantial upside of roughly 233.9%</a:t>
          </a:r>
          <a:r>
            <a:rPr lang="en-IN"/>
            <a:t>, highlighting that the company may appear significantly undervalued relative to earnings if it converges toward sector multiples.</a:t>
          </a:r>
          <a:r>
            <a:rPr lang="en-IN" baseline="0"/>
            <a:t> </a:t>
          </a:r>
          <a:r>
            <a:rPr lang="en-IN"/>
            <a:t>Overall, the</a:t>
          </a:r>
          <a:r>
            <a:rPr lang="en-IN" baseline="0"/>
            <a:t> </a:t>
          </a:r>
          <a:r>
            <a:rPr lang="en-IN"/>
            <a:t>valuation results suggest that </a:t>
          </a:r>
          <a:r>
            <a:rPr lang="en-IN" b="1"/>
            <a:t>most methods point toward potential undervaluation</a:t>
          </a:r>
          <a:r>
            <a:rPr lang="en-IN"/>
            <a:t>, with the exception of the EV/Sales metric. This divergence reflects differences in how each method captures profitability, growth expectations and capital efficiency. Taken together, the analysis indicates that the market may not be fully pricing in the company’s earnings potential, although the wide range of valuation outcomes also highlights the sensitivity of results to the chosen methodology.</a:t>
          </a:r>
        </a:p>
        <a:p>
          <a:pPr algn="l"/>
          <a:endParaRPr lang="en-IN" sz="1100"/>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828675</xdr:colOff>
          <xdr:row>2</xdr:row>
          <xdr:rowOff>28575</xdr:rowOff>
        </xdr:from>
        <xdr:to>
          <xdr:col>10</xdr:col>
          <xdr:colOff>123825</xdr:colOff>
          <xdr:row>3</xdr:row>
          <xdr:rowOff>38100</xdr:rowOff>
        </xdr:to>
        <xdr:sp macro="" textlink="">
          <xdr:nvSpPr>
            <xdr:cNvPr id="4099" name="Drop Down 3" hidden="1">
              <a:extLst>
                <a:ext uri="{63B3BB69-23CF-44E3-9099-C40C66FF867C}">
                  <a14:compatExt spid="_x0000_s4099"/>
                </a:ext>
                <a:ext uri="{FF2B5EF4-FFF2-40B4-BE49-F238E27FC236}">
                  <a16:creationId xmlns:a16="http://schemas.microsoft.com/office/drawing/2014/main" id="{00000000-0008-0000-0500-00000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oneCell">
    <xdr:from>
      <xdr:col>21</xdr:col>
      <xdr:colOff>555437</xdr:colOff>
      <xdr:row>22</xdr:row>
      <xdr:rowOff>148044</xdr:rowOff>
    </xdr:from>
    <xdr:to>
      <xdr:col>29</xdr:col>
      <xdr:colOff>367871</xdr:colOff>
      <xdr:row>42</xdr:row>
      <xdr:rowOff>5060</xdr:rowOff>
    </xdr:to>
    <xdr:pic>
      <xdr:nvPicPr>
        <xdr:cNvPr id="34" name="Picture 33">
          <a:extLst>
            <a:ext uri="{FF2B5EF4-FFF2-40B4-BE49-F238E27FC236}">
              <a16:creationId xmlns:a16="http://schemas.microsoft.com/office/drawing/2014/main" id="{F078BE05-A44A-6B05-8752-C8ED9BA2FCA3}"/>
            </a:ext>
          </a:extLst>
        </xdr:cNvPr>
        <xdr:cNvPicPr>
          <a:picLocks noChangeAspect="1"/>
        </xdr:cNvPicPr>
      </xdr:nvPicPr>
      <xdr:blipFill>
        <a:blip xmlns:r="http://schemas.openxmlformats.org/officeDocument/2006/relationships" r:embed="rId1"/>
        <a:stretch>
          <a:fillRect/>
        </a:stretch>
      </xdr:blipFill>
      <xdr:spPr>
        <a:xfrm>
          <a:off x="14438846" y="3986908"/>
          <a:ext cx="5339820" cy="3032016"/>
        </a:xfrm>
        <a:prstGeom prst="rect">
          <a:avLst/>
        </a:prstGeom>
      </xdr:spPr>
    </xdr:pic>
    <xdr:clientData/>
  </xdr:twoCellAnchor>
  <xdr:twoCellAnchor editAs="oneCell">
    <xdr:from>
      <xdr:col>23</xdr:col>
      <xdr:colOff>552311</xdr:colOff>
      <xdr:row>17</xdr:row>
      <xdr:rowOff>84527</xdr:rowOff>
    </xdr:from>
    <xdr:to>
      <xdr:col>31</xdr:col>
      <xdr:colOff>277321</xdr:colOff>
      <xdr:row>35</xdr:row>
      <xdr:rowOff>75225</xdr:rowOff>
    </xdr:to>
    <xdr:pic>
      <xdr:nvPicPr>
        <xdr:cNvPr id="33" name="Picture 32">
          <a:extLst>
            <a:ext uri="{FF2B5EF4-FFF2-40B4-BE49-F238E27FC236}">
              <a16:creationId xmlns:a16="http://schemas.microsoft.com/office/drawing/2014/main" id="{D830FC54-6F9B-EA1E-6A7B-640FFBF386D6}"/>
            </a:ext>
          </a:extLst>
        </xdr:cNvPr>
        <xdr:cNvPicPr>
          <a:picLocks noChangeAspect="1"/>
        </xdr:cNvPicPr>
      </xdr:nvPicPr>
      <xdr:blipFill>
        <a:blip xmlns:r="http://schemas.openxmlformats.org/officeDocument/2006/relationships" r:embed="rId2"/>
        <a:stretch>
          <a:fillRect/>
        </a:stretch>
      </xdr:blipFill>
      <xdr:spPr>
        <a:xfrm>
          <a:off x="15763447" y="3100777"/>
          <a:ext cx="5136942" cy="2877062"/>
        </a:xfrm>
        <a:prstGeom prst="rect">
          <a:avLst/>
        </a:prstGeom>
      </xdr:spPr>
    </xdr:pic>
    <xdr:clientData/>
  </xdr:twoCellAnchor>
  <xdr:twoCellAnchor editAs="oneCell">
    <xdr:from>
      <xdr:col>11</xdr:col>
      <xdr:colOff>363168</xdr:colOff>
      <xdr:row>2</xdr:row>
      <xdr:rowOff>127000</xdr:rowOff>
    </xdr:from>
    <xdr:to>
      <xdr:col>17</xdr:col>
      <xdr:colOff>71437</xdr:colOff>
      <xdr:row>12</xdr:row>
      <xdr:rowOff>93347</xdr:rowOff>
    </xdr:to>
    <xdr:pic>
      <xdr:nvPicPr>
        <xdr:cNvPr id="2" name="Picture 1">
          <a:extLst>
            <a:ext uri="{FF2B5EF4-FFF2-40B4-BE49-F238E27FC236}">
              <a16:creationId xmlns:a16="http://schemas.microsoft.com/office/drawing/2014/main" id="{7C190350-3787-34EB-E907-8F393CC38008}"/>
            </a:ext>
          </a:extLst>
        </xdr:cNvPr>
        <xdr:cNvPicPr>
          <a:picLocks noChangeAspect="1"/>
        </xdr:cNvPicPr>
      </xdr:nvPicPr>
      <xdr:blipFill>
        <a:blip xmlns:r="http://schemas.openxmlformats.org/officeDocument/2006/relationships" r:embed="rId3"/>
        <a:stretch>
          <a:fillRect/>
        </a:stretch>
      </xdr:blipFill>
      <xdr:spPr>
        <a:xfrm>
          <a:off x="6899699" y="508000"/>
          <a:ext cx="3351581" cy="1757655"/>
        </a:xfrm>
        <a:prstGeom prst="rect">
          <a:avLst/>
        </a:prstGeom>
      </xdr:spPr>
    </xdr:pic>
    <xdr:clientData/>
  </xdr:twoCellAnchor>
  <xdr:twoCellAnchor editAs="oneCell">
    <xdr:from>
      <xdr:col>17</xdr:col>
      <xdr:colOff>577059</xdr:colOff>
      <xdr:row>2</xdr:row>
      <xdr:rowOff>119063</xdr:rowOff>
    </xdr:from>
    <xdr:to>
      <xdr:col>21</xdr:col>
      <xdr:colOff>483660</xdr:colOff>
      <xdr:row>12</xdr:row>
      <xdr:rowOff>181808</xdr:rowOff>
    </xdr:to>
    <xdr:pic>
      <xdr:nvPicPr>
        <xdr:cNvPr id="3" name="Picture 2">
          <a:extLst>
            <a:ext uri="{FF2B5EF4-FFF2-40B4-BE49-F238E27FC236}">
              <a16:creationId xmlns:a16="http://schemas.microsoft.com/office/drawing/2014/main" id="{F83AB9F4-8B60-5798-CD2E-45A41BC2B968}"/>
            </a:ext>
          </a:extLst>
        </xdr:cNvPr>
        <xdr:cNvPicPr>
          <a:picLocks noChangeAspect="1"/>
        </xdr:cNvPicPr>
      </xdr:nvPicPr>
      <xdr:blipFill>
        <a:blip xmlns:r="http://schemas.openxmlformats.org/officeDocument/2006/relationships" r:embed="rId4"/>
        <a:stretch>
          <a:fillRect/>
        </a:stretch>
      </xdr:blipFill>
      <xdr:spPr>
        <a:xfrm>
          <a:off x="10756903" y="500063"/>
          <a:ext cx="2536002" cy="1860320"/>
        </a:xfrm>
        <a:prstGeom prst="rect">
          <a:avLst/>
        </a:prstGeom>
      </xdr:spPr>
    </xdr:pic>
    <xdr:clientData/>
  </xdr:twoCellAnchor>
  <xdr:twoCellAnchor editAs="oneCell">
    <xdr:from>
      <xdr:col>21</xdr:col>
      <xdr:colOff>585716</xdr:colOff>
      <xdr:row>4</xdr:row>
      <xdr:rowOff>142874</xdr:rowOff>
    </xdr:from>
    <xdr:to>
      <xdr:col>26</xdr:col>
      <xdr:colOff>401557</xdr:colOff>
      <xdr:row>16</xdr:row>
      <xdr:rowOff>133057</xdr:rowOff>
    </xdr:to>
    <xdr:pic>
      <xdr:nvPicPr>
        <xdr:cNvPr id="4" name="Picture 3">
          <a:extLst>
            <a:ext uri="{FF2B5EF4-FFF2-40B4-BE49-F238E27FC236}">
              <a16:creationId xmlns:a16="http://schemas.microsoft.com/office/drawing/2014/main" id="{248820CA-F3F6-E2AC-6F73-7F7B419E7D17}"/>
            </a:ext>
          </a:extLst>
        </xdr:cNvPr>
        <xdr:cNvPicPr>
          <a:picLocks noChangeAspect="1"/>
        </xdr:cNvPicPr>
      </xdr:nvPicPr>
      <xdr:blipFill>
        <a:blip xmlns:r="http://schemas.openxmlformats.org/officeDocument/2006/relationships" r:embed="rId5"/>
        <a:stretch>
          <a:fillRect/>
        </a:stretch>
      </xdr:blipFill>
      <xdr:spPr>
        <a:xfrm>
          <a:off x="13301591" y="904874"/>
          <a:ext cx="3541870" cy="2150803"/>
        </a:xfrm>
        <a:prstGeom prst="rect">
          <a:avLst/>
        </a:prstGeom>
      </xdr:spPr>
    </xdr:pic>
    <xdr:clientData/>
  </xdr:twoCellAnchor>
  <xdr:twoCellAnchor editAs="oneCell">
    <xdr:from>
      <xdr:col>1</xdr:col>
      <xdr:colOff>71438</xdr:colOff>
      <xdr:row>47</xdr:row>
      <xdr:rowOff>59533</xdr:rowOff>
    </xdr:from>
    <xdr:to>
      <xdr:col>4</xdr:col>
      <xdr:colOff>248681</xdr:colOff>
      <xdr:row>61</xdr:row>
      <xdr:rowOff>136416</xdr:rowOff>
    </xdr:to>
    <xdr:pic>
      <xdr:nvPicPr>
        <xdr:cNvPr id="5" name="Picture 4">
          <a:extLst>
            <a:ext uri="{FF2B5EF4-FFF2-40B4-BE49-F238E27FC236}">
              <a16:creationId xmlns:a16="http://schemas.microsoft.com/office/drawing/2014/main" id="{FB2DD84C-93ED-ECD1-41AB-3A9EDD0F1D9D}"/>
            </a:ext>
          </a:extLst>
        </xdr:cNvPr>
        <xdr:cNvPicPr>
          <a:picLocks noChangeAspect="1"/>
        </xdr:cNvPicPr>
      </xdr:nvPicPr>
      <xdr:blipFill>
        <a:blip xmlns:r="http://schemas.openxmlformats.org/officeDocument/2006/relationships" r:embed="rId6"/>
        <a:stretch>
          <a:fillRect/>
        </a:stretch>
      </xdr:blipFill>
      <xdr:spPr>
        <a:xfrm>
          <a:off x="214313" y="3464721"/>
          <a:ext cx="3763167" cy="2410508"/>
        </a:xfrm>
        <a:prstGeom prst="rect">
          <a:avLst/>
        </a:prstGeom>
      </xdr:spPr>
    </xdr:pic>
    <xdr:clientData/>
  </xdr:twoCellAnchor>
  <xdr:twoCellAnchor editAs="oneCell">
    <xdr:from>
      <xdr:col>1</xdr:col>
      <xdr:colOff>226219</xdr:colOff>
      <xdr:row>85</xdr:row>
      <xdr:rowOff>119063</xdr:rowOff>
    </xdr:from>
    <xdr:to>
      <xdr:col>3</xdr:col>
      <xdr:colOff>575078</xdr:colOff>
      <xdr:row>108</xdr:row>
      <xdr:rowOff>124361</xdr:rowOff>
    </xdr:to>
    <xdr:pic>
      <xdr:nvPicPr>
        <xdr:cNvPr id="7" name="Picture 6">
          <a:extLst>
            <a:ext uri="{FF2B5EF4-FFF2-40B4-BE49-F238E27FC236}">
              <a16:creationId xmlns:a16="http://schemas.microsoft.com/office/drawing/2014/main" id="{4FB80E03-BA20-9CD6-85EB-4F1BA8B11AAA}"/>
            </a:ext>
          </a:extLst>
        </xdr:cNvPr>
        <xdr:cNvPicPr>
          <a:picLocks noChangeAspect="1"/>
        </xdr:cNvPicPr>
      </xdr:nvPicPr>
      <xdr:blipFill>
        <a:blip xmlns:r="http://schemas.openxmlformats.org/officeDocument/2006/relationships" r:embed="rId7"/>
        <a:stretch>
          <a:fillRect/>
        </a:stretch>
      </xdr:blipFill>
      <xdr:spPr>
        <a:xfrm>
          <a:off x="369094" y="9846469"/>
          <a:ext cx="3057952" cy="3839111"/>
        </a:xfrm>
        <a:prstGeom prst="rect">
          <a:avLst/>
        </a:prstGeom>
      </xdr:spPr>
    </xdr:pic>
    <xdr:clientData/>
  </xdr:twoCellAnchor>
  <xdr:twoCellAnchor editAs="oneCell">
    <xdr:from>
      <xdr:col>7</xdr:col>
      <xdr:colOff>1</xdr:colOff>
      <xdr:row>88</xdr:row>
      <xdr:rowOff>0</xdr:rowOff>
    </xdr:from>
    <xdr:to>
      <xdr:col>18</xdr:col>
      <xdr:colOff>649294</xdr:colOff>
      <xdr:row>109</xdr:row>
      <xdr:rowOff>17445</xdr:rowOff>
    </xdr:to>
    <xdr:pic>
      <xdr:nvPicPr>
        <xdr:cNvPr id="9" name="Picture 8">
          <a:extLst>
            <a:ext uri="{FF2B5EF4-FFF2-40B4-BE49-F238E27FC236}">
              <a16:creationId xmlns:a16="http://schemas.microsoft.com/office/drawing/2014/main" id="{04F8A7C5-4414-D97F-6FE5-F26408A4B7E3}"/>
            </a:ext>
          </a:extLst>
        </xdr:cNvPr>
        <xdr:cNvPicPr>
          <a:picLocks noChangeAspect="1"/>
        </xdr:cNvPicPr>
      </xdr:nvPicPr>
      <xdr:blipFill>
        <a:blip xmlns:r="http://schemas.openxmlformats.org/officeDocument/2006/relationships" r:embed="rId8"/>
        <a:stretch>
          <a:fillRect/>
        </a:stretch>
      </xdr:blipFill>
      <xdr:spPr>
        <a:xfrm>
          <a:off x="4810126" y="10275094"/>
          <a:ext cx="6858000" cy="3517883"/>
        </a:xfrm>
        <a:prstGeom prst="rect">
          <a:avLst/>
        </a:prstGeom>
      </xdr:spPr>
    </xdr:pic>
    <xdr:clientData/>
  </xdr:twoCellAnchor>
  <xdr:twoCellAnchor editAs="oneCell">
    <xdr:from>
      <xdr:col>0</xdr:col>
      <xdr:colOff>0</xdr:colOff>
      <xdr:row>140</xdr:row>
      <xdr:rowOff>52917</xdr:rowOff>
    </xdr:from>
    <xdr:to>
      <xdr:col>5</xdr:col>
      <xdr:colOff>140244</xdr:colOff>
      <xdr:row>154</xdr:row>
      <xdr:rowOff>22200</xdr:rowOff>
    </xdr:to>
    <xdr:pic>
      <xdr:nvPicPr>
        <xdr:cNvPr id="6" name="Picture 5">
          <a:extLst>
            <a:ext uri="{FF2B5EF4-FFF2-40B4-BE49-F238E27FC236}">
              <a16:creationId xmlns:a16="http://schemas.microsoft.com/office/drawing/2014/main" id="{E0574371-BBDF-B007-FAF6-68269D15517F}"/>
            </a:ext>
          </a:extLst>
        </xdr:cNvPr>
        <xdr:cNvPicPr>
          <a:picLocks noChangeAspect="1"/>
        </xdr:cNvPicPr>
      </xdr:nvPicPr>
      <xdr:blipFill>
        <a:blip xmlns:r="http://schemas.openxmlformats.org/officeDocument/2006/relationships" r:embed="rId9"/>
        <a:stretch>
          <a:fillRect/>
        </a:stretch>
      </xdr:blipFill>
      <xdr:spPr>
        <a:xfrm>
          <a:off x="0" y="23389167"/>
          <a:ext cx="4511161" cy="2223533"/>
        </a:xfrm>
        <a:prstGeom prst="rect">
          <a:avLst/>
        </a:prstGeom>
      </xdr:spPr>
    </xdr:pic>
    <xdr:clientData/>
  </xdr:twoCellAnchor>
  <xdr:twoCellAnchor editAs="oneCell">
    <xdr:from>
      <xdr:col>1</xdr:col>
      <xdr:colOff>0</xdr:colOff>
      <xdr:row>163</xdr:row>
      <xdr:rowOff>0</xdr:rowOff>
    </xdr:from>
    <xdr:to>
      <xdr:col>5</xdr:col>
      <xdr:colOff>178562</xdr:colOff>
      <xdr:row>178</xdr:row>
      <xdr:rowOff>110738</xdr:rowOff>
    </xdr:to>
    <xdr:pic>
      <xdr:nvPicPr>
        <xdr:cNvPr id="8" name="Picture 7">
          <a:extLst>
            <a:ext uri="{FF2B5EF4-FFF2-40B4-BE49-F238E27FC236}">
              <a16:creationId xmlns:a16="http://schemas.microsoft.com/office/drawing/2014/main" id="{E03FC413-17E2-2121-4671-8998A1750DFA}"/>
            </a:ext>
          </a:extLst>
        </xdr:cNvPr>
        <xdr:cNvPicPr>
          <a:picLocks noChangeAspect="1"/>
        </xdr:cNvPicPr>
      </xdr:nvPicPr>
      <xdr:blipFill>
        <a:blip xmlns:r="http://schemas.openxmlformats.org/officeDocument/2006/relationships" r:embed="rId10"/>
        <a:stretch>
          <a:fillRect/>
        </a:stretch>
      </xdr:blipFill>
      <xdr:spPr>
        <a:xfrm>
          <a:off x="142875" y="22955250"/>
          <a:ext cx="4393406" cy="2611051"/>
        </a:xfrm>
        <a:prstGeom prst="rect">
          <a:avLst/>
        </a:prstGeom>
      </xdr:spPr>
    </xdr:pic>
    <xdr:clientData/>
  </xdr:twoCellAnchor>
  <xdr:twoCellAnchor editAs="oneCell">
    <xdr:from>
      <xdr:col>1</xdr:col>
      <xdr:colOff>0</xdr:colOff>
      <xdr:row>200</xdr:row>
      <xdr:rowOff>47625</xdr:rowOff>
    </xdr:from>
    <xdr:to>
      <xdr:col>5</xdr:col>
      <xdr:colOff>130937</xdr:colOff>
      <xdr:row>215</xdr:row>
      <xdr:rowOff>132242</xdr:rowOff>
    </xdr:to>
    <xdr:pic>
      <xdr:nvPicPr>
        <xdr:cNvPr id="11" name="Picture 10">
          <a:extLst>
            <a:ext uri="{FF2B5EF4-FFF2-40B4-BE49-F238E27FC236}">
              <a16:creationId xmlns:a16="http://schemas.microsoft.com/office/drawing/2014/main" id="{7CA40287-71EC-4736-9EDA-0C5D147F5F11}"/>
            </a:ext>
          </a:extLst>
        </xdr:cNvPr>
        <xdr:cNvPicPr>
          <a:picLocks noChangeAspect="1"/>
        </xdr:cNvPicPr>
      </xdr:nvPicPr>
      <xdr:blipFill>
        <a:blip xmlns:r="http://schemas.openxmlformats.org/officeDocument/2006/relationships" r:embed="rId11"/>
        <a:stretch>
          <a:fillRect/>
        </a:stretch>
      </xdr:blipFill>
      <xdr:spPr>
        <a:xfrm>
          <a:off x="142875" y="29289375"/>
          <a:ext cx="4345781" cy="2584930"/>
        </a:xfrm>
        <a:prstGeom prst="rect">
          <a:avLst/>
        </a:prstGeom>
      </xdr:spPr>
    </xdr:pic>
    <xdr:clientData/>
  </xdr:twoCellAnchor>
  <xdr:twoCellAnchor editAs="oneCell">
    <xdr:from>
      <xdr:col>0</xdr:col>
      <xdr:colOff>0</xdr:colOff>
      <xdr:row>227</xdr:row>
      <xdr:rowOff>107158</xdr:rowOff>
    </xdr:from>
    <xdr:to>
      <xdr:col>7</xdr:col>
      <xdr:colOff>561081</xdr:colOff>
      <xdr:row>238</xdr:row>
      <xdr:rowOff>16913</xdr:rowOff>
    </xdr:to>
    <xdr:pic>
      <xdr:nvPicPr>
        <xdr:cNvPr id="12" name="Picture 11">
          <a:extLst>
            <a:ext uri="{FF2B5EF4-FFF2-40B4-BE49-F238E27FC236}">
              <a16:creationId xmlns:a16="http://schemas.microsoft.com/office/drawing/2014/main" id="{A90CA18A-4B98-5DA2-E2F8-2A7A4EA43471}"/>
            </a:ext>
          </a:extLst>
        </xdr:cNvPr>
        <xdr:cNvPicPr>
          <a:picLocks noChangeAspect="1"/>
        </xdr:cNvPicPr>
      </xdr:nvPicPr>
      <xdr:blipFill>
        <a:blip xmlns:r="http://schemas.openxmlformats.org/officeDocument/2006/relationships" r:embed="rId12"/>
        <a:stretch>
          <a:fillRect/>
        </a:stretch>
      </xdr:blipFill>
      <xdr:spPr>
        <a:xfrm>
          <a:off x="0" y="33920908"/>
          <a:ext cx="6201640" cy="1743318"/>
        </a:xfrm>
        <a:prstGeom prst="rect">
          <a:avLst/>
        </a:prstGeom>
      </xdr:spPr>
    </xdr:pic>
    <xdr:clientData/>
  </xdr:twoCellAnchor>
  <xdr:twoCellAnchor editAs="oneCell">
    <xdr:from>
      <xdr:col>0</xdr:col>
      <xdr:colOff>71437</xdr:colOff>
      <xdr:row>237</xdr:row>
      <xdr:rowOff>107156</xdr:rowOff>
    </xdr:from>
    <xdr:to>
      <xdr:col>9</xdr:col>
      <xdr:colOff>142768</xdr:colOff>
      <xdr:row>253</xdr:row>
      <xdr:rowOff>95250</xdr:rowOff>
    </xdr:to>
    <xdr:pic>
      <xdr:nvPicPr>
        <xdr:cNvPr id="14" name="Picture 13">
          <a:extLst>
            <a:ext uri="{FF2B5EF4-FFF2-40B4-BE49-F238E27FC236}">
              <a16:creationId xmlns:a16="http://schemas.microsoft.com/office/drawing/2014/main" id="{F0E9BF2B-4E92-A45C-05B3-3F0CEB9CD32F}"/>
            </a:ext>
          </a:extLst>
        </xdr:cNvPr>
        <xdr:cNvPicPr>
          <a:picLocks noChangeAspect="1"/>
        </xdr:cNvPicPr>
      </xdr:nvPicPr>
      <xdr:blipFill>
        <a:blip xmlns:r="http://schemas.openxmlformats.org/officeDocument/2006/relationships" r:embed="rId13"/>
        <a:stretch>
          <a:fillRect/>
        </a:stretch>
      </xdr:blipFill>
      <xdr:spPr>
        <a:xfrm>
          <a:off x="71437" y="35587781"/>
          <a:ext cx="6381750" cy="2655094"/>
        </a:xfrm>
        <a:prstGeom prst="rect">
          <a:avLst/>
        </a:prstGeom>
      </xdr:spPr>
    </xdr:pic>
    <xdr:clientData/>
  </xdr:twoCellAnchor>
  <xdr:twoCellAnchor editAs="oneCell">
    <xdr:from>
      <xdr:col>1</xdr:col>
      <xdr:colOff>250030</xdr:colOff>
      <xdr:row>253</xdr:row>
      <xdr:rowOff>71438</xdr:rowOff>
    </xdr:from>
    <xdr:to>
      <xdr:col>9</xdr:col>
      <xdr:colOff>424104</xdr:colOff>
      <xdr:row>260</xdr:row>
      <xdr:rowOff>116266</xdr:rowOff>
    </xdr:to>
    <xdr:pic>
      <xdr:nvPicPr>
        <xdr:cNvPr id="15" name="Picture 14">
          <a:extLst>
            <a:ext uri="{FF2B5EF4-FFF2-40B4-BE49-F238E27FC236}">
              <a16:creationId xmlns:a16="http://schemas.microsoft.com/office/drawing/2014/main" id="{387638E9-DEAE-F1B6-7771-767EF9151708}"/>
            </a:ext>
          </a:extLst>
        </xdr:cNvPr>
        <xdr:cNvPicPr>
          <a:picLocks noChangeAspect="1"/>
        </xdr:cNvPicPr>
      </xdr:nvPicPr>
      <xdr:blipFill>
        <a:blip xmlns:r="http://schemas.openxmlformats.org/officeDocument/2006/relationships" r:embed="rId14"/>
        <a:stretch>
          <a:fillRect/>
        </a:stretch>
      </xdr:blipFill>
      <xdr:spPr>
        <a:xfrm>
          <a:off x="392905" y="38219063"/>
          <a:ext cx="6334125" cy="1211641"/>
        </a:xfrm>
        <a:prstGeom prst="rect">
          <a:avLst/>
        </a:prstGeom>
      </xdr:spPr>
    </xdr:pic>
    <xdr:clientData/>
  </xdr:twoCellAnchor>
  <xdr:twoCellAnchor editAs="oneCell">
    <xdr:from>
      <xdr:col>11</xdr:col>
      <xdr:colOff>142875</xdr:colOff>
      <xdr:row>228</xdr:row>
      <xdr:rowOff>95249</xdr:rowOff>
    </xdr:from>
    <xdr:to>
      <xdr:col>18</xdr:col>
      <xdr:colOff>612271</xdr:colOff>
      <xdr:row>232</xdr:row>
      <xdr:rowOff>123922</xdr:rowOff>
    </xdr:to>
    <xdr:pic>
      <xdr:nvPicPr>
        <xdr:cNvPr id="16" name="Picture 15">
          <a:extLst>
            <a:ext uri="{FF2B5EF4-FFF2-40B4-BE49-F238E27FC236}">
              <a16:creationId xmlns:a16="http://schemas.microsoft.com/office/drawing/2014/main" id="{21FDF180-FCC4-8597-773C-CC6DD17DF1F0}"/>
            </a:ext>
          </a:extLst>
        </xdr:cNvPr>
        <xdr:cNvPicPr>
          <a:picLocks noChangeAspect="1"/>
        </xdr:cNvPicPr>
      </xdr:nvPicPr>
      <xdr:blipFill>
        <a:blip xmlns:r="http://schemas.openxmlformats.org/officeDocument/2006/relationships" r:embed="rId15"/>
        <a:stretch>
          <a:fillRect/>
        </a:stretch>
      </xdr:blipFill>
      <xdr:spPr>
        <a:xfrm>
          <a:off x="7012781" y="34075687"/>
          <a:ext cx="4763165" cy="695422"/>
        </a:xfrm>
        <a:prstGeom prst="rect">
          <a:avLst/>
        </a:prstGeom>
      </xdr:spPr>
    </xdr:pic>
    <xdr:clientData/>
  </xdr:twoCellAnchor>
  <xdr:twoCellAnchor editAs="oneCell">
    <xdr:from>
      <xdr:col>11</xdr:col>
      <xdr:colOff>243226</xdr:colOff>
      <xdr:row>233</xdr:row>
      <xdr:rowOff>11906</xdr:rowOff>
    </xdr:from>
    <xdr:to>
      <xdr:col>18</xdr:col>
      <xdr:colOff>383905</xdr:colOff>
      <xdr:row>243</xdr:row>
      <xdr:rowOff>128849</xdr:rowOff>
    </xdr:to>
    <xdr:pic>
      <xdr:nvPicPr>
        <xdr:cNvPr id="17" name="Picture 16">
          <a:extLst>
            <a:ext uri="{FF2B5EF4-FFF2-40B4-BE49-F238E27FC236}">
              <a16:creationId xmlns:a16="http://schemas.microsoft.com/office/drawing/2014/main" id="{D18B520C-E4CE-6B5D-56D3-4C3793BDCE0D}"/>
            </a:ext>
          </a:extLst>
        </xdr:cNvPr>
        <xdr:cNvPicPr>
          <a:picLocks noChangeAspect="1"/>
        </xdr:cNvPicPr>
      </xdr:nvPicPr>
      <xdr:blipFill>
        <a:blip xmlns:r="http://schemas.openxmlformats.org/officeDocument/2006/relationships" r:embed="rId16"/>
        <a:stretch>
          <a:fillRect/>
        </a:stretch>
      </xdr:blipFill>
      <xdr:spPr>
        <a:xfrm>
          <a:off x="7113132" y="34825781"/>
          <a:ext cx="4441342" cy="1783818"/>
        </a:xfrm>
        <a:prstGeom prst="rect">
          <a:avLst/>
        </a:prstGeom>
      </xdr:spPr>
    </xdr:pic>
    <xdr:clientData/>
  </xdr:twoCellAnchor>
  <xdr:twoCellAnchor editAs="oneCell">
    <xdr:from>
      <xdr:col>10</xdr:col>
      <xdr:colOff>59530</xdr:colOff>
      <xdr:row>247</xdr:row>
      <xdr:rowOff>47626</xdr:rowOff>
    </xdr:from>
    <xdr:to>
      <xdr:col>20</xdr:col>
      <xdr:colOff>267220</xdr:colOff>
      <xdr:row>256</xdr:row>
      <xdr:rowOff>90703</xdr:rowOff>
    </xdr:to>
    <xdr:pic>
      <xdr:nvPicPr>
        <xdr:cNvPr id="18" name="Picture 17">
          <a:extLst>
            <a:ext uri="{FF2B5EF4-FFF2-40B4-BE49-F238E27FC236}">
              <a16:creationId xmlns:a16="http://schemas.microsoft.com/office/drawing/2014/main" id="{518AB91E-74A0-B998-FD6F-E17053557544}"/>
            </a:ext>
          </a:extLst>
        </xdr:cNvPr>
        <xdr:cNvPicPr>
          <a:picLocks noChangeAspect="1"/>
        </xdr:cNvPicPr>
      </xdr:nvPicPr>
      <xdr:blipFill>
        <a:blip xmlns:r="http://schemas.openxmlformats.org/officeDocument/2006/relationships" r:embed="rId17"/>
        <a:stretch>
          <a:fillRect/>
        </a:stretch>
      </xdr:blipFill>
      <xdr:spPr>
        <a:xfrm>
          <a:off x="6322218" y="37195126"/>
          <a:ext cx="6430272" cy="1543265"/>
        </a:xfrm>
        <a:prstGeom prst="rect">
          <a:avLst/>
        </a:prstGeom>
      </xdr:spPr>
    </xdr:pic>
    <xdr:clientData/>
  </xdr:twoCellAnchor>
  <xdr:twoCellAnchor>
    <xdr:from>
      <xdr:col>1</xdr:col>
      <xdr:colOff>187974</xdr:colOff>
      <xdr:row>279</xdr:row>
      <xdr:rowOff>11906</xdr:rowOff>
    </xdr:from>
    <xdr:to>
      <xdr:col>13</xdr:col>
      <xdr:colOff>178593</xdr:colOff>
      <xdr:row>297</xdr:row>
      <xdr:rowOff>70184</xdr:rowOff>
    </xdr:to>
    <xdr:sp macro="" textlink="">
      <xdr:nvSpPr>
        <xdr:cNvPr id="19" name="TextBox 18">
          <a:extLst>
            <a:ext uri="{FF2B5EF4-FFF2-40B4-BE49-F238E27FC236}">
              <a16:creationId xmlns:a16="http://schemas.microsoft.com/office/drawing/2014/main" id="{FA2106B7-6AEF-71EE-C9AE-00D75CA65F29}"/>
            </a:ext>
          </a:extLst>
        </xdr:cNvPr>
        <xdr:cNvSpPr txBox="1"/>
      </xdr:nvSpPr>
      <xdr:spPr>
        <a:xfrm>
          <a:off x="330849" y="47589281"/>
          <a:ext cx="8634557" cy="3082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rtl="0" eaLnBrk="1" latinLnBrk="0" hangingPunct="1"/>
          <a:r>
            <a:rPr lang="en-US" sz="1100">
              <a:solidFill>
                <a:schemeClr val="dk1"/>
              </a:solidFill>
              <a:effectLst/>
              <a:latin typeface="+mn-lt"/>
              <a:ea typeface="+mn-ea"/>
              <a:cs typeface="+mn-cs"/>
            </a:rPr>
            <a:t>The company has posted revenue of INR 2550 Crores in FY2025. The revenue has been grown at a CAGR of 5.2% and 25.2% during the last 3 and 5 Years respectively. The</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management is extremely positive on overall growth of Indian Speciality Chemical market due to factors such as Urbanization, Low Per-Capita Consumption, Growing</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consumption in FMCG, Textile, Electronics, Automobiles, Make in India, Agrochemicals, Additives for Paints, coatings, Resin and etc. In Chemical Sector mainly faces the constraints in their sales but the Epigral has done the significant capex ( increase the Capacity PMT  of their diversified portfolio) during the past 3 and 4 years to remain in the competition and betting on these product mix for next leg of growth. The company has given guidance of  15% to 20%.</a:t>
          </a:r>
        </a:p>
        <a:p>
          <a:pPr algn="l" rtl="0" eaLnBrk="1" latinLnBrk="0" hangingPunct="1"/>
          <a:endParaRPr lang="en-IN">
            <a:effectLst/>
          </a:endParaRPr>
        </a:p>
        <a:p>
          <a:pPr algn="l" rtl="0" eaLnBrk="1" latinLnBrk="0" hangingPunct="1"/>
          <a:r>
            <a:rPr lang="en-US" sz="1100">
              <a:solidFill>
                <a:schemeClr val="dk1"/>
              </a:solidFill>
              <a:effectLst/>
              <a:latin typeface="+mn-lt"/>
              <a:ea typeface="+mn-ea"/>
              <a:cs typeface="+mn-cs"/>
            </a:rPr>
            <a:t>The Analyst's consensus growth for FY2026 is INR 31030 crores which is 21.68% growth over the FY2025 revenues of 2550.2 crores. </a:t>
          </a:r>
          <a:endParaRPr lang="en-IN">
            <a:effectLst/>
          </a:endParaRPr>
        </a:p>
        <a:p>
          <a:pPr algn="l" rtl="0" eaLnBrk="1" latinLnBrk="0" hangingPunct="1"/>
          <a:endParaRPr lang="en-US" sz="1100">
            <a:solidFill>
              <a:schemeClr val="dk1"/>
            </a:solidFill>
            <a:effectLst/>
            <a:latin typeface="+mn-lt"/>
            <a:ea typeface="+mn-ea"/>
            <a:cs typeface="+mn-cs"/>
          </a:endParaRPr>
        </a:p>
        <a:p>
          <a:pPr algn="l" rtl="0" eaLnBrk="1" latinLnBrk="0" hangingPunct="1"/>
          <a:r>
            <a:rPr lang="en-US" sz="1100">
              <a:solidFill>
                <a:schemeClr val="dk1"/>
              </a:solidFill>
              <a:effectLst/>
              <a:latin typeface="+mn-lt"/>
              <a:ea typeface="+mn-ea"/>
              <a:cs typeface="+mn-cs"/>
            </a:rPr>
            <a:t>Considering the challenges company might face such as Market and pricing volatility(Aggressive Chinese pressure, Destocking), Customer approver cycle usually is bit longer than other sectors, Supply chain disruption (Red Sea crisis and the Ukraine-Russia), Trade uncertainties, Government policies, Increase in competitions and Raw material Fluctuation's etc. </a:t>
          </a:r>
          <a:endParaRPr lang="en-IN">
            <a:effectLst/>
          </a:endParaRPr>
        </a:p>
        <a:p>
          <a:pPr algn="l" rtl="0" eaLnBrk="1" latinLnBrk="0" hangingPunct="1"/>
          <a:endParaRPr lang="en-US" sz="1100">
            <a:solidFill>
              <a:schemeClr val="dk1"/>
            </a:solidFill>
            <a:effectLst/>
            <a:latin typeface="+mn-lt"/>
            <a:ea typeface="+mn-ea"/>
            <a:cs typeface="+mn-cs"/>
          </a:endParaRPr>
        </a:p>
        <a:p>
          <a:pPr algn="l" rtl="0" eaLnBrk="1" latinLnBrk="0" hangingPunct="1"/>
          <a:r>
            <a:rPr lang="en-US" sz="1100">
              <a:solidFill>
                <a:schemeClr val="dk1"/>
              </a:solidFill>
              <a:effectLst/>
              <a:latin typeface="+mn-lt"/>
              <a:ea typeface="+mn-ea"/>
              <a:cs typeface="+mn-cs"/>
            </a:rPr>
            <a:t>We assume the company would maintained double digit growth of with an Average of 20% upto 2033 and then after it degrow with average 10% to 12% after 2033 due to increase in their increasing competition. The company revenue is came from most of the derivative products and recent capex conducted by the company to streamline the new product such as (Chlorotoluene's Value Chain) and completely different" value chain and chemistry from the current Chlor-Alkali model in their new greenfield project which leads the future growth as well.</a:t>
          </a:r>
          <a:endParaRPr lang="en-IN">
            <a:effectLst/>
          </a:endParaRPr>
        </a:p>
      </xdr:txBody>
    </xdr:sp>
    <xdr:clientData/>
  </xdr:twoCellAnchor>
  <xdr:twoCellAnchor>
    <xdr:from>
      <xdr:col>1</xdr:col>
      <xdr:colOff>0</xdr:colOff>
      <xdr:row>346</xdr:row>
      <xdr:rowOff>0</xdr:rowOff>
    </xdr:from>
    <xdr:to>
      <xdr:col>15</xdr:col>
      <xdr:colOff>456647</xdr:colOff>
      <xdr:row>362</xdr:row>
      <xdr:rowOff>42213</xdr:rowOff>
    </xdr:to>
    <xdr:sp macro="" textlink="">
      <xdr:nvSpPr>
        <xdr:cNvPr id="10" name="TextBox 9">
          <a:extLst>
            <a:ext uri="{FF2B5EF4-FFF2-40B4-BE49-F238E27FC236}">
              <a16:creationId xmlns:a16="http://schemas.microsoft.com/office/drawing/2014/main" id="{C4173ABB-652E-4E3B-8C26-20E24C7A1F80}"/>
            </a:ext>
          </a:extLst>
        </xdr:cNvPr>
        <xdr:cNvSpPr txBox="1"/>
      </xdr:nvSpPr>
      <xdr:spPr>
        <a:xfrm>
          <a:off x="144318" y="53657500"/>
          <a:ext cx="9240814" cy="26880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en-US" sz="1100">
              <a:solidFill>
                <a:schemeClr val="dk1"/>
              </a:solidFill>
              <a:effectLst/>
              <a:latin typeface="+mn-lt"/>
              <a:ea typeface="+mn-ea"/>
              <a:cs typeface="+mn-cs"/>
            </a:rPr>
            <a:t>During FY2025, gross margins were Increase by 210 bps to 47% primarily due to  improvement in Price mix, Favorable product mix, Energy Cost Optimization ( wind-solar hybrid power plant) etc. as explained by the management.</a:t>
          </a:r>
        </a:p>
        <a:p>
          <a:pPr rtl="0" eaLnBrk="1" latinLnBrk="0" hangingPunct="1"/>
          <a:endParaRPr lang="en-IN">
            <a:effectLst/>
          </a:endParaRPr>
        </a:p>
        <a:p>
          <a:pPr rtl="0" eaLnBrk="1" latinLnBrk="0" hangingPunct="1"/>
          <a:r>
            <a:rPr lang="en-US" sz="1100">
              <a:solidFill>
                <a:schemeClr val="dk1"/>
              </a:solidFill>
              <a:effectLst/>
              <a:latin typeface="+mn-lt"/>
              <a:ea typeface="+mn-ea"/>
              <a:cs typeface="+mn-cs"/>
            </a:rPr>
            <a:t>The raw material constitutes of ≈95% + of the total Cost of Goods Sold and ≈54% of the revenues. The cost of Raw material primarily driven by its chlor-alkali operations, as chlor-alkali forms the base chemistry for most of its downstream products. In addition, a substantial part of the chlor-alkali output—particularly chlorine and caustic soda—is captively consumed for the production of higher-value derivatives such as CPVC, Epichlorohydrin, and chlorotoluene's. Going forward, although the absolute cost base remains anchored to chlor-alkali economics, the rising contribution from derivatives is expected to improve blended margins due to better realizations and value addition.</a:t>
          </a:r>
        </a:p>
        <a:p>
          <a:pPr rtl="0" eaLnBrk="1" latinLnBrk="0" hangingPunct="1"/>
          <a:endParaRPr lang="en-US" sz="1100">
            <a:solidFill>
              <a:schemeClr val="dk1"/>
            </a:solidFill>
            <a:effectLst/>
            <a:latin typeface="+mn-lt"/>
            <a:ea typeface="+mn-ea"/>
            <a:cs typeface="+mn-cs"/>
          </a:endParaRPr>
        </a:p>
        <a:p>
          <a:pPr rtl="0" eaLnBrk="1" latinLnBrk="0" hangingPunct="1"/>
          <a:endParaRPr lang="en-IN">
            <a:effectLst/>
          </a:endParaRPr>
        </a:p>
        <a:p>
          <a:pPr rtl="0" eaLnBrk="1" latinLnBrk="0" hangingPunct="1"/>
          <a:r>
            <a:rPr lang="en-US" sz="1100">
              <a:solidFill>
                <a:schemeClr val="dk1"/>
              </a:solidFill>
              <a:effectLst/>
              <a:latin typeface="+mn-lt"/>
              <a:ea typeface="+mn-ea"/>
              <a:cs typeface="+mn-cs"/>
            </a:rPr>
            <a:t>While historically, the company has posted gross margin ≈ 47% -55% with median of 49% in the last 5 Years. Basis our research the gross margin posted by Speciality Chemical sector was 34.42%, by the sector in global emerging market was 23.05% and global sector margin was 30.24%.</a:t>
          </a:r>
        </a:p>
        <a:p>
          <a:pPr rtl="0" eaLnBrk="1" latinLnBrk="0" hangingPunct="1"/>
          <a:endParaRPr lang="en-IN">
            <a:effectLst/>
          </a:endParaRPr>
        </a:p>
        <a:p>
          <a:pPr rtl="0" eaLnBrk="1" latinLnBrk="0" hangingPunct="1"/>
          <a:r>
            <a:rPr lang="en-US" sz="1100">
              <a:solidFill>
                <a:schemeClr val="dk1"/>
              </a:solidFill>
              <a:effectLst/>
              <a:latin typeface="+mn-lt"/>
              <a:ea typeface="+mn-ea"/>
              <a:cs typeface="+mn-cs"/>
            </a:rPr>
            <a:t>The increase in the margin during FY2025 was due to increase in Mix of Derivatives products, we assume that margin will retract to ≈45%</a:t>
          </a:r>
          <a:r>
            <a:rPr lang="en-US" sz="1100" baseline="0">
              <a:solidFill>
                <a:schemeClr val="dk1"/>
              </a:solidFill>
              <a:effectLst/>
              <a:latin typeface="+mn-lt"/>
              <a:ea typeface="+mn-ea"/>
              <a:cs typeface="+mn-cs"/>
            </a:rPr>
            <a:t> to ≈47</a:t>
          </a:r>
          <a:r>
            <a:rPr lang="en-US" sz="1100">
              <a:solidFill>
                <a:schemeClr val="dk1"/>
              </a:solidFill>
              <a:effectLst/>
              <a:latin typeface="+mn-lt"/>
              <a:ea typeface="+mn-ea"/>
              <a:cs typeface="+mn-cs"/>
            </a:rPr>
            <a:t>% in short run because of</a:t>
          </a:r>
          <a:r>
            <a:rPr lang="en-US" sz="1100" baseline="0">
              <a:solidFill>
                <a:schemeClr val="dk1"/>
              </a:solidFill>
              <a:effectLst/>
              <a:latin typeface="+mn-lt"/>
              <a:ea typeface="+mn-ea"/>
              <a:cs typeface="+mn-cs"/>
            </a:rPr>
            <a:t> increase in the raw materials for making the derivatives products </a:t>
          </a:r>
          <a:r>
            <a:rPr lang="en-US" sz="1100">
              <a:solidFill>
                <a:schemeClr val="dk1"/>
              </a:solidFill>
              <a:effectLst/>
              <a:latin typeface="+mn-lt"/>
              <a:ea typeface="+mn-ea"/>
              <a:cs typeface="+mn-cs"/>
            </a:rPr>
            <a:t>and  in long run around ~50%  to ≈52%</a:t>
          </a:r>
          <a:r>
            <a:rPr lang="en-US" sz="1100" baseline="0">
              <a:solidFill>
                <a:schemeClr val="dk1"/>
              </a:solidFill>
              <a:effectLst/>
              <a:latin typeface="+mn-lt"/>
              <a:ea typeface="+mn-ea"/>
              <a:cs typeface="+mn-cs"/>
            </a:rPr>
            <a:t> </a:t>
          </a:r>
          <a:r>
            <a:rPr lang="en-US" sz="1100">
              <a:solidFill>
                <a:schemeClr val="dk1"/>
              </a:solidFill>
              <a:effectLst/>
              <a:latin typeface="+mn-lt"/>
              <a:ea typeface="+mn-ea"/>
              <a:cs typeface="+mn-cs"/>
            </a:rPr>
            <a:t>this is due to the the company</a:t>
          </a:r>
          <a:r>
            <a:rPr lang="en-US" sz="1100" baseline="0">
              <a:solidFill>
                <a:schemeClr val="dk1"/>
              </a:solidFill>
              <a:effectLst/>
              <a:latin typeface="+mn-lt"/>
              <a:ea typeface="+mn-ea"/>
              <a:cs typeface="+mn-cs"/>
            </a:rPr>
            <a:t> become an efficient in making the products.</a:t>
          </a:r>
          <a:endParaRPr lang="en-IN">
            <a:effectLst/>
          </a:endParaRPr>
        </a:p>
      </xdr:txBody>
    </xdr:sp>
    <xdr:clientData/>
  </xdr:twoCellAnchor>
  <xdr:twoCellAnchor>
    <xdr:from>
      <xdr:col>1</xdr:col>
      <xdr:colOff>0</xdr:colOff>
      <xdr:row>424</xdr:row>
      <xdr:rowOff>1</xdr:rowOff>
    </xdr:from>
    <xdr:to>
      <xdr:col>15</xdr:col>
      <xdr:colOff>456647</xdr:colOff>
      <xdr:row>434</xdr:row>
      <xdr:rowOff>70185</xdr:rowOff>
    </xdr:to>
    <xdr:sp macro="" textlink="">
      <xdr:nvSpPr>
        <xdr:cNvPr id="13" name="TextBox 12">
          <a:extLst>
            <a:ext uri="{FF2B5EF4-FFF2-40B4-BE49-F238E27FC236}">
              <a16:creationId xmlns:a16="http://schemas.microsoft.com/office/drawing/2014/main" id="{252CA458-5F8C-4A87-92D5-8FD0C211C811}"/>
            </a:ext>
          </a:extLst>
        </xdr:cNvPr>
        <xdr:cNvSpPr txBox="1"/>
      </xdr:nvSpPr>
      <xdr:spPr>
        <a:xfrm>
          <a:off x="140368" y="65391633"/>
          <a:ext cx="9370042" cy="167439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During FY2025, the company</a:t>
          </a:r>
          <a:r>
            <a:rPr lang="en-IN" sz="1100" b="0" i="0" u="none" strike="noStrike" baseline="0">
              <a:solidFill>
                <a:schemeClr val="dk1"/>
              </a:solidFill>
              <a:effectLst/>
              <a:latin typeface="+mn-lt"/>
              <a:ea typeface="+mn-ea"/>
              <a:cs typeface="+mn-cs"/>
            </a:rPr>
            <a:t> has reported EBITDA margin 27.9% which is 290 bps  Higher than FY2024. THe reason for increase  in EBITDA margin </a:t>
          </a:r>
          <a:r>
            <a:rPr lang="en-IN" sz="1100" b="0" i="0">
              <a:solidFill>
                <a:schemeClr val="dk1"/>
              </a:solidFill>
              <a:effectLst/>
              <a:latin typeface="+mn-lt"/>
              <a:ea typeface="+mn-ea"/>
              <a:cs typeface="+mn-cs"/>
            </a:rPr>
            <a:t>higher capacity utilization (81%) and an improved product mix with Derivatives &amp; Specialty chemicals </a:t>
          </a:r>
          <a:r>
            <a:rPr lang="en-IN" sz="1100" b="0" i="0" u="none" strike="noStrike" baseline="0">
              <a:solidFill>
                <a:schemeClr val="dk1"/>
              </a:solidFill>
              <a:effectLst/>
              <a:latin typeface="+mn-lt"/>
              <a:ea typeface="+mn-ea"/>
              <a:cs typeface="+mn-cs"/>
            </a:rPr>
            <a:t>. The Management is determined to keep the operating expenses in check and gave EBITDA guidance of ≈25% to ≈28%.</a:t>
          </a:r>
        </a:p>
        <a:p>
          <a:endParaRPr lang="en-IN" sz="1100" b="0" i="0" u="none" strike="noStrike" baseline="0">
            <a:solidFill>
              <a:schemeClr val="dk1"/>
            </a:solidFill>
            <a:effectLst/>
            <a:latin typeface="+mn-lt"/>
            <a:ea typeface="+mn-ea"/>
            <a:cs typeface="+mn-cs"/>
          </a:endParaRPr>
        </a:p>
        <a:p>
          <a:r>
            <a:rPr lang="en-IN" sz="1100" b="0" i="0" u="none" strike="noStrike" baseline="0">
              <a:solidFill>
                <a:schemeClr val="dk1"/>
              </a:solidFill>
              <a:effectLst/>
              <a:latin typeface="+mn-lt"/>
              <a:ea typeface="+mn-ea"/>
              <a:cs typeface="+mn-cs"/>
            </a:rPr>
            <a:t>Basis our our research, we have identified  that historically SG&amp;A expenses is 19% of revenue. Where three expenses viz Salary, Wages &amp; Bonus, Power &amp; Fuel, Other Operating Expenses Constitute 78.8% of total SG&amp;A expenses. This Three Key Expenses are directly linked with sales.</a:t>
          </a:r>
        </a:p>
        <a:p>
          <a:endParaRPr lang="en-IN" sz="1100" b="0" i="0" u="none" strike="noStrike" baseline="0">
            <a:solidFill>
              <a:schemeClr val="dk1"/>
            </a:solidFill>
            <a:effectLst/>
            <a:latin typeface="+mn-lt"/>
            <a:ea typeface="+mn-ea"/>
            <a:cs typeface="+mn-cs"/>
          </a:endParaRPr>
        </a:p>
        <a:p>
          <a:r>
            <a:rPr lang="en-IN" sz="1100" b="0" i="0" u="none" strike="noStrike" baseline="0">
              <a:solidFill>
                <a:schemeClr val="dk1"/>
              </a:solidFill>
              <a:effectLst/>
              <a:latin typeface="+mn-lt"/>
              <a:ea typeface="+mn-ea"/>
              <a:cs typeface="+mn-cs"/>
            </a:rPr>
            <a:t>We assumed, Total SG&amp;A expenses to remain at 19% level as percentage of revenue which is almost aling with Street Estimate and Management Guidance.</a:t>
          </a:r>
        </a:p>
      </xdr:txBody>
    </xdr:sp>
    <xdr:clientData/>
  </xdr:twoCellAnchor>
  <xdr:twoCellAnchor>
    <xdr:from>
      <xdr:col>11</xdr:col>
      <xdr:colOff>174015</xdr:colOff>
      <xdr:row>456</xdr:row>
      <xdr:rowOff>100746</xdr:rowOff>
    </xdr:from>
    <xdr:to>
      <xdr:col>19</xdr:col>
      <xdr:colOff>412139</xdr:colOff>
      <xdr:row>467</xdr:row>
      <xdr:rowOff>42130</xdr:rowOff>
    </xdr:to>
    <xdr:graphicFrame macro="">
      <xdr:nvGraphicFramePr>
        <xdr:cNvPr id="25" name="Chart 24">
          <a:extLst>
            <a:ext uri="{FF2B5EF4-FFF2-40B4-BE49-F238E27FC236}">
              <a16:creationId xmlns:a16="http://schemas.microsoft.com/office/drawing/2014/main" id="{4D5BDB8D-37DF-86E1-17DB-B5BD30A7F0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0</xdr:colOff>
      <xdr:row>498</xdr:row>
      <xdr:rowOff>0</xdr:rowOff>
    </xdr:from>
    <xdr:to>
      <xdr:col>15</xdr:col>
      <xdr:colOff>456647</xdr:colOff>
      <xdr:row>509</xdr:row>
      <xdr:rowOff>97660</xdr:rowOff>
    </xdr:to>
    <xdr:sp macro="" textlink="">
      <xdr:nvSpPr>
        <xdr:cNvPr id="26" name="TextBox 25">
          <a:extLst>
            <a:ext uri="{FF2B5EF4-FFF2-40B4-BE49-F238E27FC236}">
              <a16:creationId xmlns:a16="http://schemas.microsoft.com/office/drawing/2014/main" id="{4BA9E8F2-C849-4085-9992-7D48B4D8D98E}"/>
            </a:ext>
          </a:extLst>
        </xdr:cNvPr>
        <xdr:cNvSpPr txBox="1"/>
      </xdr:nvSpPr>
      <xdr:spPr>
        <a:xfrm>
          <a:off x="146538" y="79094135"/>
          <a:ext cx="9587825" cy="19110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en-IN" sz="1100">
              <a:solidFill>
                <a:schemeClr val="dk1"/>
              </a:solidFill>
              <a:effectLst/>
              <a:latin typeface="+mn-lt"/>
              <a:ea typeface="+mn-ea"/>
              <a:cs typeface="+mn-cs"/>
            </a:rPr>
            <a:t>The Company increase inventory as its main strategy is to transform the revenue from Chlor-Alkali to  the speciality derivatives products which shows the high margins in comparison to the Chlor-Alkali. The management uses the chlor-alkali as building block or captive uses to produce the product and due to transformation this the inventory level is also increase.</a:t>
          </a:r>
        </a:p>
        <a:p>
          <a:pPr rtl="0" eaLnBrk="1" latinLnBrk="0" hangingPunct="1"/>
          <a:endParaRPr lang="en-IN">
            <a:effectLst/>
          </a:endParaRPr>
        </a:p>
        <a:p>
          <a:pPr rtl="0" eaLnBrk="1" latinLnBrk="0" hangingPunct="1"/>
          <a:r>
            <a:rPr lang="en-IN" sz="1100">
              <a:solidFill>
                <a:schemeClr val="dk1"/>
              </a:solidFill>
              <a:effectLst/>
              <a:latin typeface="+mn-lt"/>
              <a:ea typeface="+mn-ea"/>
              <a:cs typeface="+mn-cs"/>
            </a:rPr>
            <a:t>Historically, the company is maintaining the inventory Levels ≈10% of Revenues. With inventory turnover ratio is being consistent ≈10.5% and inventory days 38.</a:t>
          </a:r>
          <a:endParaRPr lang="en-IN">
            <a:effectLst/>
          </a:endParaRPr>
        </a:p>
        <a:p>
          <a:pPr rtl="0" eaLnBrk="1" latinLnBrk="0" hangingPunct="1"/>
          <a:r>
            <a:rPr lang="en-IN" sz="1100">
              <a:solidFill>
                <a:schemeClr val="dk1"/>
              </a:solidFill>
              <a:effectLst/>
              <a:latin typeface="+mn-lt"/>
              <a:ea typeface="+mn-ea"/>
              <a:cs typeface="+mn-cs"/>
            </a:rPr>
            <a:t>The peers company in the market maintains inventory of ≈53 Days which is higher than the 5 yearly historical inventory days of the company.</a:t>
          </a:r>
        </a:p>
        <a:p>
          <a:pPr rtl="0" eaLnBrk="1" latinLnBrk="0" hangingPunct="1"/>
          <a:endParaRPr lang="en-IN">
            <a:effectLst/>
          </a:endParaRPr>
        </a:p>
        <a:p>
          <a:pPr rtl="0" eaLnBrk="1" latinLnBrk="0" hangingPunct="1"/>
          <a:r>
            <a:rPr lang="en-IN" sz="1100">
              <a:solidFill>
                <a:schemeClr val="dk1"/>
              </a:solidFill>
              <a:effectLst/>
              <a:latin typeface="+mn-lt"/>
              <a:ea typeface="+mn-ea"/>
              <a:cs typeface="+mn-cs"/>
            </a:rPr>
            <a:t>We assume our inventory levels to go up by 8 days from 47 days to 56 days from the FY2025-26 because the company projected the new products which leads to increase the inventory days and later it normalize to the peers Average of ≈47 - 49 days.</a:t>
          </a:r>
          <a:endParaRPr lang="en-IN">
            <a:effectLst/>
          </a:endParaRPr>
        </a:p>
      </xdr:txBody>
    </xdr:sp>
    <xdr:clientData/>
  </xdr:twoCellAnchor>
  <xdr:twoCellAnchor>
    <xdr:from>
      <xdr:col>11</xdr:col>
      <xdr:colOff>238124</xdr:colOff>
      <xdr:row>510</xdr:row>
      <xdr:rowOff>146539</xdr:rowOff>
    </xdr:from>
    <xdr:to>
      <xdr:col>18</xdr:col>
      <xdr:colOff>60446</xdr:colOff>
      <xdr:row>524</xdr:row>
      <xdr:rowOff>144340</xdr:rowOff>
    </xdr:to>
    <xdr:graphicFrame macro="">
      <xdr:nvGraphicFramePr>
        <xdr:cNvPr id="20" name="Chart 19">
          <a:extLst>
            <a:ext uri="{FF2B5EF4-FFF2-40B4-BE49-F238E27FC236}">
              <a16:creationId xmlns:a16="http://schemas.microsoft.com/office/drawing/2014/main" id="{162E4419-34C8-7F6C-EE7C-3FBB7EC908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xdr:col>
      <xdr:colOff>1</xdr:colOff>
      <xdr:row>553</xdr:row>
      <xdr:rowOff>1</xdr:rowOff>
    </xdr:from>
    <xdr:to>
      <xdr:col>6</xdr:col>
      <xdr:colOff>413228</xdr:colOff>
      <xdr:row>569</xdr:row>
      <xdr:rowOff>128223</xdr:rowOff>
    </xdr:to>
    <xdr:pic>
      <xdr:nvPicPr>
        <xdr:cNvPr id="21" name="Picture 20">
          <a:extLst>
            <a:ext uri="{FF2B5EF4-FFF2-40B4-BE49-F238E27FC236}">
              <a16:creationId xmlns:a16="http://schemas.microsoft.com/office/drawing/2014/main" id="{F3C1B4B5-33FC-6ABE-320E-A61200415192}"/>
            </a:ext>
          </a:extLst>
        </xdr:cNvPr>
        <xdr:cNvPicPr>
          <a:picLocks noChangeAspect="1"/>
        </xdr:cNvPicPr>
      </xdr:nvPicPr>
      <xdr:blipFill>
        <a:blip xmlns:r="http://schemas.openxmlformats.org/officeDocument/2006/relationships" r:embed="rId20"/>
        <a:stretch>
          <a:fillRect/>
        </a:stretch>
      </xdr:blipFill>
      <xdr:spPr>
        <a:xfrm>
          <a:off x="146539" y="87172068"/>
          <a:ext cx="5266924" cy="2765914"/>
        </a:xfrm>
        <a:prstGeom prst="rect">
          <a:avLst/>
        </a:prstGeom>
      </xdr:spPr>
    </xdr:pic>
    <xdr:clientData/>
  </xdr:twoCellAnchor>
  <xdr:twoCellAnchor editAs="oneCell">
    <xdr:from>
      <xdr:col>1</xdr:col>
      <xdr:colOff>0</xdr:colOff>
      <xdr:row>575</xdr:row>
      <xdr:rowOff>0</xdr:rowOff>
    </xdr:from>
    <xdr:to>
      <xdr:col>5</xdr:col>
      <xdr:colOff>377518</xdr:colOff>
      <xdr:row>606</xdr:row>
      <xdr:rowOff>52741</xdr:rowOff>
    </xdr:to>
    <xdr:pic>
      <xdr:nvPicPr>
        <xdr:cNvPr id="22" name="Picture 21">
          <a:extLst>
            <a:ext uri="{FF2B5EF4-FFF2-40B4-BE49-F238E27FC236}">
              <a16:creationId xmlns:a16="http://schemas.microsoft.com/office/drawing/2014/main" id="{69D4B1F1-CA1D-79FB-70F9-E22D55ADA709}"/>
            </a:ext>
          </a:extLst>
        </xdr:cNvPr>
        <xdr:cNvPicPr>
          <a:picLocks noChangeAspect="1"/>
        </xdr:cNvPicPr>
      </xdr:nvPicPr>
      <xdr:blipFill>
        <a:blip xmlns:r="http://schemas.openxmlformats.org/officeDocument/2006/relationships" r:embed="rId21"/>
        <a:stretch>
          <a:fillRect/>
        </a:stretch>
      </xdr:blipFill>
      <xdr:spPr>
        <a:xfrm>
          <a:off x="146538" y="90798894"/>
          <a:ext cx="4601217" cy="5163271"/>
        </a:xfrm>
        <a:prstGeom prst="rect">
          <a:avLst/>
        </a:prstGeom>
      </xdr:spPr>
    </xdr:pic>
    <xdr:clientData/>
  </xdr:twoCellAnchor>
  <xdr:twoCellAnchor editAs="oneCell">
    <xdr:from>
      <xdr:col>7</xdr:col>
      <xdr:colOff>0</xdr:colOff>
      <xdr:row>575</xdr:row>
      <xdr:rowOff>0</xdr:rowOff>
    </xdr:from>
    <xdr:to>
      <xdr:col>14</xdr:col>
      <xdr:colOff>551199</xdr:colOff>
      <xdr:row>586</xdr:row>
      <xdr:rowOff>91851</xdr:rowOff>
    </xdr:to>
    <xdr:pic>
      <xdr:nvPicPr>
        <xdr:cNvPr id="23" name="Picture 22">
          <a:extLst>
            <a:ext uri="{FF2B5EF4-FFF2-40B4-BE49-F238E27FC236}">
              <a16:creationId xmlns:a16="http://schemas.microsoft.com/office/drawing/2014/main" id="{85F958C9-89F1-37DF-D3CD-9494C23B2E42}"/>
            </a:ext>
          </a:extLst>
        </xdr:cNvPr>
        <xdr:cNvPicPr>
          <a:picLocks noChangeAspect="1"/>
        </xdr:cNvPicPr>
      </xdr:nvPicPr>
      <xdr:blipFill>
        <a:blip xmlns:r="http://schemas.openxmlformats.org/officeDocument/2006/relationships" r:embed="rId22"/>
        <a:stretch>
          <a:fillRect/>
        </a:stretch>
      </xdr:blipFill>
      <xdr:spPr>
        <a:xfrm>
          <a:off x="4872404" y="90798894"/>
          <a:ext cx="4324954" cy="1905266"/>
        </a:xfrm>
        <a:prstGeom prst="rect">
          <a:avLst/>
        </a:prstGeom>
      </xdr:spPr>
    </xdr:pic>
    <xdr:clientData/>
  </xdr:twoCellAnchor>
  <xdr:twoCellAnchor>
    <xdr:from>
      <xdr:col>1</xdr:col>
      <xdr:colOff>0</xdr:colOff>
      <xdr:row>608</xdr:row>
      <xdr:rowOff>0</xdr:rowOff>
    </xdr:from>
    <xdr:to>
      <xdr:col>15</xdr:col>
      <xdr:colOff>456647</xdr:colOff>
      <xdr:row>619</xdr:row>
      <xdr:rowOff>97661</xdr:rowOff>
    </xdr:to>
    <xdr:sp macro="" textlink="">
      <xdr:nvSpPr>
        <xdr:cNvPr id="24" name="TextBox 23">
          <a:extLst>
            <a:ext uri="{FF2B5EF4-FFF2-40B4-BE49-F238E27FC236}">
              <a16:creationId xmlns:a16="http://schemas.microsoft.com/office/drawing/2014/main" id="{51E5D988-8715-47BF-93D7-B9C02E6DC696}"/>
            </a:ext>
          </a:extLst>
        </xdr:cNvPr>
        <xdr:cNvSpPr txBox="1"/>
      </xdr:nvSpPr>
      <xdr:spPr>
        <a:xfrm>
          <a:off x="146538" y="96239135"/>
          <a:ext cx="9661095" cy="19110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en-US" sz="1100">
              <a:solidFill>
                <a:schemeClr val="dk1"/>
              </a:solidFill>
              <a:effectLst/>
              <a:latin typeface="+mn-lt"/>
              <a:ea typeface="+mn-ea"/>
              <a:cs typeface="+mn-cs"/>
            </a:rPr>
            <a:t>The Company has show that there Receivable Days is in decreasing trend due to there significant validation of their strategic shift toward high-value derivatives. The company has robust collection mechanism due to which receivables level were normalize by the end of year. Further, only 24% of receivable were due for the 6 months and the company is not exposed to any significant risk because they are already headge with the banks. The company has policy to deal with the creditworthy counterparties. We don't see any impairment by the company near future.</a:t>
          </a:r>
        </a:p>
        <a:p>
          <a:pPr rtl="0" eaLnBrk="1" latinLnBrk="0" hangingPunct="1"/>
          <a:endParaRPr lang="en-IN">
            <a:effectLst/>
          </a:endParaRPr>
        </a:p>
        <a:p>
          <a:pPr rtl="0" eaLnBrk="1" latinLnBrk="0" hangingPunct="1"/>
          <a:r>
            <a:rPr lang="en-US" sz="1100">
              <a:solidFill>
                <a:schemeClr val="dk1"/>
              </a:solidFill>
              <a:effectLst/>
              <a:latin typeface="+mn-lt"/>
              <a:ea typeface="+mn-ea"/>
              <a:cs typeface="+mn-cs"/>
            </a:rPr>
            <a:t>Historically, the company is maintaining the Receivable Levels ≈9% of Revenues. With median Receivable turnover ratio is being consistent ≈11% and Receivable days 34. The peer's company in the market maintains Receivable of ≈21 Days which is lower than the 5 yearly historical inventory days of the company.</a:t>
          </a:r>
        </a:p>
        <a:p>
          <a:pPr rtl="0" eaLnBrk="1" latinLnBrk="0" hangingPunct="1"/>
          <a:endParaRPr lang="en-IN">
            <a:effectLst/>
          </a:endParaRPr>
        </a:p>
        <a:p>
          <a:pPr rtl="0" eaLnBrk="1" latinLnBrk="0" hangingPunct="1"/>
          <a:r>
            <a:rPr lang="en-US" sz="1100">
              <a:solidFill>
                <a:schemeClr val="dk1"/>
              </a:solidFill>
              <a:effectLst/>
              <a:latin typeface="+mn-lt"/>
              <a:ea typeface="+mn-ea"/>
              <a:cs typeface="+mn-cs"/>
            </a:rPr>
            <a:t>We foresee receivables levels to be flat 35 Days.</a:t>
          </a:r>
          <a:endParaRPr lang="en-IN">
            <a:effectLst/>
          </a:endParaRPr>
        </a:p>
      </xdr:txBody>
    </xdr:sp>
    <xdr:clientData/>
  </xdr:twoCellAnchor>
  <xdr:twoCellAnchor editAs="oneCell">
    <xdr:from>
      <xdr:col>0</xdr:col>
      <xdr:colOff>0</xdr:colOff>
      <xdr:row>695</xdr:row>
      <xdr:rowOff>91588</xdr:rowOff>
    </xdr:from>
    <xdr:to>
      <xdr:col>6</xdr:col>
      <xdr:colOff>424346</xdr:colOff>
      <xdr:row>703</xdr:row>
      <xdr:rowOff>82430</xdr:rowOff>
    </xdr:to>
    <xdr:pic>
      <xdr:nvPicPr>
        <xdr:cNvPr id="27" name="Picture 26">
          <a:extLst>
            <a:ext uri="{FF2B5EF4-FFF2-40B4-BE49-F238E27FC236}">
              <a16:creationId xmlns:a16="http://schemas.microsoft.com/office/drawing/2014/main" id="{746E5387-F8F6-BB14-3C60-2B52BC81F832}"/>
            </a:ext>
          </a:extLst>
        </xdr:cNvPr>
        <xdr:cNvPicPr>
          <a:picLocks noChangeAspect="1"/>
        </xdr:cNvPicPr>
      </xdr:nvPicPr>
      <xdr:blipFill>
        <a:blip xmlns:r="http://schemas.openxmlformats.org/officeDocument/2006/relationships" r:embed="rId23"/>
        <a:stretch>
          <a:fillRect/>
        </a:stretch>
      </xdr:blipFill>
      <xdr:spPr>
        <a:xfrm>
          <a:off x="0" y="110664016"/>
          <a:ext cx="5424581" cy="1309687"/>
        </a:xfrm>
        <a:prstGeom prst="rect">
          <a:avLst/>
        </a:prstGeom>
      </xdr:spPr>
    </xdr:pic>
    <xdr:clientData/>
  </xdr:twoCellAnchor>
  <xdr:twoCellAnchor>
    <xdr:from>
      <xdr:col>0</xdr:col>
      <xdr:colOff>91586</xdr:colOff>
      <xdr:row>707</xdr:row>
      <xdr:rowOff>73269</xdr:rowOff>
    </xdr:from>
    <xdr:to>
      <xdr:col>15</xdr:col>
      <xdr:colOff>401695</xdr:colOff>
      <xdr:row>719</xdr:row>
      <xdr:rowOff>0</xdr:rowOff>
    </xdr:to>
    <xdr:sp macro="" textlink="">
      <xdr:nvSpPr>
        <xdr:cNvPr id="28" name="TextBox 27">
          <a:extLst>
            <a:ext uri="{FF2B5EF4-FFF2-40B4-BE49-F238E27FC236}">
              <a16:creationId xmlns:a16="http://schemas.microsoft.com/office/drawing/2014/main" id="{15DF2C6C-DB91-4F35-B471-CA2CD6849426}"/>
            </a:ext>
          </a:extLst>
        </xdr:cNvPr>
        <xdr:cNvSpPr txBox="1"/>
      </xdr:nvSpPr>
      <xdr:spPr>
        <a:xfrm>
          <a:off x="91586" y="112651442"/>
          <a:ext cx="9661095" cy="19110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Historically, Company</a:t>
          </a:r>
          <a:r>
            <a:rPr lang="en-IN" sz="1100" b="0" i="0" u="none" strike="noStrike" baseline="0">
              <a:solidFill>
                <a:schemeClr val="dk1"/>
              </a:solidFill>
              <a:effectLst/>
              <a:latin typeface="+mn-lt"/>
              <a:ea typeface="+mn-ea"/>
              <a:cs typeface="+mn-cs"/>
            </a:rPr>
            <a:t> has done major growth capex of ≈ 738 crores and ≈ 415 crores in FY2023 and FY2025 respectively. For the year the company has commited the capex cash outflow of ≈450 crores. The majority capex is greenfield to expand the capacity of there new line derivative items in the Dahej Gujarat and </a:t>
          </a:r>
          <a:r>
            <a:rPr lang="en-IN" sz="1100" b="1" i="0">
              <a:solidFill>
                <a:schemeClr val="dk1"/>
              </a:solidFill>
              <a:effectLst/>
              <a:latin typeface="+mn-lt"/>
              <a:ea typeface="+mn-ea"/>
              <a:cs typeface="+mn-cs"/>
            </a:rPr>
            <a:t>Brownfield Expansions:</a:t>
          </a:r>
          <a:r>
            <a:rPr lang="en-IN" sz="1100" b="0" i="0">
              <a:solidFill>
                <a:schemeClr val="dk1"/>
              </a:solidFill>
              <a:effectLst/>
              <a:latin typeface="+mn-lt"/>
              <a:ea typeface="+mn-ea"/>
              <a:cs typeface="+mn-cs"/>
            </a:rPr>
            <a:t> The doubling of </a:t>
          </a:r>
          <a:r>
            <a:rPr lang="en-IN" sz="1100" b="1" i="0">
              <a:solidFill>
                <a:schemeClr val="dk1"/>
              </a:solidFill>
              <a:effectLst/>
              <a:latin typeface="+mn-lt"/>
              <a:ea typeface="+mn-ea"/>
              <a:cs typeface="+mn-cs"/>
            </a:rPr>
            <a:t>CPVC resin</a:t>
          </a:r>
          <a:r>
            <a:rPr lang="en-IN" sz="1100" b="0" i="0">
              <a:solidFill>
                <a:schemeClr val="dk1"/>
              </a:solidFill>
              <a:effectLst/>
              <a:latin typeface="+mn-lt"/>
              <a:ea typeface="+mn-ea"/>
              <a:cs typeface="+mn-cs"/>
            </a:rPr>
            <a:t> (to 150,000 TPA) and </a:t>
          </a:r>
          <a:r>
            <a:rPr lang="en-IN" sz="1100" b="1" i="0">
              <a:solidFill>
                <a:schemeClr val="dk1"/>
              </a:solidFill>
              <a:effectLst/>
              <a:latin typeface="+mn-lt"/>
              <a:ea typeface="+mn-ea"/>
              <a:cs typeface="+mn-cs"/>
            </a:rPr>
            <a:t>Epichlorohydrin (ECH)</a:t>
          </a:r>
          <a:r>
            <a:rPr lang="en-IN" sz="1100" b="0" i="0">
              <a:solidFill>
                <a:schemeClr val="dk1"/>
              </a:solidFill>
              <a:effectLst/>
              <a:latin typeface="+mn-lt"/>
              <a:ea typeface="+mn-ea"/>
              <a:cs typeface="+mn-cs"/>
            </a:rPr>
            <a:t> (to 100,000 TPA) is being executed within the </a:t>
          </a:r>
          <a:r>
            <a:rPr lang="en-IN" sz="1100" b="1" i="0">
              <a:solidFill>
                <a:schemeClr val="dk1"/>
              </a:solidFill>
              <a:effectLst/>
              <a:latin typeface="+mn-lt"/>
              <a:ea typeface="+mn-ea"/>
              <a:cs typeface="+mn-cs"/>
            </a:rPr>
            <a:t>existing 165-acre integrated complex</a:t>
          </a:r>
          <a:r>
            <a:rPr lang="en-IN" sz="1100" b="0" i="0">
              <a:solidFill>
                <a:schemeClr val="dk1"/>
              </a:solidFill>
              <a:effectLst/>
              <a:latin typeface="+mn-lt"/>
              <a:ea typeface="+mn-ea"/>
              <a:cs typeface="+mn-cs"/>
            </a:rPr>
            <a:t> in Dahej as well</a:t>
          </a:r>
          <a:r>
            <a:rPr lang="en-IN" sz="1100" b="0" i="0" u="none" strike="noStrike" baseline="0">
              <a:solidFill>
                <a:schemeClr val="dk1"/>
              </a:solidFill>
              <a:effectLst/>
              <a:latin typeface="+mn-lt"/>
              <a:ea typeface="+mn-ea"/>
              <a:cs typeface="+mn-cs"/>
            </a:rPr>
            <a:t>. The company is aggresive about future capex as the new product viz </a:t>
          </a:r>
          <a:r>
            <a:rPr lang="en-IN"/>
            <a:t>Derivatives of the chlorotoluene CPVC, additional capacity, as well as Epichlorohydrin in additional capacity</a:t>
          </a:r>
          <a:r>
            <a:rPr lang="en-IN" baseline="0"/>
            <a:t> and these has growth potential and uncaptured geographies</a:t>
          </a:r>
          <a:r>
            <a:rPr lang="en-IN"/>
            <a:t>. </a:t>
          </a:r>
        </a:p>
        <a:p>
          <a:endParaRPr lang="en-IN"/>
        </a:p>
        <a:p>
          <a:r>
            <a:rPr lang="en-IN"/>
            <a:t>we assume the company</a:t>
          </a:r>
          <a:r>
            <a:rPr lang="en-IN" baseline="0"/>
            <a:t> to conduct the capex of INR 450 Crores in the year 2026-2027 which will be perform as a fuel in companies growth. For the remaining future years we assume growth company should maintain its managemnets Words of INR 2000 Capex upto 2033</a:t>
          </a:r>
        </a:p>
        <a:p>
          <a:endParaRPr lang="en-IN" baseline="0"/>
        </a:p>
        <a:p>
          <a:r>
            <a:rPr lang="en-IN" baseline="0"/>
            <a:t> </a:t>
          </a:r>
        </a:p>
        <a:p>
          <a:r>
            <a:rPr lang="en-IN" baseline="0"/>
            <a:t>During the terminal year, capex is benchmarked with the Depreciation (100% maintainance) for moderate growth.</a:t>
          </a:r>
          <a:endParaRPr lang="en-IN"/>
        </a:p>
      </xdr:txBody>
    </xdr:sp>
    <xdr:clientData/>
  </xdr:twoCellAnchor>
  <xdr:twoCellAnchor editAs="oneCell">
    <xdr:from>
      <xdr:col>11</xdr:col>
      <xdr:colOff>604471</xdr:colOff>
      <xdr:row>720</xdr:row>
      <xdr:rowOff>0</xdr:rowOff>
    </xdr:from>
    <xdr:to>
      <xdr:col>17</xdr:col>
      <xdr:colOff>560145</xdr:colOff>
      <xdr:row>727</xdr:row>
      <xdr:rowOff>357</xdr:rowOff>
    </xdr:to>
    <xdr:pic>
      <xdr:nvPicPr>
        <xdr:cNvPr id="29" name="Picture 28">
          <a:extLst>
            <a:ext uri="{FF2B5EF4-FFF2-40B4-BE49-F238E27FC236}">
              <a16:creationId xmlns:a16="http://schemas.microsoft.com/office/drawing/2014/main" id="{F5A4314C-9B8C-BC84-40CD-499871C251FD}"/>
            </a:ext>
          </a:extLst>
        </xdr:cNvPr>
        <xdr:cNvPicPr>
          <a:picLocks noChangeAspect="1"/>
        </xdr:cNvPicPr>
      </xdr:nvPicPr>
      <xdr:blipFill>
        <a:blip xmlns:r="http://schemas.openxmlformats.org/officeDocument/2006/relationships" r:embed="rId24"/>
        <a:stretch>
          <a:fillRect/>
        </a:stretch>
      </xdr:blipFill>
      <xdr:spPr>
        <a:xfrm>
          <a:off x="7500937" y="115293117"/>
          <a:ext cx="3637452" cy="1104216"/>
        </a:xfrm>
        <a:prstGeom prst="rect">
          <a:avLst/>
        </a:prstGeom>
      </xdr:spPr>
    </xdr:pic>
    <xdr:clientData/>
  </xdr:twoCellAnchor>
  <xdr:twoCellAnchor>
    <xdr:from>
      <xdr:col>1</xdr:col>
      <xdr:colOff>0</xdr:colOff>
      <xdr:row>762</xdr:row>
      <xdr:rowOff>1</xdr:rowOff>
    </xdr:from>
    <xdr:to>
      <xdr:col>15</xdr:col>
      <xdr:colOff>456647</xdr:colOff>
      <xdr:row>766</xdr:row>
      <xdr:rowOff>9160</xdr:rowOff>
    </xdr:to>
    <xdr:sp macro="" textlink="">
      <xdr:nvSpPr>
        <xdr:cNvPr id="30" name="TextBox 29">
          <a:extLst>
            <a:ext uri="{FF2B5EF4-FFF2-40B4-BE49-F238E27FC236}">
              <a16:creationId xmlns:a16="http://schemas.microsoft.com/office/drawing/2014/main" id="{89C0BAB8-FD2A-4956-9A03-4C40AEC8E1DB}"/>
            </a:ext>
          </a:extLst>
        </xdr:cNvPr>
        <xdr:cNvSpPr txBox="1"/>
      </xdr:nvSpPr>
      <xdr:spPr>
        <a:xfrm>
          <a:off x="146538" y="120747693"/>
          <a:ext cx="10173979" cy="6685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Historically, Company's CWIP has Shoot up to ≈27.33% following the years of high growth Capex which eventually settle down to the media of 5.82% of Net Fixed Assets. Basis the overall management commentary, the company is foresseing continued capex in year 2026 and 2027 for which company has also acquired a land bank. We assume, the CWIP to remain at 0% of net fixed assets i</a:t>
          </a:r>
          <a:r>
            <a:rPr lang="en-IN" sz="1100" b="0" i="0" u="none" strike="noStrike" baseline="0">
              <a:solidFill>
                <a:schemeClr val="dk1"/>
              </a:solidFill>
              <a:effectLst/>
              <a:latin typeface="+mn-lt"/>
              <a:ea typeface="+mn-ea"/>
              <a:cs typeface="+mn-cs"/>
            </a:rPr>
            <a:t>n future.</a:t>
          </a:r>
        </a:p>
      </xdr:txBody>
    </xdr:sp>
    <xdr:clientData/>
  </xdr:twoCellAnchor>
  <xdr:twoCellAnchor>
    <xdr:from>
      <xdr:col>13</xdr:col>
      <xdr:colOff>44583</xdr:colOff>
      <xdr:row>795</xdr:row>
      <xdr:rowOff>41950</xdr:rowOff>
    </xdr:from>
    <xdr:to>
      <xdr:col>20</xdr:col>
      <xdr:colOff>360732</xdr:colOff>
      <xdr:row>811</xdr:row>
      <xdr:rowOff>160707</xdr:rowOff>
    </xdr:to>
    <xdr:graphicFrame macro="">
      <xdr:nvGraphicFramePr>
        <xdr:cNvPr id="35" name="Chart 34">
          <a:extLst>
            <a:ext uri="{FF2B5EF4-FFF2-40B4-BE49-F238E27FC236}">
              <a16:creationId xmlns:a16="http://schemas.microsoft.com/office/drawing/2014/main" id="{A08B9C32-9DBD-6979-B226-883635A111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xdr:col>
      <xdr:colOff>0</xdr:colOff>
      <xdr:row>844</xdr:row>
      <xdr:rowOff>0</xdr:rowOff>
    </xdr:from>
    <xdr:to>
      <xdr:col>15</xdr:col>
      <xdr:colOff>456647</xdr:colOff>
      <xdr:row>854</xdr:row>
      <xdr:rowOff>92177</xdr:rowOff>
    </xdr:to>
    <xdr:sp macro="" textlink="">
      <xdr:nvSpPr>
        <xdr:cNvPr id="36" name="TextBox 35">
          <a:extLst>
            <a:ext uri="{FF2B5EF4-FFF2-40B4-BE49-F238E27FC236}">
              <a16:creationId xmlns:a16="http://schemas.microsoft.com/office/drawing/2014/main" id="{796E21B1-B7A7-4293-84CF-1A81DBA5A696}"/>
            </a:ext>
          </a:extLst>
        </xdr:cNvPr>
        <xdr:cNvSpPr txBox="1"/>
      </xdr:nvSpPr>
      <xdr:spPr>
        <a:xfrm>
          <a:off x="143387" y="141430887"/>
          <a:ext cx="10340115" cy="17308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en-IN" sz="1100">
              <a:solidFill>
                <a:schemeClr val="dk1"/>
              </a:solidFill>
              <a:effectLst/>
              <a:latin typeface="+mn-lt"/>
              <a:ea typeface="+mn-ea"/>
              <a:cs typeface="+mn-cs"/>
            </a:rPr>
            <a:t>Company has maintained consistent payables of ≈ 50-52 Days and decrease in 2023 to 2024 due to faster payment cycle, However it normalized  in the FY 2025 to 50 Days. The trade Payable is consistently ≈14% of COGS and ≈7% of Revenue.</a:t>
          </a:r>
        </a:p>
        <a:p>
          <a:pPr rtl="0" eaLnBrk="1" latinLnBrk="0" hangingPunct="1"/>
          <a:endParaRPr lang="en-IN">
            <a:effectLst/>
          </a:endParaRPr>
        </a:p>
        <a:p>
          <a:pPr rtl="0" eaLnBrk="1" latinLnBrk="0" hangingPunct="1"/>
          <a:r>
            <a:rPr lang="en-IN" sz="1100">
              <a:solidFill>
                <a:schemeClr val="dk1"/>
              </a:solidFill>
              <a:effectLst/>
              <a:latin typeface="+mn-lt"/>
              <a:ea typeface="+mn-ea"/>
              <a:cs typeface="+mn-cs"/>
            </a:rPr>
            <a:t>The Peer Company in the  market maintains payable of ≈35 Days which is lower than the 5 Yearly historical payable days of the company.</a:t>
          </a:r>
          <a:endParaRPr lang="en-IN">
            <a:effectLst/>
          </a:endParaRPr>
        </a:p>
        <a:p>
          <a:pPr rtl="0" eaLnBrk="1" latinLnBrk="0" hangingPunct="1"/>
          <a:r>
            <a:rPr lang="en-IN" sz="1100">
              <a:solidFill>
                <a:schemeClr val="dk1"/>
              </a:solidFill>
              <a:effectLst/>
              <a:latin typeface="+mn-lt"/>
              <a:ea typeface="+mn-ea"/>
              <a:cs typeface="+mn-cs"/>
            </a:rPr>
            <a:t> </a:t>
          </a:r>
          <a:br>
            <a:rPr lang="en-IN" sz="1100">
              <a:solidFill>
                <a:schemeClr val="dk1"/>
              </a:solidFill>
              <a:effectLst/>
              <a:latin typeface="+mn-lt"/>
              <a:ea typeface="+mn-ea"/>
              <a:cs typeface="+mn-cs"/>
            </a:rPr>
          </a:br>
          <a:r>
            <a:rPr lang="en-IN" sz="1100">
              <a:solidFill>
                <a:schemeClr val="dk1"/>
              </a:solidFill>
              <a:effectLst/>
              <a:latin typeface="+mn-lt"/>
              <a:ea typeface="+mn-ea"/>
              <a:cs typeface="+mn-cs"/>
            </a:rPr>
            <a:t>In the absence of Management Guidance,</a:t>
          </a:r>
          <a:r>
            <a:rPr lang="en-IN" sz="1100" baseline="0">
              <a:solidFill>
                <a:schemeClr val="dk1"/>
              </a:solidFill>
              <a:effectLst/>
              <a:latin typeface="+mn-lt"/>
              <a:ea typeface="+mn-ea"/>
              <a:cs typeface="+mn-cs"/>
            </a:rPr>
            <a:t> Street Estimate </a:t>
          </a:r>
          <a:r>
            <a:rPr lang="en-IN" sz="1100">
              <a:solidFill>
                <a:schemeClr val="dk1"/>
              </a:solidFill>
              <a:effectLst/>
              <a:latin typeface="+mn-lt"/>
              <a:ea typeface="+mn-ea"/>
              <a:cs typeface="+mn-cs"/>
            </a:rPr>
            <a:t>and basis our research, we assume the payables days remains to flat at 50 Days.</a:t>
          </a:r>
          <a:endParaRPr lang="en-IN">
            <a:effectLst/>
          </a:endParaRPr>
        </a:p>
      </xdr:txBody>
    </xdr:sp>
    <xdr:clientData/>
  </xdr:twoCellAnchor>
  <xdr:twoCellAnchor editAs="oneCell">
    <xdr:from>
      <xdr:col>1</xdr:col>
      <xdr:colOff>0</xdr:colOff>
      <xdr:row>891</xdr:row>
      <xdr:rowOff>71906</xdr:rowOff>
    </xdr:from>
    <xdr:to>
      <xdr:col>7</xdr:col>
      <xdr:colOff>435718</xdr:colOff>
      <xdr:row>909</xdr:row>
      <xdr:rowOff>91198</xdr:rowOff>
    </xdr:to>
    <xdr:pic>
      <xdr:nvPicPr>
        <xdr:cNvPr id="37" name="Picture 36">
          <a:extLst>
            <a:ext uri="{FF2B5EF4-FFF2-40B4-BE49-F238E27FC236}">
              <a16:creationId xmlns:a16="http://schemas.microsoft.com/office/drawing/2014/main" id="{4AB36ECE-6175-B5C2-B2E3-AC91E1ED5A80}"/>
            </a:ext>
          </a:extLst>
        </xdr:cNvPr>
        <xdr:cNvPicPr>
          <a:picLocks noChangeAspect="1"/>
        </xdr:cNvPicPr>
      </xdr:nvPicPr>
      <xdr:blipFill>
        <a:blip xmlns:r="http://schemas.openxmlformats.org/officeDocument/2006/relationships" r:embed="rId26"/>
        <a:stretch>
          <a:fillRect/>
        </a:stretch>
      </xdr:blipFill>
      <xdr:spPr>
        <a:xfrm>
          <a:off x="141862" y="141335762"/>
          <a:ext cx="5927792" cy="2937589"/>
        </a:xfrm>
        <a:prstGeom prst="rect">
          <a:avLst/>
        </a:prstGeom>
      </xdr:spPr>
    </xdr:pic>
    <xdr:clientData/>
  </xdr:twoCellAnchor>
  <xdr:twoCellAnchor editAs="oneCell">
    <xdr:from>
      <xdr:col>1</xdr:col>
      <xdr:colOff>0</xdr:colOff>
      <xdr:row>911</xdr:row>
      <xdr:rowOff>0</xdr:rowOff>
    </xdr:from>
    <xdr:to>
      <xdr:col>9</xdr:col>
      <xdr:colOff>221790</xdr:colOff>
      <xdr:row>919</xdr:row>
      <xdr:rowOff>93822</xdr:rowOff>
    </xdr:to>
    <xdr:pic>
      <xdr:nvPicPr>
        <xdr:cNvPr id="38" name="Picture 37">
          <a:extLst>
            <a:ext uri="{FF2B5EF4-FFF2-40B4-BE49-F238E27FC236}">
              <a16:creationId xmlns:a16="http://schemas.microsoft.com/office/drawing/2014/main" id="{E160B41D-736E-4F1F-F033-A74F9D9D904B}"/>
            </a:ext>
          </a:extLst>
        </xdr:cNvPr>
        <xdr:cNvPicPr>
          <a:picLocks noChangeAspect="1"/>
        </xdr:cNvPicPr>
      </xdr:nvPicPr>
      <xdr:blipFill>
        <a:blip xmlns:r="http://schemas.openxmlformats.org/officeDocument/2006/relationships" r:embed="rId27"/>
        <a:stretch>
          <a:fillRect/>
        </a:stretch>
      </xdr:blipFill>
      <xdr:spPr>
        <a:xfrm>
          <a:off x="141862" y="144506410"/>
          <a:ext cx="6382641" cy="1390844"/>
        </a:xfrm>
        <a:prstGeom prst="rect">
          <a:avLst/>
        </a:prstGeom>
      </xdr:spPr>
    </xdr:pic>
    <xdr:clientData/>
  </xdr:twoCellAnchor>
  <xdr:twoCellAnchor>
    <xdr:from>
      <xdr:col>1</xdr:col>
      <xdr:colOff>0</xdr:colOff>
      <xdr:row>919</xdr:row>
      <xdr:rowOff>158749</xdr:rowOff>
    </xdr:from>
    <xdr:to>
      <xdr:col>15</xdr:col>
      <xdr:colOff>456647</xdr:colOff>
      <xdr:row>930</xdr:row>
      <xdr:rowOff>119062</xdr:rowOff>
    </xdr:to>
    <xdr:sp macro="" textlink="">
      <xdr:nvSpPr>
        <xdr:cNvPr id="39" name="TextBox 38">
          <a:extLst>
            <a:ext uri="{FF2B5EF4-FFF2-40B4-BE49-F238E27FC236}">
              <a16:creationId xmlns:a16="http://schemas.microsoft.com/office/drawing/2014/main" id="{B5E9C590-27FE-49DE-AC21-55D0768537EF}"/>
            </a:ext>
          </a:extLst>
        </xdr:cNvPr>
        <xdr:cNvSpPr txBox="1"/>
      </xdr:nvSpPr>
      <xdr:spPr>
        <a:xfrm>
          <a:off x="138906" y="142924608"/>
          <a:ext cx="10289225" cy="17065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rtl="0" eaLnBrk="1" latinLnBrk="0" hangingPunct="1"/>
          <a:r>
            <a:rPr lang="en-IN" sz="1100">
              <a:solidFill>
                <a:schemeClr val="dk1"/>
              </a:solidFill>
              <a:effectLst/>
              <a:latin typeface="+mn-lt"/>
              <a:ea typeface="+mn-ea"/>
              <a:cs typeface="+mn-cs"/>
            </a:rPr>
            <a:t>In the recent years, the company has reduce the long term debt from ≈547 CR to 449 CR which is 100 bps points with the debt to equity ratio at 0.61x, Debt to capital ratio at 0.38x, Debt to assets ratio at 0.27x and Debt to EBITDA ratio at 1.59x. </a:t>
          </a:r>
        </a:p>
        <a:p>
          <a:pPr rtl="0" eaLnBrk="1" latinLnBrk="0" hangingPunct="1"/>
          <a:endParaRPr lang="en-IN" sz="1100">
            <a:solidFill>
              <a:schemeClr val="dk1"/>
            </a:solidFill>
            <a:effectLst/>
            <a:latin typeface="+mn-lt"/>
            <a:ea typeface="+mn-ea"/>
            <a:cs typeface="+mn-cs"/>
          </a:endParaRPr>
        </a:p>
        <a:p>
          <a:pPr rtl="0" eaLnBrk="1" latinLnBrk="0" hangingPunct="1"/>
          <a:r>
            <a:rPr lang="en-IN" sz="1100">
              <a:solidFill>
                <a:schemeClr val="dk1"/>
              </a:solidFill>
              <a:effectLst/>
              <a:latin typeface="+mn-lt"/>
              <a:ea typeface="+mn-ea"/>
              <a:cs typeface="+mn-cs"/>
            </a:rPr>
            <a:t>The management provide the guidance to keep the debt to EBITDA ratio under the threshold limit of 2x which is perfectly aligned with our recent performance. </a:t>
          </a:r>
          <a:br>
            <a:rPr lang="en-IN" sz="1100">
              <a:solidFill>
                <a:schemeClr val="dk1"/>
              </a:solidFill>
              <a:effectLst/>
              <a:latin typeface="+mn-lt"/>
              <a:ea typeface="+mn-ea"/>
              <a:cs typeface="+mn-cs"/>
            </a:rPr>
          </a:br>
          <a:endParaRPr lang="en-IN">
            <a:effectLst/>
          </a:endParaRPr>
        </a:p>
        <a:p>
          <a:pPr rtl="0" eaLnBrk="1" latinLnBrk="0" hangingPunct="1"/>
          <a:r>
            <a:rPr lang="en-IN" sz="1100">
              <a:solidFill>
                <a:schemeClr val="dk1"/>
              </a:solidFill>
              <a:effectLst/>
              <a:latin typeface="+mn-lt"/>
              <a:ea typeface="+mn-ea"/>
              <a:cs typeface="+mn-cs"/>
            </a:rPr>
            <a:t>The Management has committed to reduce the debt levels further in future. Also the company has guided for the debt levels at constant levels if don't require the Leverage in Capex.</a:t>
          </a:r>
        </a:p>
        <a:p>
          <a:pPr rtl="0" eaLnBrk="1" latinLnBrk="0" hangingPunct="1"/>
          <a:endParaRPr lang="en-IN">
            <a:effectLst/>
          </a:endParaRPr>
        </a:p>
        <a:p>
          <a:pPr rtl="0" eaLnBrk="1" latinLnBrk="0" hangingPunct="1"/>
          <a:r>
            <a:rPr lang="en-IN" sz="1100">
              <a:solidFill>
                <a:schemeClr val="dk1"/>
              </a:solidFill>
              <a:effectLst/>
              <a:latin typeface="+mn-lt"/>
              <a:ea typeface="+mn-ea"/>
              <a:cs typeface="+mn-cs"/>
            </a:rPr>
            <a:t>We assume that long term debt to grow by 10% due to higher capex for the next five years and eventually grows at 7% for the future, Also the short borrowing debt to grow at 5% of the revenue.</a:t>
          </a:r>
          <a:endParaRPr lang="en-IN">
            <a:effectLst/>
          </a:endParaRPr>
        </a:p>
      </xdr:txBody>
    </xdr:sp>
    <xdr:clientData/>
  </xdr:twoCellAnchor>
  <xdr:twoCellAnchor>
    <xdr:from>
      <xdr:col>1</xdr:col>
      <xdr:colOff>1696640</xdr:colOff>
      <xdr:row>984</xdr:row>
      <xdr:rowOff>138905</xdr:rowOff>
    </xdr:from>
    <xdr:to>
      <xdr:col>7</xdr:col>
      <xdr:colOff>152796</xdr:colOff>
      <xdr:row>999</xdr:row>
      <xdr:rowOff>126403</xdr:rowOff>
    </xdr:to>
    <xdr:graphicFrame macro="">
      <xdr:nvGraphicFramePr>
        <xdr:cNvPr id="31" name="Chart 30">
          <a:extLst>
            <a:ext uri="{FF2B5EF4-FFF2-40B4-BE49-F238E27FC236}">
              <a16:creationId xmlns:a16="http://schemas.microsoft.com/office/drawing/2014/main" id="{2F105259-A2F0-C6EC-3BED-9FEA0FAF8E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3</xdr:col>
      <xdr:colOff>453371</xdr:colOff>
      <xdr:row>21</xdr:row>
      <xdr:rowOff>98205</xdr:rowOff>
    </xdr:from>
    <xdr:to>
      <xdr:col>18</xdr:col>
      <xdr:colOff>230909</xdr:colOff>
      <xdr:row>38</xdr:row>
      <xdr:rowOff>129887</xdr:rowOff>
    </xdr:to>
    <xdr:sp macro="" textlink="">
      <xdr:nvSpPr>
        <xdr:cNvPr id="32" name="TextBox 31">
          <a:extLst>
            <a:ext uri="{FF2B5EF4-FFF2-40B4-BE49-F238E27FC236}">
              <a16:creationId xmlns:a16="http://schemas.microsoft.com/office/drawing/2014/main" id="{CCD2EF2A-E99E-918C-1989-18EF247E4B8E}"/>
            </a:ext>
          </a:extLst>
        </xdr:cNvPr>
        <xdr:cNvSpPr txBox="1"/>
      </xdr:nvSpPr>
      <xdr:spPr>
        <a:xfrm>
          <a:off x="3310871" y="3778319"/>
          <a:ext cx="8811856" cy="27304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u="none" strike="noStrike">
              <a:solidFill>
                <a:schemeClr val="dk1"/>
              </a:solidFill>
              <a:effectLst/>
              <a:latin typeface="+mn-lt"/>
              <a:ea typeface="+mn-ea"/>
              <a:cs typeface="+mn-cs"/>
            </a:rPr>
            <a:t>The global specialty chemicals market was valued at approximately</a:t>
          </a:r>
          <a:r>
            <a:rPr lang="en-IN" sz="1100" b="1" i="0" u="none" strike="noStrike">
              <a:solidFill>
                <a:schemeClr val="dk1"/>
              </a:solidFill>
              <a:effectLst/>
              <a:latin typeface="+mn-lt"/>
              <a:ea typeface="+mn-ea"/>
              <a:cs typeface="+mn-cs"/>
            </a:rPr>
            <a:t> </a:t>
          </a:r>
          <a:r>
            <a:rPr lang="en-IN" sz="1100" b="1" i="0">
              <a:solidFill>
                <a:schemeClr val="dk1"/>
              </a:solidFill>
              <a:effectLst/>
              <a:latin typeface="+mn-lt"/>
              <a:ea typeface="+mn-ea"/>
              <a:cs typeface="+mn-cs"/>
            </a:rPr>
            <a:t>940.72 billion </a:t>
          </a:r>
          <a:r>
            <a:rPr lang="en-IN" sz="1100" b="0" i="0">
              <a:solidFill>
                <a:schemeClr val="dk1"/>
              </a:solidFill>
              <a:effectLst/>
              <a:latin typeface="+mn-lt"/>
              <a:ea typeface="+mn-ea"/>
              <a:cs typeface="+mn-cs"/>
            </a:rPr>
            <a:t>in </a:t>
          </a:r>
          <a:r>
            <a:rPr lang="en-IN" sz="1100" b="1" i="0">
              <a:solidFill>
                <a:schemeClr val="dk1"/>
              </a:solidFill>
              <a:effectLst/>
              <a:latin typeface="+mn-lt"/>
              <a:ea typeface="+mn-ea"/>
              <a:cs typeface="+mn-cs"/>
            </a:rPr>
            <a:t>2025</a:t>
          </a:r>
          <a:r>
            <a:rPr lang="en-IN" sz="1100" b="0" i="0">
              <a:solidFill>
                <a:schemeClr val="dk1"/>
              </a:solidFill>
              <a:effectLst/>
              <a:latin typeface="+mn-lt"/>
              <a:ea typeface="+mn-ea"/>
              <a:cs typeface="+mn-cs"/>
            </a:rPr>
            <a:t> and is predicted to increase from </a:t>
          </a:r>
          <a:r>
            <a:rPr lang="en-IN" sz="1100" b="1" i="0">
              <a:solidFill>
                <a:schemeClr val="dk1"/>
              </a:solidFill>
              <a:effectLst/>
              <a:latin typeface="+mn-lt"/>
              <a:ea typeface="+mn-ea"/>
              <a:cs typeface="+mn-cs"/>
            </a:rPr>
            <a:t>USD 978.79 billion in 2026 </a:t>
          </a:r>
          <a:r>
            <a:rPr lang="en-IN" sz="1100" b="0" i="0">
              <a:solidFill>
                <a:schemeClr val="dk1"/>
              </a:solidFill>
              <a:effectLst/>
              <a:latin typeface="+mn-lt"/>
              <a:ea typeface="+mn-ea"/>
              <a:cs typeface="+mn-cs"/>
            </a:rPr>
            <a:t>to approximately </a:t>
          </a:r>
          <a:r>
            <a:rPr lang="en-IN" sz="1100" b="1" i="0">
              <a:solidFill>
                <a:schemeClr val="dk1"/>
              </a:solidFill>
              <a:effectLst/>
              <a:latin typeface="+mn-lt"/>
              <a:ea typeface="+mn-ea"/>
              <a:cs typeface="+mn-cs"/>
            </a:rPr>
            <a:t>USD 1,377.32 billion by 2035</a:t>
          </a:r>
          <a:r>
            <a:rPr lang="en-IN" sz="1100" b="0" i="0">
              <a:solidFill>
                <a:schemeClr val="dk1"/>
              </a:solidFill>
              <a:effectLst/>
              <a:latin typeface="+mn-lt"/>
              <a:ea typeface="+mn-ea"/>
              <a:cs typeface="+mn-cs"/>
            </a:rPr>
            <a:t>, expanding at </a:t>
          </a:r>
          <a:r>
            <a:rPr lang="en-IN" sz="1100" b="1" i="0">
              <a:solidFill>
                <a:schemeClr val="dk1"/>
              </a:solidFill>
              <a:effectLst/>
              <a:latin typeface="+mn-lt"/>
              <a:ea typeface="+mn-ea"/>
              <a:cs typeface="+mn-cs"/>
            </a:rPr>
            <a:t>a CAGR of 3.54% from 2026 to 2035</a:t>
          </a:r>
          <a:r>
            <a:rPr lang="en-IN" sz="1100" b="0" i="0" u="none" strike="noStrike">
              <a:solidFill>
                <a:schemeClr val="dk1"/>
              </a:solidFill>
              <a:effectLst/>
              <a:latin typeface="+mn-lt"/>
              <a:ea typeface="+mn-ea"/>
              <a:cs typeface="+mn-cs"/>
            </a:rPr>
            <a:t>. Asia Pacific dominated the specialty chemicals market with a market share </a:t>
          </a:r>
          <a:r>
            <a:rPr lang="en-IN" sz="1100" b="1" i="0" u="none" strike="noStrike">
              <a:solidFill>
                <a:schemeClr val="dk1"/>
              </a:solidFill>
              <a:effectLst/>
              <a:latin typeface="+mn-lt"/>
              <a:ea typeface="+mn-ea"/>
              <a:cs typeface="+mn-cs"/>
            </a:rPr>
            <a:t>of 49.60% in 2025 </a:t>
          </a:r>
          <a:r>
            <a:rPr lang="en-IN"/>
            <a:t>and is tracking a </a:t>
          </a:r>
          <a:r>
            <a:rPr lang="en-IN" b="1"/>
            <a:t>4.58% CAGR through 2031</a:t>
          </a:r>
          <a:r>
            <a:rPr lang="en-IN" baseline="0"/>
            <a:t>. </a:t>
          </a:r>
          <a:r>
            <a:rPr lang="en-IN"/>
            <a:t>This growth is largely driven by China's chemical sector pivoting towards high-end intermediates and bolstered by India's incentive scheme, which champions domestic agrochemicals and polymers. </a:t>
          </a:r>
          <a:br>
            <a:rPr lang="en-IN"/>
          </a:br>
          <a:br>
            <a:rPr lang="en-IN"/>
          </a:br>
          <a:r>
            <a:rPr lang="en-IN" sz="1100" b="0" i="0" u="none" strike="noStrike">
              <a:solidFill>
                <a:schemeClr val="dk1"/>
              </a:solidFill>
              <a:effectLst/>
              <a:latin typeface="+mn-lt"/>
              <a:ea typeface="+mn-ea"/>
              <a:cs typeface="+mn-cs"/>
            </a:rPr>
            <a:t>Moreover, the specialty chemical market size in the U.S. is projected to grow significantly, reaching an estimated value of USD 152.36 billion by 2032, driven by expanding demand for construction chemicals on account of an increase in investments in infrastructure projects</a:t>
          </a:r>
          <a:r>
            <a:rPr lang="en-IN" sz="1100" b="0" i="0" u="none" strike="noStrike" baseline="0">
              <a:solidFill>
                <a:schemeClr val="dk1"/>
              </a:solidFill>
              <a:effectLst/>
              <a:latin typeface="+mn-lt"/>
              <a:ea typeface="+mn-ea"/>
              <a:cs typeface="+mn-cs"/>
            </a:rPr>
            <a:t> as well.</a:t>
          </a:r>
        </a:p>
        <a:p>
          <a:endParaRPr lang="en-IN" sz="1100" b="0" i="0" u="none" strike="noStrike" baseline="0">
            <a:solidFill>
              <a:schemeClr val="dk1"/>
            </a:solidFill>
            <a:effectLst/>
            <a:latin typeface="+mn-lt"/>
            <a:ea typeface="+mn-ea"/>
            <a:cs typeface="+mn-cs"/>
          </a:endParaRPr>
        </a:p>
        <a:p>
          <a:r>
            <a:rPr lang="en-IN" sz="1100" b="0" i="0" u="none" strike="noStrike">
              <a:solidFill>
                <a:schemeClr val="dk1"/>
              </a:solidFill>
              <a:effectLst/>
              <a:latin typeface="+mn-lt"/>
              <a:ea typeface="+mn-ea"/>
              <a:cs typeface="+mn-cs"/>
            </a:rPr>
            <a:t>Artificial Intelingence </a:t>
          </a:r>
          <a:r>
            <a:rPr lang="en-IN" sz="1100" b="0" i="0">
              <a:solidFill>
                <a:schemeClr val="dk1"/>
              </a:solidFill>
              <a:effectLst/>
              <a:latin typeface="+mn-lt"/>
              <a:ea typeface="+mn-ea"/>
              <a:cs typeface="+mn-cs"/>
            </a:rPr>
            <a:t>has become a pivotal enabler in the specialty chemicals industry, transforming research and development, manufacturing, and supply chain operations. AI-powered formulation tools accelerate the discovery of new compounds by analysing vast chemical datasets, enabling faster, more targeted innovation in coatings, adhesives, and specialty </a:t>
          </a:r>
          <a:r>
            <a:rPr lang="en-IN" sz="1100" b="0" i="0" u="none" strike="noStrike">
              <a:solidFill>
                <a:schemeClr val="dk1"/>
              </a:solidFill>
              <a:effectLst/>
              <a:latin typeface="+mn-lt"/>
              <a:ea typeface="+mn-ea"/>
              <a:cs typeface="+mn-cs"/>
            </a:rPr>
            <a:t>polymers</a:t>
          </a:r>
          <a:r>
            <a:rPr lang="en-IN" sz="1100" b="0" i="0">
              <a:solidFill>
                <a:schemeClr val="dk1"/>
              </a:solidFill>
              <a:effectLst/>
              <a:latin typeface="+mn-lt"/>
              <a:ea typeface="+mn-ea"/>
              <a:cs typeface="+mn-cs"/>
            </a:rPr>
            <a:t>.</a:t>
          </a:r>
          <a:endParaRPr lang="en-IN" sz="1100" b="0" i="0" u="none" strike="noStrike" baseline="0">
            <a:solidFill>
              <a:schemeClr val="dk1"/>
            </a:solidFill>
            <a:effectLst/>
            <a:latin typeface="+mn-lt"/>
            <a:ea typeface="+mn-ea"/>
            <a:cs typeface="+mn-cs"/>
          </a:endParaRPr>
        </a:p>
        <a:p>
          <a:endParaRPr lang="en-IN" sz="1100" b="0" i="0" u="none" strike="noStrike" baseline="0">
            <a:solidFill>
              <a:schemeClr val="dk1"/>
            </a:solidFill>
            <a:effectLst/>
            <a:latin typeface="+mn-lt"/>
            <a:ea typeface="+mn-ea"/>
            <a:cs typeface="+mn-cs"/>
          </a:endParaRPr>
        </a:p>
        <a:p>
          <a:r>
            <a:rPr lang="en-IN" sz="1100" b="0" i="0">
              <a:solidFill>
                <a:schemeClr val="dk1"/>
              </a:solidFill>
              <a:effectLst/>
              <a:latin typeface="+mn-lt"/>
              <a:ea typeface="+mn-ea"/>
              <a:cs typeface="+mn-cs"/>
            </a:rPr>
            <a:t>This sector includes a diverse range of products such as agrochemicals, polymers &amp; plastic additives, construction chemicals, electronic chemicals, cleaning chemicals, surfactants, lubricants &amp; oilfield chemicals, specialty coatings, paper &amp; textile chemicals, food additives, adhesives &amp; sealants, and others.</a:t>
          </a:r>
          <a:endParaRPr lang="en-IN" sz="1100" b="0" i="0" u="none" strike="noStrike" baseline="0">
            <a:solidFill>
              <a:schemeClr val="dk1"/>
            </a:solidFill>
            <a:effectLst/>
            <a:latin typeface="+mn-lt"/>
            <a:ea typeface="+mn-ea"/>
            <a:cs typeface="+mn-cs"/>
          </a:endParaRPr>
        </a:p>
        <a:p>
          <a:endParaRPr lang="en-IN" sz="1100" b="0" i="0" u="none" strike="noStrike">
            <a:solidFill>
              <a:schemeClr val="dk1"/>
            </a:solidFill>
            <a:effectLst/>
            <a:latin typeface="+mn-lt"/>
            <a:ea typeface="+mn-ea"/>
            <a:cs typeface="+mn-cs"/>
          </a:endParaRPr>
        </a:p>
      </xdr:txBody>
    </xdr:sp>
    <xdr:clientData/>
  </xdr:twoCellAnchor>
  <xdr:twoCellAnchor editAs="oneCell">
    <xdr:from>
      <xdr:col>24</xdr:col>
      <xdr:colOff>320759</xdr:colOff>
      <xdr:row>21</xdr:row>
      <xdr:rowOff>135472</xdr:rowOff>
    </xdr:from>
    <xdr:to>
      <xdr:col>33</xdr:col>
      <xdr:colOff>430148</xdr:colOff>
      <xdr:row>42</xdr:row>
      <xdr:rowOff>35888</xdr:rowOff>
    </xdr:to>
    <xdr:pic>
      <xdr:nvPicPr>
        <xdr:cNvPr id="40" name="Picture 39">
          <a:extLst>
            <a:ext uri="{FF2B5EF4-FFF2-40B4-BE49-F238E27FC236}">
              <a16:creationId xmlns:a16="http://schemas.microsoft.com/office/drawing/2014/main" id="{D5B9746A-AE21-2A10-952F-50841E05845D}"/>
            </a:ext>
          </a:extLst>
        </xdr:cNvPr>
        <xdr:cNvPicPr>
          <a:picLocks noChangeAspect="1"/>
        </xdr:cNvPicPr>
      </xdr:nvPicPr>
      <xdr:blipFill>
        <a:blip xmlns:r="http://schemas.openxmlformats.org/officeDocument/2006/relationships" r:embed="rId29"/>
        <a:stretch>
          <a:fillRect/>
        </a:stretch>
      </xdr:blipFill>
      <xdr:spPr>
        <a:xfrm>
          <a:off x="16354509" y="3815586"/>
          <a:ext cx="5910980" cy="3234166"/>
        </a:xfrm>
        <a:prstGeom prst="rect">
          <a:avLst/>
        </a:prstGeom>
      </xdr:spPr>
    </xdr:pic>
    <xdr:clientData/>
  </xdr:twoCellAnchor>
  <xdr:twoCellAnchor editAs="oneCell">
    <xdr:from>
      <xdr:col>24</xdr:col>
      <xdr:colOff>808182</xdr:colOff>
      <xdr:row>19</xdr:row>
      <xdr:rowOff>136869</xdr:rowOff>
    </xdr:from>
    <xdr:to>
      <xdr:col>34</xdr:col>
      <xdr:colOff>311435</xdr:colOff>
      <xdr:row>40</xdr:row>
      <xdr:rowOff>8421</xdr:rowOff>
    </xdr:to>
    <xdr:pic>
      <xdr:nvPicPr>
        <xdr:cNvPr id="41" name="Picture 40">
          <a:extLst>
            <a:ext uri="{FF2B5EF4-FFF2-40B4-BE49-F238E27FC236}">
              <a16:creationId xmlns:a16="http://schemas.microsoft.com/office/drawing/2014/main" id="{4F90ABF1-4AD1-45E1-A905-E1899FAD5A98}"/>
            </a:ext>
          </a:extLst>
        </xdr:cNvPr>
        <xdr:cNvPicPr>
          <a:picLocks noChangeAspect="1"/>
        </xdr:cNvPicPr>
      </xdr:nvPicPr>
      <xdr:blipFill>
        <a:blip xmlns:r="http://schemas.openxmlformats.org/officeDocument/2006/relationships" r:embed="rId29"/>
        <a:stretch>
          <a:fillRect/>
        </a:stretch>
      </xdr:blipFill>
      <xdr:spPr>
        <a:xfrm>
          <a:off x="16841932" y="3470619"/>
          <a:ext cx="5910980" cy="3234166"/>
        </a:xfrm>
        <a:prstGeom prst="rect">
          <a:avLst/>
        </a:prstGeom>
      </xdr:spPr>
    </xdr:pic>
    <xdr:clientData/>
  </xdr:twoCellAnchor>
  <xdr:twoCellAnchor>
    <xdr:from>
      <xdr:col>13</xdr:col>
      <xdr:colOff>0</xdr:colOff>
      <xdr:row>115</xdr:row>
      <xdr:rowOff>0</xdr:rowOff>
    </xdr:from>
    <xdr:to>
      <xdr:col>25</xdr:col>
      <xdr:colOff>606213</xdr:colOff>
      <xdr:row>134</xdr:row>
      <xdr:rowOff>44303</xdr:rowOff>
    </xdr:to>
    <xdr:sp macro="" textlink="">
      <xdr:nvSpPr>
        <xdr:cNvPr id="42" name="TextBox 41">
          <a:extLst>
            <a:ext uri="{FF2B5EF4-FFF2-40B4-BE49-F238E27FC236}">
              <a16:creationId xmlns:a16="http://schemas.microsoft.com/office/drawing/2014/main" id="{FD07C4F2-61EC-4168-B96D-C9B188F81864}"/>
            </a:ext>
          </a:extLst>
        </xdr:cNvPr>
        <xdr:cNvSpPr txBox="1"/>
      </xdr:nvSpPr>
      <xdr:spPr>
        <a:xfrm>
          <a:off x="8782936" y="19703459"/>
          <a:ext cx="8802143" cy="326729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0" i="0">
              <a:solidFill>
                <a:schemeClr val="dk1"/>
              </a:solidFill>
              <a:effectLst/>
              <a:latin typeface="+mn-lt"/>
              <a:ea typeface="+mn-ea"/>
              <a:cs typeface="+mn-cs"/>
            </a:rPr>
            <a:t>India’s chemical industry is extremely diversified and can be broadly classified into bulk chemicals, specialty chemicals, agrochemicals, petrochemicals, polymers,</a:t>
          </a:r>
          <a:r>
            <a:rPr lang="en-IN" sz="1100" b="0" i="0" baseline="0">
              <a:solidFill>
                <a:schemeClr val="dk1"/>
              </a:solidFill>
              <a:effectLst/>
              <a:latin typeface="+mn-lt"/>
              <a:ea typeface="+mn-ea"/>
              <a:cs typeface="+mn-cs"/>
            </a:rPr>
            <a:t> </a:t>
          </a:r>
          <a:r>
            <a:rPr lang="en-IN" sz="1100" b="0" i="0">
              <a:solidFill>
                <a:schemeClr val="dk1"/>
              </a:solidFill>
              <a:effectLst/>
              <a:latin typeface="+mn-lt"/>
              <a:ea typeface="+mn-ea"/>
              <a:cs typeface="+mn-cs"/>
            </a:rPr>
            <a:t>fertilisers</a:t>
          </a:r>
          <a:r>
            <a:rPr lang="en-IN" sz="1100" b="0" i="0" baseline="0">
              <a:solidFill>
                <a:schemeClr val="dk1"/>
              </a:solidFill>
              <a:effectLst/>
              <a:latin typeface="+mn-lt"/>
              <a:ea typeface="+mn-ea"/>
              <a:cs typeface="+mn-cs"/>
            </a:rPr>
            <a:t> and covering </a:t>
          </a:r>
          <a:r>
            <a:rPr lang="en-IN" sz="1100" b="0" i="0">
              <a:solidFill>
                <a:schemeClr val="dk1"/>
              </a:solidFill>
              <a:effectLst/>
              <a:latin typeface="+mn-lt"/>
              <a:ea typeface="+mn-ea"/>
              <a:cs typeface="+mn-cs"/>
            </a:rPr>
            <a:t> more than 80,000 commercial products. India is the sixth largest producer of chemicals in the world and third in Asia, contributing 7% to India’s GDP.India's chemical sector, which was estimated to be worth around</a:t>
          </a:r>
          <a:r>
            <a:rPr lang="en-IN" sz="1100" b="0" i="0" baseline="0">
              <a:solidFill>
                <a:schemeClr val="dk1"/>
              </a:solidFill>
              <a:effectLst/>
              <a:latin typeface="+mn-lt"/>
              <a:ea typeface="+mn-ea"/>
              <a:cs typeface="+mn-cs"/>
            </a:rPr>
            <a:t> </a:t>
          </a:r>
          <a:r>
            <a:rPr lang="en-IN" sz="1100" b="0" i="0">
              <a:solidFill>
                <a:schemeClr val="dk1"/>
              </a:solidFill>
              <a:effectLst/>
              <a:latin typeface="+mn-lt"/>
              <a:ea typeface="+mn-ea"/>
              <a:cs typeface="+mn-cs"/>
            </a:rPr>
            <a:t>US$ 250 billion</a:t>
          </a:r>
          <a:r>
            <a:rPr lang="en-IN" sz="1100" b="0" i="0" baseline="0">
              <a:solidFill>
                <a:schemeClr val="dk1"/>
              </a:solidFill>
              <a:effectLst/>
              <a:latin typeface="+mn-lt"/>
              <a:ea typeface="+mn-ea"/>
              <a:cs typeface="+mn-cs"/>
            </a:rPr>
            <a:t> </a:t>
          </a:r>
          <a:r>
            <a:rPr lang="en-IN" sz="1100" b="0" i="0">
              <a:solidFill>
                <a:schemeClr val="dk1"/>
              </a:solidFill>
              <a:effectLst/>
              <a:latin typeface="+mn-lt"/>
              <a:ea typeface="+mn-ea"/>
              <a:cs typeface="+mn-cs"/>
            </a:rPr>
            <a:t>in 2024, is anticipated to grow to US$ 300 billion by 2028 and US$ 1 trillion</a:t>
          </a:r>
          <a:r>
            <a:rPr lang="en-IN" sz="1100" b="0" i="0" baseline="0">
              <a:solidFill>
                <a:schemeClr val="dk1"/>
              </a:solidFill>
              <a:effectLst/>
              <a:latin typeface="+mn-lt"/>
              <a:ea typeface="+mn-ea"/>
              <a:cs typeface="+mn-cs"/>
            </a:rPr>
            <a:t> </a:t>
          </a:r>
          <a:r>
            <a:rPr lang="en-IN" sz="1100" b="0" i="0">
              <a:solidFill>
                <a:schemeClr val="dk1"/>
              </a:solidFill>
              <a:effectLst/>
              <a:latin typeface="+mn-lt"/>
              <a:ea typeface="+mn-ea"/>
              <a:cs typeface="+mn-cs"/>
            </a:rPr>
            <a:t>by 2040. </a:t>
          </a:r>
        </a:p>
        <a:p>
          <a:endParaRPr lang="en-IN" sz="1100" b="0" i="0" u="none" strike="noStrike">
            <a:solidFill>
              <a:schemeClr val="dk1"/>
            </a:solidFill>
            <a:effectLst/>
            <a:latin typeface="+mn-lt"/>
            <a:ea typeface="+mn-ea"/>
            <a:cs typeface="+mn-cs"/>
          </a:endParaRPr>
        </a:p>
        <a:p>
          <a:r>
            <a:rPr lang="en-IN" sz="1100" b="0" i="0">
              <a:solidFill>
                <a:schemeClr val="dk1"/>
              </a:solidFill>
              <a:effectLst/>
              <a:latin typeface="+mn-lt"/>
              <a:ea typeface="+mn-ea"/>
              <a:cs typeface="+mn-cs"/>
            </a:rPr>
            <a:t>The India specialty chemicals market size was reached at USD 62.78 billion in 2024 and is expected to exceed around USD 96.73 billion by 2034, growing at a compound annual growth rate (CAGR) of 4.41% over the forecast period 2025 to 2034.</a:t>
          </a:r>
        </a:p>
        <a:p>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India’s specialty chemicals market has been experiencing rapid growth due to increasing industrialization, a strong manufacturing base, and favorable government policies. The rise of end-user industries like pharmaceuticals, agrochemicals, and personal care has fueled demand. The Indian government’s push for "Atmanirbhar Bharat" (self-reliant India) and incentives for domestic production have further strengthened the sector. Additionally, the global shift from China to India for chemical manufacturing, driven by environmental regulations and supply chain diversification, has contributed to India's growth.</a:t>
          </a:r>
        </a:p>
        <a:p>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The </a:t>
          </a:r>
          <a:r>
            <a:rPr lang="en-IN" sz="1100" b="1" i="0">
              <a:solidFill>
                <a:schemeClr val="dk1"/>
              </a:solidFill>
              <a:effectLst/>
              <a:latin typeface="+mn-lt"/>
              <a:ea typeface="+mn-ea"/>
              <a:cs typeface="+mn-cs"/>
            </a:rPr>
            <a:t>Economic Survey 2025–26</a:t>
          </a:r>
          <a:r>
            <a:rPr lang="en-IN" sz="1100" b="0" i="0">
              <a:solidFill>
                <a:schemeClr val="dk1"/>
              </a:solidFill>
              <a:effectLst/>
              <a:latin typeface="+mn-lt"/>
              <a:ea typeface="+mn-ea"/>
              <a:cs typeface="+mn-cs"/>
            </a:rPr>
            <a:t> notes that the chemical sector accounted for </a:t>
          </a:r>
          <a:r>
            <a:rPr lang="en-IN" sz="1100" b="1" i="0">
              <a:solidFill>
                <a:schemeClr val="dk1"/>
              </a:solidFill>
              <a:effectLst/>
              <a:latin typeface="+mn-lt"/>
              <a:ea typeface="+mn-ea"/>
              <a:cs typeface="+mn-cs"/>
            </a:rPr>
            <a:t>8.1 percent</a:t>
          </a:r>
          <a:r>
            <a:rPr lang="en-IN" sz="1100" b="0" i="0">
              <a:solidFill>
                <a:schemeClr val="dk1"/>
              </a:solidFill>
              <a:effectLst/>
              <a:latin typeface="+mn-lt"/>
              <a:ea typeface="+mn-ea"/>
              <a:cs typeface="+mn-cs"/>
            </a:rPr>
            <a:t> of manufacturing Gross Value Added in FY24, alongside a steady rise in output over </a:t>
          </a:r>
          <a:r>
            <a:rPr lang="en-IN" sz="1100" b="1" i="0">
              <a:solidFill>
                <a:schemeClr val="dk1"/>
              </a:solidFill>
              <a:effectLst/>
              <a:latin typeface="+mn-lt"/>
              <a:ea typeface="+mn-ea"/>
              <a:cs typeface="+mn-cs"/>
            </a:rPr>
            <a:t>the past decade</a:t>
          </a:r>
          <a:r>
            <a:rPr lang="en-IN" sz="1100" b="0" i="0">
              <a:solidFill>
                <a:schemeClr val="dk1"/>
              </a:solidFill>
              <a:effectLst/>
              <a:latin typeface="+mn-lt"/>
              <a:ea typeface="+mn-ea"/>
              <a:cs typeface="+mn-cs"/>
            </a:rPr>
            <a:t>. Production of major chemicals and petrochemicals increased from </a:t>
          </a:r>
          <a:r>
            <a:rPr lang="en-IN" sz="1100" b="1" i="0">
              <a:solidFill>
                <a:schemeClr val="dk1"/>
              </a:solidFill>
              <a:effectLst/>
              <a:latin typeface="+mn-lt"/>
              <a:ea typeface="+mn-ea"/>
              <a:cs typeface="+mn-cs"/>
            </a:rPr>
            <a:t>45,638 thousand metric ton</a:t>
          </a:r>
          <a:r>
            <a:rPr lang="en-IN" sz="1100" b="0" i="0">
              <a:solidFill>
                <a:schemeClr val="dk1"/>
              </a:solidFill>
              <a:effectLst/>
              <a:latin typeface="+mn-lt"/>
              <a:ea typeface="+mn-ea"/>
              <a:cs typeface="+mn-cs"/>
            </a:rPr>
            <a:t>nes in FY16 to </a:t>
          </a:r>
          <a:r>
            <a:rPr lang="en-IN" sz="1100" b="1" i="0">
              <a:solidFill>
                <a:schemeClr val="dk1"/>
              </a:solidFill>
              <a:effectLst/>
              <a:latin typeface="+mn-lt"/>
              <a:ea typeface="+mn-ea"/>
              <a:cs typeface="+mn-cs"/>
            </a:rPr>
            <a:t>58,617 thousand metric tonnes</a:t>
          </a:r>
          <a:r>
            <a:rPr lang="en-IN" sz="1100" b="0" i="0">
              <a:solidFill>
                <a:schemeClr val="dk1"/>
              </a:solidFill>
              <a:effectLst/>
              <a:latin typeface="+mn-lt"/>
              <a:ea typeface="+mn-ea"/>
              <a:cs typeface="+mn-cs"/>
            </a:rPr>
            <a:t> in FY25, translating into a CAGR of </a:t>
          </a:r>
          <a:r>
            <a:rPr lang="en-IN" sz="1100" b="1" i="0">
              <a:solidFill>
                <a:schemeClr val="dk1"/>
              </a:solidFill>
              <a:effectLst/>
              <a:latin typeface="+mn-lt"/>
              <a:ea typeface="+mn-ea"/>
              <a:cs typeface="+mn-cs"/>
            </a:rPr>
            <a:t>2.8 percent</a:t>
          </a:r>
          <a:endParaRPr lang="en-IN" sz="1100" b="0" i="0">
            <a:solidFill>
              <a:schemeClr val="dk1"/>
            </a:solidFill>
            <a:effectLst/>
            <a:latin typeface="+mn-lt"/>
            <a:ea typeface="+mn-ea"/>
            <a:cs typeface="+mn-cs"/>
          </a:endParaRPr>
        </a:p>
        <a:p>
          <a:endParaRPr lang="en-IN" sz="1100" b="0" i="0" u="none" strike="noStrike">
            <a:solidFill>
              <a:schemeClr val="dk1"/>
            </a:solidFill>
            <a:effectLst/>
            <a:latin typeface="+mn-lt"/>
            <a:ea typeface="+mn-ea"/>
            <a:cs typeface="+mn-cs"/>
          </a:endParaRPr>
        </a:p>
      </xdr:txBody>
    </xdr:sp>
    <xdr:clientData/>
  </xdr:twoCellAnchor>
  <xdr:twoCellAnchor editAs="oneCell">
    <xdr:from>
      <xdr:col>27</xdr:col>
      <xdr:colOff>65619</xdr:colOff>
      <xdr:row>120</xdr:row>
      <xdr:rowOff>110756</xdr:rowOff>
    </xdr:from>
    <xdr:to>
      <xdr:col>35</xdr:col>
      <xdr:colOff>481069</xdr:colOff>
      <xdr:row>140</xdr:row>
      <xdr:rowOff>164390</xdr:rowOff>
    </xdr:to>
    <xdr:pic>
      <xdr:nvPicPr>
        <xdr:cNvPr id="43" name="Picture 42">
          <a:extLst>
            <a:ext uri="{FF2B5EF4-FFF2-40B4-BE49-F238E27FC236}">
              <a16:creationId xmlns:a16="http://schemas.microsoft.com/office/drawing/2014/main" id="{917CB37D-96FC-54AC-4E0A-3318147F6100}"/>
            </a:ext>
          </a:extLst>
        </xdr:cNvPr>
        <xdr:cNvPicPr>
          <a:picLocks noChangeAspect="1"/>
        </xdr:cNvPicPr>
      </xdr:nvPicPr>
      <xdr:blipFill>
        <a:blip xmlns:r="http://schemas.openxmlformats.org/officeDocument/2006/relationships" r:embed="rId30"/>
        <a:stretch>
          <a:fillRect/>
        </a:stretch>
      </xdr:blipFill>
      <xdr:spPr>
        <a:xfrm>
          <a:off x="18321869" y="20145006"/>
          <a:ext cx="5326117" cy="3355634"/>
        </a:xfrm>
        <a:prstGeom prst="rect">
          <a:avLst/>
        </a:prstGeom>
      </xdr:spPr>
    </xdr:pic>
    <xdr:clientData/>
  </xdr:twoCellAnchor>
  <xdr:twoCellAnchor editAs="oneCell">
    <xdr:from>
      <xdr:col>35</xdr:col>
      <xdr:colOff>607434</xdr:colOff>
      <xdr:row>123</xdr:row>
      <xdr:rowOff>22642</xdr:rowOff>
    </xdr:from>
    <xdr:to>
      <xdr:col>44</xdr:col>
      <xdr:colOff>38141</xdr:colOff>
      <xdr:row>139</xdr:row>
      <xdr:rowOff>108218</xdr:rowOff>
    </xdr:to>
    <xdr:pic>
      <xdr:nvPicPr>
        <xdr:cNvPr id="44" name="Picture 43">
          <a:extLst>
            <a:ext uri="{FF2B5EF4-FFF2-40B4-BE49-F238E27FC236}">
              <a16:creationId xmlns:a16="http://schemas.microsoft.com/office/drawing/2014/main" id="{A3264DEF-60EC-E826-F60A-4A2D9094D8F8}"/>
            </a:ext>
          </a:extLst>
        </xdr:cNvPr>
        <xdr:cNvPicPr>
          <a:picLocks noChangeAspect="1"/>
        </xdr:cNvPicPr>
      </xdr:nvPicPr>
      <xdr:blipFill>
        <a:blip xmlns:r="http://schemas.openxmlformats.org/officeDocument/2006/relationships" r:embed="rId31"/>
        <a:stretch>
          <a:fillRect/>
        </a:stretch>
      </xdr:blipFill>
      <xdr:spPr>
        <a:xfrm>
          <a:off x="23774351" y="20564892"/>
          <a:ext cx="4955207" cy="272082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828675</xdr:colOff>
          <xdr:row>2</xdr:row>
          <xdr:rowOff>28575</xdr:rowOff>
        </xdr:from>
        <xdr:to>
          <xdr:col>7</xdr:col>
          <xdr:colOff>114300</xdr:colOff>
          <xdr:row>3</xdr:row>
          <xdr:rowOff>38100</xdr:rowOff>
        </xdr:to>
        <xdr:sp macro="" textlink="">
          <xdr:nvSpPr>
            <xdr:cNvPr id="10241" name="Drop Down 1" hidden="1">
              <a:extLst>
                <a:ext uri="{63B3BB69-23CF-44E3-9099-C40C66FF867C}">
                  <a14:compatExt spid="_x0000_s10241"/>
                </a:ext>
                <a:ext uri="{FF2B5EF4-FFF2-40B4-BE49-F238E27FC236}">
                  <a16:creationId xmlns:a16="http://schemas.microsoft.com/office/drawing/2014/main" id="{00000000-0008-0000-0700-00000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828675</xdr:colOff>
          <xdr:row>2</xdr:row>
          <xdr:rowOff>28575</xdr:rowOff>
        </xdr:from>
        <xdr:to>
          <xdr:col>10</xdr:col>
          <xdr:colOff>123825</xdr:colOff>
          <xdr:row>3</xdr:row>
          <xdr:rowOff>38100</xdr:rowOff>
        </xdr:to>
        <xdr:sp macro="" textlink="">
          <xdr:nvSpPr>
            <xdr:cNvPr id="18433" name="Drop Down 1" hidden="1">
              <a:extLst>
                <a:ext uri="{63B3BB69-23CF-44E3-9099-C40C66FF867C}">
                  <a14:compatExt spid="_x0000_s18433"/>
                </a:ext>
                <a:ext uri="{FF2B5EF4-FFF2-40B4-BE49-F238E27FC236}">
                  <a16:creationId xmlns:a16="http://schemas.microsoft.com/office/drawing/2014/main" id="{00000000-0008-0000-0800-0000014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828675</xdr:colOff>
          <xdr:row>2</xdr:row>
          <xdr:rowOff>28575</xdr:rowOff>
        </xdr:from>
        <xdr:to>
          <xdr:col>10</xdr:col>
          <xdr:colOff>114300</xdr:colOff>
          <xdr:row>3</xdr:row>
          <xdr:rowOff>38100</xdr:rowOff>
        </xdr:to>
        <xdr:sp macro="" textlink="">
          <xdr:nvSpPr>
            <xdr:cNvPr id="33793" name="Drop Down 1" hidden="1">
              <a:extLst>
                <a:ext uri="{63B3BB69-23CF-44E3-9099-C40C66FF867C}">
                  <a14:compatExt spid="_x0000_s33793"/>
                </a:ext>
                <a:ext uri="{FF2B5EF4-FFF2-40B4-BE49-F238E27FC236}">
                  <a16:creationId xmlns:a16="http://schemas.microsoft.com/office/drawing/2014/main" id="{00000000-0008-0000-0900-0000018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800100</xdr:colOff>
          <xdr:row>2</xdr:row>
          <xdr:rowOff>0</xdr:rowOff>
        </xdr:from>
        <xdr:to>
          <xdr:col>8</xdr:col>
          <xdr:colOff>114300</xdr:colOff>
          <xdr:row>3</xdr:row>
          <xdr:rowOff>9525</xdr:rowOff>
        </xdr:to>
        <xdr:sp macro="" textlink="">
          <xdr:nvSpPr>
            <xdr:cNvPr id="26625" name="Drop Down 1" hidden="1">
              <a:extLst>
                <a:ext uri="{63B3BB69-23CF-44E3-9099-C40C66FF867C}">
                  <a14:compatExt spid="_x0000_s26625"/>
                </a:ext>
                <a:ext uri="{FF2B5EF4-FFF2-40B4-BE49-F238E27FC236}">
                  <a16:creationId xmlns:a16="http://schemas.microsoft.com/office/drawing/2014/main" id="{00000000-0008-0000-0A00-0000016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editAs="oneCell">
    <xdr:from>
      <xdr:col>8</xdr:col>
      <xdr:colOff>118118</xdr:colOff>
      <xdr:row>24</xdr:row>
      <xdr:rowOff>61647</xdr:rowOff>
    </xdr:from>
    <xdr:to>
      <xdr:col>11</xdr:col>
      <xdr:colOff>106345</xdr:colOff>
      <xdr:row>36</xdr:row>
      <xdr:rowOff>117929</xdr:rowOff>
    </xdr:to>
    <xdr:pic>
      <xdr:nvPicPr>
        <xdr:cNvPr id="2" name="Picture 1">
          <a:extLst>
            <a:ext uri="{FF2B5EF4-FFF2-40B4-BE49-F238E27FC236}">
              <a16:creationId xmlns:a16="http://schemas.microsoft.com/office/drawing/2014/main" id="{02621679-24C3-032D-032B-61CDEDDE893D}"/>
            </a:ext>
          </a:extLst>
        </xdr:cNvPr>
        <xdr:cNvPicPr>
          <a:picLocks noChangeAspect="1"/>
        </xdr:cNvPicPr>
      </xdr:nvPicPr>
      <xdr:blipFill>
        <a:blip xmlns:r="http://schemas.openxmlformats.org/officeDocument/2006/relationships" r:embed="rId1"/>
        <a:stretch>
          <a:fillRect/>
        </a:stretch>
      </xdr:blipFill>
      <xdr:spPr>
        <a:xfrm>
          <a:off x="11094547" y="4688076"/>
          <a:ext cx="2156300" cy="2342282"/>
        </a:xfrm>
        <a:prstGeom prst="rect">
          <a:avLst/>
        </a:prstGeom>
      </xdr:spPr>
    </xdr:pic>
    <xdr:clientData/>
  </xdr:twoCellAnchor>
  <xdr:twoCellAnchor editAs="oneCell">
    <xdr:from>
      <xdr:col>8</xdr:col>
      <xdr:colOff>393224</xdr:colOff>
      <xdr:row>1</xdr:row>
      <xdr:rowOff>118093</xdr:rowOff>
    </xdr:from>
    <xdr:to>
      <xdr:col>18</xdr:col>
      <xdr:colOff>395541</xdr:colOff>
      <xdr:row>25</xdr:row>
      <xdr:rowOff>21092</xdr:rowOff>
    </xdr:to>
    <xdr:pic>
      <xdr:nvPicPr>
        <xdr:cNvPr id="3" name="Picture 2">
          <a:extLst>
            <a:ext uri="{FF2B5EF4-FFF2-40B4-BE49-F238E27FC236}">
              <a16:creationId xmlns:a16="http://schemas.microsoft.com/office/drawing/2014/main" id="{D99EF831-C2C3-6B88-C9A8-5873D582EF9E}"/>
            </a:ext>
          </a:extLst>
        </xdr:cNvPr>
        <xdr:cNvPicPr>
          <a:picLocks noChangeAspect="1"/>
        </xdr:cNvPicPr>
      </xdr:nvPicPr>
      <xdr:blipFill>
        <a:blip xmlns:r="http://schemas.openxmlformats.org/officeDocument/2006/relationships" r:embed="rId2"/>
        <a:stretch>
          <a:fillRect/>
        </a:stretch>
      </xdr:blipFill>
      <xdr:spPr>
        <a:xfrm>
          <a:off x="7049108" y="489800"/>
          <a:ext cx="6646585" cy="423571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0</xdr:colOff>
          <xdr:row>2</xdr:row>
          <xdr:rowOff>0</xdr:rowOff>
        </xdr:from>
        <xdr:to>
          <xdr:col>12</xdr:col>
          <xdr:colOff>28575</xdr:colOff>
          <xdr:row>3</xdr:row>
          <xdr:rowOff>9525</xdr:rowOff>
        </xdr:to>
        <xdr:sp macro="" textlink="">
          <xdr:nvSpPr>
            <xdr:cNvPr id="27649" name="Drop Down 1" hidden="1">
              <a:extLst>
                <a:ext uri="{63B3BB69-23CF-44E3-9099-C40C66FF867C}">
                  <a14:compatExt spid="_x0000_s27649"/>
                </a:ext>
                <a:ext uri="{FF2B5EF4-FFF2-40B4-BE49-F238E27FC236}">
                  <a16:creationId xmlns:a16="http://schemas.microsoft.com/office/drawing/2014/main" id="{00000000-0008-0000-0D00-0000016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editAs="oneCell">
    <xdr:from>
      <xdr:col>33</xdr:col>
      <xdr:colOff>370980</xdr:colOff>
      <xdr:row>6</xdr:row>
      <xdr:rowOff>102507</xdr:rowOff>
    </xdr:from>
    <xdr:to>
      <xdr:col>37</xdr:col>
      <xdr:colOff>240163</xdr:colOff>
      <xdr:row>12</xdr:row>
      <xdr:rowOff>152914</xdr:rowOff>
    </xdr:to>
    <xdr:pic>
      <xdr:nvPicPr>
        <xdr:cNvPr id="2" name="Picture 1">
          <a:extLst>
            <a:ext uri="{FF2B5EF4-FFF2-40B4-BE49-F238E27FC236}">
              <a16:creationId xmlns:a16="http://schemas.microsoft.com/office/drawing/2014/main" id="{4E6ABF46-7AEC-4843-8B34-5FAD0C9BB58E}"/>
            </a:ext>
          </a:extLst>
        </xdr:cNvPr>
        <xdr:cNvPicPr>
          <a:picLocks noChangeAspect="1"/>
        </xdr:cNvPicPr>
      </xdr:nvPicPr>
      <xdr:blipFill>
        <a:blip xmlns:r="http://schemas.openxmlformats.org/officeDocument/2006/relationships" r:embed="rId1"/>
        <a:stretch>
          <a:fillRect/>
        </a:stretch>
      </xdr:blipFill>
      <xdr:spPr>
        <a:xfrm>
          <a:off x="20804373" y="1236436"/>
          <a:ext cx="2318469" cy="1138978"/>
        </a:xfrm>
        <a:prstGeom prst="rect">
          <a:avLst/>
        </a:prstGeom>
      </xdr:spPr>
    </xdr:pic>
    <xdr:clientData/>
  </xdr:twoCellAnchor>
  <xdr:twoCellAnchor editAs="oneCell">
    <xdr:from>
      <xdr:col>30</xdr:col>
      <xdr:colOff>79414</xdr:colOff>
      <xdr:row>6</xdr:row>
      <xdr:rowOff>15370</xdr:rowOff>
    </xdr:from>
    <xdr:to>
      <xdr:col>33</xdr:col>
      <xdr:colOff>6125</xdr:colOff>
      <xdr:row>12</xdr:row>
      <xdr:rowOff>131611</xdr:rowOff>
    </xdr:to>
    <xdr:pic>
      <xdr:nvPicPr>
        <xdr:cNvPr id="3" name="Picture 2">
          <a:extLst>
            <a:ext uri="{FF2B5EF4-FFF2-40B4-BE49-F238E27FC236}">
              <a16:creationId xmlns:a16="http://schemas.microsoft.com/office/drawing/2014/main" id="{CF4E93E9-8612-455D-B12B-7E1D059FDDED}"/>
            </a:ext>
          </a:extLst>
        </xdr:cNvPr>
        <xdr:cNvPicPr>
          <a:picLocks noChangeAspect="1"/>
        </xdr:cNvPicPr>
      </xdr:nvPicPr>
      <xdr:blipFill>
        <a:blip xmlns:r="http://schemas.openxmlformats.org/officeDocument/2006/relationships" r:embed="rId2"/>
        <a:stretch>
          <a:fillRect/>
        </a:stretch>
      </xdr:blipFill>
      <xdr:spPr>
        <a:xfrm>
          <a:off x="18675843" y="1149299"/>
          <a:ext cx="1763676" cy="1204812"/>
        </a:xfrm>
        <a:prstGeom prst="rect">
          <a:avLst/>
        </a:prstGeom>
      </xdr:spPr>
    </xdr:pic>
    <xdr:clientData/>
  </xdr:twoCellAnchor>
  <xdr:twoCellAnchor>
    <xdr:from>
      <xdr:col>5</xdr:col>
      <xdr:colOff>454958</xdr:colOff>
      <xdr:row>4</xdr:row>
      <xdr:rowOff>109817</xdr:rowOff>
    </xdr:from>
    <xdr:to>
      <xdr:col>13</xdr:col>
      <xdr:colOff>154640</xdr:colOff>
      <xdr:row>18</xdr:row>
      <xdr:rowOff>186017</xdr:rowOff>
    </xdr:to>
    <xdr:graphicFrame macro="">
      <xdr:nvGraphicFramePr>
        <xdr:cNvPr id="4" name="Chart 3">
          <a:extLst>
            <a:ext uri="{FF2B5EF4-FFF2-40B4-BE49-F238E27FC236}">
              <a16:creationId xmlns:a16="http://schemas.microsoft.com/office/drawing/2014/main" id="{CC9AEAE9-6F15-83DD-DA0B-6896B5DE26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581025</xdr:colOff>
      <xdr:row>14</xdr:row>
      <xdr:rowOff>152400</xdr:rowOff>
    </xdr:from>
    <xdr:to>
      <xdr:col>11</xdr:col>
      <xdr:colOff>59256</xdr:colOff>
      <xdr:row>28</xdr:row>
      <xdr:rowOff>25754</xdr:rowOff>
    </xdr:to>
    <xdr:graphicFrame macro="">
      <xdr:nvGraphicFramePr>
        <xdr:cNvPr id="8" name="Chart 7">
          <a:extLst>
            <a:ext uri="{FF2B5EF4-FFF2-40B4-BE49-F238E27FC236}">
              <a16:creationId xmlns:a16="http://schemas.microsoft.com/office/drawing/2014/main" id="{F1E8612A-8455-AD7F-A273-FE5D13FD5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27454</xdr:colOff>
      <xdr:row>30</xdr:row>
      <xdr:rowOff>6725</xdr:rowOff>
    </xdr:from>
    <xdr:to>
      <xdr:col>44</xdr:col>
      <xdr:colOff>340178</xdr:colOff>
      <xdr:row>34</xdr:row>
      <xdr:rowOff>136072</xdr:rowOff>
    </xdr:to>
    <xdr:sp macro="" textlink="">
      <xdr:nvSpPr>
        <xdr:cNvPr id="9" name="TextBox 8">
          <a:extLst>
            <a:ext uri="{FF2B5EF4-FFF2-40B4-BE49-F238E27FC236}">
              <a16:creationId xmlns:a16="http://schemas.microsoft.com/office/drawing/2014/main" id="{DC9E8432-41AA-F7CC-6C6F-E2A9EB171FFB}"/>
            </a:ext>
          </a:extLst>
        </xdr:cNvPr>
        <xdr:cNvSpPr txBox="1"/>
      </xdr:nvSpPr>
      <xdr:spPr>
        <a:xfrm>
          <a:off x="2703525" y="5494939"/>
          <a:ext cx="24805582" cy="8550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t>The global economy experienced a once-in-a-century disruption due to the COVID-19 pandemic, resulting in a sharp contraction followed by a gradual recovery across most economies. The post-pandemic period (CY2022–CY2025) remained volatile, driven by the Russia–Ukraine conflict, elevated energy and food prices, persistent inflationary pressures and tightening monetary policy across major central banks.</a:t>
          </a:r>
          <a:r>
            <a:rPr lang="en-IN" baseline="0"/>
            <a:t> </a:t>
          </a:r>
          <a:r>
            <a:rPr lang="en-IN"/>
            <a:t>In addition, increasing geopolitical fragmentation, including U.S.–China trade tensions and tariffs, has contributed to supply chain realignments and cost pressures. China continues to hold a dominant position in the processing and refining of several critical minerals essential for modern technologies, adding further strategic uncertainty to global trade dynamics.</a:t>
          </a:r>
        </a:p>
        <a:p>
          <a:endParaRPr lang="en-IN"/>
        </a:p>
        <a:p>
          <a:r>
            <a:rPr lang="en-IN"/>
            <a:t>The</a:t>
          </a:r>
          <a:r>
            <a:rPr lang="en-IN" baseline="0"/>
            <a:t> </a:t>
          </a:r>
          <a:r>
            <a:rPr lang="en-IN"/>
            <a:t>global growth remained resilient but moderate. Developed economies expanded at approximately 1.8% in CY2025 compared with 1.6% in CY2024, while emerging and developing economies maintained stronger growth of about 4.4% versus 4.3% in CY2024. Overall, the global economy grew around 3.3% in CY2025, broadly in line with the previous year.</a:t>
          </a:r>
        </a:p>
      </xdr:txBody>
    </xdr:sp>
    <xdr:clientData/>
  </xdr:twoCellAnchor>
  <xdr:twoCellAnchor>
    <xdr:from>
      <xdr:col>11</xdr:col>
      <xdr:colOff>160593</xdr:colOff>
      <xdr:row>36</xdr:row>
      <xdr:rowOff>16061</xdr:rowOff>
    </xdr:from>
    <xdr:to>
      <xdr:col>16</xdr:col>
      <xdr:colOff>526384</xdr:colOff>
      <xdr:row>51</xdr:row>
      <xdr:rowOff>74226</xdr:rowOff>
    </xdr:to>
    <xdr:graphicFrame macro="">
      <xdr:nvGraphicFramePr>
        <xdr:cNvPr id="5" name="Chart 4">
          <a:extLst>
            <a:ext uri="{FF2B5EF4-FFF2-40B4-BE49-F238E27FC236}">
              <a16:creationId xmlns:a16="http://schemas.microsoft.com/office/drawing/2014/main" id="{0871BE07-C2FF-1E6E-EF3B-47DBEBD192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316939</xdr:colOff>
      <xdr:row>51</xdr:row>
      <xdr:rowOff>91887</xdr:rowOff>
    </xdr:from>
    <xdr:to>
      <xdr:col>18</xdr:col>
      <xdr:colOff>47999</xdr:colOff>
      <xdr:row>65</xdr:row>
      <xdr:rowOff>168087</xdr:rowOff>
    </xdr:to>
    <xdr:graphicFrame macro="">
      <xdr:nvGraphicFramePr>
        <xdr:cNvPr id="7" name="Chart 6">
          <a:extLst>
            <a:ext uri="{FF2B5EF4-FFF2-40B4-BE49-F238E27FC236}">
              <a16:creationId xmlns:a16="http://schemas.microsoft.com/office/drawing/2014/main" id="{7F9E5F0E-A25F-9D7E-68CA-7F7EFF592E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152321</xdr:colOff>
      <xdr:row>65</xdr:row>
      <xdr:rowOff>12700</xdr:rowOff>
    </xdr:from>
    <xdr:to>
      <xdr:col>18</xdr:col>
      <xdr:colOff>95252</xdr:colOff>
      <xdr:row>81</xdr:row>
      <xdr:rowOff>141461</xdr:rowOff>
    </xdr:to>
    <xdr:graphicFrame macro="">
      <xdr:nvGraphicFramePr>
        <xdr:cNvPr id="10" name="Chart 9">
          <a:extLst>
            <a:ext uri="{FF2B5EF4-FFF2-40B4-BE49-F238E27FC236}">
              <a16:creationId xmlns:a16="http://schemas.microsoft.com/office/drawing/2014/main" id="{102BF96B-7D86-0A73-0FD1-8AB02C4799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36</xdr:col>
      <xdr:colOff>475629</xdr:colOff>
      <xdr:row>80</xdr:row>
      <xdr:rowOff>30804</xdr:rowOff>
    </xdr:from>
    <xdr:to>
      <xdr:col>41</xdr:col>
      <xdr:colOff>40996</xdr:colOff>
      <xdr:row>88</xdr:row>
      <xdr:rowOff>4195</xdr:rowOff>
    </xdr:to>
    <xdr:pic>
      <xdr:nvPicPr>
        <xdr:cNvPr id="6" name="Picture 5">
          <a:extLst>
            <a:ext uri="{FF2B5EF4-FFF2-40B4-BE49-F238E27FC236}">
              <a16:creationId xmlns:a16="http://schemas.microsoft.com/office/drawing/2014/main" id="{2DB490FD-D377-475C-AC17-57F14A923C93}"/>
            </a:ext>
          </a:extLst>
        </xdr:cNvPr>
        <xdr:cNvPicPr>
          <a:picLocks noChangeAspect="1"/>
        </xdr:cNvPicPr>
      </xdr:nvPicPr>
      <xdr:blipFill>
        <a:blip xmlns:r="http://schemas.openxmlformats.org/officeDocument/2006/relationships" r:embed="rId8"/>
        <a:stretch>
          <a:fillRect/>
        </a:stretch>
      </xdr:blipFill>
      <xdr:spPr>
        <a:xfrm>
          <a:off x="22745986" y="14590447"/>
          <a:ext cx="2626974" cy="1424819"/>
        </a:xfrm>
        <a:prstGeom prst="rect">
          <a:avLst/>
        </a:prstGeom>
      </xdr:spPr>
    </xdr:pic>
    <xdr:clientData/>
  </xdr:twoCellAnchor>
  <xdr:twoCellAnchor editAs="oneCell">
    <xdr:from>
      <xdr:col>30</xdr:col>
      <xdr:colOff>604905</xdr:colOff>
      <xdr:row>79</xdr:row>
      <xdr:rowOff>16645</xdr:rowOff>
    </xdr:from>
    <xdr:to>
      <xdr:col>35</xdr:col>
      <xdr:colOff>587751</xdr:colOff>
      <xdr:row>88</xdr:row>
      <xdr:rowOff>1223</xdr:rowOff>
    </xdr:to>
    <xdr:pic>
      <xdr:nvPicPr>
        <xdr:cNvPr id="11" name="Picture 10">
          <a:extLst>
            <a:ext uri="{FF2B5EF4-FFF2-40B4-BE49-F238E27FC236}">
              <a16:creationId xmlns:a16="http://schemas.microsoft.com/office/drawing/2014/main" id="{BBAD58E1-30D8-4FE3-960F-418595BA9246}"/>
            </a:ext>
          </a:extLst>
        </xdr:cNvPr>
        <xdr:cNvPicPr>
          <a:picLocks noChangeAspect="1"/>
        </xdr:cNvPicPr>
      </xdr:nvPicPr>
      <xdr:blipFill>
        <a:blip xmlns:r="http://schemas.openxmlformats.org/officeDocument/2006/relationships" r:embed="rId9"/>
        <a:stretch>
          <a:fillRect/>
        </a:stretch>
      </xdr:blipFill>
      <xdr:spPr>
        <a:xfrm>
          <a:off x="19201334" y="14394859"/>
          <a:ext cx="3044453" cy="1617435"/>
        </a:xfrm>
        <a:prstGeom prst="rect">
          <a:avLst/>
        </a:prstGeom>
      </xdr:spPr>
    </xdr:pic>
    <xdr:clientData/>
  </xdr:twoCellAnchor>
  <xdr:twoCellAnchor>
    <xdr:from>
      <xdr:col>11</xdr:col>
      <xdr:colOff>283029</xdr:colOff>
      <xdr:row>82</xdr:row>
      <xdr:rowOff>24946</xdr:rowOff>
    </xdr:from>
    <xdr:to>
      <xdr:col>18</xdr:col>
      <xdr:colOff>302079</xdr:colOff>
      <xdr:row>95</xdr:row>
      <xdr:rowOff>43995</xdr:rowOff>
    </xdr:to>
    <xdr:graphicFrame macro="">
      <xdr:nvGraphicFramePr>
        <xdr:cNvPr id="16" name="Chart 15">
          <a:extLst>
            <a:ext uri="{FF2B5EF4-FFF2-40B4-BE49-F238E27FC236}">
              <a16:creationId xmlns:a16="http://schemas.microsoft.com/office/drawing/2014/main" id="{E950C4CA-C23C-44D9-14A1-0E8FD3DF95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25</xdr:col>
      <xdr:colOff>21348</xdr:colOff>
      <xdr:row>78</xdr:row>
      <xdr:rowOff>24013</xdr:rowOff>
    </xdr:from>
    <xdr:to>
      <xdr:col>31</xdr:col>
      <xdr:colOff>139950</xdr:colOff>
      <xdr:row>89</xdr:row>
      <xdr:rowOff>27149</xdr:rowOff>
    </xdr:to>
    <xdr:pic>
      <xdr:nvPicPr>
        <xdr:cNvPr id="17" name="Picture 16">
          <a:extLst>
            <a:ext uri="{FF2B5EF4-FFF2-40B4-BE49-F238E27FC236}">
              <a16:creationId xmlns:a16="http://schemas.microsoft.com/office/drawing/2014/main" id="{5FB02D67-5827-479C-84CC-207B3B1BDFEF}"/>
            </a:ext>
          </a:extLst>
        </xdr:cNvPr>
        <xdr:cNvPicPr>
          <a:picLocks noChangeAspect="1"/>
        </xdr:cNvPicPr>
      </xdr:nvPicPr>
      <xdr:blipFill>
        <a:blip xmlns:r="http://schemas.openxmlformats.org/officeDocument/2006/relationships" r:embed="rId11"/>
        <a:stretch>
          <a:fillRect/>
        </a:stretch>
      </xdr:blipFill>
      <xdr:spPr>
        <a:xfrm>
          <a:off x="15556169" y="14220799"/>
          <a:ext cx="3792531" cy="1998850"/>
        </a:xfrm>
        <a:prstGeom prst="rect">
          <a:avLst/>
        </a:prstGeom>
      </xdr:spPr>
    </xdr:pic>
    <xdr:clientData/>
  </xdr:twoCellAnchor>
  <xdr:twoCellAnchor>
    <xdr:from>
      <xdr:col>11</xdr:col>
      <xdr:colOff>115871</xdr:colOff>
      <xdr:row>97</xdr:row>
      <xdr:rowOff>164950</xdr:rowOff>
    </xdr:from>
    <xdr:to>
      <xdr:col>18</xdr:col>
      <xdr:colOff>443072</xdr:colOff>
      <xdr:row>112</xdr:row>
      <xdr:rowOff>106678</xdr:rowOff>
    </xdr:to>
    <xdr:graphicFrame macro="">
      <xdr:nvGraphicFramePr>
        <xdr:cNvPr id="18" name="Chart 17">
          <a:extLst>
            <a:ext uri="{FF2B5EF4-FFF2-40B4-BE49-F238E27FC236}">
              <a16:creationId xmlns:a16="http://schemas.microsoft.com/office/drawing/2014/main" id="{7A6CAC40-2F01-ECA3-373F-ADB9755DFD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35</xdr:col>
      <xdr:colOff>237416</xdr:colOff>
      <xdr:row>91</xdr:row>
      <xdr:rowOff>141669</xdr:rowOff>
    </xdr:from>
    <xdr:to>
      <xdr:col>44</xdr:col>
      <xdr:colOff>93276</xdr:colOff>
      <xdr:row>108</xdr:row>
      <xdr:rowOff>180769</xdr:rowOff>
    </xdr:to>
    <xdr:pic>
      <xdr:nvPicPr>
        <xdr:cNvPr id="23" name="Picture 22">
          <a:extLst>
            <a:ext uri="{FF2B5EF4-FFF2-40B4-BE49-F238E27FC236}">
              <a16:creationId xmlns:a16="http://schemas.microsoft.com/office/drawing/2014/main" id="{20625226-4D75-4BFE-8A47-3417B77E1BF2}"/>
            </a:ext>
          </a:extLst>
        </xdr:cNvPr>
        <xdr:cNvPicPr>
          <a:picLocks noChangeAspect="1"/>
        </xdr:cNvPicPr>
      </xdr:nvPicPr>
      <xdr:blipFill>
        <a:blip xmlns:r="http://schemas.openxmlformats.org/officeDocument/2006/relationships" r:embed="rId13"/>
        <a:stretch>
          <a:fillRect/>
        </a:stretch>
      </xdr:blipFill>
      <xdr:spPr>
        <a:xfrm>
          <a:off x="22144916" y="18305622"/>
          <a:ext cx="5437954" cy="3428228"/>
        </a:xfrm>
        <a:prstGeom prst="rect">
          <a:avLst/>
        </a:prstGeom>
      </xdr:spPr>
    </xdr:pic>
    <xdr:clientData/>
  </xdr:twoCellAnchor>
  <xdr:twoCellAnchor editAs="oneCell">
    <xdr:from>
      <xdr:col>25</xdr:col>
      <xdr:colOff>71923</xdr:colOff>
      <xdr:row>89</xdr:row>
      <xdr:rowOff>176195</xdr:rowOff>
    </xdr:from>
    <xdr:to>
      <xdr:col>34</xdr:col>
      <xdr:colOff>222173</xdr:colOff>
      <xdr:row>109</xdr:row>
      <xdr:rowOff>0</xdr:rowOff>
    </xdr:to>
    <xdr:pic>
      <xdr:nvPicPr>
        <xdr:cNvPr id="24" name="Picture 23">
          <a:extLst>
            <a:ext uri="{FF2B5EF4-FFF2-40B4-BE49-F238E27FC236}">
              <a16:creationId xmlns:a16="http://schemas.microsoft.com/office/drawing/2014/main" id="{48298824-EA23-4104-AD69-CEFB056AAA85}"/>
            </a:ext>
          </a:extLst>
        </xdr:cNvPr>
        <xdr:cNvPicPr>
          <a:picLocks noChangeAspect="1"/>
        </xdr:cNvPicPr>
      </xdr:nvPicPr>
      <xdr:blipFill>
        <a:blip xmlns:r="http://schemas.openxmlformats.org/officeDocument/2006/relationships" r:embed="rId14"/>
        <a:stretch>
          <a:fillRect/>
        </a:stretch>
      </xdr:blipFill>
      <xdr:spPr>
        <a:xfrm>
          <a:off x="15777097" y="17941428"/>
          <a:ext cx="5732343" cy="3811014"/>
        </a:xfrm>
        <a:prstGeom prst="rect">
          <a:avLst/>
        </a:prstGeom>
      </xdr:spPr>
    </xdr:pic>
    <xdr:clientData/>
  </xdr:twoCellAnchor>
  <xdr:twoCellAnchor>
    <xdr:from>
      <xdr:col>11</xdr:col>
      <xdr:colOff>92993</xdr:colOff>
      <xdr:row>113</xdr:row>
      <xdr:rowOff>26624</xdr:rowOff>
    </xdr:from>
    <xdr:to>
      <xdr:col>18</xdr:col>
      <xdr:colOff>386395</xdr:colOff>
      <xdr:row>127</xdr:row>
      <xdr:rowOff>143321</xdr:rowOff>
    </xdr:to>
    <xdr:graphicFrame macro="">
      <xdr:nvGraphicFramePr>
        <xdr:cNvPr id="25" name="Chart 24">
          <a:extLst>
            <a:ext uri="{FF2B5EF4-FFF2-40B4-BE49-F238E27FC236}">
              <a16:creationId xmlns:a16="http://schemas.microsoft.com/office/drawing/2014/main" id="{57A10A6B-A053-6CBC-2C1D-43FBAA7D1A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xdr:col>
      <xdr:colOff>311326</xdr:colOff>
      <xdr:row>126</xdr:row>
      <xdr:rowOff>176212</xdr:rowOff>
    </xdr:from>
    <xdr:to>
      <xdr:col>14</xdr:col>
      <xdr:colOff>14993</xdr:colOff>
      <xdr:row>141</xdr:row>
      <xdr:rowOff>8995</xdr:rowOff>
    </xdr:to>
    <xdr:graphicFrame macro="">
      <xdr:nvGraphicFramePr>
        <xdr:cNvPr id="26" name="Chart 25">
          <a:extLst>
            <a:ext uri="{FF2B5EF4-FFF2-40B4-BE49-F238E27FC236}">
              <a16:creationId xmlns:a16="http://schemas.microsoft.com/office/drawing/2014/main" id="{6AF05D5F-C471-1C4B-53F1-7F8B6A5892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23</xdr:col>
      <xdr:colOff>600486</xdr:colOff>
      <xdr:row>132</xdr:row>
      <xdr:rowOff>184531</xdr:rowOff>
    </xdr:from>
    <xdr:to>
      <xdr:col>32</xdr:col>
      <xdr:colOff>466504</xdr:colOff>
      <xdr:row>148</xdr:row>
      <xdr:rowOff>163824</xdr:rowOff>
    </xdr:to>
    <xdr:graphicFrame macro="">
      <xdr:nvGraphicFramePr>
        <xdr:cNvPr id="12" name="Chart 11">
          <a:extLst>
            <a:ext uri="{FF2B5EF4-FFF2-40B4-BE49-F238E27FC236}">
              <a16:creationId xmlns:a16="http://schemas.microsoft.com/office/drawing/2014/main" id="{1E8DBB3F-4718-DF99-A20A-965BBB9427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20</xdr:col>
      <xdr:colOff>317805</xdr:colOff>
      <xdr:row>164</xdr:row>
      <xdr:rowOff>119429</xdr:rowOff>
    </xdr:from>
    <xdr:to>
      <xdr:col>28</xdr:col>
      <xdr:colOff>17401</xdr:colOff>
      <xdr:row>178</xdr:row>
      <xdr:rowOff>169985</xdr:rowOff>
    </xdr:to>
    <xdr:graphicFrame macro="">
      <xdr:nvGraphicFramePr>
        <xdr:cNvPr id="14" name="Chart 13">
          <a:extLst>
            <a:ext uri="{FF2B5EF4-FFF2-40B4-BE49-F238E27FC236}">
              <a16:creationId xmlns:a16="http://schemas.microsoft.com/office/drawing/2014/main" id="{BDFFB248-5AD7-A671-1E97-537731BF40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29</xdr:col>
      <xdr:colOff>529127</xdr:colOff>
      <xdr:row>164</xdr:row>
      <xdr:rowOff>184616</xdr:rowOff>
    </xdr:from>
    <xdr:to>
      <xdr:col>37</xdr:col>
      <xdr:colOff>89296</xdr:colOff>
      <xdr:row>179</xdr:row>
      <xdr:rowOff>70316</xdr:rowOff>
    </xdr:to>
    <xdr:graphicFrame macro="">
      <xdr:nvGraphicFramePr>
        <xdr:cNvPr id="15" name="Chart 14">
          <a:extLst>
            <a:ext uri="{FF2B5EF4-FFF2-40B4-BE49-F238E27FC236}">
              <a16:creationId xmlns:a16="http://schemas.microsoft.com/office/drawing/2014/main" id="{1FFD1706-E6D9-2BF1-6C2E-BC3CCE30AD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20</xdr:col>
      <xdr:colOff>446484</xdr:colOff>
      <xdr:row>188</xdr:row>
      <xdr:rowOff>152398</xdr:rowOff>
    </xdr:from>
    <xdr:to>
      <xdr:col>28</xdr:col>
      <xdr:colOff>160734</xdr:colOff>
      <xdr:row>203</xdr:row>
      <xdr:rowOff>38098</xdr:rowOff>
    </xdr:to>
    <xdr:graphicFrame macro="">
      <xdr:nvGraphicFramePr>
        <xdr:cNvPr id="19" name="Chart 18">
          <a:extLst>
            <a:ext uri="{FF2B5EF4-FFF2-40B4-BE49-F238E27FC236}">
              <a16:creationId xmlns:a16="http://schemas.microsoft.com/office/drawing/2014/main" id="{4DEB26D2-5A04-0B8D-F06E-47DF842954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20</xdr:col>
      <xdr:colOff>265088</xdr:colOff>
      <xdr:row>204</xdr:row>
      <xdr:rowOff>134890</xdr:rowOff>
    </xdr:from>
    <xdr:to>
      <xdr:col>27</xdr:col>
      <xdr:colOff>595661</xdr:colOff>
      <xdr:row>219</xdr:row>
      <xdr:rowOff>14987</xdr:rowOff>
    </xdr:to>
    <xdr:graphicFrame macro="">
      <xdr:nvGraphicFramePr>
        <xdr:cNvPr id="21" name="Chart 20">
          <a:extLst>
            <a:ext uri="{FF2B5EF4-FFF2-40B4-BE49-F238E27FC236}">
              <a16:creationId xmlns:a16="http://schemas.microsoft.com/office/drawing/2014/main" id="{01A6729A-E657-3D01-85C0-D58C332BD7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28</xdr:col>
      <xdr:colOff>355203</xdr:colOff>
      <xdr:row>204</xdr:row>
      <xdr:rowOff>108743</xdr:rowOff>
    </xdr:from>
    <xdr:to>
      <xdr:col>36</xdr:col>
      <xdr:colOff>37704</xdr:colOff>
      <xdr:row>218</xdr:row>
      <xdr:rowOff>184943</xdr:rowOff>
    </xdr:to>
    <xdr:graphicFrame macro="">
      <xdr:nvGraphicFramePr>
        <xdr:cNvPr id="22" name="Chart 21">
          <a:extLst>
            <a:ext uri="{FF2B5EF4-FFF2-40B4-BE49-F238E27FC236}">
              <a16:creationId xmlns:a16="http://schemas.microsoft.com/office/drawing/2014/main" id="{AEF665C2-7531-E5A9-2350-E684599311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20</xdr:col>
      <xdr:colOff>32326</xdr:colOff>
      <xdr:row>218</xdr:row>
      <xdr:rowOff>79708</xdr:rowOff>
    </xdr:from>
    <xdr:to>
      <xdr:col>27</xdr:col>
      <xdr:colOff>320698</xdr:colOff>
      <xdr:row>232</xdr:row>
      <xdr:rowOff>82840</xdr:rowOff>
    </xdr:to>
    <xdr:graphicFrame macro="">
      <xdr:nvGraphicFramePr>
        <xdr:cNvPr id="13" name="Chart 12">
          <a:extLst>
            <a:ext uri="{FF2B5EF4-FFF2-40B4-BE49-F238E27FC236}">
              <a16:creationId xmlns:a16="http://schemas.microsoft.com/office/drawing/2014/main" id="{771395A7-2D8B-B69D-43A1-3505672558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28</xdr:col>
      <xdr:colOff>336755</xdr:colOff>
      <xdr:row>218</xdr:row>
      <xdr:rowOff>4563</xdr:rowOff>
    </xdr:from>
    <xdr:to>
      <xdr:col>35</xdr:col>
      <xdr:colOff>553799</xdr:colOff>
      <xdr:row>232</xdr:row>
      <xdr:rowOff>137702</xdr:rowOff>
    </xdr:to>
    <xdr:graphicFrame macro="">
      <xdr:nvGraphicFramePr>
        <xdr:cNvPr id="20" name="Chart 19">
          <a:extLst>
            <a:ext uri="{FF2B5EF4-FFF2-40B4-BE49-F238E27FC236}">
              <a16:creationId xmlns:a16="http://schemas.microsoft.com/office/drawing/2014/main" id="{6E9BC316-628C-D7A3-4828-5D86EF46D1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17</xdr:col>
      <xdr:colOff>2660</xdr:colOff>
      <xdr:row>0</xdr:row>
      <xdr:rowOff>0</xdr:rowOff>
    </xdr:from>
    <xdr:to>
      <xdr:col>26</xdr:col>
      <xdr:colOff>85973</xdr:colOff>
      <xdr:row>26</xdr:row>
      <xdr:rowOff>58783</xdr:rowOff>
    </xdr:to>
    <xdr:pic>
      <xdr:nvPicPr>
        <xdr:cNvPr id="2" name="Picture 1">
          <a:extLst>
            <a:ext uri="{FF2B5EF4-FFF2-40B4-BE49-F238E27FC236}">
              <a16:creationId xmlns:a16="http://schemas.microsoft.com/office/drawing/2014/main" id="{995FCA4F-6830-406D-97E6-36DEC50D4A0F}"/>
            </a:ext>
          </a:extLst>
        </xdr:cNvPr>
        <xdr:cNvPicPr>
          <a:picLocks noChangeAspect="1"/>
        </xdr:cNvPicPr>
      </xdr:nvPicPr>
      <xdr:blipFill>
        <a:blip xmlns:r="http://schemas.openxmlformats.org/officeDocument/2006/relationships" r:embed="rId1"/>
        <a:stretch>
          <a:fillRect/>
        </a:stretch>
      </xdr:blipFill>
      <xdr:spPr>
        <a:xfrm>
          <a:off x="10787418" y="0"/>
          <a:ext cx="5613959" cy="4852009"/>
        </a:xfrm>
        <a:prstGeom prst="rect">
          <a:avLst/>
        </a:prstGeom>
      </xdr:spPr>
    </xdr:pic>
    <xdr:clientData/>
  </xdr:twoCellAnchor>
  <xdr:twoCellAnchor editAs="oneCell">
    <xdr:from>
      <xdr:col>20</xdr:col>
      <xdr:colOff>64717</xdr:colOff>
      <xdr:row>3</xdr:row>
      <xdr:rowOff>81856</xdr:rowOff>
    </xdr:from>
    <xdr:to>
      <xdr:col>25</xdr:col>
      <xdr:colOff>137985</xdr:colOff>
      <xdr:row>15</xdr:row>
      <xdr:rowOff>64574</xdr:rowOff>
    </xdr:to>
    <xdr:pic>
      <xdr:nvPicPr>
        <xdr:cNvPr id="3" name="Picture 2">
          <a:extLst>
            <a:ext uri="{FF2B5EF4-FFF2-40B4-BE49-F238E27FC236}">
              <a16:creationId xmlns:a16="http://schemas.microsoft.com/office/drawing/2014/main" id="{4825E4C7-EF83-854D-A834-2DAFAB7114D2}"/>
            </a:ext>
          </a:extLst>
        </xdr:cNvPr>
        <xdr:cNvPicPr>
          <a:picLocks noChangeAspect="1"/>
        </xdr:cNvPicPr>
      </xdr:nvPicPr>
      <xdr:blipFill>
        <a:blip xmlns:r="http://schemas.openxmlformats.org/officeDocument/2006/relationships" r:embed="rId2"/>
        <a:stretch>
          <a:fillRect/>
        </a:stretch>
      </xdr:blipFill>
      <xdr:spPr>
        <a:xfrm>
          <a:off x="12679173" y="659278"/>
          <a:ext cx="3133113" cy="2292407"/>
        </a:xfrm>
        <a:prstGeom prst="rect">
          <a:avLst/>
        </a:prstGeom>
      </xdr:spPr>
    </xdr:pic>
    <xdr:clientData/>
  </xdr:twoCellAnchor>
  <xdr:twoCellAnchor>
    <xdr:from>
      <xdr:col>3</xdr:col>
      <xdr:colOff>415803</xdr:colOff>
      <xdr:row>5</xdr:row>
      <xdr:rowOff>66308</xdr:rowOff>
    </xdr:from>
    <xdr:to>
      <xdr:col>11</xdr:col>
      <xdr:colOff>78764</xdr:colOff>
      <xdr:row>19</xdr:row>
      <xdr:rowOff>116864</xdr:rowOff>
    </xdr:to>
    <xdr:graphicFrame macro="">
      <xdr:nvGraphicFramePr>
        <xdr:cNvPr id="4" name="Chart 3">
          <a:extLst>
            <a:ext uri="{FF2B5EF4-FFF2-40B4-BE49-F238E27FC236}">
              <a16:creationId xmlns:a16="http://schemas.microsoft.com/office/drawing/2014/main" id="{B2643950-17D3-FDF5-5935-F27E89F7E6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284508</xdr:colOff>
      <xdr:row>21</xdr:row>
      <xdr:rowOff>46088</xdr:rowOff>
    </xdr:from>
    <xdr:to>
      <xdr:col>16</xdr:col>
      <xdr:colOff>263414</xdr:colOff>
      <xdr:row>33</xdr:row>
      <xdr:rowOff>89683</xdr:rowOff>
    </xdr:to>
    <xdr:graphicFrame macro="">
      <xdr:nvGraphicFramePr>
        <xdr:cNvPr id="5" name="Chart 4">
          <a:extLst>
            <a:ext uri="{FF2B5EF4-FFF2-40B4-BE49-F238E27FC236}">
              <a16:creationId xmlns:a16="http://schemas.microsoft.com/office/drawing/2014/main" id="{52239A6B-6DAD-0984-C930-1A12E7E776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trlProp" Target="../ctrlProps/ctrlProp1.xml"/></Relationships>
</file>

<file path=xl/worksheets/_rels/sheet7.xml.rels><?xml version="1.0" encoding="UTF-8" standalone="yes"?>
<Relationships xmlns="http://schemas.openxmlformats.org/package/2006/relationships"><Relationship Id="rId8" Type="http://schemas.openxmlformats.org/officeDocument/2006/relationships/hyperlink" Target="https://www.sphericalinsights.com/reports/india-specialty-fine-chemicals-market-size" TargetMode="External"/><Relationship Id="rId13" Type="http://schemas.openxmlformats.org/officeDocument/2006/relationships/hyperlink" Target="https://www.fortunebusinessinsights.com/industry-reports/chlor-alkali-market-101720" TargetMode="External"/><Relationship Id="rId18" Type="http://schemas.openxmlformats.org/officeDocument/2006/relationships/hyperlink" Target="https://www.fortunebusinessinsights.com/specialty-chemicals-market-105517" TargetMode="External"/><Relationship Id="rId3" Type="http://schemas.openxmlformats.org/officeDocument/2006/relationships/hyperlink" Target="https://finance.yahoo.com/news/specialty-chemicals-market-size-worth-141100310.html?guccounter=1&amp;guce_referrer=aHR0cHM6Ly93d3cuZ29vZ2xlLmNvbS8&amp;guce_referrer_sig=AQAAABTKsS5upkv_yVJRWc-whpYBkaK8tPzSFLvJRgyYNQsq8OmK1o6YRDCTAHJrKhztbv-bdpKvhoa03gc70WWc9MqFzNkGfCrOkwSnvakYwF4P1LdyWYIlFZkvyjLA-qX8MK9p2c38taj7w_Les_YAlceXEJhbq1GukzETpZbNlktz" TargetMode="External"/><Relationship Id="rId21" Type="http://schemas.openxmlformats.org/officeDocument/2006/relationships/printerSettings" Target="../printerSettings/printerSettings3.bin"/><Relationship Id="rId7" Type="http://schemas.openxmlformats.org/officeDocument/2006/relationships/hyperlink" Target="https://www.imarcgroup.com/india-specialty-chemicals-market" TargetMode="External"/><Relationship Id="rId12" Type="http://schemas.openxmlformats.org/officeDocument/2006/relationships/hyperlink" Target="https://www.custommarketinsights.com/report/india-specialty-chemicals-market/" TargetMode="External"/><Relationship Id="rId17" Type="http://schemas.openxmlformats.org/officeDocument/2006/relationships/hyperlink" Target="https://www.grandviewresearch.com/industry-analysis/specialty-chemicals-market" TargetMode="External"/><Relationship Id="rId2" Type="http://schemas.openxmlformats.org/officeDocument/2006/relationships/hyperlink" Target="https://www.imarcgroup.com/specialty-chemicals-market" TargetMode="External"/><Relationship Id="rId16" Type="http://schemas.openxmlformats.org/officeDocument/2006/relationships/hyperlink" Target="http://imarcgroup.com/india-chlor-alkali-market" TargetMode="External"/><Relationship Id="rId20" Type="http://schemas.openxmlformats.org/officeDocument/2006/relationships/hyperlink" Target="https://swarajyamag.com/economy/bottled-ambitions-can-indias-specialty-chemicals-live-up-to-hype" TargetMode="External"/><Relationship Id="rId1" Type="http://schemas.openxmlformats.org/officeDocument/2006/relationships/hyperlink" Target="https://in.marketscreener.com/quote/stock/EPIGRAL-LIMITED-126415281/finances/" TargetMode="External"/><Relationship Id="rId6" Type="http://schemas.openxmlformats.org/officeDocument/2006/relationships/hyperlink" Target="https://www.grandviewresearch.com/industry-analysis/specialty-chemicals-market" TargetMode="External"/><Relationship Id="rId11" Type="http://schemas.openxmlformats.org/officeDocument/2006/relationships/hyperlink" Target="https://www.finnovate.in/learn/blog/specialty-chemicals-india-global-opportunity" TargetMode="External"/><Relationship Id="rId24" Type="http://schemas.openxmlformats.org/officeDocument/2006/relationships/comments" Target="../comments2.xml"/><Relationship Id="rId5" Type="http://schemas.openxmlformats.org/officeDocument/2006/relationships/hyperlink" Target="https://www.marketsandmarkets.com/Market-Reports/global-specialty-chemicals-165.html" TargetMode="External"/><Relationship Id="rId15" Type="http://schemas.openxmlformats.org/officeDocument/2006/relationships/hyperlink" Target="https://mobilityforesights.com/product/india-chlor-alkali-market" TargetMode="External"/><Relationship Id="rId23" Type="http://schemas.openxmlformats.org/officeDocument/2006/relationships/vmlDrawing" Target="../drawings/vmlDrawing3.vml"/><Relationship Id="rId10" Type="http://schemas.openxmlformats.org/officeDocument/2006/relationships/hyperlink" Target="https://www.investindia.gov.in/team-india-blogs/chemical-industry-growth-drivers-and-investment-opportunities-india" TargetMode="External"/><Relationship Id="rId19" Type="http://schemas.openxmlformats.org/officeDocument/2006/relationships/hyperlink" Target="https://www.precedenceresearch.com/specialty-chemicals-market" TargetMode="External"/><Relationship Id="rId4" Type="http://schemas.openxmlformats.org/officeDocument/2006/relationships/hyperlink" Target="https://www.technavio.com/report/specialty-chemicals-market-industry-analysishttps:/www.technavio.com/report/specialty-chemicals-market-industry-analysis" TargetMode="External"/><Relationship Id="rId9" Type="http://schemas.openxmlformats.org/officeDocument/2006/relationships/hyperlink" Target="https://www.grandviewresearch.com/industry-analysis/india-specialty-fine-chemicals-market-report" TargetMode="External"/><Relationship Id="rId14" Type="http://schemas.openxmlformats.org/officeDocument/2006/relationships/hyperlink" Target="https://www.omrglobal.com/industry-reports/india-chlor-alkali-market-size" TargetMode="External"/><Relationship Id="rId22"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trlProp" Target="../ctrlProps/ctrlProp2.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trlProp" Target="../ctrlProps/ctrlProp3.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trlProp" Target="../ctrlProps/ctrlProp4.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4" Type="http://schemas.openxmlformats.org/officeDocument/2006/relationships/ctrlProp" Target="../ctrlProps/ctrlProp5.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9.bin"/><Relationship Id="rId4" Type="http://schemas.openxmlformats.org/officeDocument/2006/relationships/ctrlProp" Target="../ctrlProps/ctrlProp6.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hyperlink" Target="https://www.macrotrends.net/global-metrics/countries/ind/india/rural-population" TargetMode="External"/><Relationship Id="rId1" Type="http://schemas.openxmlformats.org/officeDocument/2006/relationships/hyperlink" Target="https://www.statista.com/statistics/271315/age-distribution-in-india/?srsltid=AfmBOoqGSv8NoPWVwTAiU1-3dmHXkNtIXlz5UhlqX8hL2fJhHTttcqa1"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11.bin"/><Relationship Id="rId1" Type="http://schemas.openxmlformats.org/officeDocument/2006/relationships/hyperlink" Target="https://www.goindiastocks.com/companyinfo/210481" TargetMode="External"/></Relationships>
</file>

<file path=xl/worksheets/_rels/sheet23.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goindiastocks.com/companyinfo/210481" TargetMode="External"/></Relationships>
</file>

<file path=xl/worksheets/_rels/sheet24.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goindiastocks.com/companyinfo/21048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57F7B-C0B7-4F73-9DFB-C1B435512F07}">
  <dimension ref="A1"/>
  <sheetViews>
    <sheetView showGridLines="0" tabSelected="1" workbookViewId="0"/>
  </sheetViews>
  <sheetFormatPr defaultRowHeight="15"/>
  <cols>
    <col min="1" max="1" width="1.85546875"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133B3-BEE6-49DE-8E1C-309807C94029}">
  <dimension ref="A1:H25"/>
  <sheetViews>
    <sheetView showGridLines="0" zoomScaleNormal="100" workbookViewId="0"/>
  </sheetViews>
  <sheetFormatPr defaultRowHeight="15"/>
  <cols>
    <col min="1" max="1" width="1.85546875" customWidth="1"/>
    <col min="2" max="2" width="38.5703125" customWidth="1"/>
    <col min="3" max="3" width="10.7109375" customWidth="1"/>
  </cols>
  <sheetData>
    <row r="1" spans="1:3">
      <c r="A1" t="s">
        <v>42</v>
      </c>
    </row>
    <row r="3" spans="1:3">
      <c r="B3" s="166" t="s">
        <v>666</v>
      </c>
    </row>
    <row r="5" spans="1:3">
      <c r="B5" s="395" t="s">
        <v>667</v>
      </c>
      <c r="C5" s="550" t="s">
        <v>668</v>
      </c>
    </row>
    <row r="8" spans="1:3">
      <c r="B8" s="166" t="s">
        <v>684</v>
      </c>
      <c r="C8" s="166"/>
    </row>
    <row r="9" spans="1:3">
      <c r="B9" s="395" t="s">
        <v>685</v>
      </c>
      <c r="C9" s="551" t="s">
        <v>792</v>
      </c>
    </row>
    <row r="10" spans="1:3">
      <c r="B10" s="395" t="s">
        <v>686</v>
      </c>
      <c r="C10" s="432">
        <v>6.7000000000000004E-2</v>
      </c>
    </row>
    <row r="11" spans="1:3">
      <c r="B11" s="395" t="str">
        <f>C9&amp;"'s"&amp;" Moody's Soverign Rating "</f>
        <v xml:space="preserve">India's Moody's Soverign Rating </v>
      </c>
      <c r="C11" s="432" t="str">
        <f>VLOOKUP(C9,'Damodaran Data'!B4:D161,3,)</f>
        <v>Baa3</v>
      </c>
    </row>
    <row r="12" spans="1:3">
      <c r="B12" s="395" t="s">
        <v>687</v>
      </c>
      <c r="C12" s="433">
        <f>VLOOKUP(C9,'Damodaran Data'!B4:E161,4,)</f>
        <v>2.160985823777507E-2</v>
      </c>
    </row>
    <row r="13" spans="1:3">
      <c r="B13" s="395" t="s">
        <v>688</v>
      </c>
      <c r="C13" s="432">
        <v>4.1799999999999997E-2</v>
      </c>
    </row>
    <row r="14" spans="1:3">
      <c r="B14" s="395" t="s">
        <v>690</v>
      </c>
      <c r="C14" s="431">
        <v>1.02</v>
      </c>
    </row>
    <row r="15" spans="1:3">
      <c r="B15" s="395" t="s">
        <v>689</v>
      </c>
      <c r="C15" s="431">
        <v>0.15</v>
      </c>
    </row>
    <row r="16" spans="1:3">
      <c r="B16" s="395" t="s">
        <v>986</v>
      </c>
      <c r="C16" s="434">
        <f>'Assumptions Working'!$H$885</f>
        <v>0.26207983193277312</v>
      </c>
    </row>
    <row r="17" spans="2:8">
      <c r="B17" s="395" t="s">
        <v>691</v>
      </c>
      <c r="C17" s="434">
        <f>'Assumptions Working'!$H$886</f>
        <v>0.20765709529754472</v>
      </c>
    </row>
    <row r="18" spans="2:8">
      <c r="B18" s="395" t="s">
        <v>46</v>
      </c>
      <c r="C18" s="432">
        <v>0.25169999999999998</v>
      </c>
    </row>
    <row r="19" spans="2:8">
      <c r="B19" s="395" t="s">
        <v>692</v>
      </c>
      <c r="C19" s="431" t="s">
        <v>171</v>
      </c>
    </row>
    <row r="20" spans="2:8">
      <c r="B20" s="395" t="s">
        <v>887</v>
      </c>
      <c r="C20" s="431" t="s">
        <v>885</v>
      </c>
      <c r="G20" s="189" t="s">
        <v>885</v>
      </c>
      <c r="H20" s="189" t="s">
        <v>170</v>
      </c>
    </row>
    <row r="21" spans="2:8">
      <c r="B21" s="395" t="s">
        <v>693</v>
      </c>
      <c r="C21" s="431" t="s">
        <v>907</v>
      </c>
      <c r="G21" s="189" t="s">
        <v>886</v>
      </c>
      <c r="H21" s="189" t="s">
        <v>171</v>
      </c>
    </row>
    <row r="22" spans="2:8">
      <c r="B22" s="395" t="s">
        <v>158</v>
      </c>
      <c r="C22" s="435">
        <f>'3 Statement Model'!H31/'3 Statement Model'!H35</f>
        <v>10.921509433962262</v>
      </c>
    </row>
    <row r="23" spans="2:8">
      <c r="B23" s="395" t="s">
        <v>925</v>
      </c>
      <c r="C23" s="433">
        <f>IF(C20="L",VLOOKUP(C22,'Damodaran Data'!G6:J21,4,TRUE),VLOOKUP(C22,'Damodaran Data'!L6:O21,4,TRUE))</f>
        <v>4.0000000000000001E-3</v>
      </c>
    </row>
    <row r="24" spans="2:8">
      <c r="B24" s="395" t="s">
        <v>694</v>
      </c>
      <c r="C24" s="432">
        <v>0.1222</v>
      </c>
    </row>
    <row r="25" spans="2:8">
      <c r="B25" s="395" t="s">
        <v>695</v>
      </c>
      <c r="C25" s="432">
        <v>0</v>
      </c>
    </row>
  </sheetData>
  <sheetProtection algorithmName="SHA-512" hashValue="otiPgUP+yiT+TzBOMzfce2/gWhq+rOuhkRkxkKXMYx9j59a9YswhFnU4cqqJSFrmlEjy4b2yypxLG7DAFL1F8w==" saltValue="PF8TaiEGNSbJrnIx3ysV4g==" spinCount="100000" sheet="1" objects="1" scenarios="1"/>
  <dataValidations count="2">
    <dataValidation type="list" allowBlank="1" showInputMessage="1" showErrorMessage="1" sqref="C20" xr:uid="{A03A9CDE-C61C-4B81-BAC5-18AE27170669}">
      <formula1>$G$20:$G$21</formula1>
    </dataValidation>
    <dataValidation type="list" allowBlank="1" showInputMessage="1" showErrorMessage="1" sqref="C19" xr:uid="{45A6365B-31AF-4554-ADB5-AFBE46EA10F7}">
      <formula1>$H$20:$H$21</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2AE8F9A2-6496-4C2C-8608-3292F49C76BC}">
          <x14:formula1>
            <xm:f>'Damodaran Data'!$B$5:$B$161</xm:f>
          </x14:formula1>
          <xm:sqref>C9</xm:sqref>
        </x14:dataValidation>
        <x14:dataValidation type="list" allowBlank="1" showInputMessage="1" showErrorMessage="1" xr:uid="{8DD68566-898B-4DFD-A44B-558D6EC5D8C5}">
          <x14:formula1>
            <xm:f>'Damodaran Data'!$N$6:$N$21</xm:f>
          </x14:formula1>
          <xm:sqref>C21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75F9E-37D0-4EAF-8338-A9D4B5FC4721}">
  <dimension ref="A1:I10"/>
  <sheetViews>
    <sheetView showGridLines="0" zoomScale="130" zoomScaleNormal="130" workbookViewId="0"/>
  </sheetViews>
  <sheetFormatPr defaultRowHeight="15"/>
  <cols>
    <col min="1" max="1" width="2.140625" bestFit="1" customWidth="1"/>
    <col min="2" max="2" width="39.85546875" bestFit="1" customWidth="1"/>
    <col min="3" max="3" width="17.85546875" bestFit="1" customWidth="1"/>
    <col min="4" max="4" width="47.28515625" bestFit="1" customWidth="1"/>
    <col min="5" max="5" width="16.5703125" bestFit="1" customWidth="1"/>
    <col min="6" max="6" width="13.7109375" bestFit="1" customWidth="1"/>
    <col min="7" max="7" width="20.28515625" bestFit="1" customWidth="1"/>
    <col min="8" max="8" width="22.7109375" bestFit="1" customWidth="1"/>
    <col min="9" max="9" width="20.7109375" bestFit="1" customWidth="1"/>
  </cols>
  <sheetData>
    <row r="1" spans="1:9" s="362" customFormat="1" ht="27" customHeight="1">
      <c r="A1"/>
      <c r="B1" s="401" t="s">
        <v>1106</v>
      </c>
      <c r="C1"/>
      <c r="D1"/>
      <c r="E1"/>
      <c r="F1"/>
      <c r="G1"/>
      <c r="H1"/>
      <c r="I1"/>
    </row>
    <row r="2" spans="1:9" ht="15.75" hidden="1">
      <c r="B2" s="571"/>
    </row>
    <row r="3" spans="1:9" ht="15.75">
      <c r="B3" s="571"/>
    </row>
    <row r="4" spans="1:9" ht="15.75">
      <c r="A4" t="s">
        <v>35</v>
      </c>
      <c r="B4" s="401" t="s">
        <v>1107</v>
      </c>
      <c r="C4" s="401" t="s">
        <v>1108</v>
      </c>
      <c r="D4" s="401" t="s">
        <v>1122</v>
      </c>
      <c r="E4" s="401" t="s">
        <v>1109</v>
      </c>
      <c r="F4" s="401" t="s">
        <v>1110</v>
      </c>
      <c r="G4" s="401" t="s">
        <v>1111</v>
      </c>
      <c r="H4" s="401" t="s">
        <v>1112</v>
      </c>
      <c r="I4" s="401" t="s">
        <v>1117</v>
      </c>
    </row>
    <row r="5" spans="1:9" ht="3.75" customHeight="1"/>
    <row r="6" spans="1:9">
      <c r="B6" t="s">
        <v>1113</v>
      </c>
      <c r="C6" s="54">
        <v>4587.7173172990742</v>
      </c>
      <c r="D6" s="54">
        <v>4186.6783172990745</v>
      </c>
      <c r="E6" s="54">
        <v>971.38708057983172</v>
      </c>
      <c r="F6" s="54">
        <v>884</v>
      </c>
      <c r="G6" s="54">
        <f>E6-F6</f>
        <v>87.387080579831718</v>
      </c>
      <c r="H6" s="196">
        <f>G6/F6</f>
        <v>9.8854163551845828E-2</v>
      </c>
      <c r="I6" s="196" t="s">
        <v>1120</v>
      </c>
    </row>
    <row r="7" spans="1:9">
      <c r="B7" t="s">
        <v>1114</v>
      </c>
      <c r="C7" s="54">
        <v>9089.6091316636484</v>
      </c>
      <c r="D7" s="54">
        <v>8688.5701316636478</v>
      </c>
      <c r="E7" s="54">
        <v>2015.9095433094312</v>
      </c>
      <c r="F7" s="54">
        <v>884</v>
      </c>
      <c r="G7" s="54">
        <f t="shared" ref="G7:G10" si="0">E7-F7</f>
        <v>1131.9095433094312</v>
      </c>
      <c r="H7" s="196">
        <f t="shared" ref="H7:H10" si="1">G7/F7</f>
        <v>1.2804406598522977</v>
      </c>
      <c r="I7" s="196" t="s">
        <v>1121</v>
      </c>
    </row>
    <row r="8" spans="1:9">
      <c r="B8" t="s">
        <v>1103</v>
      </c>
      <c r="C8" s="54">
        <v>7064.0053908355794</v>
      </c>
      <c r="D8" s="54">
        <v>6662.9663908355797</v>
      </c>
      <c r="E8" s="54">
        <v>1545.9318772240326</v>
      </c>
      <c r="F8" s="54">
        <v>884</v>
      </c>
      <c r="G8" s="54">
        <f t="shared" si="0"/>
        <v>661.93187722403263</v>
      </c>
      <c r="H8" s="196">
        <f t="shared" si="1"/>
        <v>0.74879171631677899</v>
      </c>
      <c r="I8" s="196" t="s">
        <v>1118</v>
      </c>
    </row>
    <row r="9" spans="1:9">
      <c r="B9" t="s">
        <v>1104</v>
      </c>
      <c r="C9" s="54">
        <v>2307.7093051804563</v>
      </c>
      <c r="D9" s="54">
        <v>1906.6703051804564</v>
      </c>
      <c r="E9" s="54">
        <v>442.38290143398063</v>
      </c>
      <c r="F9" s="54">
        <v>884</v>
      </c>
      <c r="G9" s="54">
        <f t="shared" si="0"/>
        <v>-441.61709856601937</v>
      </c>
      <c r="H9" s="196">
        <f t="shared" si="1"/>
        <v>-0.49956685358146985</v>
      </c>
      <c r="I9" s="196" t="s">
        <v>1119</v>
      </c>
    </row>
    <row r="10" spans="1:9">
      <c r="B10" t="s">
        <v>1115</v>
      </c>
      <c r="C10" s="54">
        <v>13122.327272727272</v>
      </c>
      <c r="D10" s="54">
        <v>12721.288272727272</v>
      </c>
      <c r="E10" s="54">
        <v>2951.5750052731491</v>
      </c>
      <c r="F10" s="54">
        <v>884</v>
      </c>
      <c r="G10" s="54">
        <f t="shared" si="0"/>
        <v>2067.5750052731491</v>
      </c>
      <c r="H10" s="196">
        <f t="shared" si="1"/>
        <v>2.3388857525714357</v>
      </c>
      <c r="I10" s="196" t="s">
        <v>1121</v>
      </c>
    </row>
  </sheetData>
  <sheetProtection algorithmName="SHA-512" hashValue="JS8GvmtrFpN/kzZKxEvg1DZMEa6unYaLwrAyJx21aumvQ/7PsqAPvF7LvhqjQ1gYrjvOxHI8D3cNXECVTm49/Q==" saltValue="OY3FBggoRtARlwz7A0+uYw==" spinCount="100000" sheet="1" objects="1" scenarios="1"/>
  <conditionalFormatting sqref="H6:I10">
    <cfRule type="colorScale" priority="1">
      <colorScale>
        <cfvo type="min"/>
        <cfvo type="percentile" val="50"/>
        <cfvo type="max"/>
        <color rgb="FFF8696B"/>
        <color rgb="FFFFEB84"/>
        <color rgb="FF63BE7B"/>
      </colorScale>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C26CC-5BB6-4CBF-A725-8169765F832F}">
  <dimension ref="B2:BD212"/>
  <sheetViews>
    <sheetView showGridLines="0" zoomScaleNormal="100" workbookViewId="0"/>
  </sheetViews>
  <sheetFormatPr defaultRowHeight="15"/>
  <cols>
    <col min="1" max="1" width="2.28515625" customWidth="1"/>
    <col min="2" max="2" width="38.5703125" customWidth="1"/>
    <col min="3" max="3" width="15" customWidth="1"/>
    <col min="4" max="4" width="12.42578125" customWidth="1"/>
    <col min="5" max="5" width="11.140625" customWidth="1"/>
    <col min="6" max="6" width="10.5703125" customWidth="1"/>
    <col min="7" max="7" width="10.5703125" bestFit="1" customWidth="1"/>
    <col min="8" max="8" width="15.28515625" customWidth="1"/>
    <col min="9" max="9" width="10.5703125" customWidth="1"/>
    <col min="10" max="10" width="7.42578125" customWidth="1"/>
    <col min="11" max="11" width="10.140625" bestFit="1" customWidth="1"/>
    <col min="12" max="14" width="7.42578125" customWidth="1"/>
    <col min="15" max="15" width="10.42578125" bestFit="1" customWidth="1"/>
    <col min="16" max="16" width="8.140625" bestFit="1" customWidth="1"/>
    <col min="17" max="17" width="7.42578125" customWidth="1"/>
    <col min="19" max="19" width="10.42578125" bestFit="1" customWidth="1"/>
    <col min="23" max="23" width="10.140625" bestFit="1" customWidth="1"/>
    <col min="27" max="27" width="10.140625" bestFit="1" customWidth="1"/>
    <col min="31" max="31" width="10.140625" bestFit="1" customWidth="1"/>
    <col min="35" max="35" width="10.140625" bestFit="1" customWidth="1"/>
    <col min="39" max="39" width="10.140625" bestFit="1" customWidth="1"/>
    <col min="40" max="40" width="8.140625" bestFit="1" customWidth="1"/>
  </cols>
  <sheetData>
    <row r="2" spans="2:19" ht="29.25" customHeight="1">
      <c r="B2" s="444" t="s">
        <v>934</v>
      </c>
      <c r="C2" s="436" t="s">
        <v>982</v>
      </c>
      <c r="D2" s="436" t="s">
        <v>930</v>
      </c>
      <c r="E2" s="436" t="s">
        <v>932</v>
      </c>
      <c r="F2" s="436" t="s">
        <v>967</v>
      </c>
      <c r="H2" s="436" t="s">
        <v>983</v>
      </c>
      <c r="I2" s="436" t="s">
        <v>977</v>
      </c>
      <c r="J2" s="436" t="s">
        <v>978</v>
      </c>
      <c r="K2" s="436" t="s">
        <v>968</v>
      </c>
    </row>
    <row r="3" spans="2:19">
      <c r="B3" s="39" t="s">
        <v>941</v>
      </c>
      <c r="C3" s="362">
        <f>I209</f>
        <v>1.1608709869687428</v>
      </c>
      <c r="D3" s="55">
        <f>H90</f>
        <v>4.947962603633798E-2</v>
      </c>
      <c r="E3" s="55">
        <f>H92</f>
        <v>4.5024077046548955E-2</v>
      </c>
      <c r="F3" s="123">
        <f t="shared" ref="F3:F11" si="0">C3/(1+(1-$M$3)*D3)</f>
        <v>1.119423650012682</v>
      </c>
      <c r="H3" s="362">
        <f>I79</f>
        <v>1.5204460685958194</v>
      </c>
      <c r="I3" s="55">
        <f>H94</f>
        <v>7.7913959440527245E-2</v>
      </c>
      <c r="J3" s="55">
        <f>H95</f>
        <v>7.0993764023222522E-2</v>
      </c>
      <c r="K3" s="123">
        <f t="shared" ref="K3:K11" si="1">H3/(1+(1-$M$3)*I3)</f>
        <v>1.4366831104374937</v>
      </c>
      <c r="M3" s="126">
        <v>0.25169999999999998</v>
      </c>
    </row>
    <row r="4" spans="2:19">
      <c r="B4" t="s">
        <v>487</v>
      </c>
      <c r="C4" s="362">
        <f>M209</f>
        <v>1.3114087234748923</v>
      </c>
      <c r="D4" s="55">
        <f>N90</f>
        <v>6.3605644526794356E-3</v>
      </c>
      <c r="E4" s="55">
        <f>N92</f>
        <v>6.2850461798652371E-3</v>
      </c>
      <c r="F4" s="123">
        <f t="shared" si="0"/>
        <v>1.305196496681426</v>
      </c>
      <c r="H4" s="362">
        <f>M79</f>
        <v>1.2939188995892519</v>
      </c>
      <c r="I4" s="55">
        <f>N94</f>
        <v>2.7700594210703562E-3</v>
      </c>
      <c r="J4" s="55">
        <f>N95</f>
        <v>2.7397430852655349E-3</v>
      </c>
      <c r="K4" s="123">
        <f t="shared" si="1"/>
        <v>1.2912423666180903</v>
      </c>
    </row>
    <row r="5" spans="2:19">
      <c r="B5" s="39" t="s">
        <v>490</v>
      </c>
      <c r="C5" s="362">
        <f>Q209</f>
        <v>1.2088705243254989</v>
      </c>
      <c r="D5" s="55">
        <f>T90</f>
        <v>1.7289794376719383</v>
      </c>
      <c r="E5" s="55">
        <f>T92</f>
        <v>0.63192770371010842</v>
      </c>
      <c r="F5" s="123">
        <f t="shared" si="0"/>
        <v>0.52701761023036486</v>
      </c>
      <c r="H5" s="362">
        <f>Q79</f>
        <v>1.1622768870550617</v>
      </c>
      <c r="I5" s="55">
        <f>T94</f>
        <v>1.3922632225281599</v>
      </c>
      <c r="J5" s="55">
        <f>T95</f>
        <v>0.57489838322599507</v>
      </c>
      <c r="K5" s="123">
        <f t="shared" si="1"/>
        <v>0.56923277791185989</v>
      </c>
    </row>
    <row r="6" spans="2:19">
      <c r="B6" s="39" t="s">
        <v>491</v>
      </c>
      <c r="C6" s="362">
        <f>U209</f>
        <v>1.2021750448510822</v>
      </c>
      <c r="D6" s="55">
        <f>Z90</f>
        <v>0.90038428868216092</v>
      </c>
      <c r="E6" s="55">
        <f>Z92</f>
        <v>0.47377701893716662</v>
      </c>
      <c r="F6" s="123">
        <f t="shared" si="0"/>
        <v>0.71824920840847539</v>
      </c>
      <c r="H6" s="362">
        <f>U79</f>
        <v>1.060229229889404</v>
      </c>
      <c r="I6" s="55">
        <f>Z94</f>
        <v>0.57330196241325693</v>
      </c>
      <c r="J6" s="55">
        <f>Z95</f>
        <v>0.56792780910685159</v>
      </c>
      <c r="K6" s="123">
        <f t="shared" si="1"/>
        <v>0.74193691463894829</v>
      </c>
    </row>
    <row r="7" spans="2:19">
      <c r="B7" t="s">
        <v>615</v>
      </c>
      <c r="C7" s="362">
        <f>Y209</f>
        <v>0.8001002080702424</v>
      </c>
      <c r="D7" s="55">
        <f>AF90</f>
        <v>0.40629279064089474</v>
      </c>
      <c r="E7" s="55">
        <f>AF92</f>
        <v>0.28854247212874323</v>
      </c>
      <c r="F7" s="123">
        <f t="shared" si="0"/>
        <v>0.61356018336164664</v>
      </c>
      <c r="H7" s="362">
        <f>Y79</f>
        <v>0.95707112099839564</v>
      </c>
      <c r="I7" s="55">
        <f>AF94</f>
        <v>0.43578461400528007</v>
      </c>
      <c r="J7" s="55">
        <f>AF95</f>
        <v>0.3029261586895528</v>
      </c>
      <c r="K7" s="123">
        <f t="shared" si="1"/>
        <v>0.72171995617610085</v>
      </c>
    </row>
    <row r="8" spans="2:19">
      <c r="B8" s="39" t="s">
        <v>616</v>
      </c>
      <c r="C8" s="362">
        <f>AC209</f>
        <v>1.3395297351511326</v>
      </c>
      <c r="D8" s="55">
        <f>AL90</f>
        <v>0.29796961942175904</v>
      </c>
      <c r="E8" s="55">
        <f>AL92</f>
        <v>0.22955411142961574</v>
      </c>
      <c r="F8" s="123">
        <f t="shared" si="0"/>
        <v>1.0953081477405615</v>
      </c>
      <c r="H8" s="362">
        <f>AC79</f>
        <v>0.71612139261690666</v>
      </c>
      <c r="I8" s="55">
        <f>AL94</f>
        <v>0.45162779981209694</v>
      </c>
      <c r="J8" s="55">
        <f>AL95</f>
        <v>0.29495320052899543</v>
      </c>
      <c r="K8" s="123">
        <f t="shared" si="1"/>
        <v>0.53523655046678986</v>
      </c>
    </row>
    <row r="9" spans="2:19">
      <c r="B9" s="39" t="s">
        <v>617</v>
      </c>
      <c r="C9" s="362">
        <f>AG209</f>
        <v>0.71670228833775596</v>
      </c>
      <c r="D9" s="55">
        <f>AR90</f>
        <v>0.44664082687338502</v>
      </c>
      <c r="E9" s="55">
        <f>AR92</f>
        <v>0.30868491459147973</v>
      </c>
      <c r="F9" s="123">
        <f t="shared" si="0"/>
        <v>0.53716896276514048</v>
      </c>
      <c r="H9" s="362">
        <f>AG79</f>
        <v>0.34179507033429618</v>
      </c>
      <c r="I9" s="55">
        <f>AR94</f>
        <v>0.29530943448474484</v>
      </c>
      <c r="J9" s="55">
        <f>AR95</f>
        <v>0.21378119453546479</v>
      </c>
      <c r="K9" s="123">
        <f t="shared" si="1"/>
        <v>0.27993501645117225</v>
      </c>
    </row>
    <row r="10" spans="2:19">
      <c r="B10" t="s">
        <v>618</v>
      </c>
      <c r="C10" s="362">
        <f>AK209</f>
        <v>1.0388115721866751</v>
      </c>
      <c r="D10" s="55">
        <f>AX90</f>
        <v>0.14739260878745156</v>
      </c>
      <c r="E10" s="55">
        <f>AX92</f>
        <v>0.12333011341275804</v>
      </c>
      <c r="F10" s="123">
        <f t="shared" si="0"/>
        <v>0.93561856219587469</v>
      </c>
      <c r="H10" s="362">
        <f>AK79</f>
        <v>1.5441466820381691</v>
      </c>
      <c r="I10" s="55">
        <f>AX94</f>
        <v>0.13169868288043465</v>
      </c>
      <c r="J10" s="55">
        <f>AX95</f>
        <v>0.11027596639244659</v>
      </c>
      <c r="K10" s="123">
        <f t="shared" si="1"/>
        <v>1.4056224178959014</v>
      </c>
    </row>
    <row r="11" spans="2:19">
      <c r="B11" s="39" t="s">
        <v>971</v>
      </c>
      <c r="C11" s="211">
        <f>AO209</f>
        <v>1.6715682412168176</v>
      </c>
      <c r="D11" s="474">
        <f>BD90</f>
        <v>0.53978853493588663</v>
      </c>
      <c r="E11" s="474">
        <f>BD92</f>
        <v>0.33595745268364402</v>
      </c>
      <c r="F11" s="441">
        <f t="shared" si="0"/>
        <v>1.190640323939151</v>
      </c>
      <c r="H11" s="211">
        <f>AO79</f>
        <v>1.5680077616860517</v>
      </c>
      <c r="I11" s="474">
        <f>BD94</f>
        <v>0.97148971739052181</v>
      </c>
      <c r="J11" s="474">
        <f>BD95</f>
        <v>0.46285375621116709</v>
      </c>
      <c r="K11" s="441">
        <f t="shared" si="1"/>
        <v>0.90795532955480862</v>
      </c>
    </row>
    <row r="13" spans="2:19">
      <c r="D13" s="166" t="s">
        <v>952</v>
      </c>
      <c r="E13" s="166" t="s">
        <v>953</v>
      </c>
    </row>
    <row r="14" spans="2:19">
      <c r="B14" s="166" t="s">
        <v>936</v>
      </c>
      <c r="D14" s="166" t="s">
        <v>954</v>
      </c>
      <c r="E14" s="166" t="s">
        <v>955</v>
      </c>
    </row>
    <row r="16" spans="2:19">
      <c r="B16" t="s">
        <v>935</v>
      </c>
      <c r="C16" t="s">
        <v>935</v>
      </c>
      <c r="G16" t="s">
        <v>941</v>
      </c>
      <c r="K16" t="s">
        <v>487</v>
      </c>
      <c r="O16" t="s">
        <v>490</v>
      </c>
      <c r="S16" t="s">
        <v>945</v>
      </c>
    </row>
    <row r="17" spans="3:41">
      <c r="C17" s="166" t="s">
        <v>937</v>
      </c>
      <c r="D17" s="166" t="s">
        <v>938</v>
      </c>
      <c r="E17" s="166" t="s">
        <v>939</v>
      </c>
      <c r="G17" s="166" t="s">
        <v>937</v>
      </c>
      <c r="H17" s="166" t="s">
        <v>938</v>
      </c>
      <c r="I17" s="166" t="s">
        <v>942</v>
      </c>
      <c r="K17" s="166" t="s">
        <v>937</v>
      </c>
      <c r="L17" s="166" t="s">
        <v>938</v>
      </c>
      <c r="M17" s="166" t="s">
        <v>943</v>
      </c>
      <c r="O17" s="166" t="s">
        <v>937</v>
      </c>
      <c r="P17" s="166" t="s">
        <v>938</v>
      </c>
      <c r="Q17" s="166" t="s">
        <v>944</v>
      </c>
      <c r="S17" s="166" t="s">
        <v>937</v>
      </c>
      <c r="T17" s="166" t="s">
        <v>938</v>
      </c>
      <c r="U17" s="166" t="s">
        <v>945</v>
      </c>
      <c r="W17" s="166" t="s">
        <v>937</v>
      </c>
      <c r="X17" s="166" t="s">
        <v>938</v>
      </c>
      <c r="Y17" s="166" t="s">
        <v>946</v>
      </c>
      <c r="AA17" s="166" t="s">
        <v>937</v>
      </c>
      <c r="AB17" s="166" t="s">
        <v>938</v>
      </c>
      <c r="AC17" s="166" t="s">
        <v>947</v>
      </c>
      <c r="AE17" s="166" t="s">
        <v>937</v>
      </c>
      <c r="AF17" s="166" t="s">
        <v>938</v>
      </c>
      <c r="AG17" s="166" t="s">
        <v>948</v>
      </c>
      <c r="AI17" s="166" t="s">
        <v>937</v>
      </c>
      <c r="AJ17" s="166" t="s">
        <v>938</v>
      </c>
      <c r="AK17" s="166" t="s">
        <v>949</v>
      </c>
      <c r="AM17" s="166" t="s">
        <v>937</v>
      </c>
      <c r="AN17" s="166" t="s">
        <v>938</v>
      </c>
      <c r="AO17" s="166" t="s">
        <v>210</v>
      </c>
    </row>
    <row r="18" spans="3:41">
      <c r="C18" s="132">
        <v>46054</v>
      </c>
      <c r="D18">
        <v>24964.55</v>
      </c>
      <c r="G18" s="132">
        <v>46054</v>
      </c>
      <c r="H18">
        <v>439.5</v>
      </c>
      <c r="K18" s="132">
        <v>46054</v>
      </c>
      <c r="L18">
        <v>464.4</v>
      </c>
      <c r="O18" s="132">
        <v>46054</v>
      </c>
      <c r="P18" s="197">
        <v>2758.2</v>
      </c>
      <c r="S18" s="132">
        <v>46054</v>
      </c>
      <c r="T18">
        <v>249.35</v>
      </c>
      <c r="W18" s="132">
        <v>46054</v>
      </c>
      <c r="X18" s="197">
        <v>2771.5</v>
      </c>
      <c r="AA18" s="132">
        <v>46054</v>
      </c>
      <c r="AB18">
        <v>85.09</v>
      </c>
      <c r="AE18" s="132">
        <v>46054</v>
      </c>
      <c r="AF18">
        <v>19.8</v>
      </c>
      <c r="AI18" s="132">
        <v>46054</v>
      </c>
      <c r="AJ18">
        <v>1604.5</v>
      </c>
      <c r="AM18" s="132">
        <v>46054</v>
      </c>
      <c r="AN18">
        <v>922.8</v>
      </c>
    </row>
    <row r="19" spans="3:41">
      <c r="C19" s="132">
        <v>46023</v>
      </c>
      <c r="D19">
        <v>25320.65</v>
      </c>
      <c r="E19" s="55">
        <f>D19/D18-1</f>
        <v>1.4264226673422975E-2</v>
      </c>
      <c r="G19" s="132">
        <v>46023</v>
      </c>
      <c r="H19">
        <v>455.95</v>
      </c>
      <c r="I19" s="55">
        <f>H19/H18-1</f>
        <v>3.7428896473264972E-2</v>
      </c>
      <c r="K19" s="132">
        <v>46023</v>
      </c>
      <c r="L19">
        <v>466.8</v>
      </c>
      <c r="M19" s="55">
        <f>L19/L18-1</f>
        <v>5.1679586563309066E-3</v>
      </c>
      <c r="O19" s="132">
        <v>46023</v>
      </c>
      <c r="P19" s="197">
        <v>2819</v>
      </c>
      <c r="Q19" s="55">
        <f>P19/P18-1</f>
        <v>2.2043361612646084E-2</v>
      </c>
      <c r="S19" s="132">
        <v>46023</v>
      </c>
      <c r="T19">
        <v>260.25</v>
      </c>
      <c r="U19" s="55">
        <f>T19/T18-1</f>
        <v>4.3713655504311166E-2</v>
      </c>
      <c r="W19" s="132">
        <v>46023</v>
      </c>
      <c r="X19" s="197">
        <v>2816.3</v>
      </c>
      <c r="Y19" s="55">
        <f>X19/X18-1</f>
        <v>1.6164531841962981E-2</v>
      </c>
      <c r="AA19" s="132">
        <v>46023</v>
      </c>
      <c r="AB19">
        <v>87.2</v>
      </c>
      <c r="AC19" s="55">
        <f>AB19/AB18-1</f>
        <v>2.4797273475144044E-2</v>
      </c>
      <c r="AE19" s="132">
        <v>46023</v>
      </c>
      <c r="AF19">
        <v>20.14</v>
      </c>
      <c r="AG19" s="55">
        <f>AF19/AF18-1</f>
        <v>1.7171717171717171E-2</v>
      </c>
      <c r="AI19" s="132">
        <v>46023</v>
      </c>
      <c r="AJ19">
        <v>1642.5</v>
      </c>
      <c r="AK19" s="55">
        <f>AJ19/AJ18-1</f>
        <v>2.3683390464318999E-2</v>
      </c>
      <c r="AM19" s="132">
        <v>46023</v>
      </c>
      <c r="AN19" s="197">
        <v>1043.0999999999999</v>
      </c>
      <c r="AO19" s="55">
        <f>AN19/AN18-1</f>
        <v>0.13036410923276986</v>
      </c>
    </row>
    <row r="20" spans="3:41">
      <c r="C20" s="132">
        <v>45992</v>
      </c>
      <c r="D20">
        <v>26129.599999999999</v>
      </c>
      <c r="E20" s="55">
        <f>D20/D19-1</f>
        <v>3.1948231976667074E-2</v>
      </c>
      <c r="G20" s="132">
        <v>45992</v>
      </c>
      <c r="H20">
        <v>504.25</v>
      </c>
      <c r="I20" s="55">
        <f t="shared" ref="I20:I77" si="2">H20/H19-1</f>
        <v>0.10593266805570778</v>
      </c>
      <c r="K20" s="132">
        <v>45992</v>
      </c>
      <c r="L20">
        <v>493.75</v>
      </c>
      <c r="M20" s="55">
        <f t="shared" ref="M20:M77" si="3">L20/L19-1</f>
        <v>5.7733504712939032E-2</v>
      </c>
      <c r="O20" s="132">
        <v>45992</v>
      </c>
      <c r="P20" s="197">
        <v>2829</v>
      </c>
      <c r="Q20" s="55">
        <f t="shared" ref="Q20:Q76" si="4">P20/P19-1</f>
        <v>3.5473572188720048E-3</v>
      </c>
      <c r="S20" s="132">
        <v>45992</v>
      </c>
      <c r="T20">
        <v>261.2</v>
      </c>
      <c r="U20" s="55">
        <f t="shared" ref="U20:U70" si="5">T20/T19-1</f>
        <v>3.6503362151776297E-3</v>
      </c>
      <c r="W20" s="132">
        <v>45992</v>
      </c>
      <c r="X20" s="197">
        <v>3075</v>
      </c>
      <c r="Y20" s="55">
        <f t="shared" ref="Y20:Y77" si="6">X20/X19-1</f>
        <v>9.1858111706849321E-2</v>
      </c>
      <c r="AA20" s="132">
        <v>45992</v>
      </c>
      <c r="AB20">
        <v>111.4</v>
      </c>
      <c r="AC20" s="55">
        <f t="shared" ref="AC20:AC77" si="7">AB20/AB19-1</f>
        <v>0.27752293577981657</v>
      </c>
      <c r="AE20" s="132">
        <v>45992</v>
      </c>
      <c r="AF20">
        <v>23.95</v>
      </c>
      <c r="AG20" s="55">
        <f t="shared" ref="AG20:AG77" si="8">AF20/AF19-1</f>
        <v>0.18917576961271099</v>
      </c>
      <c r="AI20" s="132">
        <v>45992</v>
      </c>
      <c r="AJ20">
        <v>1731.7</v>
      </c>
      <c r="AK20" s="55">
        <f t="shared" ref="AK20:AK77" si="9">AJ20/AJ19-1</f>
        <v>5.4307458143074694E-2</v>
      </c>
      <c r="AM20" s="132">
        <v>45992</v>
      </c>
      <c r="AN20" s="197">
        <v>1220.0999999999999</v>
      </c>
      <c r="AO20" s="55">
        <f t="shared" ref="AO20:AO71" si="10">AN20/AN19-1</f>
        <v>0.16968651136036805</v>
      </c>
    </row>
    <row r="21" spans="3:41">
      <c r="C21" s="132">
        <v>45962</v>
      </c>
      <c r="D21">
        <v>26202.95</v>
      </c>
      <c r="E21" s="55">
        <f t="shared" ref="E21:E77" si="11">D21/D20-1</f>
        <v>2.8071612271141078E-3</v>
      </c>
      <c r="G21" s="132">
        <v>45962</v>
      </c>
      <c r="H21">
        <v>530.5</v>
      </c>
      <c r="I21" s="55">
        <f t="shared" si="2"/>
        <v>5.2057511155180869E-2</v>
      </c>
      <c r="K21" s="132">
        <v>45962</v>
      </c>
      <c r="L21">
        <v>497.95</v>
      </c>
      <c r="M21" s="55">
        <f t="shared" si="3"/>
        <v>8.506329113924016E-3</v>
      </c>
      <c r="O21" s="132">
        <v>45962</v>
      </c>
      <c r="P21" s="197">
        <v>2739.4</v>
      </c>
      <c r="Q21" s="55">
        <f t="shared" si="4"/>
        <v>-3.1671968893601909E-2</v>
      </c>
      <c r="S21" s="132">
        <v>45962</v>
      </c>
      <c r="T21">
        <v>284.2</v>
      </c>
      <c r="U21" s="55">
        <f t="shared" si="5"/>
        <v>8.8055130168453344E-2</v>
      </c>
      <c r="W21" s="132">
        <v>45962</v>
      </c>
      <c r="X21" s="197">
        <v>2927.3</v>
      </c>
      <c r="Y21" s="55">
        <f t="shared" si="6"/>
        <v>-4.8032520325203221E-2</v>
      </c>
      <c r="AA21" s="132">
        <v>45962</v>
      </c>
      <c r="AB21">
        <v>114.15</v>
      </c>
      <c r="AC21" s="55">
        <f t="shared" si="7"/>
        <v>2.4685816876122146E-2</v>
      </c>
      <c r="AE21" s="132">
        <v>45962</v>
      </c>
      <c r="AF21">
        <v>25.52</v>
      </c>
      <c r="AG21" s="55">
        <f t="shared" si="8"/>
        <v>6.5553235908141883E-2</v>
      </c>
      <c r="AI21" s="132">
        <v>45962</v>
      </c>
      <c r="AJ21">
        <v>1558.6</v>
      </c>
      <c r="AK21" s="55">
        <f t="shared" si="9"/>
        <v>-9.9959577293988633E-2</v>
      </c>
      <c r="AM21" s="132">
        <v>45962</v>
      </c>
      <c r="AN21" s="197">
        <v>1511.7</v>
      </c>
      <c r="AO21" s="55">
        <f t="shared" si="10"/>
        <v>0.23899680354069353</v>
      </c>
    </row>
    <row r="22" spans="3:41">
      <c r="C22" s="132">
        <v>45931</v>
      </c>
      <c r="D22">
        <v>25722.1</v>
      </c>
      <c r="E22" s="55">
        <f t="shared" si="11"/>
        <v>-1.835098719800643E-2</v>
      </c>
      <c r="G22" s="132">
        <v>45931</v>
      </c>
      <c r="H22">
        <v>572.04999999999995</v>
      </c>
      <c r="I22" s="55">
        <f t="shared" si="2"/>
        <v>7.8322337417530585E-2</v>
      </c>
      <c r="K22" s="132">
        <v>45931</v>
      </c>
      <c r="L22">
        <v>502.95</v>
      </c>
      <c r="M22" s="55">
        <f t="shared" si="3"/>
        <v>1.0041168792047417E-2</v>
      </c>
      <c r="O22" s="132">
        <v>45931</v>
      </c>
      <c r="P22" s="197">
        <v>2891.7</v>
      </c>
      <c r="Q22" s="55">
        <f t="shared" si="4"/>
        <v>5.5596115937796453E-2</v>
      </c>
      <c r="S22" s="132">
        <v>45931</v>
      </c>
      <c r="T22">
        <v>398.85</v>
      </c>
      <c r="U22" s="55">
        <f t="shared" si="5"/>
        <v>0.4034130893736807</v>
      </c>
      <c r="W22" s="132">
        <v>45931</v>
      </c>
      <c r="X22" s="197">
        <v>2930.5</v>
      </c>
      <c r="Y22" s="55">
        <f t="shared" si="6"/>
        <v>1.093157517165988E-3</v>
      </c>
      <c r="AA22" s="132">
        <v>45931</v>
      </c>
      <c r="AB22">
        <v>120.55</v>
      </c>
      <c r="AC22" s="55">
        <f>AB22/AB21-1</f>
        <v>5.6066579062636901E-2</v>
      </c>
      <c r="AE22" s="132">
        <v>45931</v>
      </c>
      <c r="AF22">
        <v>23.55</v>
      </c>
      <c r="AG22" s="55">
        <f t="shared" si="8"/>
        <v>-7.719435736677116E-2</v>
      </c>
      <c r="AI22" s="132">
        <v>45931</v>
      </c>
      <c r="AJ22">
        <v>1728.4</v>
      </c>
      <c r="AK22" s="55">
        <f t="shared" si="9"/>
        <v>0.10894392403438991</v>
      </c>
      <c r="AM22" s="132">
        <v>45931</v>
      </c>
      <c r="AN22" s="197">
        <v>1689.7</v>
      </c>
      <c r="AO22" s="55">
        <f t="shared" si="10"/>
        <v>0.11774823046900851</v>
      </c>
    </row>
    <row r="23" spans="3:41">
      <c r="C23" s="132">
        <v>45901</v>
      </c>
      <c r="D23">
        <v>24611.1</v>
      </c>
      <c r="E23" s="55">
        <f t="shared" si="11"/>
        <v>-4.3192429856038217E-2</v>
      </c>
      <c r="G23" s="132">
        <v>45901</v>
      </c>
      <c r="H23">
        <v>546.54999999999995</v>
      </c>
      <c r="I23" s="55">
        <f t="shared" si="2"/>
        <v>-4.4576523031203519E-2</v>
      </c>
      <c r="K23" s="132">
        <v>45901</v>
      </c>
      <c r="L23">
        <v>491</v>
      </c>
      <c r="M23" s="55">
        <f t="shared" si="3"/>
        <v>-2.375981707923247E-2</v>
      </c>
      <c r="O23" s="132">
        <v>45901</v>
      </c>
      <c r="P23" s="197">
        <v>2756.9</v>
      </c>
      <c r="Q23" s="55">
        <f t="shared" si="4"/>
        <v>-4.6616177335131459E-2</v>
      </c>
      <c r="S23" s="132">
        <v>45901</v>
      </c>
      <c r="T23">
        <v>388.9</v>
      </c>
      <c r="U23" s="55">
        <f t="shared" si="5"/>
        <v>-2.4946721825247709E-2</v>
      </c>
      <c r="W23" s="132">
        <v>45901</v>
      </c>
      <c r="X23" s="197">
        <v>2823.6</v>
      </c>
      <c r="Y23" s="55">
        <f t="shared" si="6"/>
        <v>-3.6478416652448442E-2</v>
      </c>
      <c r="AA23" s="132">
        <v>45901</v>
      </c>
      <c r="AB23">
        <v>119.05</v>
      </c>
      <c r="AC23" s="55">
        <f t="shared" si="7"/>
        <v>-1.2442969722107011E-2</v>
      </c>
      <c r="AE23" s="132">
        <v>45901</v>
      </c>
      <c r="AF23">
        <v>23.76</v>
      </c>
      <c r="AG23" s="55">
        <f t="shared" si="8"/>
        <v>8.9171974522292974E-3</v>
      </c>
      <c r="AI23" s="132">
        <v>45901</v>
      </c>
      <c r="AJ23">
        <v>1835.1</v>
      </c>
      <c r="AK23" s="55">
        <f t="shared" si="9"/>
        <v>6.1733395047442574E-2</v>
      </c>
      <c r="AM23" s="132">
        <v>45901</v>
      </c>
      <c r="AN23" s="197">
        <v>1691.1</v>
      </c>
      <c r="AO23" s="55">
        <f t="shared" si="10"/>
        <v>8.2854944664734198E-4</v>
      </c>
    </row>
    <row r="24" spans="3:41">
      <c r="C24" s="132">
        <v>45870</v>
      </c>
      <c r="D24">
        <v>24426.85</v>
      </c>
      <c r="E24" s="55">
        <f t="shared" si="11"/>
        <v>-7.4864593618326758E-3</v>
      </c>
      <c r="G24" s="132">
        <v>45870</v>
      </c>
      <c r="H24">
        <v>564.29999999999995</v>
      </c>
      <c r="I24" s="55">
        <f t="shared" si="2"/>
        <v>3.2476443143353739E-2</v>
      </c>
      <c r="K24" s="132">
        <v>45870</v>
      </c>
      <c r="L24">
        <v>522.75</v>
      </c>
      <c r="M24" s="55">
        <f t="shared" si="3"/>
        <v>6.4663951120162988E-2</v>
      </c>
      <c r="O24" s="132">
        <v>45870</v>
      </c>
      <c r="P24" s="197">
        <v>2775.6</v>
      </c>
      <c r="Q24" s="55">
        <f t="shared" si="4"/>
        <v>6.7829808843264949E-3</v>
      </c>
      <c r="S24" s="132">
        <v>45870</v>
      </c>
      <c r="T24">
        <v>427.3</v>
      </c>
      <c r="U24" s="55">
        <f t="shared" si="5"/>
        <v>9.8740035998971631E-2</v>
      </c>
      <c r="W24" s="132">
        <v>45870</v>
      </c>
      <c r="X24" s="197">
        <v>2836.4</v>
      </c>
      <c r="Y24" s="55">
        <f t="shared" si="6"/>
        <v>4.5332200028334046E-3</v>
      </c>
      <c r="AA24" s="132">
        <v>45870</v>
      </c>
      <c r="AB24">
        <v>125.6</v>
      </c>
      <c r="AC24" s="55">
        <f t="shared" si="7"/>
        <v>5.5018899622007567E-2</v>
      </c>
      <c r="AE24" s="132">
        <v>45870</v>
      </c>
      <c r="AF24">
        <v>25.67</v>
      </c>
      <c r="AG24" s="55">
        <f t="shared" si="8"/>
        <v>8.0387205387205452E-2</v>
      </c>
      <c r="AI24" s="132">
        <v>45870</v>
      </c>
      <c r="AJ24">
        <v>1787.9</v>
      </c>
      <c r="AK24" s="55">
        <f t="shared" si="9"/>
        <v>-2.5720669173341926E-2</v>
      </c>
      <c r="AM24" s="132">
        <v>45870</v>
      </c>
      <c r="AN24" s="197">
        <v>1811.4</v>
      </c>
      <c r="AO24" s="55">
        <f t="shared" si="10"/>
        <v>7.1137129678907396E-2</v>
      </c>
    </row>
    <row r="25" spans="3:41">
      <c r="C25" s="132">
        <v>45839</v>
      </c>
      <c r="D25">
        <v>24768.35</v>
      </c>
      <c r="E25" s="55">
        <f t="shared" si="11"/>
        <v>1.3980517340549392E-2</v>
      </c>
      <c r="G25" s="132">
        <v>45839</v>
      </c>
      <c r="H25">
        <v>581.6</v>
      </c>
      <c r="I25" s="55">
        <f t="shared" si="2"/>
        <v>3.0657451710083494E-2</v>
      </c>
      <c r="K25" s="132">
        <v>45839</v>
      </c>
      <c r="L25">
        <v>540.79999999999995</v>
      </c>
      <c r="M25" s="55">
        <f t="shared" si="3"/>
        <v>3.4528933524629268E-2</v>
      </c>
      <c r="O25" s="132">
        <v>45839</v>
      </c>
      <c r="P25" s="197">
        <v>2746.4</v>
      </c>
      <c r="Q25" s="55">
        <f t="shared" si="4"/>
        <v>-1.0520247874333366E-2</v>
      </c>
      <c r="S25" s="132">
        <v>45839</v>
      </c>
      <c r="T25">
        <v>416.85</v>
      </c>
      <c r="U25" s="55">
        <f t="shared" si="5"/>
        <v>-2.4455885794523735E-2</v>
      </c>
      <c r="W25" s="132">
        <v>45839</v>
      </c>
      <c r="X25" s="197">
        <v>3040.8</v>
      </c>
      <c r="Y25" s="55">
        <f t="shared" si="6"/>
        <v>7.2063178677196582E-2</v>
      </c>
      <c r="AA25" s="132">
        <v>45839</v>
      </c>
      <c r="AB25">
        <v>115.43</v>
      </c>
      <c r="AC25" s="55">
        <f t="shared" si="7"/>
        <v>-8.0971337579617719E-2</v>
      </c>
      <c r="AE25" s="132">
        <v>45839</v>
      </c>
      <c r="AF25">
        <v>28.06</v>
      </c>
      <c r="AG25" s="55">
        <f t="shared" si="8"/>
        <v>9.3104791585508329E-2</v>
      </c>
      <c r="AI25" s="132">
        <v>45839</v>
      </c>
      <c r="AJ25">
        <v>1840.4</v>
      </c>
      <c r="AK25" s="55">
        <f t="shared" si="9"/>
        <v>2.9364058392527648E-2</v>
      </c>
      <c r="AM25" s="132">
        <v>45839</v>
      </c>
      <c r="AN25" s="197">
        <v>2019.2</v>
      </c>
      <c r="AO25" s="55">
        <f t="shared" si="10"/>
        <v>0.11471789775863961</v>
      </c>
    </row>
    <row r="26" spans="3:41">
      <c r="C26" s="132">
        <v>45809</v>
      </c>
      <c r="D26">
        <v>25517.05</v>
      </c>
      <c r="E26" s="55">
        <f t="shared" si="11"/>
        <v>3.0228093514505394E-2</v>
      </c>
      <c r="G26" s="132">
        <v>45809</v>
      </c>
      <c r="H26">
        <v>599.65</v>
      </c>
      <c r="I26" s="55">
        <f t="shared" si="2"/>
        <v>3.1035075653369937E-2</v>
      </c>
      <c r="K26" s="132">
        <v>45809</v>
      </c>
      <c r="L26">
        <v>553</v>
      </c>
      <c r="M26" s="55">
        <f t="shared" si="3"/>
        <v>2.255917159763321E-2</v>
      </c>
      <c r="O26" s="132">
        <v>45809</v>
      </c>
      <c r="P26" s="197">
        <v>2844.5</v>
      </c>
      <c r="Q26" s="55">
        <f t="shared" si="4"/>
        <v>3.5719487328866872E-2</v>
      </c>
      <c r="S26" s="132">
        <v>45809</v>
      </c>
      <c r="T26">
        <v>439.05</v>
      </c>
      <c r="U26" s="55">
        <f t="shared" si="5"/>
        <v>5.3256567110471442E-2</v>
      </c>
      <c r="W26" s="132">
        <v>45809</v>
      </c>
      <c r="X26" s="197">
        <v>3242.1</v>
      </c>
      <c r="Y26" s="55">
        <f t="shared" si="6"/>
        <v>6.6199684293606786E-2</v>
      </c>
      <c r="AA26" s="132">
        <v>45809</v>
      </c>
      <c r="AB26">
        <v>98.25</v>
      </c>
      <c r="AC26" s="55">
        <f t="shared" si="7"/>
        <v>-0.14883479164861824</v>
      </c>
      <c r="AE26" s="132">
        <v>45809</v>
      </c>
      <c r="AF26">
        <v>25.81</v>
      </c>
      <c r="AG26" s="55">
        <f t="shared" si="8"/>
        <v>-8.0185317177476789E-2</v>
      </c>
      <c r="AI26" s="132">
        <v>45809</v>
      </c>
      <c r="AJ26">
        <v>1987.1</v>
      </c>
      <c r="AK26" s="55">
        <f t="shared" si="9"/>
        <v>7.971093240599858E-2</v>
      </c>
      <c r="AM26" s="132">
        <v>45809</v>
      </c>
      <c r="AN26" s="197">
        <v>1808.2</v>
      </c>
      <c r="AO26" s="55">
        <f t="shared" si="10"/>
        <v>-0.10449683042789226</v>
      </c>
    </row>
    <row r="27" spans="3:41">
      <c r="C27" s="132">
        <v>45778</v>
      </c>
      <c r="D27">
        <v>24750.7</v>
      </c>
      <c r="E27" s="55">
        <f t="shared" si="11"/>
        <v>-3.0032860381587922E-2</v>
      </c>
      <c r="G27" s="132">
        <v>45778</v>
      </c>
      <c r="H27">
        <v>574</v>
      </c>
      <c r="I27" s="55">
        <f t="shared" si="2"/>
        <v>-4.2774952055365634E-2</v>
      </c>
      <c r="K27" s="132">
        <v>45778</v>
      </c>
      <c r="L27">
        <v>535.45000000000005</v>
      </c>
      <c r="M27" s="55">
        <f t="shared" si="3"/>
        <v>-3.1735985533453803E-2</v>
      </c>
      <c r="O27" s="132">
        <v>45778</v>
      </c>
      <c r="P27" s="197">
        <v>2545.8000000000002</v>
      </c>
      <c r="Q27" s="55">
        <f t="shared" si="4"/>
        <v>-0.10500966777992615</v>
      </c>
      <c r="S27" s="132">
        <v>45778</v>
      </c>
      <c r="T27">
        <v>424.45</v>
      </c>
      <c r="U27" s="55">
        <f t="shared" si="5"/>
        <v>-3.3253615761302813E-2</v>
      </c>
      <c r="W27" s="132">
        <v>45778</v>
      </c>
      <c r="X27" s="197">
        <v>2861</v>
      </c>
      <c r="Y27" s="55">
        <f t="shared" si="6"/>
        <v>-0.11754726874556609</v>
      </c>
      <c r="AA27" s="132">
        <v>45778</v>
      </c>
      <c r="AB27">
        <v>100.6</v>
      </c>
      <c r="AC27" s="55">
        <f t="shared" si="7"/>
        <v>2.3918575063613279E-2</v>
      </c>
      <c r="AE27" s="132">
        <v>45778</v>
      </c>
      <c r="AF27">
        <v>25.99</v>
      </c>
      <c r="AG27" s="55">
        <f t="shared" si="8"/>
        <v>6.9740410693528432E-3</v>
      </c>
      <c r="AI27" s="132">
        <v>45778</v>
      </c>
      <c r="AJ27">
        <v>2027.3</v>
      </c>
      <c r="AK27" s="55">
        <f t="shared" si="9"/>
        <v>2.0230486638820322E-2</v>
      </c>
      <c r="AM27" s="132">
        <v>45778</v>
      </c>
      <c r="AN27" s="197">
        <v>1780.1</v>
      </c>
      <c r="AO27" s="55">
        <f t="shared" si="10"/>
        <v>-1.5540316336688509E-2</v>
      </c>
    </row>
    <row r="28" spans="3:41">
      <c r="C28" s="132">
        <v>45748</v>
      </c>
      <c r="D28">
        <v>24334.2</v>
      </c>
      <c r="E28" s="55">
        <f t="shared" si="11"/>
        <v>-1.682780689031016E-2</v>
      </c>
      <c r="G28" s="132">
        <v>45748</v>
      </c>
      <c r="H28">
        <v>605.70000000000005</v>
      </c>
      <c r="I28" s="55">
        <f t="shared" si="2"/>
        <v>5.5226480836237046E-2</v>
      </c>
      <c r="K28" s="132">
        <v>45748</v>
      </c>
      <c r="L28">
        <v>486.35</v>
      </c>
      <c r="M28" s="55">
        <f t="shared" si="3"/>
        <v>-9.1698571295172338E-2</v>
      </c>
      <c r="O28" s="132">
        <v>45748</v>
      </c>
      <c r="P28" s="197">
        <v>2737.5</v>
      </c>
      <c r="Q28" s="55">
        <f t="shared" si="4"/>
        <v>7.530049493283042E-2</v>
      </c>
      <c r="S28" s="132">
        <v>45748</v>
      </c>
      <c r="T28">
        <v>410.65</v>
      </c>
      <c r="U28" s="55">
        <f t="shared" si="5"/>
        <v>-3.2512663446813583E-2</v>
      </c>
      <c r="W28" s="132">
        <v>45748</v>
      </c>
      <c r="X28" s="197">
        <v>3008.9</v>
      </c>
      <c r="Y28" s="55">
        <f t="shared" si="6"/>
        <v>5.1695211464522828E-2</v>
      </c>
      <c r="AA28" s="132">
        <v>45748</v>
      </c>
      <c r="AB28">
        <v>98.93</v>
      </c>
      <c r="AC28" s="55">
        <f t="shared" si="7"/>
        <v>-1.6600397614313978E-2</v>
      </c>
      <c r="AE28" s="132">
        <v>45748</v>
      </c>
      <c r="AF28">
        <v>25.87</v>
      </c>
      <c r="AG28" s="55">
        <f t="shared" si="8"/>
        <v>-4.6171604463254301E-3</v>
      </c>
      <c r="AI28" s="132">
        <v>45748</v>
      </c>
      <c r="AJ28">
        <v>1935.6</v>
      </c>
      <c r="AK28" s="55">
        <f t="shared" si="9"/>
        <v>-4.5232575346520032E-2</v>
      </c>
      <c r="AM28" s="132">
        <v>45748</v>
      </c>
      <c r="AN28" s="197">
        <v>1735.2</v>
      </c>
      <c r="AO28" s="55">
        <f t="shared" si="10"/>
        <v>-2.5223302061681885E-2</v>
      </c>
    </row>
    <row r="29" spans="3:41">
      <c r="C29" s="132">
        <v>45717</v>
      </c>
      <c r="D29">
        <v>23519.35</v>
      </c>
      <c r="E29" s="55">
        <f t="shared" si="11"/>
        <v>-3.3485793656664375E-2</v>
      </c>
      <c r="G29" s="132">
        <v>45717</v>
      </c>
      <c r="H29">
        <v>579.20000000000005</v>
      </c>
      <c r="I29" s="55">
        <f t="shared" si="2"/>
        <v>-4.3751031863959011E-2</v>
      </c>
      <c r="K29" s="132">
        <v>45717</v>
      </c>
      <c r="L29">
        <v>496.45</v>
      </c>
      <c r="M29" s="55">
        <f t="shared" si="3"/>
        <v>2.0766937390767959E-2</v>
      </c>
      <c r="O29" s="132">
        <v>45717</v>
      </c>
      <c r="P29" s="197">
        <v>2611.15</v>
      </c>
      <c r="Q29" s="55">
        <f t="shared" si="4"/>
        <v>-4.61552511415525E-2</v>
      </c>
      <c r="S29" s="132">
        <v>45717</v>
      </c>
      <c r="T29">
        <v>435.05</v>
      </c>
      <c r="U29" s="55">
        <f t="shared" si="5"/>
        <v>5.9417995860221673E-2</v>
      </c>
      <c r="W29" s="132">
        <v>45717</v>
      </c>
      <c r="X29" s="197">
        <v>2939.15</v>
      </c>
      <c r="Y29" s="55">
        <f t="shared" si="6"/>
        <v>-2.3181229020572292E-2</v>
      </c>
      <c r="AA29" s="132">
        <v>45717</v>
      </c>
      <c r="AB29">
        <v>94.9</v>
      </c>
      <c r="AC29" s="55">
        <f t="shared" si="7"/>
        <v>-4.0735873850197168E-2</v>
      </c>
      <c r="AE29" s="132">
        <v>45717</v>
      </c>
      <c r="AF29">
        <v>21.19</v>
      </c>
      <c r="AG29" s="55">
        <f t="shared" si="8"/>
        <v>-0.18090452261306533</v>
      </c>
      <c r="AI29" s="132">
        <v>45717</v>
      </c>
      <c r="AJ29">
        <v>1983.6</v>
      </c>
      <c r="AK29" s="55">
        <f t="shared" si="9"/>
        <v>2.4798512089274638E-2</v>
      </c>
      <c r="AM29" s="132">
        <v>45717</v>
      </c>
      <c r="AN29" s="197">
        <v>1904.1</v>
      </c>
      <c r="AO29" s="55">
        <f t="shared" si="10"/>
        <v>9.7337482710926571E-2</v>
      </c>
    </row>
    <row r="30" spans="3:41">
      <c r="C30" s="132">
        <v>45689</v>
      </c>
      <c r="D30">
        <v>22124.7</v>
      </c>
      <c r="E30" s="55">
        <f t="shared" si="11"/>
        <v>-5.9297982299680863E-2</v>
      </c>
      <c r="G30" s="132">
        <v>45689</v>
      </c>
      <c r="H30">
        <v>524.15</v>
      </c>
      <c r="I30" s="55">
        <f t="shared" si="2"/>
        <v>-9.5044889502762575E-2</v>
      </c>
      <c r="K30" s="132">
        <v>45689</v>
      </c>
      <c r="L30">
        <v>468.85</v>
      </c>
      <c r="M30" s="55">
        <f t="shared" si="3"/>
        <v>-5.559472252996267E-2</v>
      </c>
      <c r="O30" s="132">
        <v>45689</v>
      </c>
      <c r="P30" s="197">
        <v>2306.65</v>
      </c>
      <c r="Q30" s="55">
        <f t="shared" si="4"/>
        <v>-0.11661528445321023</v>
      </c>
      <c r="S30" s="132">
        <v>45689</v>
      </c>
      <c r="T30">
        <v>404.6</v>
      </c>
      <c r="U30" s="55">
        <f t="shared" si="5"/>
        <v>-6.9991954947707158E-2</v>
      </c>
      <c r="W30" s="132">
        <v>45689</v>
      </c>
      <c r="X30" s="197">
        <v>2795.4</v>
      </c>
      <c r="Y30" s="55">
        <f t="shared" si="6"/>
        <v>-4.8908698092986036E-2</v>
      </c>
      <c r="AA30" s="132">
        <v>45689</v>
      </c>
      <c r="AB30">
        <v>91.82</v>
      </c>
      <c r="AC30" s="55">
        <f t="shared" si="7"/>
        <v>-3.2455216016859967E-2</v>
      </c>
      <c r="AE30" s="132">
        <v>45689</v>
      </c>
      <c r="AF30">
        <v>26.14</v>
      </c>
      <c r="AG30" s="55">
        <f t="shared" si="8"/>
        <v>0.23360075507314759</v>
      </c>
      <c r="AI30" s="132">
        <v>45689</v>
      </c>
      <c r="AJ30">
        <v>1851.3</v>
      </c>
      <c r="AK30" s="55">
        <f t="shared" si="9"/>
        <v>-6.6696914700544396E-2</v>
      </c>
      <c r="AM30" s="132">
        <v>45689</v>
      </c>
      <c r="AN30" s="197">
        <v>1613.35</v>
      </c>
      <c r="AO30" s="55">
        <f t="shared" si="10"/>
        <v>-0.15269681214221942</v>
      </c>
    </row>
    <row r="31" spans="3:41">
      <c r="C31" s="132">
        <v>45658</v>
      </c>
      <c r="D31">
        <v>23508.400000000001</v>
      </c>
      <c r="E31" s="55">
        <f t="shared" si="11"/>
        <v>6.2540961007380824E-2</v>
      </c>
      <c r="G31" s="132">
        <v>45658</v>
      </c>
      <c r="H31">
        <v>693.1</v>
      </c>
      <c r="I31" s="55">
        <f t="shared" si="2"/>
        <v>0.32233139368501385</v>
      </c>
      <c r="K31" s="132">
        <v>45658</v>
      </c>
      <c r="L31">
        <v>554.45000000000005</v>
      </c>
      <c r="M31" s="55">
        <f t="shared" si="3"/>
        <v>0.18257438413138538</v>
      </c>
      <c r="O31" s="132">
        <v>45658</v>
      </c>
      <c r="P31" s="197">
        <v>2508.85</v>
      </c>
      <c r="Q31" s="55">
        <f t="shared" si="4"/>
        <v>8.7659592916133677E-2</v>
      </c>
      <c r="S31" s="132">
        <v>45658</v>
      </c>
      <c r="T31">
        <v>474.6</v>
      </c>
      <c r="U31" s="55">
        <f t="shared" si="5"/>
        <v>0.17301038062283736</v>
      </c>
      <c r="W31" s="132">
        <v>45658</v>
      </c>
      <c r="X31" s="197">
        <v>2809.85</v>
      </c>
      <c r="Y31" s="55">
        <f t="shared" si="6"/>
        <v>5.1692065536237397E-3</v>
      </c>
      <c r="AA31" s="132">
        <v>45658</v>
      </c>
      <c r="AB31">
        <v>97.35</v>
      </c>
      <c r="AC31" s="55">
        <f t="shared" si="7"/>
        <v>6.0226530167719394E-2</v>
      </c>
      <c r="AE31" s="132">
        <v>45658</v>
      </c>
      <c r="AF31">
        <v>31.28</v>
      </c>
      <c r="AG31" s="55">
        <f t="shared" si="8"/>
        <v>0.19663351185921951</v>
      </c>
      <c r="AI31" s="132">
        <v>45658</v>
      </c>
      <c r="AJ31">
        <v>2325.6</v>
      </c>
      <c r="AK31" s="55">
        <f t="shared" si="9"/>
        <v>0.25619834710743805</v>
      </c>
      <c r="AM31" s="132">
        <v>45658</v>
      </c>
      <c r="AN31" s="197">
        <v>1846.4</v>
      </c>
      <c r="AO31" s="55">
        <f t="shared" si="10"/>
        <v>0.14445098707658</v>
      </c>
    </row>
    <row r="32" spans="3:41">
      <c r="C32" s="132">
        <v>45627</v>
      </c>
      <c r="D32">
        <v>23644.799999999999</v>
      </c>
      <c r="E32" s="55">
        <f t="shared" si="11"/>
        <v>5.8021813479436357E-3</v>
      </c>
      <c r="G32" s="132">
        <v>45627</v>
      </c>
      <c r="H32">
        <v>753.55</v>
      </c>
      <c r="I32" s="55">
        <f t="shared" si="2"/>
        <v>8.7216851825133279E-2</v>
      </c>
      <c r="K32" s="132">
        <v>45627</v>
      </c>
      <c r="L32">
        <v>559</v>
      </c>
      <c r="M32" s="55">
        <f t="shared" si="3"/>
        <v>8.2063305978896661E-3</v>
      </c>
      <c r="O32" s="132">
        <v>45627</v>
      </c>
      <c r="P32" s="197">
        <v>2442.6999999999998</v>
      </c>
      <c r="Q32" s="55">
        <f t="shared" si="4"/>
        <v>-2.6366662016461762E-2</v>
      </c>
      <c r="S32" s="132">
        <v>45627</v>
      </c>
      <c r="T32">
        <v>500.15</v>
      </c>
      <c r="U32" s="55">
        <f t="shared" si="5"/>
        <v>5.3834808259586975E-2</v>
      </c>
      <c r="W32" s="132">
        <v>45627</v>
      </c>
      <c r="X32" s="197">
        <v>2237.9499999999998</v>
      </c>
      <c r="Y32" s="55">
        <f t="shared" si="6"/>
        <v>-0.20353399647668025</v>
      </c>
      <c r="AA32" s="132">
        <v>45627</v>
      </c>
      <c r="AB32">
        <v>107.35</v>
      </c>
      <c r="AC32" s="55">
        <f t="shared" si="7"/>
        <v>0.10272213662044161</v>
      </c>
      <c r="AE32" s="132">
        <v>45627</v>
      </c>
      <c r="AF32">
        <v>37.119999999999997</v>
      </c>
      <c r="AG32" s="55">
        <f t="shared" si="8"/>
        <v>0.18670076726342688</v>
      </c>
      <c r="AI32" s="132">
        <v>45627</v>
      </c>
      <c r="AJ32">
        <v>2494.3000000000002</v>
      </c>
      <c r="AK32" s="55">
        <f t="shared" si="9"/>
        <v>7.2540419676642598E-2</v>
      </c>
      <c r="AM32" s="132">
        <v>45627</v>
      </c>
      <c r="AN32" s="197">
        <v>1896.2</v>
      </c>
      <c r="AO32" s="55">
        <f t="shared" si="10"/>
        <v>2.6971403812825034E-2</v>
      </c>
    </row>
    <row r="33" spans="3:41">
      <c r="C33" s="132">
        <v>45597</v>
      </c>
      <c r="D33">
        <v>24131.1</v>
      </c>
      <c r="E33" s="55">
        <f t="shared" si="11"/>
        <v>2.0566889971579405E-2</v>
      </c>
      <c r="G33" s="132">
        <v>45597</v>
      </c>
      <c r="H33">
        <v>786.65</v>
      </c>
      <c r="I33" s="55">
        <f t="shared" si="2"/>
        <v>4.39254196801806E-2</v>
      </c>
      <c r="K33" s="132">
        <v>45597</v>
      </c>
      <c r="L33">
        <v>638.79999999999995</v>
      </c>
      <c r="M33" s="55">
        <f t="shared" si="3"/>
        <v>0.14275491949910557</v>
      </c>
      <c r="O33" s="132">
        <v>45597</v>
      </c>
      <c r="P33" s="197">
        <v>2606.25</v>
      </c>
      <c r="Q33" s="55">
        <f t="shared" si="4"/>
        <v>6.6954599418676208E-2</v>
      </c>
      <c r="S33" s="132">
        <v>45597</v>
      </c>
      <c r="T33">
        <v>500.2</v>
      </c>
      <c r="U33" s="55">
        <f t="shared" si="5"/>
        <v>9.9970008997418702E-5</v>
      </c>
      <c r="W33" s="132">
        <v>45597</v>
      </c>
      <c r="X33" s="197">
        <v>2265</v>
      </c>
      <c r="Y33" s="55">
        <f t="shared" si="6"/>
        <v>1.2086954578967468E-2</v>
      </c>
      <c r="AA33" s="132">
        <v>45597</v>
      </c>
      <c r="AB33">
        <v>115.3</v>
      </c>
      <c r="AC33" s="55">
        <f t="shared" si="7"/>
        <v>7.4056823474615729E-2</v>
      </c>
      <c r="AE33" s="132">
        <v>45597</v>
      </c>
      <c r="AF33">
        <v>38.14</v>
      </c>
      <c r="AG33" s="55">
        <f t="shared" si="8"/>
        <v>2.74784482758621E-2</v>
      </c>
      <c r="AI33" s="132">
        <v>45597</v>
      </c>
      <c r="AJ33">
        <v>2727.25</v>
      </c>
      <c r="AK33" s="55">
        <f t="shared" si="9"/>
        <v>9.3392935893837903E-2</v>
      </c>
      <c r="AM33" s="132">
        <v>45597</v>
      </c>
      <c r="AN33" s="197">
        <v>2082.35</v>
      </c>
      <c r="AO33" s="55">
        <f t="shared" si="10"/>
        <v>9.8170024259044419E-2</v>
      </c>
    </row>
    <row r="34" spans="3:41">
      <c r="C34" s="132">
        <v>45566</v>
      </c>
      <c r="D34">
        <v>24205.35</v>
      </c>
      <c r="E34" s="55">
        <f t="shared" si="11"/>
        <v>3.0769422032148608E-3</v>
      </c>
      <c r="G34" s="132">
        <v>45566</v>
      </c>
      <c r="H34">
        <v>856.4</v>
      </c>
      <c r="I34" s="55">
        <f t="shared" si="2"/>
        <v>8.8667132778236901E-2</v>
      </c>
      <c r="K34" s="132">
        <v>45566</v>
      </c>
      <c r="L34">
        <v>625.15</v>
      </c>
      <c r="M34" s="55">
        <f t="shared" si="3"/>
        <v>-2.136819035691917E-2</v>
      </c>
      <c r="O34" s="132">
        <v>45566</v>
      </c>
      <c r="P34" s="197">
        <v>2695.85</v>
      </c>
      <c r="Q34" s="55">
        <f t="shared" si="4"/>
        <v>3.437889688249407E-2</v>
      </c>
      <c r="S34" s="132">
        <v>45566</v>
      </c>
      <c r="T34">
        <v>479</v>
      </c>
      <c r="U34" s="55">
        <f t="shared" si="5"/>
        <v>-4.2383046781287459E-2</v>
      </c>
      <c r="W34" s="132">
        <v>45566</v>
      </c>
      <c r="X34" s="197">
        <v>2243.15</v>
      </c>
      <c r="Y34" s="55">
        <f t="shared" si="6"/>
        <v>-9.6467991169977285E-3</v>
      </c>
      <c r="AA34" s="132">
        <v>45566</v>
      </c>
      <c r="AB34">
        <v>110.57</v>
      </c>
      <c r="AC34" s="55">
        <f t="shared" si="7"/>
        <v>-4.1023417172593279E-2</v>
      </c>
      <c r="AE34" s="132">
        <v>45566</v>
      </c>
      <c r="AF34">
        <v>40.56</v>
      </c>
      <c r="AG34" s="55">
        <f t="shared" si="8"/>
        <v>6.3450445726271676E-2</v>
      </c>
      <c r="AI34" s="132">
        <v>45566</v>
      </c>
      <c r="AJ34">
        <v>2636.3</v>
      </c>
      <c r="AK34" s="55">
        <f t="shared" si="9"/>
        <v>-3.3348611238426917E-2</v>
      </c>
      <c r="AM34" s="132">
        <v>45566</v>
      </c>
      <c r="AN34" s="197">
        <v>2117.65</v>
      </c>
      <c r="AO34" s="55">
        <f t="shared" si="10"/>
        <v>1.6952001344634704E-2</v>
      </c>
    </row>
    <row r="35" spans="3:41">
      <c r="C35" s="132">
        <v>45536</v>
      </c>
      <c r="D35">
        <v>25810.85</v>
      </c>
      <c r="E35" s="55">
        <f t="shared" si="11"/>
        <v>6.6328311716211452E-2</v>
      </c>
      <c r="G35" s="132">
        <v>45536</v>
      </c>
      <c r="H35">
        <v>832.8</v>
      </c>
      <c r="I35" s="55">
        <f t="shared" si="2"/>
        <v>-2.7557216254086914E-2</v>
      </c>
      <c r="K35" s="132">
        <v>45536</v>
      </c>
      <c r="L35">
        <v>675.7</v>
      </c>
      <c r="M35" s="55">
        <f t="shared" si="3"/>
        <v>8.0860593457570351E-2</v>
      </c>
      <c r="O35" s="132">
        <v>45536</v>
      </c>
      <c r="P35" s="197">
        <v>2795.55</v>
      </c>
      <c r="Q35" s="55">
        <f t="shared" si="4"/>
        <v>3.6982769812860639E-2</v>
      </c>
      <c r="S35" s="132">
        <v>45536</v>
      </c>
      <c r="T35">
        <v>514.25</v>
      </c>
      <c r="U35" s="55">
        <f t="shared" si="5"/>
        <v>7.3590814196242249E-2</v>
      </c>
      <c r="W35" s="132">
        <v>45536</v>
      </c>
      <c r="X35" s="197">
        <v>2497.85</v>
      </c>
      <c r="Y35" s="55">
        <f t="shared" si="6"/>
        <v>0.1135456835253994</v>
      </c>
      <c r="AA35" s="132">
        <v>45536</v>
      </c>
      <c r="AB35">
        <v>94.28</v>
      </c>
      <c r="AC35" s="55">
        <f t="shared" si="7"/>
        <v>-0.14732748485122538</v>
      </c>
      <c r="AE35" s="132">
        <v>45536</v>
      </c>
      <c r="AF35">
        <v>40.6</v>
      </c>
      <c r="AG35" s="55">
        <f t="shared" si="8"/>
        <v>9.8619329388549559E-4</v>
      </c>
      <c r="AI35" s="132">
        <v>45536</v>
      </c>
      <c r="AJ35">
        <v>2907.1</v>
      </c>
      <c r="AK35" s="55">
        <f t="shared" si="9"/>
        <v>0.10271972082084724</v>
      </c>
      <c r="AM35" s="132">
        <v>45536</v>
      </c>
      <c r="AN35" s="197">
        <v>2286.25</v>
      </c>
      <c r="AO35" s="55">
        <f t="shared" si="10"/>
        <v>7.9616556088116575E-2</v>
      </c>
    </row>
    <row r="36" spans="3:41">
      <c r="C36" s="132">
        <v>45505</v>
      </c>
      <c r="D36">
        <v>25235.9</v>
      </c>
      <c r="E36" s="55">
        <f t="shared" si="11"/>
        <v>-2.2275515916755806E-2</v>
      </c>
      <c r="G36" s="132">
        <v>45505</v>
      </c>
      <c r="H36">
        <v>770.45</v>
      </c>
      <c r="I36" s="55">
        <f t="shared" si="2"/>
        <v>-7.4867915465898105E-2</v>
      </c>
      <c r="K36" s="132">
        <v>45505</v>
      </c>
      <c r="L36">
        <v>683.5</v>
      </c>
      <c r="M36" s="55">
        <f t="shared" si="3"/>
        <v>1.1543584430960374E-2</v>
      </c>
      <c r="O36" s="132">
        <v>45505</v>
      </c>
      <c r="P36" s="197">
        <v>2698.85</v>
      </c>
      <c r="Q36" s="55">
        <f t="shared" si="4"/>
        <v>-3.4590688773229017E-2</v>
      </c>
      <c r="S36" s="132">
        <v>45505</v>
      </c>
      <c r="T36">
        <v>502.3</v>
      </c>
      <c r="U36" s="55">
        <f t="shared" si="5"/>
        <v>-2.3237724842002927E-2</v>
      </c>
      <c r="W36" s="132">
        <v>45505</v>
      </c>
      <c r="X36" s="197">
        <v>2564.6</v>
      </c>
      <c r="Y36" s="55">
        <f t="shared" si="6"/>
        <v>2.6722981764317311E-2</v>
      </c>
      <c r="AA36" s="132">
        <v>45505</v>
      </c>
      <c r="AB36">
        <v>96.25</v>
      </c>
      <c r="AC36" s="55">
        <f t="shared" si="7"/>
        <v>2.0895205770046665E-2</v>
      </c>
      <c r="AE36" s="132">
        <v>45505</v>
      </c>
      <c r="AF36">
        <v>41.59</v>
      </c>
      <c r="AG36" s="55">
        <f t="shared" si="8"/>
        <v>2.4384236453202091E-2</v>
      </c>
      <c r="AI36" s="132">
        <v>45505</v>
      </c>
      <c r="AJ36">
        <v>2911.05</v>
      </c>
      <c r="AK36" s="55">
        <f t="shared" si="9"/>
        <v>1.3587423893228756E-3</v>
      </c>
      <c r="AM36" s="132">
        <v>45505</v>
      </c>
      <c r="AN36" s="197">
        <v>1860.55</v>
      </c>
      <c r="AO36" s="55">
        <f t="shared" si="10"/>
        <v>-0.18620010934937126</v>
      </c>
    </row>
    <row r="37" spans="3:41">
      <c r="C37" s="132">
        <v>45474</v>
      </c>
      <c r="D37">
        <v>24951.15</v>
      </c>
      <c r="E37" s="55">
        <f t="shared" si="11"/>
        <v>-1.1283528623904804E-2</v>
      </c>
      <c r="G37" s="132">
        <v>45474</v>
      </c>
      <c r="H37">
        <v>794.6</v>
      </c>
      <c r="I37" s="55">
        <f t="shared" si="2"/>
        <v>3.1345317671490625E-2</v>
      </c>
      <c r="K37" s="132">
        <v>45474</v>
      </c>
      <c r="L37">
        <v>713.1</v>
      </c>
      <c r="M37" s="55">
        <f t="shared" si="3"/>
        <v>4.3306510607169058E-2</v>
      </c>
      <c r="O37" s="132">
        <v>45474</v>
      </c>
      <c r="P37" s="197">
        <v>2776.75</v>
      </c>
      <c r="Q37" s="55">
        <f t="shared" si="4"/>
        <v>2.8864145839894828E-2</v>
      </c>
      <c r="S37" s="132">
        <v>45474</v>
      </c>
      <c r="T37">
        <v>549.4</v>
      </c>
      <c r="U37" s="55">
        <f t="shared" si="5"/>
        <v>9.3768664144933345E-2</v>
      </c>
      <c r="W37" s="132">
        <v>45474</v>
      </c>
      <c r="X37" s="197">
        <v>2644.9</v>
      </c>
      <c r="Y37" s="55">
        <f t="shared" si="6"/>
        <v>3.1310925680418045E-2</v>
      </c>
      <c r="AA37" s="132">
        <v>45474</v>
      </c>
      <c r="AB37">
        <v>105.04</v>
      </c>
      <c r="AC37" s="55">
        <f t="shared" si="7"/>
        <v>9.1324675324675475E-2</v>
      </c>
      <c r="AE37" s="132">
        <v>45474</v>
      </c>
      <c r="AF37">
        <v>37.03</v>
      </c>
      <c r="AG37" s="55">
        <f t="shared" si="8"/>
        <v>-0.10964174080307776</v>
      </c>
      <c r="AI37" s="132">
        <v>45474</v>
      </c>
      <c r="AJ37">
        <v>3092.3</v>
      </c>
      <c r="AK37" s="55">
        <f t="shared" si="9"/>
        <v>6.2262757424297099E-2</v>
      </c>
      <c r="AM37" s="132">
        <v>45474</v>
      </c>
      <c r="AN37" s="197">
        <v>1725.15</v>
      </c>
      <c r="AO37" s="55">
        <f t="shared" si="10"/>
        <v>-7.2774179678052109E-2</v>
      </c>
    </row>
    <row r="38" spans="3:41">
      <c r="C38" s="132">
        <v>45444</v>
      </c>
      <c r="D38">
        <v>24010.6</v>
      </c>
      <c r="E38" s="55">
        <f t="shared" si="11"/>
        <v>-3.7695657314392395E-2</v>
      </c>
      <c r="G38" s="132">
        <v>45444</v>
      </c>
      <c r="H38">
        <v>770.3</v>
      </c>
      <c r="I38" s="55">
        <f t="shared" si="2"/>
        <v>-3.0581424616159203E-2</v>
      </c>
      <c r="K38" s="132">
        <v>45444</v>
      </c>
      <c r="L38">
        <v>710.5</v>
      </c>
      <c r="M38" s="55">
        <f t="shared" si="3"/>
        <v>-3.6460524470621758E-3</v>
      </c>
      <c r="O38" s="132">
        <v>45444</v>
      </c>
      <c r="P38" s="197">
        <v>2670.45</v>
      </c>
      <c r="Q38" s="55">
        <f t="shared" si="4"/>
        <v>-3.8282164400828322E-2</v>
      </c>
      <c r="S38" s="132">
        <v>45444</v>
      </c>
      <c r="T38">
        <v>533.5</v>
      </c>
      <c r="U38" s="55">
        <f t="shared" si="5"/>
        <v>-2.8940662540953732E-2</v>
      </c>
      <c r="W38" s="132">
        <v>45444</v>
      </c>
      <c r="X38" s="197">
        <v>2436.0500000000002</v>
      </c>
      <c r="Y38" s="55">
        <f t="shared" si="6"/>
        <v>-7.8963287836969265E-2</v>
      </c>
      <c r="AA38" s="132">
        <v>45444</v>
      </c>
      <c r="AB38">
        <v>89.31</v>
      </c>
      <c r="AC38" s="55">
        <f t="shared" si="7"/>
        <v>-0.14975247524752477</v>
      </c>
      <c r="AE38" s="132">
        <v>45444</v>
      </c>
      <c r="AF38">
        <v>38.770000000000003</v>
      </c>
      <c r="AG38" s="55">
        <f t="shared" si="8"/>
        <v>4.698892789630027E-2</v>
      </c>
      <c r="AI38" s="132">
        <v>45444</v>
      </c>
      <c r="AJ38">
        <v>2501.9499999999998</v>
      </c>
      <c r="AK38" s="55">
        <f t="shared" si="9"/>
        <v>-0.19090967887979826</v>
      </c>
      <c r="AM38" s="132">
        <v>45444</v>
      </c>
      <c r="AN38" s="197">
        <v>1324.85</v>
      </c>
      <c r="AO38" s="55">
        <f t="shared" si="10"/>
        <v>-0.23203779381503065</v>
      </c>
    </row>
    <row r="39" spans="3:41">
      <c r="C39" s="132">
        <v>45413</v>
      </c>
      <c r="D39">
        <v>22530.7</v>
      </c>
      <c r="E39" s="55">
        <f t="shared" si="11"/>
        <v>-6.1635277752326023E-2</v>
      </c>
      <c r="G39" s="132">
        <v>45413</v>
      </c>
      <c r="H39">
        <v>748</v>
      </c>
      <c r="I39" s="55">
        <f t="shared" si="2"/>
        <v>-2.8949759833830968E-2</v>
      </c>
      <c r="K39" s="132">
        <v>45413</v>
      </c>
      <c r="L39">
        <v>633.65</v>
      </c>
      <c r="M39" s="55">
        <f t="shared" si="3"/>
        <v>-0.10816326530612252</v>
      </c>
      <c r="O39" s="132">
        <v>45413</v>
      </c>
      <c r="P39" s="197">
        <v>2316.25</v>
      </c>
      <c r="Q39" s="55">
        <f t="shared" si="4"/>
        <v>-0.13263682150948342</v>
      </c>
      <c r="S39" s="132">
        <v>45413</v>
      </c>
      <c r="T39">
        <v>469.95</v>
      </c>
      <c r="U39" s="55">
        <f t="shared" si="5"/>
        <v>-0.11911902530459229</v>
      </c>
      <c r="W39" s="132">
        <v>45413</v>
      </c>
      <c r="X39" s="197">
        <v>2211.35</v>
      </c>
      <c r="Y39" s="55">
        <f t="shared" si="6"/>
        <v>-9.2239486053242059E-2</v>
      </c>
      <c r="AA39" s="132">
        <v>45413</v>
      </c>
      <c r="AB39">
        <v>81.22</v>
      </c>
      <c r="AC39" s="55">
        <f t="shared" si="7"/>
        <v>-9.0583361325719425E-2</v>
      </c>
      <c r="AE39" s="132">
        <v>45413</v>
      </c>
      <c r="AF39">
        <v>37.979999999999997</v>
      </c>
      <c r="AG39" s="55">
        <f t="shared" si="8"/>
        <v>-2.0376579829765484E-2</v>
      </c>
      <c r="AI39" s="132">
        <v>45413</v>
      </c>
      <c r="AJ39">
        <v>2191.3000000000002</v>
      </c>
      <c r="AK39" s="55">
        <f t="shared" si="9"/>
        <v>-0.12416315274086198</v>
      </c>
      <c r="AM39" s="132">
        <v>45413</v>
      </c>
      <c r="AN39" s="197">
        <v>1219.7</v>
      </c>
      <c r="AO39" s="55">
        <f t="shared" si="10"/>
        <v>-7.9367475563271173E-2</v>
      </c>
    </row>
    <row r="40" spans="3:41">
      <c r="C40" s="132">
        <v>45383</v>
      </c>
      <c r="D40">
        <v>22604.85</v>
      </c>
      <c r="E40" s="55">
        <f t="shared" si="11"/>
        <v>3.2910650800905827E-3</v>
      </c>
      <c r="G40" s="132">
        <v>45383</v>
      </c>
      <c r="H40">
        <v>792.2</v>
      </c>
      <c r="I40" s="55">
        <f t="shared" si="2"/>
        <v>5.9090909090909083E-2</v>
      </c>
      <c r="K40" s="132">
        <v>45383</v>
      </c>
      <c r="L40">
        <v>712.65</v>
      </c>
      <c r="M40" s="55">
        <f t="shared" si="3"/>
        <v>0.12467450485283682</v>
      </c>
      <c r="O40" s="132">
        <v>45383</v>
      </c>
      <c r="P40" s="197">
        <v>2411.65</v>
      </c>
      <c r="Q40" s="55">
        <f t="shared" si="4"/>
        <v>4.1187263896384385E-2</v>
      </c>
      <c r="S40" s="132">
        <v>45383</v>
      </c>
      <c r="T40">
        <v>499.5</v>
      </c>
      <c r="U40" s="55">
        <f t="shared" si="5"/>
        <v>6.2879029684008936E-2</v>
      </c>
      <c r="W40" s="132">
        <v>45383</v>
      </c>
      <c r="X40" s="197">
        <v>2621.0500000000002</v>
      </c>
      <c r="Y40" s="55">
        <f t="shared" si="6"/>
        <v>0.18527144052275779</v>
      </c>
      <c r="AA40" s="132">
        <v>45383</v>
      </c>
      <c r="AB40">
        <v>94.89</v>
      </c>
      <c r="AC40" s="55">
        <f t="shared" si="7"/>
        <v>0.16830829844865791</v>
      </c>
      <c r="AE40" s="132">
        <v>45383</v>
      </c>
      <c r="AF40">
        <v>46.41</v>
      </c>
      <c r="AG40" s="55">
        <f t="shared" si="8"/>
        <v>0.22195892575039489</v>
      </c>
      <c r="AI40" s="132">
        <v>45383</v>
      </c>
      <c r="AJ40">
        <v>2430.5500000000002</v>
      </c>
      <c r="AK40" s="55">
        <f t="shared" si="9"/>
        <v>0.1091817642495323</v>
      </c>
      <c r="AM40" s="132">
        <v>45383</v>
      </c>
      <c r="AN40" s="197">
        <v>1324.45</v>
      </c>
      <c r="AO40" s="55">
        <f t="shared" si="10"/>
        <v>8.5881774206772121E-2</v>
      </c>
    </row>
    <row r="41" spans="3:41">
      <c r="C41" s="132">
        <v>45352</v>
      </c>
      <c r="D41">
        <v>22326.9</v>
      </c>
      <c r="E41" s="55">
        <f t="shared" si="11"/>
        <v>-1.2296033815751839E-2</v>
      </c>
      <c r="G41" s="132">
        <v>45352</v>
      </c>
      <c r="H41">
        <v>673.45</v>
      </c>
      <c r="I41" s="55">
        <f t="shared" si="2"/>
        <v>-0.14989901540015149</v>
      </c>
      <c r="K41" s="132">
        <v>45352</v>
      </c>
      <c r="L41">
        <v>625.1</v>
      </c>
      <c r="M41" s="55">
        <f t="shared" si="3"/>
        <v>-0.12285132954465716</v>
      </c>
      <c r="O41" s="132">
        <v>45352</v>
      </c>
      <c r="P41" s="197">
        <v>2287.3000000000002</v>
      </c>
      <c r="Q41" s="55">
        <f t="shared" si="4"/>
        <v>-5.156220844649928E-2</v>
      </c>
      <c r="S41" s="132">
        <v>45352</v>
      </c>
      <c r="T41">
        <v>450</v>
      </c>
      <c r="U41" s="55">
        <f t="shared" si="5"/>
        <v>-9.9099099099099086E-2</v>
      </c>
      <c r="W41" s="132">
        <v>45352</v>
      </c>
      <c r="X41" s="197">
        <v>2560.25</v>
      </c>
      <c r="Y41" s="55">
        <f t="shared" si="6"/>
        <v>-2.3196810438564808E-2</v>
      </c>
      <c r="AA41" s="132">
        <v>45352</v>
      </c>
      <c r="AB41">
        <v>81.13</v>
      </c>
      <c r="AC41" s="55">
        <f t="shared" si="7"/>
        <v>-0.14501001159237015</v>
      </c>
      <c r="AE41" s="132">
        <v>45352</v>
      </c>
      <c r="AF41">
        <v>34.08</v>
      </c>
      <c r="AG41" s="55">
        <f t="shared" si="8"/>
        <v>-0.26567550096961856</v>
      </c>
      <c r="AI41" s="132">
        <v>45352</v>
      </c>
      <c r="AJ41">
        <v>2125.5</v>
      </c>
      <c r="AK41" s="55">
        <f t="shared" si="9"/>
        <v>-0.1255065725864517</v>
      </c>
      <c r="AM41" s="132">
        <v>45352</v>
      </c>
      <c r="AN41" s="197">
        <v>1097.95</v>
      </c>
      <c r="AO41" s="55">
        <f t="shared" si="10"/>
        <v>-0.17101438332892893</v>
      </c>
    </row>
    <row r="42" spans="3:41">
      <c r="C42" s="132">
        <v>45323</v>
      </c>
      <c r="D42">
        <v>21982.799999999999</v>
      </c>
      <c r="E42" s="55">
        <f t="shared" si="11"/>
        <v>-1.5411902234524377E-2</v>
      </c>
      <c r="G42" s="132">
        <v>45323</v>
      </c>
      <c r="H42">
        <v>801</v>
      </c>
      <c r="I42" s="55">
        <f t="shared" si="2"/>
        <v>0.18939787660553864</v>
      </c>
      <c r="K42" s="132">
        <v>45323</v>
      </c>
      <c r="L42">
        <v>640.54999999999995</v>
      </c>
      <c r="M42" s="55">
        <f t="shared" si="3"/>
        <v>2.4716045432730649E-2</v>
      </c>
      <c r="O42" s="132">
        <v>45323</v>
      </c>
      <c r="P42" s="197">
        <v>2191.4</v>
      </c>
      <c r="Q42" s="55">
        <f t="shared" si="4"/>
        <v>-4.1927163030647474E-2</v>
      </c>
      <c r="S42" s="132">
        <v>45323</v>
      </c>
      <c r="T42">
        <v>470.8</v>
      </c>
      <c r="U42" s="55">
        <f t="shared" si="5"/>
        <v>4.6222222222222165E-2</v>
      </c>
      <c r="W42" s="132">
        <v>45323</v>
      </c>
      <c r="X42" s="197">
        <v>2389.65</v>
      </c>
      <c r="Y42" s="55">
        <f t="shared" si="6"/>
        <v>-6.6634117761937284E-2</v>
      </c>
      <c r="AA42" s="132">
        <v>45323</v>
      </c>
      <c r="AB42">
        <v>97</v>
      </c>
      <c r="AC42" s="55">
        <f t="shared" si="7"/>
        <v>0.19561198077160125</v>
      </c>
      <c r="AE42" s="132">
        <v>45323</v>
      </c>
      <c r="AF42">
        <v>42.66</v>
      </c>
      <c r="AG42" s="55">
        <f t="shared" si="8"/>
        <v>0.25176056338028174</v>
      </c>
      <c r="AI42" s="132">
        <v>45323</v>
      </c>
      <c r="AJ42">
        <v>2212.85</v>
      </c>
      <c r="AK42" s="55">
        <f t="shared" si="9"/>
        <v>4.1096212655845621E-2</v>
      </c>
      <c r="AM42" s="132">
        <v>45323</v>
      </c>
      <c r="AN42" s="197">
        <v>1178.5</v>
      </c>
      <c r="AO42" s="55">
        <f t="shared" si="10"/>
        <v>7.3363996539004495E-2</v>
      </c>
    </row>
    <row r="43" spans="3:41">
      <c r="C43" s="132">
        <v>45292</v>
      </c>
      <c r="D43">
        <v>21725.7</v>
      </c>
      <c r="E43" s="55">
        <f t="shared" si="11"/>
        <v>-1.1695507396691895E-2</v>
      </c>
      <c r="G43" s="132">
        <v>45292</v>
      </c>
      <c r="H43">
        <v>793.1</v>
      </c>
      <c r="I43" s="55">
        <f t="shared" si="2"/>
        <v>-9.8626716604244269E-3</v>
      </c>
      <c r="K43" s="132">
        <v>45292</v>
      </c>
      <c r="L43">
        <v>751.1</v>
      </c>
      <c r="M43" s="55">
        <f t="shared" si="3"/>
        <v>0.17258605885567113</v>
      </c>
      <c r="O43" s="132">
        <v>45292</v>
      </c>
      <c r="P43" s="197">
        <v>2175</v>
      </c>
      <c r="Q43" s="55">
        <f t="shared" si="4"/>
        <v>-7.4838003103039341E-3</v>
      </c>
      <c r="S43" s="132">
        <v>45292</v>
      </c>
      <c r="T43">
        <v>493.3</v>
      </c>
      <c r="U43" s="55">
        <f t="shared" si="5"/>
        <v>4.7790994052676394E-2</v>
      </c>
      <c r="W43" s="132">
        <v>45292</v>
      </c>
      <c r="X43" s="197">
        <v>2319.85</v>
      </c>
      <c r="Y43" s="55">
        <f t="shared" si="6"/>
        <v>-2.9209298432824937E-2</v>
      </c>
      <c r="AA43" s="132">
        <v>45292</v>
      </c>
      <c r="AB43">
        <v>104.45</v>
      </c>
      <c r="AC43" s="55">
        <f t="shared" si="7"/>
        <v>7.6804123711340155E-2</v>
      </c>
      <c r="AE43" s="132">
        <v>45292</v>
      </c>
      <c r="AF43">
        <v>46.1</v>
      </c>
      <c r="AG43" s="55">
        <f t="shared" si="8"/>
        <v>8.0637599624941547E-2</v>
      </c>
      <c r="AI43" s="132">
        <v>45292</v>
      </c>
      <c r="AJ43">
        <v>2305.9</v>
      </c>
      <c r="AK43" s="55">
        <f t="shared" si="9"/>
        <v>4.204984522222488E-2</v>
      </c>
      <c r="AM43" s="132">
        <v>45292</v>
      </c>
      <c r="AN43" s="197">
        <v>1040.6500000000001</v>
      </c>
      <c r="AO43" s="55">
        <f t="shared" si="10"/>
        <v>-0.11697072549851495</v>
      </c>
    </row>
    <row r="44" spans="3:41">
      <c r="C44" s="132">
        <v>45261</v>
      </c>
      <c r="D44">
        <v>21731.4</v>
      </c>
      <c r="E44" s="55">
        <f t="shared" si="11"/>
        <v>2.6236208729746302E-4</v>
      </c>
      <c r="G44" s="132">
        <v>45261</v>
      </c>
      <c r="H44">
        <v>776.75</v>
      </c>
      <c r="I44" s="55">
        <f t="shared" si="2"/>
        <v>-2.0615307023074014E-2</v>
      </c>
      <c r="K44" s="132">
        <v>45261</v>
      </c>
      <c r="L44">
        <v>752.75</v>
      </c>
      <c r="M44" s="55">
        <f t="shared" si="3"/>
        <v>2.1967780588469932E-3</v>
      </c>
      <c r="O44" s="132">
        <v>45261</v>
      </c>
      <c r="P44" s="197">
        <v>2126.35</v>
      </c>
      <c r="Q44" s="55">
        <f t="shared" si="4"/>
        <v>-2.236781609195404E-2</v>
      </c>
      <c r="S44" s="132">
        <v>45261</v>
      </c>
      <c r="T44">
        <v>499.95</v>
      </c>
      <c r="U44" s="55">
        <f t="shared" si="5"/>
        <v>1.3480640583823256E-2</v>
      </c>
      <c r="W44" s="132">
        <v>45261</v>
      </c>
      <c r="X44" s="197">
        <v>2479.25</v>
      </c>
      <c r="Y44" s="55">
        <f t="shared" si="6"/>
        <v>6.8711339095200108E-2</v>
      </c>
      <c r="AA44" s="132">
        <v>45261</v>
      </c>
      <c r="AB44">
        <v>105.5</v>
      </c>
      <c r="AC44" s="55">
        <f t="shared" si="7"/>
        <v>1.0052656773575919E-2</v>
      </c>
      <c r="AE44" s="132">
        <v>45261</v>
      </c>
      <c r="AF44">
        <v>50.19</v>
      </c>
      <c r="AG44" s="55">
        <f t="shared" si="8"/>
        <v>8.8720173535791647E-2</v>
      </c>
      <c r="AI44" s="132">
        <v>45261</v>
      </c>
      <c r="AJ44">
        <v>2481.1999999999998</v>
      </c>
      <c r="AK44" s="55">
        <f t="shared" si="9"/>
        <v>7.6022377379764805E-2</v>
      </c>
      <c r="AM44" s="132">
        <v>45261</v>
      </c>
      <c r="AN44">
        <v>977.05</v>
      </c>
      <c r="AO44" s="55">
        <f t="shared" si="10"/>
        <v>-6.1115648873300454E-2</v>
      </c>
    </row>
    <row r="45" spans="3:41">
      <c r="C45" s="132">
        <v>45231</v>
      </c>
      <c r="D45">
        <v>20133.150000000001</v>
      </c>
      <c r="E45" s="55">
        <f t="shared" si="11"/>
        <v>-7.3545652834147823E-2</v>
      </c>
      <c r="G45" s="132">
        <v>45231</v>
      </c>
      <c r="H45">
        <v>718.1</v>
      </c>
      <c r="I45" s="55">
        <f t="shared" si="2"/>
        <v>-7.5506919858384314E-2</v>
      </c>
      <c r="K45" s="132">
        <v>45231</v>
      </c>
      <c r="L45">
        <v>686.85</v>
      </c>
      <c r="M45" s="55">
        <f t="shared" si="3"/>
        <v>-8.7545665891730295E-2</v>
      </c>
      <c r="O45" s="132">
        <v>45231</v>
      </c>
      <c r="P45" s="197">
        <v>1997.51</v>
      </c>
      <c r="Q45" s="55">
        <f t="shared" si="4"/>
        <v>-6.0592094434124166E-2</v>
      </c>
      <c r="S45" s="132">
        <v>45231</v>
      </c>
      <c r="T45">
        <v>469.8</v>
      </c>
      <c r="U45" s="55">
        <f t="shared" si="5"/>
        <v>-6.0306030603060279E-2</v>
      </c>
      <c r="W45" s="132">
        <v>45231</v>
      </c>
      <c r="X45" s="197">
        <v>2367.4</v>
      </c>
      <c r="Y45" s="55">
        <f t="shared" si="6"/>
        <v>-4.5114449934455902E-2</v>
      </c>
      <c r="AA45" s="132">
        <v>45231</v>
      </c>
      <c r="AB45">
        <v>100.1</v>
      </c>
      <c r="AC45" s="55">
        <f t="shared" si="7"/>
        <v>-5.1184834123222833E-2</v>
      </c>
      <c r="AE45" s="132">
        <v>45231</v>
      </c>
      <c r="AF45">
        <v>49.01</v>
      </c>
      <c r="AG45" s="55">
        <f t="shared" si="8"/>
        <v>-2.3510659493923058E-2</v>
      </c>
      <c r="AI45" s="132">
        <v>45231</v>
      </c>
      <c r="AJ45">
        <v>2196.1</v>
      </c>
      <c r="AK45" s="55">
        <f t="shared" si="9"/>
        <v>-0.11490407867161045</v>
      </c>
      <c r="AM45" s="132">
        <v>45231</v>
      </c>
      <c r="AN45">
        <v>905.05</v>
      </c>
      <c r="AO45" s="55">
        <f t="shared" si="10"/>
        <v>-7.3691213346297579E-2</v>
      </c>
    </row>
    <row r="46" spans="3:41">
      <c r="C46" s="132">
        <v>45200</v>
      </c>
      <c r="D46">
        <v>19079.599999999999</v>
      </c>
      <c r="E46" s="55">
        <f t="shared" si="11"/>
        <v>-5.2329118890983461E-2</v>
      </c>
      <c r="G46" s="132">
        <v>45200</v>
      </c>
      <c r="H46">
        <v>718.5</v>
      </c>
      <c r="I46" s="55">
        <f t="shared" si="2"/>
        <v>5.570254839157851E-4</v>
      </c>
      <c r="K46" s="132">
        <v>45200</v>
      </c>
      <c r="L46">
        <v>691.45</v>
      </c>
      <c r="M46" s="55">
        <f t="shared" si="3"/>
        <v>6.6972410278809402E-3</v>
      </c>
      <c r="O46" s="132">
        <v>45200</v>
      </c>
      <c r="P46" s="197">
        <v>1879.23</v>
      </c>
      <c r="Q46" s="55">
        <f t="shared" si="4"/>
        <v>-5.9213721082748028E-2</v>
      </c>
      <c r="S46" s="132">
        <v>45200</v>
      </c>
      <c r="T46">
        <v>444.15</v>
      </c>
      <c r="U46" s="55">
        <f t="shared" si="5"/>
        <v>-5.4597701149425304E-2</v>
      </c>
      <c r="W46" s="132">
        <v>45200</v>
      </c>
      <c r="X46" s="197">
        <v>2195.3000000000002</v>
      </c>
      <c r="Y46" s="55">
        <f t="shared" si="6"/>
        <v>-7.2695784404832264E-2</v>
      </c>
      <c r="AA46" s="132">
        <v>45200</v>
      </c>
      <c r="AB46">
        <v>112.95</v>
      </c>
      <c r="AC46" s="55">
        <f t="shared" si="7"/>
        <v>0.12837162837162852</v>
      </c>
      <c r="AE46" s="132">
        <v>45200</v>
      </c>
      <c r="AF46">
        <v>54.32</v>
      </c>
      <c r="AG46" s="55">
        <f t="shared" si="8"/>
        <v>0.1083452356661907</v>
      </c>
      <c r="AI46" s="132">
        <v>45200</v>
      </c>
      <c r="AJ46">
        <v>1986.75</v>
      </c>
      <c r="AK46" s="55">
        <f t="shared" si="9"/>
        <v>-9.5328081599198589E-2</v>
      </c>
      <c r="AM46" s="132">
        <v>45200</v>
      </c>
      <c r="AN46">
        <v>895.35</v>
      </c>
      <c r="AO46" s="55">
        <f t="shared" si="10"/>
        <v>-1.0717639909397225E-2</v>
      </c>
    </row>
    <row r="47" spans="3:41">
      <c r="C47" s="132">
        <v>45170</v>
      </c>
      <c r="D47">
        <v>19638.3</v>
      </c>
      <c r="E47" s="55">
        <f t="shared" si="11"/>
        <v>2.9282584540556433E-2</v>
      </c>
      <c r="G47" s="132">
        <v>45170</v>
      </c>
      <c r="H47">
        <v>732.65</v>
      </c>
      <c r="I47" s="55">
        <f t="shared" si="2"/>
        <v>1.9693806541405623E-2</v>
      </c>
      <c r="K47" s="132">
        <v>45170</v>
      </c>
      <c r="L47">
        <v>612.1</v>
      </c>
      <c r="M47" s="55">
        <f t="shared" si="3"/>
        <v>-0.11475884011859139</v>
      </c>
      <c r="O47" s="132">
        <v>45170</v>
      </c>
      <c r="P47" s="197">
        <v>1934.71</v>
      </c>
      <c r="Q47" s="55">
        <f t="shared" si="4"/>
        <v>2.9522730054330815E-2</v>
      </c>
      <c r="S47" s="132">
        <v>45170</v>
      </c>
      <c r="T47">
        <v>484.15</v>
      </c>
      <c r="U47" s="55">
        <f t="shared" si="5"/>
        <v>9.0059664527749606E-2</v>
      </c>
      <c r="W47" s="132">
        <v>45170</v>
      </c>
      <c r="X47" s="197">
        <v>2249.4</v>
      </c>
      <c r="Y47" s="55">
        <f t="shared" si="6"/>
        <v>2.4643556689290635E-2</v>
      </c>
      <c r="AA47" s="132">
        <v>45170</v>
      </c>
      <c r="AB47">
        <v>115.55</v>
      </c>
      <c r="AC47" s="55">
        <f t="shared" si="7"/>
        <v>2.301903497122626E-2</v>
      </c>
      <c r="AE47" s="132">
        <v>45170</v>
      </c>
      <c r="AF47">
        <v>58.91</v>
      </c>
      <c r="AG47" s="55">
        <f t="shared" si="8"/>
        <v>8.4499263622974885E-2</v>
      </c>
      <c r="AI47" s="132">
        <v>45170</v>
      </c>
      <c r="AJ47">
        <v>2120.4499999999998</v>
      </c>
      <c r="AK47" s="55">
        <f t="shared" si="9"/>
        <v>6.7295834906253793E-2</v>
      </c>
      <c r="AM47" s="132">
        <v>45170</v>
      </c>
      <c r="AN47">
        <v>993.5</v>
      </c>
      <c r="AO47" s="55">
        <f t="shared" si="10"/>
        <v>0.10962193555592781</v>
      </c>
    </row>
    <row r="48" spans="3:41">
      <c r="C48" s="132">
        <v>45139</v>
      </c>
      <c r="D48">
        <v>19253.8</v>
      </c>
      <c r="E48" s="55">
        <f t="shared" si="11"/>
        <v>-1.9579087802915729E-2</v>
      </c>
      <c r="G48" s="132">
        <v>45139</v>
      </c>
      <c r="H48">
        <v>697.75</v>
      </c>
      <c r="I48" s="55">
        <f t="shared" si="2"/>
        <v>-4.7635296526308601E-2</v>
      </c>
      <c r="K48" s="132">
        <v>45139</v>
      </c>
      <c r="L48">
        <v>609.5</v>
      </c>
      <c r="M48" s="55">
        <f t="shared" si="3"/>
        <v>-4.2476719490279757E-3</v>
      </c>
      <c r="O48" s="132">
        <v>45139</v>
      </c>
      <c r="P48" s="197">
        <v>1783.86</v>
      </c>
      <c r="Q48" s="55">
        <f t="shared" si="4"/>
        <v>-7.7970341808333066E-2</v>
      </c>
      <c r="S48" s="132">
        <v>45139</v>
      </c>
      <c r="T48">
        <v>519.85</v>
      </c>
      <c r="U48" s="55">
        <f t="shared" si="5"/>
        <v>7.373747805432207E-2</v>
      </c>
      <c r="W48" s="132">
        <v>45139</v>
      </c>
      <c r="X48" s="197">
        <v>2356.5</v>
      </c>
      <c r="Y48" s="55">
        <f t="shared" si="6"/>
        <v>4.7612696719125047E-2</v>
      </c>
      <c r="AA48" s="132">
        <v>45139</v>
      </c>
      <c r="AB48">
        <v>102.94</v>
      </c>
      <c r="AC48" s="55">
        <f t="shared" si="7"/>
        <v>-0.10913024664647342</v>
      </c>
      <c r="AE48" s="132">
        <v>45139</v>
      </c>
      <c r="AF48">
        <v>62.02</v>
      </c>
      <c r="AG48" s="55">
        <f t="shared" si="8"/>
        <v>5.2792395179086959E-2</v>
      </c>
      <c r="AI48" s="132">
        <v>45139</v>
      </c>
      <c r="AJ48">
        <v>2220</v>
      </c>
      <c r="AK48" s="55">
        <f t="shared" si="9"/>
        <v>4.6947581881204625E-2</v>
      </c>
      <c r="AM48" s="132">
        <v>45139</v>
      </c>
      <c r="AN48" s="197">
        <v>1005.95</v>
      </c>
      <c r="AO48" s="55">
        <f t="shared" si="10"/>
        <v>1.2531454453950763E-2</v>
      </c>
    </row>
    <row r="49" spans="3:41">
      <c r="C49" s="132">
        <v>45108</v>
      </c>
      <c r="D49">
        <v>19753.8</v>
      </c>
      <c r="E49" s="55">
        <f t="shared" si="11"/>
        <v>2.5968899645784305E-2</v>
      </c>
      <c r="G49" s="132">
        <v>45108</v>
      </c>
      <c r="H49">
        <v>659.4</v>
      </c>
      <c r="I49" s="55">
        <f t="shared" si="2"/>
        <v>-5.4962379075600198E-2</v>
      </c>
      <c r="K49" s="132">
        <v>45108</v>
      </c>
      <c r="L49">
        <v>592.9</v>
      </c>
      <c r="M49" s="55">
        <f t="shared" si="3"/>
        <v>-2.7235438884331442E-2</v>
      </c>
      <c r="O49" s="132">
        <v>45108</v>
      </c>
      <c r="P49" s="197">
        <v>1842.13</v>
      </c>
      <c r="Q49" s="55">
        <f t="shared" si="4"/>
        <v>3.2665119460047354E-2</v>
      </c>
      <c r="S49" s="132">
        <v>45108</v>
      </c>
      <c r="T49">
        <v>444.05</v>
      </c>
      <c r="U49" s="55">
        <f t="shared" si="5"/>
        <v>-0.14581129171876506</v>
      </c>
      <c r="W49" s="132">
        <v>45108</v>
      </c>
      <c r="X49" s="197">
        <v>2170.5500000000002</v>
      </c>
      <c r="Y49" s="55">
        <f t="shared" si="6"/>
        <v>-7.8909399533205971E-2</v>
      </c>
      <c r="AA49" s="132">
        <v>45108</v>
      </c>
      <c r="AB49">
        <v>95.78</v>
      </c>
      <c r="AC49" s="55">
        <f t="shared" si="7"/>
        <v>-6.9555080629492894E-2</v>
      </c>
      <c r="AE49" s="132">
        <v>45108</v>
      </c>
      <c r="AF49">
        <v>64.08</v>
      </c>
      <c r="AG49" s="55">
        <f t="shared" si="8"/>
        <v>3.3215091905836713E-2</v>
      </c>
      <c r="AI49" s="132">
        <v>45108</v>
      </c>
      <c r="AJ49">
        <v>2010.7</v>
      </c>
      <c r="AK49" s="55">
        <f t="shared" si="9"/>
        <v>-9.427927927927926E-2</v>
      </c>
      <c r="AM49" s="132">
        <v>45108</v>
      </c>
      <c r="AN49">
        <v>945.6</v>
      </c>
      <c r="AO49" s="55">
        <f t="shared" si="10"/>
        <v>-5.9993041403648362E-2</v>
      </c>
    </row>
    <row r="50" spans="3:41">
      <c r="C50" s="132">
        <v>45078</v>
      </c>
      <c r="D50">
        <v>19189.05</v>
      </c>
      <c r="E50" s="55">
        <f t="shared" si="11"/>
        <v>-2.8589435956626108E-2</v>
      </c>
      <c r="G50" s="132">
        <v>45078</v>
      </c>
      <c r="H50">
        <v>678</v>
      </c>
      <c r="I50" s="55">
        <f t="shared" si="2"/>
        <v>2.8207461328480399E-2</v>
      </c>
      <c r="K50" s="132">
        <v>45078</v>
      </c>
      <c r="L50">
        <v>599.15</v>
      </c>
      <c r="M50" s="55">
        <f t="shared" si="3"/>
        <v>1.0541406645302676E-2</v>
      </c>
      <c r="O50" s="132">
        <v>45078</v>
      </c>
      <c r="P50" s="197">
        <v>1727.78</v>
      </c>
      <c r="Q50" s="55">
        <f t="shared" si="4"/>
        <v>-6.2074880708744784E-2</v>
      </c>
      <c r="S50" s="132">
        <v>45078</v>
      </c>
      <c r="T50">
        <v>454.6</v>
      </c>
      <c r="U50" s="55">
        <f t="shared" si="5"/>
        <v>2.375858574484857E-2</v>
      </c>
      <c r="W50" s="132">
        <v>45078</v>
      </c>
      <c r="X50" s="197">
        <v>2289.4499999999998</v>
      </c>
      <c r="Y50" s="55">
        <f t="shared" si="6"/>
        <v>5.4778742714979956E-2</v>
      </c>
      <c r="AA50" s="132">
        <v>45078</v>
      </c>
      <c r="AB50">
        <v>99.93</v>
      </c>
      <c r="AC50" s="55">
        <f t="shared" si="7"/>
        <v>4.3328461056588052E-2</v>
      </c>
      <c r="AE50" s="132">
        <v>45078</v>
      </c>
      <c r="AF50">
        <v>63.98</v>
      </c>
      <c r="AG50" s="55">
        <f t="shared" si="8"/>
        <v>-1.5605493133583614E-3</v>
      </c>
      <c r="AI50" s="132">
        <v>45078</v>
      </c>
      <c r="AJ50">
        <v>2173.75</v>
      </c>
      <c r="AK50" s="55">
        <f t="shared" si="9"/>
        <v>8.1091162281792473E-2</v>
      </c>
      <c r="AM50" s="132">
        <v>45078</v>
      </c>
      <c r="AN50" s="197">
        <v>1107</v>
      </c>
      <c r="AO50" s="55">
        <f t="shared" si="10"/>
        <v>0.17068527918781728</v>
      </c>
    </row>
    <row r="51" spans="3:41">
      <c r="C51" s="132">
        <v>45047</v>
      </c>
      <c r="D51">
        <v>18534.400000000001</v>
      </c>
      <c r="E51" s="55">
        <f t="shared" si="11"/>
        <v>-3.4115810840036231E-2</v>
      </c>
      <c r="G51" s="132">
        <v>45047</v>
      </c>
      <c r="H51">
        <v>648.54999999999995</v>
      </c>
      <c r="I51" s="55">
        <f t="shared" si="2"/>
        <v>-4.3436578171091478E-2</v>
      </c>
      <c r="K51" s="132">
        <v>45047</v>
      </c>
      <c r="L51">
        <v>588.45000000000005</v>
      </c>
      <c r="M51" s="55">
        <f t="shared" si="3"/>
        <v>-1.7858633063506546E-2</v>
      </c>
      <c r="O51" s="132">
        <v>45047</v>
      </c>
      <c r="P51" s="197">
        <v>1711.55</v>
      </c>
      <c r="Q51" s="55">
        <f t="shared" si="4"/>
        <v>-9.3935570500873755E-3</v>
      </c>
      <c r="S51" s="132">
        <v>45047</v>
      </c>
      <c r="T51">
        <v>454.5</v>
      </c>
      <c r="U51" s="55">
        <f t="shared" si="5"/>
        <v>-2.1997360316772241E-4</v>
      </c>
      <c r="W51" s="132">
        <v>45047</v>
      </c>
      <c r="X51" s="197">
        <v>2519.75</v>
      </c>
      <c r="Y51" s="55">
        <f t="shared" si="6"/>
        <v>0.10059184520299636</v>
      </c>
      <c r="AA51" s="132">
        <v>45047</v>
      </c>
      <c r="AB51">
        <v>99</v>
      </c>
      <c r="AC51" s="55">
        <f t="shared" si="7"/>
        <v>-9.3065145601921584E-3</v>
      </c>
      <c r="AE51" s="132">
        <v>45047</v>
      </c>
      <c r="AF51">
        <v>66.930000000000007</v>
      </c>
      <c r="AG51" s="55">
        <f t="shared" si="8"/>
        <v>4.6108158799625043E-2</v>
      </c>
      <c r="AI51" s="132">
        <v>45047</v>
      </c>
      <c r="AJ51">
        <v>2073.8000000000002</v>
      </c>
      <c r="AK51" s="55">
        <f t="shared" si="9"/>
        <v>-4.5980448533639917E-2</v>
      </c>
      <c r="AM51" s="132">
        <v>45047</v>
      </c>
      <c r="AN51">
        <v>926.15</v>
      </c>
      <c r="AO51" s="55">
        <f t="shared" si="10"/>
        <v>-0.16336946702800359</v>
      </c>
    </row>
    <row r="52" spans="3:41">
      <c r="C52" s="132">
        <v>45017</v>
      </c>
      <c r="D52">
        <v>18065</v>
      </c>
      <c r="E52" s="55">
        <f t="shared" si="11"/>
        <v>-2.5325880524861955E-2</v>
      </c>
      <c r="G52" s="132">
        <v>45017</v>
      </c>
      <c r="H52">
        <v>684.45</v>
      </c>
      <c r="I52" s="55">
        <f t="shared" si="2"/>
        <v>5.5354251792460341E-2</v>
      </c>
      <c r="K52" s="132">
        <v>45017</v>
      </c>
      <c r="L52">
        <v>588.5</v>
      </c>
      <c r="M52" s="55">
        <f t="shared" si="3"/>
        <v>8.4968986319822193E-5</v>
      </c>
      <c r="O52" s="132">
        <v>45017</v>
      </c>
      <c r="P52" s="197">
        <v>1713.49</v>
      </c>
      <c r="Q52" s="55">
        <f t="shared" si="4"/>
        <v>1.1334755046594758E-3</v>
      </c>
      <c r="S52" s="132">
        <v>45017</v>
      </c>
      <c r="T52">
        <v>428.85</v>
      </c>
      <c r="U52" s="55">
        <f t="shared" si="5"/>
        <v>-5.6435643564356375E-2</v>
      </c>
      <c r="W52" s="132">
        <v>45017</v>
      </c>
      <c r="X52" s="197">
        <v>2540.25</v>
      </c>
      <c r="Y52" s="55">
        <f t="shared" si="6"/>
        <v>8.135727750768984E-3</v>
      </c>
      <c r="AA52" s="132">
        <v>45017</v>
      </c>
      <c r="AB52">
        <v>112.45</v>
      </c>
      <c r="AC52" s="55">
        <f t="shared" si="7"/>
        <v>0.1358585858585859</v>
      </c>
      <c r="AE52" s="132">
        <v>45017</v>
      </c>
      <c r="AF52">
        <v>75.95</v>
      </c>
      <c r="AG52" s="55">
        <f t="shared" si="8"/>
        <v>0.13476766771253534</v>
      </c>
      <c r="AI52" s="132">
        <v>45017</v>
      </c>
      <c r="AJ52">
        <v>1888.2</v>
      </c>
      <c r="AK52" s="55">
        <f t="shared" si="9"/>
        <v>-8.9497540746455884E-2</v>
      </c>
      <c r="AM52" s="132">
        <v>45017</v>
      </c>
      <c r="AN52">
        <v>956.3</v>
      </c>
      <c r="AO52" s="55">
        <f t="shared" si="10"/>
        <v>3.2554121902499622E-2</v>
      </c>
    </row>
    <row r="53" spans="3:41">
      <c r="C53" s="132">
        <v>44986</v>
      </c>
      <c r="D53">
        <v>17359.75</v>
      </c>
      <c r="E53" s="55">
        <f t="shared" si="11"/>
        <v>-3.9039579296983096E-2</v>
      </c>
      <c r="G53" s="132">
        <v>44986</v>
      </c>
      <c r="H53">
        <v>585.15</v>
      </c>
      <c r="I53" s="55">
        <f t="shared" si="2"/>
        <v>-0.14507999123383752</v>
      </c>
      <c r="K53" s="132">
        <v>44986</v>
      </c>
      <c r="L53">
        <v>509.35</v>
      </c>
      <c r="M53" s="55">
        <f t="shared" si="3"/>
        <v>-0.13449447748513166</v>
      </c>
      <c r="O53" s="132">
        <v>44986</v>
      </c>
      <c r="P53" s="197">
        <v>1626.23</v>
      </c>
      <c r="Q53" s="55">
        <f t="shared" si="4"/>
        <v>-5.0925304495503365E-2</v>
      </c>
      <c r="S53" s="132">
        <v>44986</v>
      </c>
      <c r="T53">
        <v>347.85</v>
      </c>
      <c r="U53" s="55">
        <f t="shared" si="5"/>
        <v>-0.1888772298006296</v>
      </c>
      <c r="W53" s="132">
        <v>44986</v>
      </c>
      <c r="X53" s="197">
        <v>2411.85</v>
      </c>
      <c r="Y53" s="55">
        <f t="shared" si="6"/>
        <v>-5.0546206082078604E-2</v>
      </c>
      <c r="AA53" s="132">
        <v>44986</v>
      </c>
      <c r="AB53">
        <v>97.65</v>
      </c>
      <c r="AC53" s="55">
        <f t="shared" si="7"/>
        <v>-0.13161405068919518</v>
      </c>
      <c r="AE53" s="132">
        <v>44986</v>
      </c>
      <c r="AF53">
        <v>80.930000000000007</v>
      </c>
      <c r="AG53" s="55">
        <f t="shared" si="8"/>
        <v>6.5569453587886795E-2</v>
      </c>
      <c r="AI53" s="132">
        <v>44986</v>
      </c>
      <c r="AJ53">
        <v>1842.6</v>
      </c>
      <c r="AK53" s="55">
        <f t="shared" si="9"/>
        <v>-2.4149984111852651E-2</v>
      </c>
      <c r="AM53" s="132">
        <v>44986</v>
      </c>
      <c r="AN53">
        <v>943.65</v>
      </c>
      <c r="AO53" s="55">
        <f t="shared" si="10"/>
        <v>-1.3228066506326464E-2</v>
      </c>
    </row>
    <row r="54" spans="3:41">
      <c r="C54" s="132">
        <v>44958</v>
      </c>
      <c r="D54">
        <v>17303.95</v>
      </c>
      <c r="E54" s="55">
        <f t="shared" si="11"/>
        <v>-3.2143320036290834E-3</v>
      </c>
      <c r="G54" s="132">
        <v>44958</v>
      </c>
      <c r="H54">
        <v>619.9</v>
      </c>
      <c r="I54" s="55">
        <f t="shared" si="2"/>
        <v>5.9386482098607196E-2</v>
      </c>
      <c r="K54" s="132">
        <v>44958</v>
      </c>
      <c r="L54">
        <v>525.70000000000005</v>
      </c>
      <c r="M54" s="55">
        <f t="shared" si="3"/>
        <v>3.2099734956317016E-2</v>
      </c>
      <c r="O54" s="132">
        <v>44958</v>
      </c>
      <c r="P54" s="197">
        <v>1572.3</v>
      </c>
      <c r="Q54" s="55">
        <f t="shared" si="4"/>
        <v>-3.3162590777442325E-2</v>
      </c>
      <c r="S54" s="132">
        <v>44958</v>
      </c>
      <c r="T54">
        <v>387.6</v>
      </c>
      <c r="U54" s="55">
        <f t="shared" si="5"/>
        <v>0.11427339370418288</v>
      </c>
      <c r="W54" s="132">
        <v>44958</v>
      </c>
      <c r="X54" s="197">
        <v>2168.5500000000002</v>
      </c>
      <c r="Y54" s="55">
        <f t="shared" si="6"/>
        <v>-0.10087692020648042</v>
      </c>
      <c r="AA54" s="132">
        <v>44958</v>
      </c>
      <c r="AB54">
        <v>106.65</v>
      </c>
      <c r="AC54" s="55">
        <f t="shared" si="7"/>
        <v>9.2165898617511566E-2</v>
      </c>
      <c r="AE54" s="132">
        <v>44958</v>
      </c>
      <c r="AF54">
        <v>74.099999999999994</v>
      </c>
      <c r="AG54" s="55">
        <f t="shared" si="8"/>
        <v>-8.4393920672185985E-2</v>
      </c>
      <c r="AI54" s="132">
        <v>44958</v>
      </c>
      <c r="AJ54">
        <v>1799.15</v>
      </c>
      <c r="AK54" s="55">
        <f t="shared" si="9"/>
        <v>-2.3580809725387897E-2</v>
      </c>
      <c r="AM54" s="132">
        <v>44958</v>
      </c>
      <c r="AN54" s="197">
        <v>1023.15</v>
      </c>
      <c r="AO54" s="55">
        <f t="shared" si="10"/>
        <v>8.4247337466221595E-2</v>
      </c>
    </row>
    <row r="55" spans="3:41">
      <c r="C55" s="132">
        <v>44927</v>
      </c>
      <c r="D55">
        <v>17662.150000000001</v>
      </c>
      <c r="E55" s="55">
        <f t="shared" si="11"/>
        <v>2.0700475902900806E-2</v>
      </c>
      <c r="G55" s="132">
        <v>44927</v>
      </c>
      <c r="H55">
        <v>686.9</v>
      </c>
      <c r="I55" s="55">
        <f t="shared" si="2"/>
        <v>0.10808194870140353</v>
      </c>
      <c r="K55" s="132">
        <v>44927</v>
      </c>
      <c r="L55">
        <v>550.4</v>
      </c>
      <c r="M55" s="55">
        <f t="shared" si="3"/>
        <v>4.6984972417728699E-2</v>
      </c>
      <c r="O55" s="132">
        <v>44927</v>
      </c>
      <c r="P55" s="197">
        <v>1583.9</v>
      </c>
      <c r="Q55" s="55">
        <f t="shared" si="4"/>
        <v>7.3777268969026366E-3</v>
      </c>
      <c r="S55" s="132">
        <v>44927</v>
      </c>
      <c r="T55">
        <v>441.95</v>
      </c>
      <c r="U55" s="55">
        <f t="shared" si="5"/>
        <v>0.14022187822497401</v>
      </c>
      <c r="W55" s="132">
        <v>44927</v>
      </c>
      <c r="X55" s="197">
        <v>2182.4499999999998</v>
      </c>
      <c r="Y55" s="55">
        <f t="shared" si="6"/>
        <v>6.4098130086922556E-3</v>
      </c>
      <c r="AA55" s="132">
        <v>44927</v>
      </c>
      <c r="AB55">
        <v>112.5</v>
      </c>
      <c r="AC55" s="55">
        <f t="shared" si="7"/>
        <v>5.4852320675105481E-2</v>
      </c>
      <c r="AE55" s="132">
        <v>44927</v>
      </c>
      <c r="AF55">
        <v>69.45</v>
      </c>
      <c r="AG55" s="55">
        <f t="shared" si="8"/>
        <v>-6.2753036437246834E-2</v>
      </c>
      <c r="AI55" s="132">
        <v>44927</v>
      </c>
      <c r="AJ55">
        <v>1880.05</v>
      </c>
      <c r="AK55" s="55">
        <f t="shared" si="9"/>
        <v>4.4965678236945195E-2</v>
      </c>
      <c r="AM55" s="132">
        <v>44927</v>
      </c>
      <c r="AN55" s="197">
        <v>1044.5</v>
      </c>
      <c r="AO55" s="55">
        <f t="shared" si="10"/>
        <v>2.0866930557591701E-2</v>
      </c>
    </row>
    <row r="56" spans="3:41">
      <c r="C56" s="132">
        <v>44896</v>
      </c>
      <c r="D56">
        <v>18105.3</v>
      </c>
      <c r="E56" s="55">
        <f t="shared" si="11"/>
        <v>2.5090376879371767E-2</v>
      </c>
      <c r="G56" s="132">
        <v>44896</v>
      </c>
      <c r="H56">
        <v>767.1</v>
      </c>
      <c r="I56" s="55">
        <f t="shared" si="2"/>
        <v>0.11675644198573298</v>
      </c>
      <c r="K56" s="132">
        <v>44896</v>
      </c>
      <c r="L56">
        <v>557</v>
      </c>
      <c r="M56" s="55">
        <f t="shared" si="3"/>
        <v>1.199127906976738E-2</v>
      </c>
      <c r="O56" s="132">
        <v>44896</v>
      </c>
      <c r="P56" s="197">
        <v>1716.67</v>
      </c>
      <c r="Q56" s="55">
        <f t="shared" si="4"/>
        <v>8.3824736410126777E-2</v>
      </c>
      <c r="S56" s="132">
        <v>44896</v>
      </c>
      <c r="T56">
        <v>459.65</v>
      </c>
      <c r="U56" s="55">
        <f t="shared" si="5"/>
        <v>4.0049779386808426E-2</v>
      </c>
      <c r="W56" s="132">
        <v>44896</v>
      </c>
      <c r="X56" s="197">
        <v>2290.35</v>
      </c>
      <c r="Y56" s="55">
        <f t="shared" si="6"/>
        <v>4.9439849710188222E-2</v>
      </c>
      <c r="AA56" s="132">
        <v>44896</v>
      </c>
      <c r="AB56">
        <v>132.30000000000001</v>
      </c>
      <c r="AC56" s="55">
        <f t="shared" si="7"/>
        <v>0.17600000000000016</v>
      </c>
      <c r="AE56" s="132">
        <v>44896</v>
      </c>
      <c r="AF56">
        <v>77.55</v>
      </c>
      <c r="AG56" s="55">
        <f t="shared" si="8"/>
        <v>0.11663066954643631</v>
      </c>
      <c r="AI56" s="132">
        <v>44896</v>
      </c>
      <c r="AJ56">
        <v>1985.3</v>
      </c>
      <c r="AK56" s="55">
        <f t="shared" si="9"/>
        <v>5.5982553655487877E-2</v>
      </c>
      <c r="AM56" s="132">
        <v>44896</v>
      </c>
      <c r="AN56" s="197">
        <v>1248.3</v>
      </c>
      <c r="AO56" s="55">
        <f t="shared" si="10"/>
        <v>0.19511728099569159</v>
      </c>
    </row>
    <row r="57" spans="3:41">
      <c r="C57" s="132">
        <v>44866</v>
      </c>
      <c r="D57">
        <v>18758.349999999999</v>
      </c>
      <c r="E57" s="55">
        <f t="shared" si="11"/>
        <v>3.6069548695685683E-2</v>
      </c>
      <c r="G57" s="132">
        <v>44866</v>
      </c>
      <c r="H57">
        <v>794.15</v>
      </c>
      <c r="I57" s="55">
        <f t="shared" si="2"/>
        <v>3.5262677616999083E-2</v>
      </c>
      <c r="K57" s="132">
        <v>44866</v>
      </c>
      <c r="L57">
        <v>601.25</v>
      </c>
      <c r="M57" s="55">
        <f t="shared" si="3"/>
        <v>7.9443447037701898E-2</v>
      </c>
      <c r="O57" s="132">
        <v>44866</v>
      </c>
      <c r="P57" s="197">
        <v>1752.78</v>
      </c>
      <c r="Q57" s="55">
        <f t="shared" si="4"/>
        <v>2.1034910611823943E-2</v>
      </c>
      <c r="S57" s="132">
        <v>44866</v>
      </c>
      <c r="T57">
        <v>388.35</v>
      </c>
      <c r="U57" s="55">
        <f t="shared" si="5"/>
        <v>-0.15511802458392243</v>
      </c>
      <c r="W57" s="132">
        <v>44866</v>
      </c>
      <c r="X57" s="197">
        <v>2365.6999999999998</v>
      </c>
      <c r="Y57" s="55">
        <f t="shared" si="6"/>
        <v>3.2898901914554468E-2</v>
      </c>
      <c r="AA57" s="132">
        <v>44866</v>
      </c>
      <c r="AB57">
        <v>135.1</v>
      </c>
      <c r="AC57" s="55">
        <f t="shared" si="7"/>
        <v>2.1164021164020941E-2</v>
      </c>
      <c r="AE57" s="132">
        <v>44866</v>
      </c>
      <c r="AF57">
        <v>82.15</v>
      </c>
      <c r="AG57" s="55">
        <f t="shared" si="8"/>
        <v>5.9316569954867893E-2</v>
      </c>
      <c r="AI57" s="132">
        <v>44866</v>
      </c>
      <c r="AJ57">
        <v>2175.5500000000002</v>
      </c>
      <c r="AK57" s="55">
        <f t="shared" si="9"/>
        <v>9.5829345690827683E-2</v>
      </c>
      <c r="AM57" s="132">
        <v>44866</v>
      </c>
      <c r="AN57" s="197">
        <v>1271.05</v>
      </c>
      <c r="AO57" s="55">
        <f t="shared" si="10"/>
        <v>1.8224785708563562E-2</v>
      </c>
    </row>
    <row r="58" spans="3:41">
      <c r="C58" s="132">
        <v>44835</v>
      </c>
      <c r="D58">
        <v>18012.2</v>
      </c>
      <c r="E58" s="55">
        <f t="shared" si="11"/>
        <v>-3.9776952663746923E-2</v>
      </c>
      <c r="G58" s="132">
        <v>44835</v>
      </c>
      <c r="H58">
        <v>891</v>
      </c>
      <c r="I58" s="55">
        <f t="shared" si="2"/>
        <v>0.12195429075111752</v>
      </c>
      <c r="K58" s="132">
        <v>44835</v>
      </c>
      <c r="L58">
        <v>709.15</v>
      </c>
      <c r="M58" s="55">
        <f t="shared" si="3"/>
        <v>0.1794594594594594</v>
      </c>
      <c r="O58" s="132">
        <v>44835</v>
      </c>
      <c r="P58" s="197">
        <v>1714.88</v>
      </c>
      <c r="Q58" s="55">
        <f t="shared" si="4"/>
        <v>-2.1622793505174598E-2</v>
      </c>
      <c r="S58" s="132">
        <v>44835</v>
      </c>
      <c r="T58">
        <v>375.2</v>
      </c>
      <c r="U58" s="55">
        <f t="shared" si="5"/>
        <v>-3.3861207673490545E-2</v>
      </c>
      <c r="W58" s="132">
        <v>44835</v>
      </c>
      <c r="X58" s="197">
        <v>2558.65</v>
      </c>
      <c r="Y58" s="55">
        <f t="shared" si="6"/>
        <v>8.1561482859196177E-2</v>
      </c>
      <c r="AA58" s="132">
        <v>44835</v>
      </c>
      <c r="AB58">
        <v>147.65</v>
      </c>
      <c r="AC58" s="55">
        <f t="shared" si="7"/>
        <v>9.289415247964472E-2</v>
      </c>
      <c r="AE58" s="132">
        <v>44835</v>
      </c>
      <c r="AF58">
        <v>83.4</v>
      </c>
      <c r="AG58" s="55">
        <f t="shared" si="8"/>
        <v>1.5216068167985375E-2</v>
      </c>
      <c r="AI58" s="132">
        <v>44835</v>
      </c>
      <c r="AJ58">
        <v>2313.9499999999998</v>
      </c>
      <c r="AK58" s="55">
        <f t="shared" si="9"/>
        <v>6.3616097078899481E-2</v>
      </c>
      <c r="AM58" s="132">
        <v>44835</v>
      </c>
      <c r="AN58" s="197">
        <v>1314.55</v>
      </c>
      <c r="AO58" s="55">
        <f t="shared" si="10"/>
        <v>3.4223673340938676E-2</v>
      </c>
    </row>
    <row r="59" spans="3:41">
      <c r="C59" s="132">
        <v>44805</v>
      </c>
      <c r="D59">
        <v>17094.349999999999</v>
      </c>
      <c r="E59" s="55">
        <f t="shared" si="11"/>
        <v>-5.0957129056972583E-2</v>
      </c>
      <c r="G59" s="132">
        <v>44805</v>
      </c>
      <c r="H59">
        <v>848.65</v>
      </c>
      <c r="I59" s="55">
        <f t="shared" si="2"/>
        <v>-4.7530864197530942E-2</v>
      </c>
      <c r="K59" s="132">
        <v>44805</v>
      </c>
      <c r="L59">
        <v>641.65</v>
      </c>
      <c r="M59" s="55">
        <f t="shared" si="3"/>
        <v>-9.5184375661002574E-2</v>
      </c>
      <c r="O59" s="132">
        <v>44805</v>
      </c>
      <c r="P59" s="197">
        <v>1668.22</v>
      </c>
      <c r="Q59" s="55">
        <f t="shared" si="4"/>
        <v>-2.7208900914349687E-2</v>
      </c>
      <c r="S59" s="132">
        <v>44805</v>
      </c>
      <c r="T59">
        <v>419.2</v>
      </c>
      <c r="U59" s="55">
        <f t="shared" si="5"/>
        <v>0.11727078891257992</v>
      </c>
      <c r="W59" s="132">
        <v>44805</v>
      </c>
      <c r="X59" s="197">
        <v>2503.4499999999998</v>
      </c>
      <c r="Y59" s="55">
        <f t="shared" si="6"/>
        <v>-2.1573876849119711E-2</v>
      </c>
      <c r="AA59" s="132">
        <v>44805</v>
      </c>
      <c r="AB59">
        <v>165.5</v>
      </c>
      <c r="AC59" s="55">
        <f t="shared" si="7"/>
        <v>0.12089400609549616</v>
      </c>
      <c r="AE59" s="132">
        <v>44805</v>
      </c>
      <c r="AF59">
        <v>73.349999999999994</v>
      </c>
      <c r="AG59" s="55">
        <f t="shared" si="8"/>
        <v>-0.1205035971223023</v>
      </c>
      <c r="AI59" s="132">
        <v>44805</v>
      </c>
      <c r="AJ59">
        <v>2036</v>
      </c>
      <c r="AK59" s="55">
        <f t="shared" si="9"/>
        <v>-0.12011927656172339</v>
      </c>
      <c r="AM59" s="132">
        <v>44805</v>
      </c>
      <c r="AN59" s="197">
        <v>1421.05</v>
      </c>
      <c r="AO59" s="55">
        <f t="shared" si="10"/>
        <v>8.1016317370963487E-2</v>
      </c>
    </row>
    <row r="60" spans="3:41">
      <c r="C60" s="132">
        <v>44774</v>
      </c>
      <c r="D60">
        <v>17759.3</v>
      </c>
      <c r="E60" s="55">
        <f t="shared" si="11"/>
        <v>3.8898817445530254E-2</v>
      </c>
      <c r="G60" s="132">
        <v>44774</v>
      </c>
      <c r="H60">
        <v>888.9</v>
      </c>
      <c r="I60" s="55">
        <f t="shared" si="2"/>
        <v>4.7428268426324083E-2</v>
      </c>
      <c r="K60" s="132">
        <v>44774</v>
      </c>
      <c r="L60">
        <v>750.45</v>
      </c>
      <c r="M60" s="55">
        <f t="shared" si="3"/>
        <v>0.16956284578820235</v>
      </c>
      <c r="O60" s="132">
        <v>44774</v>
      </c>
      <c r="P60" s="197">
        <v>1672</v>
      </c>
      <c r="Q60" s="55">
        <f t="shared" si="4"/>
        <v>2.2658881922048568E-3</v>
      </c>
      <c r="S60" s="132">
        <v>44774</v>
      </c>
      <c r="T60">
        <v>422.2</v>
      </c>
      <c r="U60" s="55">
        <f t="shared" si="5"/>
        <v>7.1564885496182562E-3</v>
      </c>
      <c r="W60" s="132">
        <v>44774</v>
      </c>
      <c r="X60" s="197">
        <v>2543.4</v>
      </c>
      <c r="Y60" s="55">
        <f t="shared" si="6"/>
        <v>1.5957977990373351E-2</v>
      </c>
      <c r="AA60" s="132">
        <v>44774</v>
      </c>
      <c r="AB60">
        <v>144.80000000000001</v>
      </c>
      <c r="AC60" s="55">
        <f t="shared" si="7"/>
        <v>-0.12507552870090632</v>
      </c>
      <c r="AE60" s="132">
        <v>44774</v>
      </c>
      <c r="AF60">
        <v>73.900000000000006</v>
      </c>
      <c r="AG60" s="55">
        <f t="shared" si="8"/>
        <v>7.4982958418543522E-3</v>
      </c>
      <c r="AI60" s="132">
        <v>44774</v>
      </c>
      <c r="AJ60">
        <v>1979.05</v>
      </c>
      <c r="AK60" s="55">
        <f t="shared" si="9"/>
        <v>-2.7971512770137541E-2</v>
      </c>
      <c r="AM60" s="132">
        <v>44774</v>
      </c>
      <c r="AN60" s="197">
        <v>1428.75</v>
      </c>
      <c r="AO60" s="55">
        <f t="shared" si="10"/>
        <v>5.4185285528307592E-3</v>
      </c>
    </row>
    <row r="61" spans="3:41">
      <c r="C61" s="132">
        <v>44743</v>
      </c>
      <c r="D61">
        <v>17158.25</v>
      </c>
      <c r="E61" s="55">
        <f t="shared" si="11"/>
        <v>-3.3844239356280892E-2</v>
      </c>
      <c r="G61" s="132">
        <v>44743</v>
      </c>
      <c r="H61">
        <v>752.6</v>
      </c>
      <c r="I61" s="55">
        <f t="shared" si="2"/>
        <v>-0.15333558330520869</v>
      </c>
      <c r="K61" s="132">
        <v>44743</v>
      </c>
      <c r="L61">
        <v>721.8</v>
      </c>
      <c r="M61" s="55">
        <f t="shared" si="3"/>
        <v>-3.8177093743753887E-2</v>
      </c>
      <c r="O61" s="132">
        <v>44743</v>
      </c>
      <c r="P61" s="197">
        <v>1561.91</v>
      </c>
      <c r="Q61" s="55">
        <f t="shared" si="4"/>
        <v>-6.584330143540662E-2</v>
      </c>
      <c r="S61" s="132">
        <v>44743</v>
      </c>
      <c r="T61">
        <v>475.7</v>
      </c>
      <c r="U61" s="55">
        <f t="shared" si="5"/>
        <v>0.126717195641876</v>
      </c>
      <c r="W61" s="132">
        <v>44743</v>
      </c>
      <c r="X61" s="197">
        <v>2428.3000000000002</v>
      </c>
      <c r="Y61" s="55">
        <f t="shared" si="6"/>
        <v>-4.5254383895572792E-2</v>
      </c>
      <c r="AA61" s="132">
        <v>44743</v>
      </c>
      <c r="AB61">
        <v>85.85</v>
      </c>
      <c r="AC61" s="55">
        <f t="shared" si="7"/>
        <v>-0.40711325966850842</v>
      </c>
      <c r="AE61" s="132">
        <v>44743</v>
      </c>
      <c r="AF61">
        <v>76.900000000000006</v>
      </c>
      <c r="AG61" s="55">
        <f t="shared" si="8"/>
        <v>4.0595399188092074E-2</v>
      </c>
      <c r="AI61" s="132">
        <v>44743</v>
      </c>
      <c r="AJ61">
        <v>1919.4</v>
      </c>
      <c r="AK61" s="55">
        <f t="shared" si="9"/>
        <v>-3.0140724084788073E-2</v>
      </c>
      <c r="AM61" s="132">
        <v>44743</v>
      </c>
      <c r="AN61" s="197">
        <v>1511.25</v>
      </c>
      <c r="AO61" s="55">
        <f t="shared" si="10"/>
        <v>5.7742782152230943E-2</v>
      </c>
    </row>
    <row r="62" spans="3:41">
      <c r="C62" s="132">
        <v>44713</v>
      </c>
      <c r="D62">
        <v>15780.25</v>
      </c>
      <c r="E62" s="55">
        <f t="shared" si="11"/>
        <v>-8.0311220549881268E-2</v>
      </c>
      <c r="G62" s="132">
        <v>44713</v>
      </c>
      <c r="H62">
        <v>689.35</v>
      </c>
      <c r="I62" s="55">
        <f t="shared" si="2"/>
        <v>-8.4041987775710814E-2</v>
      </c>
      <c r="K62" s="132">
        <v>44713</v>
      </c>
      <c r="L62">
        <v>571.79999999999995</v>
      </c>
      <c r="M62" s="55">
        <f t="shared" si="3"/>
        <v>-0.20781379883624274</v>
      </c>
      <c r="O62" s="132">
        <v>44713</v>
      </c>
      <c r="P62" s="197">
        <v>1311.44</v>
      </c>
      <c r="Q62" s="55">
        <f t="shared" si="4"/>
        <v>-0.16036135244668392</v>
      </c>
      <c r="S62" s="132">
        <v>44713</v>
      </c>
      <c r="T62">
        <v>470.15</v>
      </c>
      <c r="U62" s="55">
        <f t="shared" si="5"/>
        <v>-1.1667017027538362E-2</v>
      </c>
      <c r="W62" s="132">
        <v>44713</v>
      </c>
      <c r="X62" s="197">
        <v>2252.1999999999998</v>
      </c>
      <c r="Y62" s="55">
        <f t="shared" si="6"/>
        <v>-7.2519869867808895E-2</v>
      </c>
      <c r="AA62" s="132">
        <v>44713</v>
      </c>
      <c r="AB62">
        <v>70.150000000000006</v>
      </c>
      <c r="AC62" s="55">
        <f t="shared" si="7"/>
        <v>-0.18287711124053574</v>
      </c>
      <c r="AE62" s="132">
        <v>44713</v>
      </c>
      <c r="AF62">
        <v>71.3</v>
      </c>
      <c r="AG62" s="55">
        <f t="shared" si="8"/>
        <v>-7.2821846553966285E-2</v>
      </c>
      <c r="AI62" s="132">
        <v>44713</v>
      </c>
      <c r="AJ62">
        <v>1736.4</v>
      </c>
      <c r="AK62" s="55">
        <f t="shared" si="9"/>
        <v>-9.5342294467020916E-2</v>
      </c>
      <c r="AM62" s="132">
        <v>44713</v>
      </c>
      <c r="AN62" s="197">
        <v>1273.9000000000001</v>
      </c>
      <c r="AO62" s="55">
        <f t="shared" si="10"/>
        <v>-0.15705541770057896</v>
      </c>
    </row>
    <row r="63" spans="3:41">
      <c r="C63" s="132">
        <v>44682</v>
      </c>
      <c r="D63">
        <v>16584.55</v>
      </c>
      <c r="E63" s="55">
        <f t="shared" si="11"/>
        <v>5.0968774258962846E-2</v>
      </c>
      <c r="G63" s="132">
        <v>44682</v>
      </c>
      <c r="H63">
        <v>803.5</v>
      </c>
      <c r="I63" s="55">
        <f t="shared" si="2"/>
        <v>0.16559077391745847</v>
      </c>
      <c r="K63" s="132">
        <v>44682</v>
      </c>
      <c r="L63">
        <v>665.75</v>
      </c>
      <c r="M63" s="55">
        <f t="shared" si="3"/>
        <v>0.16430570129415889</v>
      </c>
      <c r="O63" s="132">
        <v>44682</v>
      </c>
      <c r="P63" s="197">
        <v>1418.53</v>
      </c>
      <c r="Q63" s="55">
        <f t="shared" si="4"/>
        <v>8.1658329774903837E-2</v>
      </c>
      <c r="S63" s="132">
        <v>44682</v>
      </c>
      <c r="T63">
        <v>482.3</v>
      </c>
      <c r="U63" s="55">
        <f t="shared" si="5"/>
        <v>2.5842816122514156E-2</v>
      </c>
      <c r="W63" s="132">
        <v>44682</v>
      </c>
      <c r="X63" s="197">
        <v>2464.0500000000002</v>
      </c>
      <c r="Y63" s="55">
        <f t="shared" si="6"/>
        <v>9.4063582275109026E-2</v>
      </c>
      <c r="AA63" s="132">
        <v>44682</v>
      </c>
      <c r="AB63">
        <v>79.650000000000006</v>
      </c>
      <c r="AC63" s="55">
        <f t="shared" si="7"/>
        <v>0.13542409123307197</v>
      </c>
      <c r="AE63" s="132">
        <v>44682</v>
      </c>
      <c r="AF63">
        <v>78.650000000000006</v>
      </c>
      <c r="AG63" s="55">
        <f t="shared" si="8"/>
        <v>0.1030855539971951</v>
      </c>
      <c r="AI63" s="132">
        <v>44682</v>
      </c>
      <c r="AJ63">
        <v>1997</v>
      </c>
      <c r="AK63" s="55">
        <f t="shared" si="9"/>
        <v>0.15008062658373644</v>
      </c>
      <c r="AM63" s="132">
        <v>44682</v>
      </c>
      <c r="AN63" s="197">
        <v>1405.35</v>
      </c>
      <c r="AO63" s="55">
        <f t="shared" si="10"/>
        <v>0.10318706334877126</v>
      </c>
    </row>
    <row r="64" spans="3:41">
      <c r="C64" s="132">
        <v>44652</v>
      </c>
      <c r="D64">
        <v>17102.55</v>
      </c>
      <c r="E64" s="55">
        <f t="shared" si="11"/>
        <v>3.1233889372940471E-2</v>
      </c>
      <c r="G64" s="132">
        <v>44652</v>
      </c>
      <c r="H64">
        <v>994</v>
      </c>
      <c r="I64" s="55">
        <f t="shared" si="2"/>
        <v>0.23708774113254516</v>
      </c>
      <c r="K64" s="132">
        <v>44652</v>
      </c>
      <c r="L64">
        <v>827.55</v>
      </c>
      <c r="M64" s="55">
        <f t="shared" si="3"/>
        <v>0.24303417198648125</v>
      </c>
      <c r="O64" s="132">
        <v>44652</v>
      </c>
      <c r="P64" s="197">
        <v>1680.37</v>
      </c>
      <c r="Q64" s="55">
        <f t="shared" si="4"/>
        <v>0.18458545113603519</v>
      </c>
      <c r="S64" s="132">
        <v>44652</v>
      </c>
      <c r="T64">
        <v>594.4</v>
      </c>
      <c r="U64" s="55">
        <f t="shared" si="5"/>
        <v>0.23242794940908151</v>
      </c>
      <c r="W64" s="132">
        <v>44652</v>
      </c>
      <c r="X64" s="197">
        <v>2512.6999999999998</v>
      </c>
      <c r="Y64" s="55">
        <f t="shared" si="6"/>
        <v>1.9743917534140731E-2</v>
      </c>
      <c r="AA64" s="132">
        <v>44652</v>
      </c>
      <c r="AB64">
        <v>102.7</v>
      </c>
      <c r="AC64" s="55">
        <f t="shared" si="7"/>
        <v>0.2893910860012554</v>
      </c>
      <c r="AE64" s="132">
        <v>44652</v>
      </c>
      <c r="AF64">
        <v>93.45</v>
      </c>
      <c r="AG64" s="55">
        <f t="shared" si="8"/>
        <v>0.18817546090273352</v>
      </c>
      <c r="AI64" s="132">
        <v>44652</v>
      </c>
      <c r="AJ64">
        <v>2326.6</v>
      </c>
      <c r="AK64" s="55">
        <f t="shared" si="9"/>
        <v>0.16504757135703541</v>
      </c>
      <c r="AM64" s="132">
        <v>44652</v>
      </c>
      <c r="AN64" s="197">
        <v>1443.9</v>
      </c>
      <c r="AO64" s="55">
        <f t="shared" si="10"/>
        <v>2.7430889102358913E-2</v>
      </c>
    </row>
    <row r="65" spans="3:41">
      <c r="C65" s="132">
        <v>44621</v>
      </c>
      <c r="D65">
        <v>17464.75</v>
      </c>
      <c r="E65" s="55">
        <f t="shared" si="11"/>
        <v>2.1178128407752128E-2</v>
      </c>
      <c r="G65" s="132">
        <v>44621</v>
      </c>
      <c r="H65">
        <v>896.55</v>
      </c>
      <c r="I65" s="55">
        <f t="shared" si="2"/>
        <v>-9.8038229376257613E-2</v>
      </c>
      <c r="K65" s="132">
        <v>44621</v>
      </c>
      <c r="L65">
        <v>844.45</v>
      </c>
      <c r="M65" s="55">
        <f t="shared" si="3"/>
        <v>2.0421726783880212E-2</v>
      </c>
      <c r="O65" s="132">
        <v>44621</v>
      </c>
      <c r="P65" s="197">
        <v>1652.27</v>
      </c>
      <c r="Q65" s="55">
        <f t="shared" si="4"/>
        <v>-1.6722507542981546E-2</v>
      </c>
      <c r="S65" s="132">
        <v>44621</v>
      </c>
      <c r="T65">
        <v>665.15</v>
      </c>
      <c r="U65" s="55">
        <f t="shared" si="5"/>
        <v>0.11902759084791392</v>
      </c>
      <c r="W65" s="132">
        <v>44621</v>
      </c>
      <c r="X65" s="197">
        <v>2679.35</v>
      </c>
      <c r="Y65" s="55">
        <f t="shared" si="6"/>
        <v>6.6323078759899845E-2</v>
      </c>
      <c r="AA65" s="132">
        <v>44621</v>
      </c>
      <c r="AB65">
        <v>78.45</v>
      </c>
      <c r="AC65" s="55">
        <f t="shared" si="7"/>
        <v>-0.23612463485881208</v>
      </c>
      <c r="AE65" s="132">
        <v>44621</v>
      </c>
      <c r="AF65">
        <v>86.2</v>
      </c>
      <c r="AG65" s="55">
        <f t="shared" si="8"/>
        <v>-7.7581594435527035E-2</v>
      </c>
      <c r="AI65" s="132">
        <v>44621</v>
      </c>
      <c r="AJ65">
        <v>2243.75</v>
      </c>
      <c r="AK65" s="55">
        <f t="shared" si="9"/>
        <v>-3.5609902862546172E-2</v>
      </c>
      <c r="AM65" s="132">
        <v>44621</v>
      </c>
      <c r="AN65">
        <v>972.8</v>
      </c>
      <c r="AO65" s="55">
        <f t="shared" si="10"/>
        <v>-0.3262691322113721</v>
      </c>
    </row>
    <row r="66" spans="3:41">
      <c r="C66" s="132">
        <v>44593</v>
      </c>
      <c r="D66">
        <v>16793.900000000001</v>
      </c>
      <c r="E66" s="55">
        <f t="shared" si="11"/>
        <v>-3.841165776778932E-2</v>
      </c>
      <c r="G66" s="132">
        <v>44593</v>
      </c>
      <c r="H66">
        <v>636.35</v>
      </c>
      <c r="I66" s="55">
        <f t="shared" si="2"/>
        <v>-0.2902236350454519</v>
      </c>
      <c r="K66" s="132">
        <v>44593</v>
      </c>
      <c r="L66">
        <v>553</v>
      </c>
      <c r="M66" s="55">
        <f t="shared" si="3"/>
        <v>-0.34513588726389965</v>
      </c>
      <c r="O66" s="132">
        <v>44593</v>
      </c>
      <c r="P66" s="197">
        <v>1587.23</v>
      </c>
      <c r="Q66" s="55">
        <f t="shared" si="4"/>
        <v>-3.9364026460566359E-2</v>
      </c>
      <c r="S66" s="132">
        <v>44593</v>
      </c>
      <c r="T66">
        <v>472.05</v>
      </c>
      <c r="U66" s="55">
        <f t="shared" si="5"/>
        <v>-0.2903104562880553</v>
      </c>
      <c r="W66" s="132">
        <v>44593</v>
      </c>
      <c r="X66" s="197">
        <v>2383.65</v>
      </c>
      <c r="Y66" s="55">
        <f t="shared" si="6"/>
        <v>-0.11036258794110509</v>
      </c>
      <c r="AA66" s="132">
        <v>44593</v>
      </c>
      <c r="AB66">
        <v>61.1</v>
      </c>
      <c r="AC66" s="55">
        <f t="shared" si="7"/>
        <v>-0.22115997450605485</v>
      </c>
      <c r="AE66" s="132">
        <v>44593</v>
      </c>
      <c r="AF66">
        <v>74.95</v>
      </c>
      <c r="AG66" s="55">
        <f t="shared" si="8"/>
        <v>-0.13051044083526686</v>
      </c>
      <c r="AI66" s="132">
        <v>44593</v>
      </c>
      <c r="AJ66">
        <v>1999.05</v>
      </c>
      <c r="AK66" s="55">
        <f t="shared" si="9"/>
        <v>-0.109058495821727</v>
      </c>
      <c r="AM66" s="132">
        <v>44593</v>
      </c>
      <c r="AN66">
        <v>759.95</v>
      </c>
      <c r="AO66" s="55">
        <f t="shared" si="10"/>
        <v>-0.21880139802631571</v>
      </c>
    </row>
    <row r="67" spans="3:41">
      <c r="C67" s="132">
        <v>44562</v>
      </c>
      <c r="D67">
        <v>17339.849999999999</v>
      </c>
      <c r="E67" s="55">
        <f t="shared" si="11"/>
        <v>3.2508827610024937E-2</v>
      </c>
      <c r="G67" s="132">
        <v>44562</v>
      </c>
      <c r="H67">
        <v>689.85</v>
      </c>
      <c r="I67" s="55">
        <f t="shared" si="2"/>
        <v>8.4073230140645938E-2</v>
      </c>
      <c r="K67" s="132">
        <v>44562</v>
      </c>
      <c r="L67">
        <v>469.75</v>
      </c>
      <c r="M67" s="55">
        <f t="shared" si="3"/>
        <v>-0.15054249547920429</v>
      </c>
      <c r="O67" s="132">
        <v>44562</v>
      </c>
      <c r="P67" s="197">
        <v>1715.32</v>
      </c>
      <c r="Q67" s="55">
        <f t="shared" si="4"/>
        <v>8.0700339585315195E-2</v>
      </c>
      <c r="S67" s="132">
        <v>44562</v>
      </c>
      <c r="T67">
        <v>554.1</v>
      </c>
      <c r="U67" s="55">
        <f t="shared" si="5"/>
        <v>0.17381633301557042</v>
      </c>
      <c r="W67" s="132">
        <v>44562</v>
      </c>
      <c r="X67" s="197">
        <v>2406.8000000000002</v>
      </c>
      <c r="Y67" s="55">
        <f t="shared" si="6"/>
        <v>9.7119963081828686E-3</v>
      </c>
      <c r="AA67" s="132">
        <v>44562</v>
      </c>
      <c r="AB67">
        <v>65.25</v>
      </c>
      <c r="AC67" s="55">
        <f t="shared" si="7"/>
        <v>6.7921440261865751E-2</v>
      </c>
      <c r="AE67" s="132">
        <v>44562</v>
      </c>
      <c r="AF67">
        <v>67.75</v>
      </c>
      <c r="AG67" s="55">
        <f t="shared" si="8"/>
        <v>-9.6064042695130136E-2</v>
      </c>
      <c r="AI67" s="132">
        <v>44562</v>
      </c>
      <c r="AJ67">
        <v>2231.5</v>
      </c>
      <c r="AK67" s="55">
        <f t="shared" si="9"/>
        <v>0.11628023311072755</v>
      </c>
      <c r="AM67" s="132">
        <v>44562</v>
      </c>
      <c r="AN67">
        <v>881.65</v>
      </c>
      <c r="AO67" s="55">
        <f t="shared" si="10"/>
        <v>0.16014211461280348</v>
      </c>
    </row>
    <row r="68" spans="3:41">
      <c r="C68" s="132">
        <v>44531</v>
      </c>
      <c r="D68">
        <v>17354.05</v>
      </c>
      <c r="E68" s="55">
        <f t="shared" si="11"/>
        <v>8.189228857227171E-4</v>
      </c>
      <c r="G68" s="132">
        <v>44531</v>
      </c>
      <c r="H68">
        <v>650.15</v>
      </c>
      <c r="I68" s="55">
        <f t="shared" si="2"/>
        <v>-5.7548742480249437E-2</v>
      </c>
      <c r="K68" s="132">
        <v>44531</v>
      </c>
      <c r="L68">
        <v>440.65</v>
      </c>
      <c r="M68" s="55">
        <f t="shared" si="3"/>
        <v>-6.1947844598190582E-2</v>
      </c>
      <c r="O68" s="132">
        <v>44531</v>
      </c>
      <c r="P68" s="197">
        <v>1610.81</v>
      </c>
      <c r="Q68" s="55">
        <f t="shared" si="4"/>
        <v>-6.0927407131030953E-2</v>
      </c>
      <c r="S68" s="132">
        <v>44531</v>
      </c>
      <c r="T68">
        <v>552.5</v>
      </c>
      <c r="U68" s="55">
        <f t="shared" si="5"/>
        <v>-2.8875654214041147E-3</v>
      </c>
      <c r="W68" s="132">
        <v>44531</v>
      </c>
      <c r="X68" s="197">
        <v>2420.1</v>
      </c>
      <c r="Y68" s="55">
        <f t="shared" si="6"/>
        <v>5.5260096393550118E-3</v>
      </c>
      <c r="AA68" s="132">
        <v>44531</v>
      </c>
      <c r="AB68">
        <v>49.15</v>
      </c>
      <c r="AC68" s="55">
        <f t="shared" si="7"/>
        <v>-0.24674329501915715</v>
      </c>
      <c r="AE68" s="132">
        <v>44531</v>
      </c>
      <c r="AF68">
        <v>58.39</v>
      </c>
      <c r="AG68" s="55">
        <f t="shared" si="8"/>
        <v>-0.13815498154981554</v>
      </c>
      <c r="AI68" s="132">
        <v>44531</v>
      </c>
      <c r="AJ68">
        <v>2490.1999999999998</v>
      </c>
      <c r="AK68" s="55">
        <f t="shared" si="9"/>
        <v>0.1159309881245798</v>
      </c>
      <c r="AM68" s="132">
        <v>44531</v>
      </c>
      <c r="AN68">
        <v>757.1</v>
      </c>
      <c r="AO68" s="55">
        <f t="shared" si="10"/>
        <v>-0.14126921113820667</v>
      </c>
    </row>
    <row r="69" spans="3:41">
      <c r="C69" s="132">
        <v>44501</v>
      </c>
      <c r="D69">
        <v>16983.2</v>
      </c>
      <c r="E69" s="55">
        <f t="shared" si="11"/>
        <v>-2.1369651464643646E-2</v>
      </c>
      <c r="G69" s="132">
        <v>44501</v>
      </c>
      <c r="H69">
        <v>607.54999999999995</v>
      </c>
      <c r="I69" s="55">
        <f t="shared" si="2"/>
        <v>-6.5523340767515204E-2</v>
      </c>
      <c r="K69" s="132">
        <v>44501</v>
      </c>
      <c r="L69">
        <v>424.75</v>
      </c>
      <c r="M69" s="55">
        <f t="shared" si="3"/>
        <v>-3.6083059117213212E-2</v>
      </c>
      <c r="O69" s="132">
        <v>44501</v>
      </c>
      <c r="P69" s="197">
        <v>1650.73</v>
      </c>
      <c r="Q69" s="55">
        <f t="shared" si="4"/>
        <v>2.4782562810014896E-2</v>
      </c>
      <c r="S69" s="132">
        <v>44501</v>
      </c>
      <c r="T69">
        <v>572.6</v>
      </c>
      <c r="U69" s="55">
        <f t="shared" si="5"/>
        <v>3.6380090497737605E-2</v>
      </c>
      <c r="W69" s="132">
        <v>44501</v>
      </c>
      <c r="X69" s="197">
        <v>2005.85</v>
      </c>
      <c r="Y69" s="55">
        <f t="shared" si="6"/>
        <v>-0.17117061278459567</v>
      </c>
      <c r="AA69" s="132">
        <v>44501</v>
      </c>
      <c r="AB69">
        <v>48.2</v>
      </c>
      <c r="AC69" s="55">
        <f t="shared" si="7"/>
        <v>-1.9328585961342792E-2</v>
      </c>
      <c r="AE69" s="132">
        <v>44501</v>
      </c>
      <c r="AF69">
        <v>43.9</v>
      </c>
      <c r="AG69" s="55">
        <f t="shared" si="8"/>
        <v>-0.2481589313238568</v>
      </c>
      <c r="AI69" s="132">
        <v>44501</v>
      </c>
      <c r="AJ69">
        <v>2119.4</v>
      </c>
      <c r="AK69" s="55">
        <f t="shared" si="9"/>
        <v>-0.14890370251385421</v>
      </c>
      <c r="AM69" s="132">
        <v>44501</v>
      </c>
      <c r="AN69">
        <v>667.7</v>
      </c>
      <c r="AO69" s="55">
        <f t="shared" si="10"/>
        <v>-0.11808215559371282</v>
      </c>
    </row>
    <row r="70" spans="3:41">
      <c r="C70" s="132">
        <v>44470</v>
      </c>
      <c r="D70">
        <v>17671.650000000001</v>
      </c>
      <c r="E70" s="55">
        <f t="shared" si="11"/>
        <v>4.0537119035281899E-2</v>
      </c>
      <c r="G70" s="132">
        <v>44470</v>
      </c>
      <c r="H70">
        <v>750.75</v>
      </c>
      <c r="I70" s="55">
        <f t="shared" si="2"/>
        <v>0.23570076536910545</v>
      </c>
      <c r="K70" s="132">
        <v>44470</v>
      </c>
      <c r="L70">
        <v>460.6</v>
      </c>
      <c r="M70" s="55">
        <f t="shared" si="3"/>
        <v>8.4402589758681534E-2</v>
      </c>
      <c r="O70" s="132">
        <v>44470</v>
      </c>
      <c r="P70" s="197">
        <v>1708.96</v>
      </c>
      <c r="Q70" s="55">
        <f t="shared" si="4"/>
        <v>3.5275302441949874E-2</v>
      </c>
      <c r="S70" s="132">
        <v>44470</v>
      </c>
      <c r="T70">
        <v>650.6</v>
      </c>
      <c r="U70" s="55">
        <f t="shared" si="5"/>
        <v>0.13622074746769131</v>
      </c>
      <c r="W70" s="132">
        <v>44470</v>
      </c>
      <c r="X70" s="197">
        <v>2117.3000000000002</v>
      </c>
      <c r="Y70" s="55">
        <f t="shared" si="6"/>
        <v>5.5562479746740889E-2</v>
      </c>
      <c r="AA70" s="132">
        <v>44470</v>
      </c>
      <c r="AB70">
        <v>55</v>
      </c>
      <c r="AC70" s="55">
        <f t="shared" si="7"/>
        <v>0.1410788381742738</v>
      </c>
      <c r="AE70" s="132">
        <v>44470</v>
      </c>
      <c r="AF70">
        <v>33.28</v>
      </c>
      <c r="AG70" s="55">
        <f t="shared" si="8"/>
        <v>-0.24191343963553524</v>
      </c>
      <c r="AI70" s="132">
        <v>44470</v>
      </c>
      <c r="AJ70">
        <v>2230.35</v>
      </c>
      <c r="AK70" s="55">
        <f t="shared" si="9"/>
        <v>5.2349721619326051E-2</v>
      </c>
      <c r="AM70" s="132">
        <v>44470</v>
      </c>
      <c r="AN70">
        <v>886.7</v>
      </c>
      <c r="AO70" s="55">
        <f t="shared" si="10"/>
        <v>0.32799161299985014</v>
      </c>
    </row>
    <row r="71" spans="3:41">
      <c r="C71" s="132">
        <v>44440</v>
      </c>
      <c r="D71">
        <v>17618.150000000001</v>
      </c>
      <c r="E71" s="55">
        <f t="shared" si="11"/>
        <v>-3.0274479179929203E-3</v>
      </c>
      <c r="G71" s="132">
        <v>44440</v>
      </c>
      <c r="H71">
        <v>672.75</v>
      </c>
      <c r="I71" s="55">
        <f t="shared" si="2"/>
        <v>-0.10389610389610393</v>
      </c>
      <c r="K71" s="132">
        <v>44440</v>
      </c>
      <c r="L71">
        <v>434.25</v>
      </c>
      <c r="M71" s="55">
        <f t="shared" si="3"/>
        <v>-5.7207989578810348E-2</v>
      </c>
      <c r="O71" s="132">
        <v>44440</v>
      </c>
      <c r="P71" s="197">
        <v>1657.68</v>
      </c>
      <c r="Q71" s="55">
        <f t="shared" si="4"/>
        <v>-3.000655369347438E-2</v>
      </c>
      <c r="S71" s="132">
        <v>44440</v>
      </c>
      <c r="T71">
        <v>612.45000000000005</v>
      </c>
      <c r="U71" s="55">
        <f>T71/T70-1</f>
        <v>-5.863818014140787E-2</v>
      </c>
      <c r="W71" s="132">
        <v>44440</v>
      </c>
      <c r="X71" s="197">
        <v>2255.8200000000002</v>
      </c>
      <c r="Y71" s="55">
        <f t="shared" si="6"/>
        <v>6.5422944315874032E-2</v>
      </c>
      <c r="AA71" s="132">
        <v>44440</v>
      </c>
      <c r="AB71">
        <v>55.45</v>
      </c>
      <c r="AC71" s="55">
        <f t="shared" si="7"/>
        <v>8.18181818181829E-3</v>
      </c>
      <c r="AE71" s="132">
        <v>44440</v>
      </c>
      <c r="AF71">
        <v>26.02</v>
      </c>
      <c r="AG71" s="55">
        <f t="shared" si="8"/>
        <v>-0.21814903846153855</v>
      </c>
      <c r="AI71" s="132">
        <v>44440</v>
      </c>
      <c r="AJ71">
        <v>2406.5500000000002</v>
      </c>
      <c r="AK71" s="55">
        <f t="shared" si="9"/>
        <v>7.9001053646288844E-2</v>
      </c>
      <c r="AM71" s="132">
        <v>44440</v>
      </c>
      <c r="AN71">
        <v>778.2</v>
      </c>
      <c r="AO71" s="55">
        <f t="shared" si="10"/>
        <v>-0.12236382090898834</v>
      </c>
    </row>
    <row r="72" spans="3:41">
      <c r="C72" s="132">
        <v>44409</v>
      </c>
      <c r="D72">
        <v>17132.2</v>
      </c>
      <c r="E72" s="55">
        <f t="shared" si="11"/>
        <v>-2.7582351154917029E-2</v>
      </c>
      <c r="G72" s="132">
        <v>44409</v>
      </c>
      <c r="H72">
        <v>454.5</v>
      </c>
      <c r="I72" s="55">
        <f t="shared" si="2"/>
        <v>-0.32441471571906355</v>
      </c>
      <c r="K72" s="132">
        <v>44409</v>
      </c>
      <c r="L72">
        <v>332.6</v>
      </c>
      <c r="M72" s="55">
        <f t="shared" si="3"/>
        <v>-0.23408175014392629</v>
      </c>
      <c r="O72" s="132">
        <v>44409</v>
      </c>
      <c r="P72" s="197">
        <v>1489.82</v>
      </c>
      <c r="Q72" s="55">
        <f t="shared" si="4"/>
        <v>-0.10126200472950153</v>
      </c>
      <c r="W72" s="132">
        <v>44409</v>
      </c>
      <c r="X72" s="197">
        <v>2027.95</v>
      </c>
      <c r="Y72" s="55">
        <f t="shared" si="6"/>
        <v>-0.10101426532258784</v>
      </c>
      <c r="AA72" s="132">
        <v>44409</v>
      </c>
      <c r="AB72">
        <v>34.6</v>
      </c>
      <c r="AC72" s="55">
        <f t="shared" si="7"/>
        <v>-0.37601442741208302</v>
      </c>
      <c r="AE72" s="132">
        <v>44409</v>
      </c>
      <c r="AF72">
        <v>22.72</v>
      </c>
      <c r="AG72" s="55">
        <f t="shared" si="8"/>
        <v>-0.12682551883166793</v>
      </c>
      <c r="AI72" s="132">
        <v>44409</v>
      </c>
      <c r="AJ72">
        <v>2283.6</v>
      </c>
      <c r="AK72" s="55">
        <f t="shared" si="9"/>
        <v>-5.1089734266896669E-2</v>
      </c>
    </row>
    <row r="73" spans="3:41">
      <c r="C73" s="132">
        <v>44378</v>
      </c>
      <c r="D73">
        <v>15763.05</v>
      </c>
      <c r="E73" s="55">
        <f t="shared" si="11"/>
        <v>-7.9916764922193351E-2</v>
      </c>
      <c r="G73" s="132">
        <v>44378</v>
      </c>
      <c r="H73">
        <v>478.6</v>
      </c>
      <c r="I73" s="55">
        <f t="shared" si="2"/>
        <v>5.3025302530253171E-2</v>
      </c>
      <c r="K73" s="132">
        <v>44378</v>
      </c>
      <c r="L73">
        <v>384.7</v>
      </c>
      <c r="M73" s="55">
        <f t="shared" si="3"/>
        <v>0.15664461815995168</v>
      </c>
      <c r="O73" s="132">
        <v>44378</v>
      </c>
      <c r="P73" s="197">
        <v>1536.31</v>
      </c>
      <c r="Q73" s="55">
        <f t="shared" si="4"/>
        <v>3.1205112026956305E-2</v>
      </c>
      <c r="W73" s="132">
        <v>44378</v>
      </c>
      <c r="X73" s="197">
        <v>1731.74</v>
      </c>
      <c r="Y73" s="55">
        <f t="shared" si="6"/>
        <v>-0.14606375896841639</v>
      </c>
      <c r="AA73" s="132">
        <v>44378</v>
      </c>
      <c r="AB73">
        <v>39.85</v>
      </c>
      <c r="AC73" s="55">
        <f t="shared" si="7"/>
        <v>0.15173410404624277</v>
      </c>
      <c r="AE73" s="132">
        <v>44378</v>
      </c>
      <c r="AF73">
        <v>24.85</v>
      </c>
      <c r="AG73" s="55">
        <f t="shared" si="8"/>
        <v>9.3750000000000222E-2</v>
      </c>
      <c r="AI73" s="132">
        <v>44378</v>
      </c>
      <c r="AJ73">
        <v>2039.2</v>
      </c>
      <c r="AK73" s="55">
        <f t="shared" si="9"/>
        <v>-0.10702399719740752</v>
      </c>
    </row>
    <row r="74" spans="3:41">
      <c r="C74" s="132">
        <v>44348</v>
      </c>
      <c r="D74">
        <v>15721.5</v>
      </c>
      <c r="E74" s="55">
        <f t="shared" si="11"/>
        <v>-2.6359111973888183E-3</v>
      </c>
      <c r="G74" s="132">
        <v>44348</v>
      </c>
      <c r="H74">
        <v>402.3</v>
      </c>
      <c r="I74" s="55">
        <f t="shared" si="2"/>
        <v>-0.15942331801086507</v>
      </c>
      <c r="K74" s="132">
        <v>44348</v>
      </c>
      <c r="L74">
        <v>377.2</v>
      </c>
      <c r="M74" s="55">
        <f t="shared" si="3"/>
        <v>-1.949571094359237E-2</v>
      </c>
      <c r="O74" s="132">
        <v>44348</v>
      </c>
      <c r="P74" s="197">
        <v>1484.22</v>
      </c>
      <c r="Q74" s="55">
        <f t="shared" si="4"/>
        <v>-3.3905917425519516E-2</v>
      </c>
      <c r="W74" s="132">
        <v>44348</v>
      </c>
      <c r="X74" s="197">
        <v>1455.14</v>
      </c>
      <c r="Y74" s="55">
        <f t="shared" si="6"/>
        <v>-0.15972374605887718</v>
      </c>
      <c r="AA74" s="132">
        <v>44348</v>
      </c>
      <c r="AB74">
        <v>30.15</v>
      </c>
      <c r="AC74" s="55">
        <f t="shared" si="7"/>
        <v>-0.24341279799247184</v>
      </c>
      <c r="AE74" s="132">
        <v>44348</v>
      </c>
      <c r="AF74">
        <v>16.43</v>
      </c>
      <c r="AG74" s="55">
        <f t="shared" si="8"/>
        <v>-0.33883299798792765</v>
      </c>
      <c r="AI74" s="132">
        <v>44348</v>
      </c>
      <c r="AJ74">
        <v>1807.63</v>
      </c>
      <c r="AK74" s="55">
        <f t="shared" si="9"/>
        <v>-0.11355923891722242</v>
      </c>
    </row>
    <row r="75" spans="3:41">
      <c r="C75" s="132">
        <v>44317</v>
      </c>
      <c r="D75">
        <v>15582.8</v>
      </c>
      <c r="E75" s="55">
        <f t="shared" si="11"/>
        <v>-8.8223133924880681E-3</v>
      </c>
      <c r="G75" s="132">
        <v>44317</v>
      </c>
      <c r="H75">
        <v>402.45</v>
      </c>
      <c r="I75" s="55">
        <f t="shared" si="2"/>
        <v>3.7285607755399575E-4</v>
      </c>
      <c r="K75" s="132">
        <v>44317</v>
      </c>
      <c r="L75">
        <v>375.85</v>
      </c>
      <c r="M75" s="55">
        <f t="shared" si="3"/>
        <v>-3.5790031813360823E-3</v>
      </c>
      <c r="O75" s="132">
        <v>44317</v>
      </c>
      <c r="P75" s="197">
        <v>1456.94</v>
      </c>
      <c r="Q75" s="55">
        <f t="shared" si="4"/>
        <v>-1.8380024524666139E-2</v>
      </c>
      <c r="W75" s="132">
        <v>44317</v>
      </c>
      <c r="X75" s="197">
        <v>1302.6300000000001</v>
      </c>
      <c r="Y75" s="55">
        <f t="shared" si="6"/>
        <v>-0.10480778481795561</v>
      </c>
      <c r="AA75" s="132">
        <v>44317</v>
      </c>
      <c r="AB75">
        <v>34.700000000000003</v>
      </c>
      <c r="AC75" s="55">
        <f t="shared" si="7"/>
        <v>0.15091210613598682</v>
      </c>
      <c r="AE75" s="132">
        <v>44317</v>
      </c>
      <c r="AF75">
        <v>17.57</v>
      </c>
      <c r="AG75" s="55">
        <f t="shared" si="8"/>
        <v>6.9385270846013425E-2</v>
      </c>
      <c r="AI75" s="132">
        <v>44317</v>
      </c>
      <c r="AJ75">
        <v>1784.49</v>
      </c>
      <c r="AK75" s="55">
        <f t="shared" si="9"/>
        <v>-1.2801292299862266E-2</v>
      </c>
    </row>
    <row r="76" spans="3:41">
      <c r="C76" s="132">
        <v>44287</v>
      </c>
      <c r="D76">
        <v>14631.1</v>
      </c>
      <c r="E76" s="55">
        <f t="shared" si="11"/>
        <v>-6.1073747978540371E-2</v>
      </c>
      <c r="G76" s="132">
        <v>44287</v>
      </c>
      <c r="H76">
        <v>412.15</v>
      </c>
      <c r="I76" s="55">
        <f t="shared" si="2"/>
        <v>2.4102372965585817E-2</v>
      </c>
      <c r="K76" s="132">
        <v>44287</v>
      </c>
      <c r="L76">
        <v>361.85</v>
      </c>
      <c r="M76" s="55">
        <f t="shared" si="3"/>
        <v>-3.7248902487694524E-2</v>
      </c>
      <c r="O76" s="132">
        <v>44287</v>
      </c>
      <c r="P76" s="197">
        <v>1388.16</v>
      </c>
      <c r="Q76" s="55">
        <f t="shared" si="4"/>
        <v>-4.7208532952626725E-2</v>
      </c>
      <c r="W76" s="132">
        <v>44287</v>
      </c>
      <c r="X76" s="197">
        <v>1286.22</v>
      </c>
      <c r="Y76" s="55">
        <f t="shared" si="6"/>
        <v>-1.2597591027383115E-2</v>
      </c>
      <c r="AA76" s="132">
        <v>44287</v>
      </c>
      <c r="AB76">
        <v>32.950000000000003</v>
      </c>
      <c r="AC76" s="55">
        <f t="shared" si="7"/>
        <v>-5.0432276657060515E-2</v>
      </c>
      <c r="AE76" s="132">
        <v>44287</v>
      </c>
      <c r="AF76">
        <v>17.43</v>
      </c>
      <c r="AG76" s="55">
        <f t="shared" si="8"/>
        <v>-7.9681274900398336E-3</v>
      </c>
      <c r="AI76" s="132">
        <v>44287</v>
      </c>
      <c r="AJ76">
        <v>1864.65</v>
      </c>
      <c r="AK76" s="55">
        <f t="shared" si="9"/>
        <v>4.492039742447429E-2</v>
      </c>
    </row>
    <row r="77" spans="3:41">
      <c r="C77" s="132">
        <v>44256</v>
      </c>
      <c r="D77">
        <v>14690.7</v>
      </c>
      <c r="E77" s="55">
        <f t="shared" si="11"/>
        <v>4.0735146366301933E-3</v>
      </c>
      <c r="G77" s="132">
        <v>44256</v>
      </c>
      <c r="H77">
        <v>344.8</v>
      </c>
      <c r="I77" s="55">
        <f t="shared" si="2"/>
        <v>-0.16341137935217753</v>
      </c>
      <c r="K77" s="132">
        <v>44256</v>
      </c>
      <c r="L77">
        <v>300.2</v>
      </c>
      <c r="M77" s="55">
        <f t="shared" si="3"/>
        <v>-0.17037446455713701</v>
      </c>
      <c r="O77" s="132">
        <v>44256</v>
      </c>
      <c r="P77" s="197">
        <v>1436.49</v>
      </c>
      <c r="Q77" s="55">
        <f>P77/P76-1</f>
        <v>3.4815871369294538E-2</v>
      </c>
      <c r="W77" s="132">
        <v>44256</v>
      </c>
      <c r="X77" s="197">
        <v>1082.1600000000001</v>
      </c>
      <c r="Y77" s="55">
        <f t="shared" si="6"/>
        <v>-0.15865093063395064</v>
      </c>
      <c r="AA77" s="132">
        <v>44256</v>
      </c>
      <c r="AB77">
        <v>24.25</v>
      </c>
      <c r="AC77" s="55">
        <f t="shared" si="7"/>
        <v>-0.26403641881638851</v>
      </c>
      <c r="AE77" s="132">
        <v>44256</v>
      </c>
      <c r="AF77">
        <v>17.850000000000001</v>
      </c>
      <c r="AG77" s="55">
        <f t="shared" si="8"/>
        <v>2.4096385542168752E-2</v>
      </c>
      <c r="AI77" s="132">
        <v>44256</v>
      </c>
      <c r="AJ77">
        <v>1655.65</v>
      </c>
      <c r="AK77" s="55">
        <f t="shared" si="9"/>
        <v>-0.11208537795296702</v>
      </c>
    </row>
    <row r="79" spans="3:41">
      <c r="H79" s="39" t="s">
        <v>178</v>
      </c>
      <c r="I79" s="211">
        <f>SLOPE(I19:I77,$E$19:$E$77)</f>
        <v>1.5204460685958194</v>
      </c>
      <c r="J79" s="211"/>
      <c r="K79" s="211"/>
      <c r="L79" s="211"/>
      <c r="M79" s="211">
        <f>SLOPE(M19:M77,$E$19:$E$77)</f>
        <v>1.2939188995892519</v>
      </c>
      <c r="N79" s="211"/>
      <c r="O79" s="211"/>
      <c r="P79" s="211"/>
      <c r="Q79" s="211">
        <f>SLOPE(Q19:Q77,$E$19:$E$77)</f>
        <v>1.1622768870550617</v>
      </c>
      <c r="R79" s="211"/>
      <c r="S79" s="211"/>
      <c r="T79" s="211"/>
      <c r="U79" s="211">
        <f>SLOPE(U19:U71,$E$19:$E$71)</f>
        <v>1.060229229889404</v>
      </c>
      <c r="V79" s="211"/>
      <c r="W79" s="211"/>
      <c r="X79" s="211"/>
      <c r="Y79" s="211">
        <f>SLOPE(Y19:Y77,$E$19:$E$77)</f>
        <v>0.95707112099839564</v>
      </c>
      <c r="Z79" s="211"/>
      <c r="AA79" s="211"/>
      <c r="AB79" s="211"/>
      <c r="AC79" s="211">
        <f>SLOPE(AC19:AC77,$E$19:$E$77)</f>
        <v>0.71612139261690666</v>
      </c>
      <c r="AD79" s="211"/>
      <c r="AE79" s="211"/>
      <c r="AF79" s="211"/>
      <c r="AG79" s="211">
        <f>SLOPE(AG19:AG77,$E$19:$E$77)</f>
        <v>0.34179507033429618</v>
      </c>
      <c r="AH79" s="211"/>
      <c r="AI79" s="211"/>
      <c r="AJ79" s="211"/>
      <c r="AK79" s="211">
        <f>SLOPE(AK19:AK77,$E$19:$E$77)</f>
        <v>1.5441466820381691</v>
      </c>
      <c r="AO79" s="211">
        <f>SLOPE(AO19:AO71,$E$19:$E$71)</f>
        <v>1.5680077616860517</v>
      </c>
    </row>
    <row r="83" spans="2:56">
      <c r="D83" t="s">
        <v>981</v>
      </c>
      <c r="J83" t="s">
        <v>943</v>
      </c>
      <c r="P83" t="s">
        <v>944</v>
      </c>
      <c r="V83" t="s">
        <v>945</v>
      </c>
      <c r="AB83" t="s">
        <v>615</v>
      </c>
      <c r="AH83" t="s">
        <v>979</v>
      </c>
      <c r="AN83" t="s">
        <v>948</v>
      </c>
      <c r="AT83" t="s">
        <v>980</v>
      </c>
      <c r="AZ83" t="s">
        <v>210</v>
      </c>
    </row>
    <row r="84" spans="2:56">
      <c r="D84" s="39">
        <v>2021</v>
      </c>
      <c r="E84" s="39">
        <f>D84+1</f>
        <v>2022</v>
      </c>
      <c r="F84" s="39">
        <f t="shared" ref="F84:H84" si="12">E84+1</f>
        <v>2023</v>
      </c>
      <c r="G84" s="39">
        <f t="shared" si="12"/>
        <v>2024</v>
      </c>
      <c r="H84" s="39">
        <f t="shared" si="12"/>
        <v>2025</v>
      </c>
      <c r="J84" s="39">
        <v>2021</v>
      </c>
      <c r="K84" s="39">
        <f>J84+1</f>
        <v>2022</v>
      </c>
      <c r="L84" s="39">
        <f t="shared" ref="L84" si="13">K84+1</f>
        <v>2023</v>
      </c>
      <c r="M84" s="39">
        <v>2024</v>
      </c>
      <c r="N84" s="39">
        <v>2025</v>
      </c>
      <c r="P84" s="39">
        <v>2021</v>
      </c>
      <c r="Q84" s="39">
        <f>P84+1</f>
        <v>2022</v>
      </c>
      <c r="R84" s="39">
        <f t="shared" ref="R84" si="14">Q84+1</f>
        <v>2023</v>
      </c>
      <c r="S84" s="39">
        <v>2024</v>
      </c>
      <c r="T84" s="39">
        <v>2025</v>
      </c>
      <c r="V84" s="39">
        <v>2021</v>
      </c>
      <c r="W84" s="39">
        <f>V84+1</f>
        <v>2022</v>
      </c>
      <c r="X84" s="39">
        <f t="shared" ref="X84" si="15">W84+1</f>
        <v>2023</v>
      </c>
      <c r="Y84" s="39">
        <v>2024</v>
      </c>
      <c r="Z84" s="39">
        <v>2025</v>
      </c>
      <c r="AB84" s="39">
        <v>2021</v>
      </c>
      <c r="AC84" s="39">
        <f>AB84+1</f>
        <v>2022</v>
      </c>
      <c r="AD84" s="39">
        <f t="shared" ref="AD84" si="16">AC84+1</f>
        <v>2023</v>
      </c>
      <c r="AE84" s="39">
        <v>2024</v>
      </c>
      <c r="AF84" s="39">
        <v>2025</v>
      </c>
      <c r="AH84" s="39">
        <v>2021</v>
      </c>
      <c r="AI84" s="39">
        <f>AH84+1</f>
        <v>2022</v>
      </c>
      <c r="AJ84" s="39">
        <f t="shared" ref="AJ84" si="17">AI84+1</f>
        <v>2023</v>
      </c>
      <c r="AK84" s="39">
        <v>2024</v>
      </c>
      <c r="AL84" s="39">
        <v>2025</v>
      </c>
      <c r="AN84" s="39">
        <v>2021</v>
      </c>
      <c r="AO84" s="39">
        <f>AN84+1</f>
        <v>2022</v>
      </c>
      <c r="AP84" s="39">
        <f t="shared" ref="AP84" si="18">AO84+1</f>
        <v>2023</v>
      </c>
      <c r="AQ84" s="39">
        <v>2024</v>
      </c>
      <c r="AR84" s="39">
        <v>2025</v>
      </c>
      <c r="AT84" s="39">
        <v>2021</v>
      </c>
      <c r="AU84" s="39">
        <f>AT84+1</f>
        <v>2022</v>
      </c>
      <c r="AV84" s="39">
        <f t="shared" ref="AV84" si="19">AU84+1</f>
        <v>2023</v>
      </c>
      <c r="AW84" s="39">
        <v>2024</v>
      </c>
      <c r="AX84" s="39">
        <v>2025</v>
      </c>
      <c r="AZ84" s="39">
        <v>2021</v>
      </c>
      <c r="BA84" s="39">
        <f>AZ84+1</f>
        <v>2022</v>
      </c>
      <c r="BB84" s="39">
        <f t="shared" ref="BB84" si="20">BA84+1</f>
        <v>2023</v>
      </c>
      <c r="BC84" s="39">
        <v>2024</v>
      </c>
      <c r="BD84" s="39">
        <v>2025</v>
      </c>
    </row>
    <row r="85" spans="2:56">
      <c r="B85" s="39" t="s">
        <v>963</v>
      </c>
      <c r="D85">
        <v>498</v>
      </c>
      <c r="E85">
        <v>594</v>
      </c>
      <c r="F85">
        <v>597</v>
      </c>
      <c r="G85" s="39"/>
      <c r="H85" s="39">
        <v>561</v>
      </c>
      <c r="J85">
        <v>4</v>
      </c>
      <c r="K85">
        <v>2</v>
      </c>
      <c r="L85">
        <v>2</v>
      </c>
      <c r="M85" s="39">
        <v>3</v>
      </c>
      <c r="N85" s="39">
        <v>106</v>
      </c>
      <c r="P85" s="142">
        <v>79078</v>
      </c>
      <c r="Q85" s="142">
        <v>74744</v>
      </c>
      <c r="R85" s="142">
        <v>103039</v>
      </c>
      <c r="S85" s="142">
        <v>137155</v>
      </c>
      <c r="T85" s="142">
        <v>186326</v>
      </c>
      <c r="V85" s="142">
        <v>2127</v>
      </c>
      <c r="W85" s="142">
        <v>882</v>
      </c>
      <c r="X85" s="142">
        <v>1019</v>
      </c>
      <c r="Y85" s="39">
        <v>1548</v>
      </c>
      <c r="Z85" s="39">
        <v>1842</v>
      </c>
      <c r="AB85" s="142">
        <v>3469</v>
      </c>
      <c r="AC85" s="142">
        <v>3655</v>
      </c>
      <c r="AD85" s="142">
        <v>4478</v>
      </c>
      <c r="AE85" s="39">
        <v>5031</v>
      </c>
      <c r="AF85" s="39">
        <v>4726</v>
      </c>
      <c r="AH85" s="142">
        <v>499</v>
      </c>
      <c r="AI85" s="142">
        <v>461</v>
      </c>
      <c r="AJ85" s="142">
        <v>234</v>
      </c>
      <c r="AK85" s="39">
        <v>321</v>
      </c>
      <c r="AL85" s="39">
        <v>357</v>
      </c>
      <c r="AN85" s="142">
        <v>1</v>
      </c>
      <c r="AO85" s="142">
        <v>61</v>
      </c>
      <c r="AP85" s="142">
        <v>145</v>
      </c>
      <c r="AQ85" s="39">
        <v>178</v>
      </c>
      <c r="AR85" s="39">
        <v>169</v>
      </c>
      <c r="AT85" s="142">
        <v>590</v>
      </c>
      <c r="AU85" s="142">
        <v>315</v>
      </c>
      <c r="AV85" s="142">
        <v>73</v>
      </c>
      <c r="AW85" s="39">
        <v>286</v>
      </c>
      <c r="AX85" s="142">
        <v>1267</v>
      </c>
      <c r="AZ85" s="142">
        <v>753</v>
      </c>
      <c r="BA85" s="142">
        <v>993</v>
      </c>
      <c r="BB85" s="142">
        <v>879</v>
      </c>
      <c r="BC85" s="39">
        <v>964</v>
      </c>
      <c r="BD85" s="142">
        <v>593</v>
      </c>
    </row>
    <row r="86" spans="2:56">
      <c r="B86" s="39" t="s">
        <v>133</v>
      </c>
      <c r="D86" s="39">
        <f>SUM(D87:D88)</f>
        <v>5374</v>
      </c>
      <c r="E86" s="39">
        <f>SUM(E87:E88)</f>
        <v>5899</v>
      </c>
      <c r="F86" s="39">
        <f>SUM(F87:F88)</f>
        <v>6139</v>
      </c>
      <c r="G86" s="39">
        <f>SUM(G87:G88)</f>
        <v>6075</v>
      </c>
      <c r="H86" s="39">
        <f t="shared" ref="H86" si="21">SUM(H87:H88)</f>
        <v>5669</v>
      </c>
      <c r="J86" s="142">
        <f>SUM(J87:J88)</f>
        <v>6068</v>
      </c>
      <c r="K86" s="142">
        <f>SUM(K87:K88)</f>
        <v>7990</v>
      </c>
      <c r="L86" s="142">
        <f>SUM(L87:L88)</f>
        <v>9105</v>
      </c>
      <c r="M86" s="142">
        <f>SUM(M87:M88)</f>
        <v>8309</v>
      </c>
      <c r="N86" s="142">
        <f>SUM(N87:N88)</f>
        <v>8576</v>
      </c>
      <c r="P86" s="142">
        <f t="shared" ref="P86:R86" si="22">SUM(P87:P88)</f>
        <v>65494</v>
      </c>
      <c r="Q86" s="142">
        <f t="shared" si="22"/>
        <v>75699</v>
      </c>
      <c r="R86" s="142">
        <f t="shared" si="22"/>
        <v>78742</v>
      </c>
      <c r="S86" s="142">
        <f>SUM(S87:S88)</f>
        <v>88653</v>
      </c>
      <c r="T86" s="142">
        <f>SUM(T87:T88)</f>
        <v>97509</v>
      </c>
      <c r="V86" s="142">
        <f t="shared" ref="V86" si="23">SUM(V87:V88)</f>
        <v>-350</v>
      </c>
      <c r="W86" s="142">
        <f t="shared" ref="W86" si="24">SUM(W87:W88)</f>
        <v>1705</v>
      </c>
      <c r="X86" s="142">
        <f t="shared" ref="X86" si="25">SUM(X87:X88)</f>
        <v>1858</v>
      </c>
      <c r="Y86" s="142">
        <f>SUM(Y87:Y88)</f>
        <v>1701</v>
      </c>
      <c r="Z86" s="142">
        <f>SUM(Z87:Z88)</f>
        <v>2068</v>
      </c>
      <c r="AB86" s="142">
        <f>SUM(AB87:AB88)</f>
        <v>6856</v>
      </c>
      <c r="AC86" s="142">
        <f t="shared" ref="AC86" si="26">SUM(AC87:AC88)</f>
        <v>8565</v>
      </c>
      <c r="AD86" s="142">
        <f t="shared" ref="AD86" si="27">SUM(AD87:AD88)</f>
        <v>10327</v>
      </c>
      <c r="AE86" s="142">
        <f>SUM(AE87:AE88)</f>
        <v>11479</v>
      </c>
      <c r="AF86" s="142">
        <f>SUM(AF87:AF88)</f>
        <v>12626</v>
      </c>
      <c r="AG86" s="142"/>
      <c r="AH86" s="142">
        <f>SUM(AH87:AH88)</f>
        <v>610</v>
      </c>
      <c r="AI86" s="142">
        <f t="shared" ref="AI86" si="28">SUM(AI87:AI88)</f>
        <v>743</v>
      </c>
      <c r="AJ86" s="142">
        <f t="shared" ref="AJ86" si="29">SUM(AJ87:AJ88)</f>
        <v>1046</v>
      </c>
      <c r="AK86" s="142">
        <f t="shared" ref="AK86:AL86" si="30">SUM(AK87:AK88)</f>
        <v>1096</v>
      </c>
      <c r="AL86" s="142">
        <f t="shared" si="30"/>
        <v>1178</v>
      </c>
      <c r="AM86" s="142"/>
      <c r="AN86" s="142">
        <f>SUM(AN87:AN88)</f>
        <v>97</v>
      </c>
      <c r="AO86" s="142">
        <f t="shared" ref="AO86" si="31">SUM(AO87:AO88)</f>
        <v>276</v>
      </c>
      <c r="AP86" s="142">
        <f t="shared" ref="AP86" si="32">SUM(AP87:AP88)</f>
        <v>412</v>
      </c>
      <c r="AQ86" s="142">
        <f>SUM(AQ87:AQ88)</f>
        <v>387</v>
      </c>
      <c r="AR86" s="142">
        <f>SUM(AR87:AR88)</f>
        <v>390</v>
      </c>
      <c r="AS86" s="142"/>
      <c r="AT86" s="142">
        <f>SUM(AT87:AT88)</f>
        <v>2346</v>
      </c>
      <c r="AU86" s="142">
        <f>SUM(AU87:AU88)</f>
        <v>3338</v>
      </c>
      <c r="AV86" s="142">
        <f>SUM(AV87:AV88)</f>
        <v>4090</v>
      </c>
      <c r="AW86" s="142">
        <f>SUM(AW87:AW88)</f>
        <v>4796</v>
      </c>
      <c r="AX86" s="142">
        <f>SUM(AX87:AX88)</f>
        <v>5388</v>
      </c>
      <c r="AZ86" s="142">
        <f>SUM(AZ87:AZ88)</f>
        <v>474</v>
      </c>
      <c r="BA86" s="142">
        <f>SUM(BA87:BA88)</f>
        <v>726</v>
      </c>
      <c r="BB86" s="142">
        <f>SUM(BB87:BB88)</f>
        <v>1070</v>
      </c>
      <c r="BC86" s="142">
        <f>SUM(BC87:BC88)</f>
        <v>1255</v>
      </c>
      <c r="BD86" s="142">
        <f>SUM(BD87:BD88)</f>
        <v>1904</v>
      </c>
    </row>
    <row r="87" spans="2:56">
      <c r="B87" s="37" t="s">
        <v>630</v>
      </c>
      <c r="D87" s="37">
        <v>73</v>
      </c>
      <c r="E87" s="37">
        <v>73</v>
      </c>
      <c r="F87" s="37">
        <v>73</v>
      </c>
      <c r="G87" s="37">
        <v>73</v>
      </c>
      <c r="H87" s="37">
        <v>73</v>
      </c>
      <c r="J87" s="37">
        <v>155</v>
      </c>
      <c r="K87" s="37">
        <v>155</v>
      </c>
      <c r="L87" s="37">
        <v>155</v>
      </c>
      <c r="M87" s="445">
        <v>147</v>
      </c>
      <c r="N87" s="445">
        <v>147</v>
      </c>
      <c r="P87" s="37">
        <v>132</v>
      </c>
      <c r="Q87" s="37">
        <v>132</v>
      </c>
      <c r="R87" s="37">
        <v>132</v>
      </c>
      <c r="S87" s="445">
        <v>133</v>
      </c>
      <c r="T87" s="445">
        <v>136</v>
      </c>
      <c r="V87" s="37">
        <v>67</v>
      </c>
      <c r="W87" s="37">
        <v>79</v>
      </c>
      <c r="X87" s="37">
        <v>79</v>
      </c>
      <c r="Y87" s="445">
        <v>79</v>
      </c>
      <c r="Z87" s="445">
        <v>79</v>
      </c>
      <c r="AB87" s="37">
        <v>60</v>
      </c>
      <c r="AC87" s="37">
        <v>297</v>
      </c>
      <c r="AD87" s="37">
        <v>297</v>
      </c>
      <c r="AE87" s="445">
        <v>297</v>
      </c>
      <c r="AF87" s="445">
        <v>297</v>
      </c>
      <c r="AH87" s="37">
        <v>107</v>
      </c>
      <c r="AI87" s="37">
        <v>107</v>
      </c>
      <c r="AJ87" s="37">
        <v>107</v>
      </c>
      <c r="AK87" s="445">
        <v>107</v>
      </c>
      <c r="AL87" s="445">
        <v>107</v>
      </c>
      <c r="AN87" s="37">
        <v>31</v>
      </c>
      <c r="AO87" s="37">
        <v>48</v>
      </c>
      <c r="AP87" s="37">
        <v>48</v>
      </c>
      <c r="AQ87" s="445">
        <v>48</v>
      </c>
      <c r="AR87" s="445">
        <v>48</v>
      </c>
      <c r="AT87" s="37">
        <v>27</v>
      </c>
      <c r="AU87" s="37">
        <v>27</v>
      </c>
      <c r="AV87" s="37">
        <v>27</v>
      </c>
      <c r="AW87" s="445">
        <v>27</v>
      </c>
      <c r="AX87" s="445">
        <v>27</v>
      </c>
      <c r="AZ87" s="37">
        <v>42</v>
      </c>
      <c r="BA87" s="37">
        <v>42</v>
      </c>
      <c r="BB87" s="37">
        <v>42</v>
      </c>
      <c r="BC87" s="445">
        <v>42</v>
      </c>
      <c r="BD87" s="445">
        <v>43</v>
      </c>
    </row>
    <row r="88" spans="2:56">
      <c r="B88" s="37" t="s">
        <v>964</v>
      </c>
      <c r="D88" s="445">
        <v>5301</v>
      </c>
      <c r="E88" s="445">
        <v>5826</v>
      </c>
      <c r="F88" s="445">
        <v>6066</v>
      </c>
      <c r="G88" s="445">
        <v>6002</v>
      </c>
      <c r="H88" s="445">
        <v>5596</v>
      </c>
      <c r="J88" s="445">
        <v>5913</v>
      </c>
      <c r="K88" s="445">
        <v>7835</v>
      </c>
      <c r="L88" s="445">
        <v>8950</v>
      </c>
      <c r="M88" s="445">
        <v>8162</v>
      </c>
      <c r="N88" s="445">
        <v>8429</v>
      </c>
      <c r="P88" s="445">
        <v>65362</v>
      </c>
      <c r="Q88" s="445">
        <v>75567</v>
      </c>
      <c r="R88" s="445">
        <v>78610</v>
      </c>
      <c r="S88" s="445">
        <v>88520</v>
      </c>
      <c r="T88" s="445">
        <v>97373</v>
      </c>
      <c r="V88" s="445">
        <v>-417</v>
      </c>
      <c r="W88" s="445">
        <v>1626</v>
      </c>
      <c r="X88" s="445">
        <v>1779</v>
      </c>
      <c r="Y88" s="445">
        <v>1622</v>
      </c>
      <c r="Z88" s="445">
        <v>1989</v>
      </c>
      <c r="AB88" s="445">
        <v>6796</v>
      </c>
      <c r="AC88" s="445">
        <v>8268</v>
      </c>
      <c r="AD88" s="445">
        <v>10030</v>
      </c>
      <c r="AE88" s="445">
        <v>11182</v>
      </c>
      <c r="AF88" s="445">
        <v>12329</v>
      </c>
      <c r="AH88" s="445">
        <v>503</v>
      </c>
      <c r="AI88" s="445">
        <v>636</v>
      </c>
      <c r="AJ88" s="445">
        <v>939</v>
      </c>
      <c r="AK88" s="445">
        <v>989</v>
      </c>
      <c r="AL88" s="445">
        <v>1071</v>
      </c>
      <c r="AN88" s="445">
        <v>66</v>
      </c>
      <c r="AO88" s="445">
        <v>228</v>
      </c>
      <c r="AP88" s="445">
        <v>364</v>
      </c>
      <c r="AQ88" s="445">
        <v>339</v>
      </c>
      <c r="AR88" s="445">
        <v>342</v>
      </c>
      <c r="AT88" s="445">
        <v>2319</v>
      </c>
      <c r="AU88" s="445">
        <v>3311</v>
      </c>
      <c r="AV88" s="445">
        <v>4063</v>
      </c>
      <c r="AW88" s="445">
        <v>4769</v>
      </c>
      <c r="AX88" s="445">
        <v>5361</v>
      </c>
      <c r="AZ88" s="445">
        <v>432</v>
      </c>
      <c r="BA88" s="445">
        <v>684</v>
      </c>
      <c r="BB88" s="445">
        <v>1028</v>
      </c>
      <c r="BC88" s="445">
        <v>1213</v>
      </c>
      <c r="BD88" s="445">
        <v>1861</v>
      </c>
    </row>
    <row r="89" spans="2:56">
      <c r="B89" s="39" t="s">
        <v>965</v>
      </c>
      <c r="D89" s="211">
        <f>D85/D86</f>
        <v>9.266840342389282E-2</v>
      </c>
      <c r="E89" s="211">
        <f>E85/E86</f>
        <v>0.10069503305645025</v>
      </c>
      <c r="F89" s="211">
        <f>F85/F86</f>
        <v>9.7247108649617206E-2</v>
      </c>
      <c r="G89" s="211">
        <f>G85/G86</f>
        <v>0</v>
      </c>
      <c r="H89" s="211">
        <f>H85/H86</f>
        <v>9.895925207267596E-2</v>
      </c>
      <c r="J89" s="211">
        <f t="shared" ref="J89:L89" si="33">J85/J86</f>
        <v>6.5919578114700061E-4</v>
      </c>
      <c r="K89" s="211">
        <f t="shared" si="33"/>
        <v>2.5031289111389235E-4</v>
      </c>
      <c r="L89" s="211">
        <f t="shared" si="33"/>
        <v>2.1965952773201537E-4</v>
      </c>
      <c r="M89" s="211">
        <f>M85/M86</f>
        <v>3.6105427849320016E-4</v>
      </c>
      <c r="N89" s="211">
        <f>N85/N86</f>
        <v>1.2360074626865671E-2</v>
      </c>
      <c r="P89" s="211">
        <f t="shared" ref="P89:R89" si="34">P85/P86</f>
        <v>1.2074083122118056</v>
      </c>
      <c r="Q89" s="211">
        <f t="shared" si="34"/>
        <v>0.98738424549861958</v>
      </c>
      <c r="R89" s="211">
        <f t="shared" si="34"/>
        <v>1.3085646795864976</v>
      </c>
      <c r="S89" s="211">
        <f>S85/S86</f>
        <v>1.5470993649397087</v>
      </c>
      <c r="T89" s="211">
        <f>T85/T86</f>
        <v>1.9108595104041679</v>
      </c>
      <c r="V89" s="211">
        <f>IF(V85/V86&lt;0,0,V85/V86)</f>
        <v>0</v>
      </c>
      <c r="W89" s="211">
        <f t="shared" ref="W89" si="35">IF(W85/W86&lt;0,0,W85/W86)</f>
        <v>0.51730205278592378</v>
      </c>
      <c r="X89" s="211">
        <f t="shared" ref="X89" si="36">X85/X86</f>
        <v>0.5484391819160388</v>
      </c>
      <c r="Y89" s="211">
        <f>Y85/Y86</f>
        <v>0.91005291005291</v>
      </c>
      <c r="Z89" s="211">
        <f>Z85/Z86</f>
        <v>0.89071566731141194</v>
      </c>
      <c r="AB89" s="211">
        <f>(AB85/AB86)</f>
        <v>0.50598016336056006</v>
      </c>
      <c r="AC89" s="211">
        <f>AC85/AC86</f>
        <v>0.4267367192060712</v>
      </c>
      <c r="AD89" s="211">
        <f t="shared" ref="AD89" si="37">AD85/AD86</f>
        <v>0.43362060617798004</v>
      </c>
      <c r="AE89" s="211">
        <f>AE85/AE86</f>
        <v>0.43827859569648925</v>
      </c>
      <c r="AF89" s="211">
        <f>AF85/AF86</f>
        <v>0.37430698558530018</v>
      </c>
      <c r="AH89" s="211">
        <f>(AH85/AH86)</f>
        <v>0.81803278688524594</v>
      </c>
      <c r="AI89" s="211">
        <f>AI85/AI86</f>
        <v>0.62045760430686403</v>
      </c>
      <c r="AJ89" s="211">
        <f t="shared" ref="AJ89" si="38">AJ85/AJ86</f>
        <v>0.22370936902485661</v>
      </c>
      <c r="AK89" s="211">
        <f>AK85/AK86</f>
        <v>0.29288321167883213</v>
      </c>
      <c r="AL89" s="211">
        <f>AL85/AL86</f>
        <v>0.30305602716468588</v>
      </c>
      <c r="AN89" s="441">
        <f>(AN85/AN86)</f>
        <v>1.0309278350515464E-2</v>
      </c>
      <c r="AO89" s="211">
        <f>AO85/AO86</f>
        <v>0.2210144927536232</v>
      </c>
      <c r="AP89" s="211">
        <f>AP85/AP86</f>
        <v>0.35194174757281554</v>
      </c>
      <c r="AQ89" s="211">
        <f>AQ85/AQ86</f>
        <v>0.4599483204134367</v>
      </c>
      <c r="AR89" s="211">
        <f>AR85/AR86</f>
        <v>0.43333333333333335</v>
      </c>
      <c r="AT89" s="441">
        <f>(AT85/AT86)</f>
        <v>0.25149190110826941</v>
      </c>
      <c r="AU89" s="211">
        <f>AU85/AU86</f>
        <v>9.4367884961054527E-2</v>
      </c>
      <c r="AV89" s="211">
        <f>AV85/AV86</f>
        <v>1.7848410757946211E-2</v>
      </c>
      <c r="AW89" s="211">
        <f>AW85/AW86</f>
        <v>5.9633027522935783E-2</v>
      </c>
      <c r="AX89" s="211">
        <f>AX85/AX86</f>
        <v>0.23515219005196733</v>
      </c>
      <c r="AZ89" s="441">
        <f>(AZ85/AZ86)</f>
        <v>1.5886075949367089</v>
      </c>
      <c r="BA89" s="211">
        <f>BA85/BA86</f>
        <v>1.3677685950413223</v>
      </c>
      <c r="BB89" s="211">
        <f>BB85/BB86</f>
        <v>0.82149532710280371</v>
      </c>
      <c r="BC89" s="211">
        <f>BC85/BC86</f>
        <v>0.7681274900398406</v>
      </c>
      <c r="BD89" s="211">
        <f>BD85/BD86</f>
        <v>0.31144957983193278</v>
      </c>
    </row>
    <row r="90" spans="2:56">
      <c r="B90" s="446" t="s">
        <v>930</v>
      </c>
      <c r="D90" s="446"/>
      <c r="E90" s="446"/>
      <c r="F90" s="446"/>
      <c r="G90" s="446"/>
      <c r="H90" s="447">
        <f>AVERAGE(G89:H89)</f>
        <v>4.947962603633798E-2</v>
      </c>
      <c r="J90" s="469"/>
      <c r="K90" s="469"/>
      <c r="L90" s="469"/>
      <c r="M90" s="470"/>
      <c r="N90" s="471">
        <f>AVERAGE(M89:N89)</f>
        <v>6.3605644526794356E-3</v>
      </c>
      <c r="P90" s="446"/>
      <c r="Q90" s="446"/>
      <c r="R90" s="446"/>
      <c r="S90" s="446"/>
      <c r="T90" s="447">
        <f>AVERAGE(S89:T89)</f>
        <v>1.7289794376719383</v>
      </c>
      <c r="V90" s="446"/>
      <c r="W90" s="446"/>
      <c r="X90" s="446"/>
      <c r="Y90" s="446"/>
      <c r="Z90" s="447">
        <f>AVERAGE(Y89:Z89)</f>
        <v>0.90038428868216092</v>
      </c>
      <c r="AA90" s="216"/>
      <c r="AB90" s="446"/>
      <c r="AC90" s="446"/>
      <c r="AD90" s="446"/>
      <c r="AE90" s="446"/>
      <c r="AF90" s="447">
        <f>AVERAGE(AE89:AF89)</f>
        <v>0.40629279064089474</v>
      </c>
      <c r="AG90" s="216"/>
      <c r="AH90" s="446"/>
      <c r="AI90" s="446"/>
      <c r="AJ90" s="446"/>
      <c r="AK90" s="446"/>
      <c r="AL90" s="447">
        <f>AVERAGE(AK89:AL89)</f>
        <v>0.29796961942175904</v>
      </c>
      <c r="AM90" s="216"/>
      <c r="AN90" s="468"/>
      <c r="AO90" s="446"/>
      <c r="AP90" s="446"/>
      <c r="AQ90" s="446"/>
      <c r="AR90" s="447">
        <f>AVERAGE(AQ89:AR89)</f>
        <v>0.44664082687338502</v>
      </c>
      <c r="AS90" s="216"/>
      <c r="AT90" s="468"/>
      <c r="AU90" s="446"/>
      <c r="AV90" s="446"/>
      <c r="AW90" s="446"/>
      <c r="AX90" s="447">
        <f>AVERAGE(AW89:AX89)</f>
        <v>0.14739260878745156</v>
      </c>
      <c r="AZ90" s="468"/>
      <c r="BA90" s="446"/>
      <c r="BB90" s="446"/>
      <c r="BC90" s="446"/>
      <c r="BD90" s="447">
        <f>AVERAGE(BC89:BD89)</f>
        <v>0.53978853493588663</v>
      </c>
    </row>
    <row r="91" spans="2:56">
      <c r="B91" s="39" t="s">
        <v>966</v>
      </c>
      <c r="D91" s="211">
        <f t="shared" ref="D91:F91" si="39">D85/SUM(D85:D86)</f>
        <v>8.4809264305177115E-2</v>
      </c>
      <c r="E91" s="211">
        <f t="shared" si="39"/>
        <v>9.1483135684583397E-2</v>
      </c>
      <c r="F91" s="211">
        <f t="shared" si="39"/>
        <v>8.8628266033254161E-2</v>
      </c>
      <c r="G91" s="211">
        <f>G85/SUM(G85:G86)</f>
        <v>0</v>
      </c>
      <c r="H91" s="211">
        <f>H85/SUM(H85:H86)</f>
        <v>9.004815409309791E-2</v>
      </c>
      <c r="J91" s="440">
        <f t="shared" ref="J91:L91" si="40">J85/SUM(J85:J86)</f>
        <v>6.5876152832674575E-4</v>
      </c>
      <c r="K91" s="440">
        <f t="shared" si="40"/>
        <v>2.5025025025025025E-4</v>
      </c>
      <c r="L91" s="440">
        <f t="shared" si="40"/>
        <v>2.1961128802020424E-4</v>
      </c>
      <c r="M91" s="440">
        <f>M85/SUM(M85:M86)</f>
        <v>3.609239653512993E-4</v>
      </c>
      <c r="N91" s="440">
        <f>N85/SUM(N85:N86)</f>
        <v>1.2209168394379175E-2</v>
      </c>
      <c r="P91" s="211">
        <f t="shared" ref="P91:R91" si="41">P85/SUM(P85:P86)</f>
        <v>0.54698005146224715</v>
      </c>
      <c r="Q91" s="211">
        <f t="shared" si="41"/>
        <v>0.49682604042727146</v>
      </c>
      <c r="R91" s="211">
        <f t="shared" si="41"/>
        <v>0.56683041682023971</v>
      </c>
      <c r="S91" s="211">
        <f>S85/SUM(S85:S86)</f>
        <v>0.60739654928080489</v>
      </c>
      <c r="T91" s="211">
        <f>T85/SUM(T85:T86)</f>
        <v>0.65645885813941196</v>
      </c>
      <c r="V91" s="211">
        <f>V85/SUM(V85:V86)</f>
        <v>1.196961170512099</v>
      </c>
      <c r="W91" s="211">
        <f>W85/SUM(W85:W86)</f>
        <v>0.34093544646308466</v>
      </c>
      <c r="X91" s="211">
        <f>X85/SUM(X85:X86)</f>
        <v>0.35418839068474106</v>
      </c>
      <c r="Y91" s="211">
        <f>Y85/SUM(Y85:Y86)</f>
        <v>0.47645429362880887</v>
      </c>
      <c r="Z91" s="211">
        <f>Z85/SUM(Z85:Z86)</f>
        <v>0.47109974424552431</v>
      </c>
      <c r="AA91" s="216"/>
      <c r="AB91" s="211">
        <f>AB85/SUM(AB85:AB86)</f>
        <v>0.33598062953995156</v>
      </c>
      <c r="AC91" s="211">
        <f t="shared" ref="AC91:AD91" si="42">AC85/SUM(AC85:AC86)</f>
        <v>0.29909983633387888</v>
      </c>
      <c r="AD91" s="211">
        <f t="shared" si="42"/>
        <v>0.30246538331644712</v>
      </c>
      <c r="AE91" s="211">
        <f>AE85/SUM(AE85:AE86)</f>
        <v>0.3047244094488189</v>
      </c>
      <c r="AF91" s="211">
        <f>AF85/SUM(AF85:AF86)</f>
        <v>0.27236053480866756</v>
      </c>
      <c r="AG91" s="216"/>
      <c r="AH91" s="211">
        <f>AH85/SUM(AH85:AH86)</f>
        <v>0.44995491433724077</v>
      </c>
      <c r="AI91" s="211">
        <f t="shared" ref="AI91:AJ91" si="43">AI85/SUM(AI85:AI86)</f>
        <v>0.38289036544850497</v>
      </c>
      <c r="AJ91" s="211">
        <f t="shared" si="43"/>
        <v>0.18281249999999999</v>
      </c>
      <c r="AK91" s="211">
        <f>AK85/SUM(AK85:AK86)</f>
        <v>0.22653493295695132</v>
      </c>
      <c r="AL91" s="211">
        <f>AL85/SUM(AL85:AL86)</f>
        <v>0.23257328990228013</v>
      </c>
      <c r="AM91" s="216"/>
      <c r="AN91" s="441">
        <f>AN85/SUM(AN85:AN86)</f>
        <v>1.020408163265306E-2</v>
      </c>
      <c r="AO91" s="211">
        <f t="shared" ref="AO91:AP91" si="44">AO85/SUM(AO85:AO86)</f>
        <v>0.18100890207715134</v>
      </c>
      <c r="AP91" s="211">
        <f t="shared" si="44"/>
        <v>0.26032315978456017</v>
      </c>
      <c r="AQ91" s="211">
        <f>AQ85/SUM(AQ85:AQ86)</f>
        <v>0.31504424778761064</v>
      </c>
      <c r="AR91" s="211">
        <f>AR85/SUM(AR85:AR86)</f>
        <v>0.30232558139534882</v>
      </c>
      <c r="AS91" s="216"/>
      <c r="AT91" s="441">
        <f>AT85/SUM(AT85:AT86)</f>
        <v>0.20095367847411444</v>
      </c>
      <c r="AU91" s="211">
        <f t="shared" ref="AU91:AV91" si="45">AU85/SUM(AU85:AU86)</f>
        <v>8.6230495483164527E-2</v>
      </c>
      <c r="AV91" s="211">
        <f t="shared" si="45"/>
        <v>1.7535431179437906E-2</v>
      </c>
      <c r="AW91" s="211">
        <f>AW85/SUM(AW85:AW86)</f>
        <v>5.627705627705628E-2</v>
      </c>
      <c r="AX91" s="211">
        <f>AX85/SUM(AX85:AX86)</f>
        <v>0.1903831705484598</v>
      </c>
      <c r="AZ91" s="441">
        <f>AZ85/SUM(AZ85:AZ86)</f>
        <v>0.61369193154034229</v>
      </c>
      <c r="BA91" s="211">
        <f t="shared" ref="BA91:BB91" si="46">BA85/SUM(BA85:BA86)</f>
        <v>0.57766143106457246</v>
      </c>
      <c r="BB91" s="211">
        <f t="shared" si="46"/>
        <v>0.45100051308363265</v>
      </c>
      <c r="BC91" s="211">
        <f>BC85/SUM(BC85:BC86)</f>
        <v>0.43442992338891395</v>
      </c>
      <c r="BD91" s="211">
        <f>BD85/SUM(BD85:BD86)</f>
        <v>0.23748498197837406</v>
      </c>
    </row>
    <row r="92" spans="2:56">
      <c r="B92" s="446" t="s">
        <v>932</v>
      </c>
      <c r="D92" s="446"/>
      <c r="E92" s="446"/>
      <c r="F92" s="446"/>
      <c r="G92" s="446"/>
      <c r="H92" s="447">
        <f>AVERAGE(G91:H91)</f>
        <v>4.5024077046548955E-2</v>
      </c>
      <c r="J92" s="472"/>
      <c r="K92" s="472"/>
      <c r="L92" s="472"/>
      <c r="M92" s="473"/>
      <c r="N92" s="467">
        <f>AVERAGE(M91:N91)</f>
        <v>6.2850461798652371E-3</v>
      </c>
      <c r="P92" s="446"/>
      <c r="Q92" s="446"/>
      <c r="R92" s="446"/>
      <c r="S92" s="446"/>
      <c r="T92" s="447">
        <f>AVERAGE(S91:T91)</f>
        <v>0.63192770371010842</v>
      </c>
      <c r="V92" s="446"/>
      <c r="W92" s="446"/>
      <c r="X92" s="446"/>
      <c r="Y92" s="446"/>
      <c r="Z92" s="447">
        <f>AVERAGE(Y91:Z91)</f>
        <v>0.47377701893716662</v>
      </c>
      <c r="AA92" s="216"/>
      <c r="AB92" s="446"/>
      <c r="AC92" s="446"/>
      <c r="AD92" s="446"/>
      <c r="AE92" s="446"/>
      <c r="AF92" s="447">
        <f>AVERAGE(AE91:AF91)</f>
        <v>0.28854247212874323</v>
      </c>
      <c r="AG92" s="216"/>
      <c r="AH92" s="446"/>
      <c r="AI92" s="446"/>
      <c r="AJ92" s="446"/>
      <c r="AK92" s="446"/>
      <c r="AL92" s="447">
        <f>AVERAGE(AK91:AL91)</f>
        <v>0.22955411142961574</v>
      </c>
      <c r="AM92" s="216"/>
      <c r="AN92" s="446"/>
      <c r="AO92" s="446"/>
      <c r="AP92" s="446"/>
      <c r="AQ92" s="446"/>
      <c r="AR92" s="447">
        <f>AVERAGE(AQ91:AR91)</f>
        <v>0.30868491459147973</v>
      </c>
      <c r="AS92" s="216"/>
      <c r="AT92" s="446"/>
      <c r="AU92" s="446"/>
      <c r="AV92" s="446"/>
      <c r="AW92" s="446"/>
      <c r="AX92" s="447">
        <f>AVERAGE(AW91:AX91)</f>
        <v>0.12333011341275804</v>
      </c>
      <c r="AZ92" s="446"/>
      <c r="BA92" s="446"/>
      <c r="BB92" s="446"/>
      <c r="BC92" s="446"/>
      <c r="BD92" s="447">
        <f>AVERAGE(BC91:BD91)</f>
        <v>0.33595745268364402</v>
      </c>
    </row>
    <row r="93" spans="2:56">
      <c r="J93" s="442"/>
      <c r="K93" s="442"/>
      <c r="L93" s="442"/>
      <c r="M93" s="442"/>
      <c r="N93" s="442"/>
    </row>
    <row r="94" spans="2:56">
      <c r="B94" s="446" t="s">
        <v>977</v>
      </c>
      <c r="D94" s="446"/>
      <c r="E94" s="446"/>
      <c r="F94" s="446"/>
      <c r="G94" s="446"/>
      <c r="H94" s="468">
        <f>AVERAGE(D89:H89)</f>
        <v>7.7913959440527245E-2</v>
      </c>
      <c r="J94" s="467"/>
      <c r="K94" s="467"/>
      <c r="L94" s="467"/>
      <c r="M94" s="467"/>
      <c r="N94" s="467">
        <f>AVERAGE(J89:N89)</f>
        <v>2.7700594210703562E-3</v>
      </c>
      <c r="P94" s="446"/>
      <c r="Q94" s="446"/>
      <c r="R94" s="446"/>
      <c r="S94" s="446"/>
      <c r="T94" s="468">
        <f>AVERAGE(P89:T89)</f>
        <v>1.3922632225281599</v>
      </c>
      <c r="V94" s="446"/>
      <c r="W94" s="446"/>
      <c r="X94" s="446"/>
      <c r="Y94" s="468"/>
      <c r="Z94" s="468">
        <f>AVERAGE(V89:Z89)</f>
        <v>0.57330196241325693</v>
      </c>
      <c r="AB94" s="446"/>
      <c r="AC94" s="446"/>
      <c r="AD94" s="446"/>
      <c r="AE94" s="468"/>
      <c r="AF94" s="468">
        <f>AVERAGE(AB89:AF89)</f>
        <v>0.43578461400528007</v>
      </c>
      <c r="AH94" s="446"/>
      <c r="AI94" s="446"/>
      <c r="AJ94" s="446"/>
      <c r="AK94" s="468"/>
      <c r="AL94" s="468">
        <f>AVERAGE(AH89:AL89)</f>
        <v>0.45162779981209694</v>
      </c>
      <c r="AN94" s="446"/>
      <c r="AO94" s="446"/>
      <c r="AP94" s="446"/>
      <c r="AQ94" s="468"/>
      <c r="AR94" s="468">
        <f>AVERAGE(AN89:AR89)</f>
        <v>0.29530943448474484</v>
      </c>
      <c r="AT94" s="446"/>
      <c r="AU94" s="446"/>
      <c r="AV94" s="446"/>
      <c r="AW94" s="468"/>
      <c r="AX94" s="468">
        <f>AVERAGE(AT89:AX89)</f>
        <v>0.13169868288043465</v>
      </c>
      <c r="AZ94" s="446"/>
      <c r="BA94" s="446"/>
      <c r="BB94" s="446"/>
      <c r="BC94" s="468"/>
      <c r="BD94" s="468">
        <f>AVERAGE(AZ89:BD89)</f>
        <v>0.97148971739052181</v>
      </c>
    </row>
    <row r="95" spans="2:56">
      <c r="B95" s="446" t="s">
        <v>978</v>
      </c>
      <c r="D95" s="446"/>
      <c r="E95" s="446"/>
      <c r="F95" s="446"/>
      <c r="G95" s="446"/>
      <c r="H95" s="468">
        <f>AVERAGE(D91:H91)</f>
        <v>7.0993764023222522E-2</v>
      </c>
      <c r="J95" s="467"/>
      <c r="K95" s="467"/>
      <c r="L95" s="467"/>
      <c r="M95" s="467"/>
      <c r="N95" s="467">
        <f>AVERAGE(J91:N91)</f>
        <v>2.7397430852655349E-3</v>
      </c>
      <c r="P95" s="446"/>
      <c r="Q95" s="446"/>
      <c r="R95" s="446"/>
      <c r="S95" s="446"/>
      <c r="T95" s="468">
        <f>AVERAGE(P91:T91)</f>
        <v>0.57489838322599507</v>
      </c>
      <c r="V95" s="446"/>
      <c r="W95" s="446"/>
      <c r="X95" s="446"/>
      <c r="Y95" s="468"/>
      <c r="Z95" s="468">
        <f>AVERAGE(V91:Z91)</f>
        <v>0.56792780910685159</v>
      </c>
      <c r="AB95" s="446"/>
      <c r="AC95" s="446"/>
      <c r="AD95" s="446"/>
      <c r="AE95" s="468"/>
      <c r="AF95" s="468">
        <f>AVERAGE(AB91:AF91)</f>
        <v>0.3029261586895528</v>
      </c>
      <c r="AH95" s="446"/>
      <c r="AI95" s="446"/>
      <c r="AJ95" s="446"/>
      <c r="AK95" s="468"/>
      <c r="AL95" s="468">
        <f>AVERAGE(AH91:AL91)</f>
        <v>0.29495320052899543</v>
      </c>
      <c r="AN95" s="446"/>
      <c r="AO95" s="446"/>
      <c r="AP95" s="446"/>
      <c r="AQ95" s="468"/>
      <c r="AR95" s="468">
        <f>AVERAGE(AN91:AR91)</f>
        <v>0.21378119453546479</v>
      </c>
      <c r="AT95" s="446"/>
      <c r="AU95" s="446"/>
      <c r="AV95" s="446"/>
      <c r="AW95" s="468"/>
      <c r="AX95" s="468">
        <f>AVERAGE(AT91:AX91)</f>
        <v>0.11027596639244659</v>
      </c>
      <c r="AZ95" s="446"/>
      <c r="BA95" s="446"/>
      <c r="BB95" s="446"/>
      <c r="BC95" s="468"/>
      <c r="BD95" s="468">
        <f>AVERAGE(AZ91:BD91)</f>
        <v>0.46285375621116709</v>
      </c>
    </row>
    <row r="96" spans="2:56">
      <c r="J96" s="442"/>
      <c r="K96" s="442"/>
      <c r="L96" s="442"/>
      <c r="M96" s="442"/>
      <c r="N96" s="442"/>
    </row>
    <row r="99" spans="2:41">
      <c r="B99" s="166" t="s">
        <v>940</v>
      </c>
    </row>
    <row r="101" spans="2:41">
      <c r="C101" t="s">
        <v>935</v>
      </c>
      <c r="G101" t="s">
        <v>941</v>
      </c>
      <c r="K101" t="s">
        <v>487</v>
      </c>
      <c r="O101" t="s">
        <v>490</v>
      </c>
      <c r="S101" t="s">
        <v>945</v>
      </c>
      <c r="W101" t="s">
        <v>950</v>
      </c>
      <c r="AA101" t="s">
        <v>947</v>
      </c>
      <c r="AE101" t="s">
        <v>951</v>
      </c>
      <c r="AI101" t="s">
        <v>949</v>
      </c>
      <c r="AM101" t="s">
        <v>210</v>
      </c>
    </row>
    <row r="102" spans="2:41">
      <c r="C102" s="166" t="s">
        <v>937</v>
      </c>
      <c r="D102" s="166" t="s">
        <v>938</v>
      </c>
      <c r="E102" s="166" t="s">
        <v>939</v>
      </c>
      <c r="G102" s="166" t="s">
        <v>937</v>
      </c>
      <c r="H102" s="166" t="s">
        <v>938</v>
      </c>
      <c r="I102" s="166" t="s">
        <v>942</v>
      </c>
      <c r="K102" s="166" t="s">
        <v>937</v>
      </c>
      <c r="L102" s="166" t="s">
        <v>938</v>
      </c>
      <c r="M102" s="166" t="s">
        <v>943</v>
      </c>
      <c r="O102" s="166" t="s">
        <v>937</v>
      </c>
      <c r="P102" s="166" t="s">
        <v>938</v>
      </c>
      <c r="Q102" s="166" t="s">
        <v>944</v>
      </c>
      <c r="S102" s="166" t="s">
        <v>937</v>
      </c>
      <c r="T102" s="166" t="s">
        <v>938</v>
      </c>
      <c r="U102" s="166" t="s">
        <v>945</v>
      </c>
      <c r="W102" s="166" t="s">
        <v>937</v>
      </c>
      <c r="X102" s="166" t="s">
        <v>938</v>
      </c>
      <c r="Y102" s="166" t="s">
        <v>946</v>
      </c>
      <c r="AA102" s="166" t="s">
        <v>937</v>
      </c>
      <c r="AB102" s="166" t="s">
        <v>938</v>
      </c>
      <c r="AC102" s="166" t="s">
        <v>947</v>
      </c>
      <c r="AE102" s="166" t="s">
        <v>937</v>
      </c>
      <c r="AF102" s="166" t="s">
        <v>938</v>
      </c>
      <c r="AG102" s="166" t="s">
        <v>948</v>
      </c>
      <c r="AI102" s="166" t="s">
        <v>937</v>
      </c>
      <c r="AJ102" s="166" t="s">
        <v>938</v>
      </c>
      <c r="AK102" s="166" t="s">
        <v>949</v>
      </c>
      <c r="AM102" s="166" t="s">
        <v>937</v>
      </c>
      <c r="AN102" s="166" t="s">
        <v>938</v>
      </c>
      <c r="AO102" s="166" t="s">
        <v>970</v>
      </c>
    </row>
    <row r="103" spans="2:41">
      <c r="C103" s="132">
        <v>46054</v>
      </c>
      <c r="D103">
        <v>24915.25</v>
      </c>
      <c r="G103" s="132">
        <v>46054</v>
      </c>
      <c r="H103">
        <v>439.5</v>
      </c>
      <c r="K103" s="132">
        <v>46054</v>
      </c>
      <c r="L103">
        <v>464.4</v>
      </c>
      <c r="O103" s="132">
        <v>46054</v>
      </c>
      <c r="P103" s="197">
        <v>2757.2</v>
      </c>
      <c r="S103" s="132">
        <v>46054</v>
      </c>
      <c r="T103">
        <v>249.2</v>
      </c>
      <c r="W103" s="132">
        <v>46054</v>
      </c>
      <c r="X103" s="197">
        <v>2770.6</v>
      </c>
      <c r="AA103" s="132">
        <v>46054</v>
      </c>
      <c r="AB103">
        <v>84.91</v>
      </c>
      <c r="AE103" s="132">
        <v>46054</v>
      </c>
      <c r="AF103">
        <v>19.8</v>
      </c>
      <c r="AI103" s="132">
        <v>46054</v>
      </c>
      <c r="AJ103">
        <v>1603.6</v>
      </c>
      <c r="AM103" s="132">
        <v>46054</v>
      </c>
      <c r="AN103">
        <v>922.8</v>
      </c>
    </row>
    <row r="104" spans="2:41">
      <c r="C104" s="132">
        <v>46047</v>
      </c>
      <c r="D104">
        <v>25320.65</v>
      </c>
      <c r="E104" s="55">
        <f>D104/D103-1</f>
        <v>1.6271159229789056E-2</v>
      </c>
      <c r="G104" s="132">
        <v>46047</v>
      </c>
      <c r="H104">
        <v>455.95</v>
      </c>
      <c r="I104" s="55">
        <f>H104/H103-1</f>
        <v>3.7428896473264972E-2</v>
      </c>
      <c r="K104" s="132">
        <v>46047</v>
      </c>
      <c r="L104">
        <v>466.8</v>
      </c>
      <c r="M104" s="55">
        <f>L104/L103-1</f>
        <v>5.1679586563309066E-3</v>
      </c>
      <c r="O104" s="132">
        <v>46047</v>
      </c>
      <c r="P104" s="197">
        <v>2819</v>
      </c>
      <c r="Q104" s="55">
        <f>P104/P103-1</f>
        <v>2.2414043232264591E-2</v>
      </c>
      <c r="S104" s="132">
        <v>46047</v>
      </c>
      <c r="T104">
        <v>260.25</v>
      </c>
      <c r="U104" s="55">
        <f>T104/T103-1</f>
        <v>4.4341894060995202E-2</v>
      </c>
      <c r="W104" s="132">
        <v>46047</v>
      </c>
      <c r="X104" s="197">
        <v>2816.3</v>
      </c>
      <c r="Y104" s="55">
        <f>X104/X103-1</f>
        <v>1.6494622103515599E-2</v>
      </c>
      <c r="AA104" s="132">
        <v>46047</v>
      </c>
      <c r="AB104">
        <v>87.2</v>
      </c>
      <c r="AC104" s="55">
        <f t="shared" ref="AC104:AC167" si="47">AB104/AB103-1</f>
        <v>2.6969732658108647E-2</v>
      </c>
      <c r="AE104" s="132">
        <v>46047</v>
      </c>
      <c r="AF104">
        <v>20.14</v>
      </c>
      <c r="AG104" s="55">
        <f t="shared" ref="AG104:AG167" si="48">AF104/AF103-1</f>
        <v>1.7171717171717171E-2</v>
      </c>
      <c r="AI104" s="132">
        <v>46047</v>
      </c>
      <c r="AJ104">
        <v>1642.5</v>
      </c>
      <c r="AK104" s="55">
        <f>AJ104/AJ103-1</f>
        <v>2.4257919680718443E-2</v>
      </c>
      <c r="AM104" s="132">
        <v>46047</v>
      </c>
      <c r="AN104" s="197">
        <v>1043.0999999999999</v>
      </c>
      <c r="AO104" s="55">
        <f>AN104/AN103-1</f>
        <v>0.13036410923276986</v>
      </c>
    </row>
    <row r="105" spans="2:41">
      <c r="C105" s="132">
        <v>46040</v>
      </c>
      <c r="D105">
        <v>25048.65</v>
      </c>
      <c r="E105" s="55">
        <f t="shared" ref="E105:E168" si="49">D105/D104-1</f>
        <v>-1.0742220282654702E-2</v>
      </c>
      <c r="G105" s="132">
        <v>46040</v>
      </c>
      <c r="H105">
        <v>453.8</v>
      </c>
      <c r="I105" s="55">
        <f t="shared" ref="I105:I167" si="50">H105/H104-1</f>
        <v>-4.7154293233906408E-3</v>
      </c>
      <c r="K105" s="132">
        <v>46040</v>
      </c>
      <c r="L105">
        <v>464.2</v>
      </c>
      <c r="M105" s="55">
        <f t="shared" ref="M105:M167" si="51">L105/L104-1</f>
        <v>-5.569837189374538E-3</v>
      </c>
      <c r="O105" s="132">
        <v>46040</v>
      </c>
      <c r="P105" s="197">
        <v>2759</v>
      </c>
      <c r="Q105" s="55">
        <f t="shared" ref="Q105:Q167" si="52">P105/P104-1</f>
        <v>-2.1284143313231696E-2</v>
      </c>
      <c r="S105" s="132">
        <v>46040</v>
      </c>
      <c r="T105">
        <v>245.2</v>
      </c>
      <c r="U105" s="55">
        <f t="shared" ref="U105:U167" si="53">T105/T104-1</f>
        <v>-5.7829010566762817E-2</v>
      </c>
      <c r="W105" s="132">
        <v>46040</v>
      </c>
      <c r="X105" s="197">
        <v>2713.7</v>
      </c>
      <c r="Y105" s="55">
        <f t="shared" ref="Y105:Y168" si="54">X105/X104-1</f>
        <v>-3.643077797109695E-2</v>
      </c>
      <c r="AA105" s="132">
        <v>46040</v>
      </c>
      <c r="AB105">
        <v>91</v>
      </c>
      <c r="AC105" s="55">
        <f t="shared" si="47"/>
        <v>4.3577981651376163E-2</v>
      </c>
      <c r="AE105" s="132">
        <v>46040</v>
      </c>
      <c r="AF105">
        <v>21.12</v>
      </c>
      <c r="AG105" s="55">
        <f t="shared" si="48"/>
        <v>4.8659384309831299E-2</v>
      </c>
      <c r="AI105" s="132">
        <v>46040</v>
      </c>
      <c r="AJ105">
        <v>1563.6</v>
      </c>
      <c r="AK105" s="55">
        <f t="shared" ref="AK105:AK167" si="55">AJ105/AJ104-1</f>
        <v>-4.8036529680365314E-2</v>
      </c>
      <c r="AM105" s="132">
        <v>46040</v>
      </c>
      <c r="AN105" s="197">
        <v>1065.5999999999999</v>
      </c>
      <c r="AO105" s="55">
        <f t="shared" ref="AO105:AO168" si="56">AN105/AN104-1</f>
        <v>2.1570319240724833E-2</v>
      </c>
    </row>
    <row r="106" spans="2:41">
      <c r="C106" s="132">
        <v>46033</v>
      </c>
      <c r="D106">
        <v>25694.35</v>
      </c>
      <c r="E106" s="55">
        <f t="shared" si="49"/>
        <v>2.5777836330500792E-2</v>
      </c>
      <c r="G106" s="132">
        <v>46033</v>
      </c>
      <c r="H106">
        <v>475.8</v>
      </c>
      <c r="I106" s="55">
        <f t="shared" si="50"/>
        <v>4.8479506390480376E-2</v>
      </c>
      <c r="K106" s="132">
        <v>46033</v>
      </c>
      <c r="L106">
        <v>477.4</v>
      </c>
      <c r="M106" s="55">
        <f t="shared" si="51"/>
        <v>2.8436018957346043E-2</v>
      </c>
      <c r="O106" s="132">
        <v>46033</v>
      </c>
      <c r="P106" s="197">
        <v>2809.6</v>
      </c>
      <c r="Q106" s="55">
        <f t="shared" si="52"/>
        <v>1.8339978252990274E-2</v>
      </c>
      <c r="S106" s="132">
        <v>46033</v>
      </c>
      <c r="T106">
        <v>274.8</v>
      </c>
      <c r="U106" s="55">
        <f t="shared" si="53"/>
        <v>0.12071778140293654</v>
      </c>
      <c r="W106" s="132">
        <v>46033</v>
      </c>
      <c r="X106" s="197">
        <v>3027.4</v>
      </c>
      <c r="Y106" s="55">
        <f>X106/X105-1</f>
        <v>0.11559862917787544</v>
      </c>
      <c r="AA106" s="132">
        <v>46033</v>
      </c>
      <c r="AB106">
        <v>99.55</v>
      </c>
      <c r="AC106" s="55">
        <f>AB106/AB105-1</f>
        <v>9.3956043956043844E-2</v>
      </c>
      <c r="AE106" s="132">
        <v>46033</v>
      </c>
      <c r="AF106">
        <v>22.04</v>
      </c>
      <c r="AG106" s="55">
        <f t="shared" si="48"/>
        <v>4.3560606060605966E-2</v>
      </c>
      <c r="AI106" s="132">
        <v>46033</v>
      </c>
      <c r="AJ106">
        <v>1546.4</v>
      </c>
      <c r="AK106" s="55">
        <f t="shared" si="55"/>
        <v>-1.1000255819902716E-2</v>
      </c>
      <c r="AM106" s="132">
        <v>46033</v>
      </c>
      <c r="AN106" s="197">
        <v>1158.3</v>
      </c>
      <c r="AO106" s="55">
        <f t="shared" si="56"/>
        <v>8.6993243243243201E-2</v>
      </c>
    </row>
    <row r="107" spans="2:41">
      <c r="C107" s="132">
        <v>46026</v>
      </c>
      <c r="D107">
        <v>25683.3</v>
      </c>
      <c r="E107" s="55">
        <f t="shared" si="49"/>
        <v>-4.3005563479903142E-4</v>
      </c>
      <c r="G107" s="132">
        <v>46026</v>
      </c>
      <c r="H107">
        <v>478.4</v>
      </c>
      <c r="I107" s="55">
        <f t="shared" si="50"/>
        <v>5.464480874316946E-3</v>
      </c>
      <c r="K107" s="132">
        <v>46026</v>
      </c>
      <c r="L107">
        <v>478.85</v>
      </c>
      <c r="M107" s="55">
        <f t="shared" si="51"/>
        <v>3.0372852953499674E-3</v>
      </c>
      <c r="O107" s="132">
        <v>46026</v>
      </c>
      <c r="P107" s="197">
        <v>2776.9</v>
      </c>
      <c r="Q107" s="55">
        <f t="shared" si="52"/>
        <v>-1.1638667425968086E-2</v>
      </c>
      <c r="S107" s="132">
        <v>46026</v>
      </c>
      <c r="T107">
        <v>242.1</v>
      </c>
      <c r="U107" s="55">
        <f t="shared" si="53"/>
        <v>-0.11899563318777295</v>
      </c>
      <c r="W107" s="132">
        <v>46026</v>
      </c>
      <c r="X107" s="197">
        <v>3023.2</v>
      </c>
      <c r="Y107" s="55">
        <f t="shared" si="54"/>
        <v>-1.3873290612407274E-3</v>
      </c>
      <c r="AA107" s="132">
        <v>46026</v>
      </c>
      <c r="AB107">
        <v>101.45</v>
      </c>
      <c r="AC107" s="55">
        <f t="shared" si="47"/>
        <v>1.9085886489201398E-2</v>
      </c>
      <c r="AE107" s="132">
        <v>46026</v>
      </c>
      <c r="AF107">
        <v>22.41</v>
      </c>
      <c r="AG107" s="55">
        <f t="shared" si="48"/>
        <v>1.6787658802177807E-2</v>
      </c>
      <c r="AI107" s="132">
        <v>46026</v>
      </c>
      <c r="AJ107">
        <v>1595.4</v>
      </c>
      <c r="AK107" s="55">
        <f t="shared" si="55"/>
        <v>3.168649767201237E-2</v>
      </c>
      <c r="AM107" s="132">
        <v>46026</v>
      </c>
      <c r="AN107" s="197">
        <v>1118.4000000000001</v>
      </c>
      <c r="AO107" s="55">
        <f t="shared" si="56"/>
        <v>-3.4447034447034341E-2</v>
      </c>
    </row>
    <row r="108" spans="2:41">
      <c r="C108" s="132">
        <v>46019</v>
      </c>
      <c r="D108">
        <v>26328.55</v>
      </c>
      <c r="E108" s="55">
        <f t="shared" si="49"/>
        <v>2.5123329167201947E-2</v>
      </c>
      <c r="G108" s="132">
        <v>46019</v>
      </c>
      <c r="H108">
        <v>504.65</v>
      </c>
      <c r="I108" s="55">
        <f t="shared" si="50"/>
        <v>5.4870401337792751E-2</v>
      </c>
      <c r="K108" s="132">
        <v>46019</v>
      </c>
      <c r="L108">
        <v>493.55</v>
      </c>
      <c r="M108" s="55">
        <f t="shared" si="51"/>
        <v>3.0698548606035159E-2</v>
      </c>
      <c r="O108" s="132">
        <v>46019</v>
      </c>
      <c r="P108" s="197">
        <v>2856.4</v>
      </c>
      <c r="Q108" s="55">
        <f t="shared" si="52"/>
        <v>2.8629046778782197E-2</v>
      </c>
      <c r="S108" s="132">
        <v>46019</v>
      </c>
      <c r="T108">
        <v>265.8</v>
      </c>
      <c r="U108" s="55">
        <f t="shared" si="53"/>
        <v>9.7893432465923302E-2</v>
      </c>
      <c r="W108" s="132">
        <v>46019</v>
      </c>
      <c r="X108" s="197">
        <v>3059.5</v>
      </c>
      <c r="Y108" s="55">
        <f t="shared" si="54"/>
        <v>1.2007144747287812E-2</v>
      </c>
      <c r="AA108" s="132">
        <v>46019</v>
      </c>
      <c r="AB108">
        <v>110.2</v>
      </c>
      <c r="AC108" s="55">
        <f t="shared" si="47"/>
        <v>8.6249383932971879E-2</v>
      </c>
      <c r="AE108" s="132">
        <v>46019</v>
      </c>
      <c r="AF108">
        <v>24</v>
      </c>
      <c r="AG108" s="55">
        <f t="shared" si="48"/>
        <v>7.0950468540829981E-2</v>
      </c>
      <c r="AI108" s="132">
        <v>46019</v>
      </c>
      <c r="AJ108">
        <v>1711.1</v>
      </c>
      <c r="AK108" s="55">
        <f t="shared" si="55"/>
        <v>7.2520997868872783E-2</v>
      </c>
      <c r="AM108" s="132">
        <v>46019</v>
      </c>
      <c r="AN108" s="197">
        <v>1245.8</v>
      </c>
      <c r="AO108" s="55">
        <f t="shared" si="56"/>
        <v>0.11391273247496403</v>
      </c>
    </row>
    <row r="109" spans="2:41">
      <c r="C109" s="132">
        <v>46012</v>
      </c>
      <c r="D109">
        <v>26042.3</v>
      </c>
      <c r="E109" s="55">
        <f t="shared" si="49"/>
        <v>-1.0872228056615363E-2</v>
      </c>
      <c r="G109" s="132">
        <v>46012</v>
      </c>
      <c r="H109">
        <v>501.9</v>
      </c>
      <c r="I109" s="55">
        <f t="shared" si="50"/>
        <v>-5.4493213118002037E-3</v>
      </c>
      <c r="K109" s="132">
        <v>46012</v>
      </c>
      <c r="L109">
        <v>487.85</v>
      </c>
      <c r="M109" s="55">
        <f t="shared" si="51"/>
        <v>-1.1548981866072339E-2</v>
      </c>
      <c r="O109" s="132">
        <v>46012</v>
      </c>
      <c r="P109" s="197">
        <v>2817.7</v>
      </c>
      <c r="Q109" s="55">
        <f t="shared" si="52"/>
        <v>-1.3548522615880243E-2</v>
      </c>
      <c r="S109" s="132">
        <v>46012</v>
      </c>
      <c r="T109">
        <v>260.8</v>
      </c>
      <c r="U109" s="55">
        <f t="shared" si="53"/>
        <v>-1.8811136192626088E-2</v>
      </c>
      <c r="W109" s="132">
        <v>46012</v>
      </c>
      <c r="X109" s="197">
        <v>3101.6</v>
      </c>
      <c r="Y109" s="55">
        <f t="shared" si="54"/>
        <v>1.3760418369014538E-2</v>
      </c>
      <c r="AA109" s="132">
        <v>46012</v>
      </c>
      <c r="AB109">
        <v>110.3</v>
      </c>
      <c r="AC109" s="55">
        <f t="shared" si="47"/>
        <v>9.0744101633388752E-4</v>
      </c>
      <c r="AE109" s="132">
        <v>46012</v>
      </c>
      <c r="AF109">
        <v>24.18</v>
      </c>
      <c r="AG109" s="55">
        <f t="shared" si="48"/>
        <v>7.5000000000000622E-3</v>
      </c>
      <c r="AI109" s="132">
        <v>46012</v>
      </c>
      <c r="AJ109">
        <v>1765.2</v>
      </c>
      <c r="AK109" s="55">
        <f t="shared" si="55"/>
        <v>3.1617088422652095E-2</v>
      </c>
      <c r="AM109" s="132">
        <v>46012</v>
      </c>
      <c r="AN109" s="197">
        <v>1277.7</v>
      </c>
      <c r="AO109" s="55">
        <f t="shared" si="56"/>
        <v>2.5606036281907274E-2</v>
      </c>
    </row>
    <row r="110" spans="2:41">
      <c r="C110" s="132">
        <v>46005</v>
      </c>
      <c r="D110">
        <v>25966.400000000001</v>
      </c>
      <c r="E110" s="55">
        <f t="shared" si="49"/>
        <v>-2.9144891196245526E-3</v>
      </c>
      <c r="G110" s="132">
        <v>46005</v>
      </c>
      <c r="H110">
        <v>503.85</v>
      </c>
      <c r="I110" s="55">
        <f t="shared" si="50"/>
        <v>3.8852361028094418E-3</v>
      </c>
      <c r="K110" s="132">
        <v>46005</v>
      </c>
      <c r="L110">
        <v>485.85</v>
      </c>
      <c r="M110" s="55">
        <f t="shared" si="51"/>
        <v>-4.099620785077418E-3</v>
      </c>
      <c r="O110" s="132">
        <v>46005</v>
      </c>
      <c r="P110" s="197">
        <v>2812.5</v>
      </c>
      <c r="Q110" s="55">
        <f t="shared" si="52"/>
        <v>-1.8454768073250527E-3</v>
      </c>
      <c r="S110" s="132">
        <v>46005</v>
      </c>
      <c r="T110">
        <v>248.05</v>
      </c>
      <c r="U110" s="55">
        <f t="shared" si="53"/>
        <v>-4.8888036809815905E-2</v>
      </c>
      <c r="W110" s="132">
        <v>46005</v>
      </c>
      <c r="X110" s="197">
        <v>3090.3</v>
      </c>
      <c r="Y110" s="55">
        <f t="shared" si="54"/>
        <v>-3.6432808872839395E-3</v>
      </c>
      <c r="AA110" s="132">
        <v>46005</v>
      </c>
      <c r="AB110">
        <v>114.2</v>
      </c>
      <c r="AC110" s="55">
        <f t="shared" si="47"/>
        <v>3.5358114233907667E-2</v>
      </c>
      <c r="AE110" s="132">
        <v>46005</v>
      </c>
      <c r="AF110">
        <v>22.92</v>
      </c>
      <c r="AG110" s="55">
        <f t="shared" si="48"/>
        <v>-5.2109181141439143E-2</v>
      </c>
      <c r="AI110" s="132">
        <v>46005</v>
      </c>
      <c r="AJ110">
        <v>1667</v>
      </c>
      <c r="AK110" s="55">
        <f t="shared" si="55"/>
        <v>-5.5631089961477476E-2</v>
      </c>
      <c r="AM110" s="132">
        <v>46005</v>
      </c>
      <c r="AN110" s="197">
        <v>1389.1</v>
      </c>
      <c r="AO110" s="55">
        <f t="shared" si="56"/>
        <v>8.7187915786178127E-2</v>
      </c>
    </row>
    <row r="111" spans="2:41">
      <c r="C111" s="132">
        <v>45998</v>
      </c>
      <c r="D111">
        <v>26046.95</v>
      </c>
      <c r="E111" s="55">
        <f t="shared" si="49"/>
        <v>3.10208577238269E-3</v>
      </c>
      <c r="G111" s="132">
        <v>45998</v>
      </c>
      <c r="H111">
        <v>507.2</v>
      </c>
      <c r="I111" s="55">
        <f t="shared" si="50"/>
        <v>6.6488042076013887E-3</v>
      </c>
      <c r="K111" s="132">
        <v>45998</v>
      </c>
      <c r="L111">
        <v>490.85</v>
      </c>
      <c r="M111" s="55">
        <f t="shared" si="51"/>
        <v>1.029124215292776E-2</v>
      </c>
      <c r="O111" s="132">
        <v>45998</v>
      </c>
      <c r="P111" s="197">
        <v>2836.7</v>
      </c>
      <c r="Q111" s="55">
        <f t="shared" si="52"/>
        <v>8.6044444444444146E-3</v>
      </c>
      <c r="S111" s="132">
        <v>45998</v>
      </c>
      <c r="T111">
        <v>261.39999999999998</v>
      </c>
      <c r="U111" s="55">
        <f t="shared" si="53"/>
        <v>5.3819794396291032E-2</v>
      </c>
      <c r="W111" s="132">
        <v>45998</v>
      </c>
      <c r="X111" s="197">
        <v>3023.6</v>
      </c>
      <c r="Y111" s="55">
        <f t="shared" si="54"/>
        <v>-2.1583665016341569E-2</v>
      </c>
      <c r="AA111" s="132">
        <v>45998</v>
      </c>
      <c r="AB111">
        <v>116.9</v>
      </c>
      <c r="AC111" s="55">
        <f t="shared" si="47"/>
        <v>2.3642732049036885E-2</v>
      </c>
      <c r="AE111" s="132">
        <v>45998</v>
      </c>
      <c r="AF111">
        <v>22.35</v>
      </c>
      <c r="AG111" s="55">
        <f t="shared" si="48"/>
        <v>-2.4869109947644019E-2</v>
      </c>
      <c r="AI111" s="132">
        <v>45998</v>
      </c>
      <c r="AJ111">
        <v>1528.6</v>
      </c>
      <c r="AK111" s="55">
        <f t="shared" si="55"/>
        <v>-8.3023395320935833E-2</v>
      </c>
      <c r="AM111" s="132">
        <v>45998</v>
      </c>
      <c r="AN111" s="197">
        <v>1412.5</v>
      </c>
      <c r="AO111" s="55">
        <f t="shared" si="56"/>
        <v>1.6845439493197167E-2</v>
      </c>
    </row>
    <row r="112" spans="2:41">
      <c r="C112" s="132">
        <v>45991</v>
      </c>
      <c r="D112">
        <v>26186.45</v>
      </c>
      <c r="E112" s="55">
        <f t="shared" si="49"/>
        <v>5.3557134328587885E-3</v>
      </c>
      <c r="G112" s="132">
        <v>45991</v>
      </c>
      <c r="H112">
        <v>516.79999999999995</v>
      </c>
      <c r="I112" s="55">
        <f t="shared" si="50"/>
        <v>1.8927444794952564E-2</v>
      </c>
      <c r="K112" s="132">
        <v>45991</v>
      </c>
      <c r="L112">
        <v>502.7</v>
      </c>
      <c r="M112" s="55">
        <f t="shared" si="51"/>
        <v>2.414179484567569E-2</v>
      </c>
      <c r="O112" s="132">
        <v>45991</v>
      </c>
      <c r="P112" s="197">
        <v>2747</v>
      </c>
      <c r="Q112" s="55">
        <f t="shared" si="52"/>
        <v>-3.1621250044065241E-2</v>
      </c>
      <c r="S112" s="132">
        <v>45991</v>
      </c>
      <c r="T112">
        <v>262.10000000000002</v>
      </c>
      <c r="U112" s="55">
        <f t="shared" si="53"/>
        <v>2.677888293802777E-3</v>
      </c>
      <c r="W112" s="132">
        <v>45991</v>
      </c>
      <c r="X112" s="197">
        <v>2885.4</v>
      </c>
      <c r="Y112" s="55">
        <f t="shared" si="54"/>
        <v>-4.5707104114300789E-2</v>
      </c>
      <c r="AA112" s="132">
        <v>45991</v>
      </c>
      <c r="AB112">
        <v>114.85</v>
      </c>
      <c r="AC112" s="55">
        <f t="shared" si="47"/>
        <v>-1.7536355859709252E-2</v>
      </c>
      <c r="AE112" s="132">
        <v>45991</v>
      </c>
      <c r="AF112">
        <v>23.92</v>
      </c>
      <c r="AG112" s="55">
        <f t="shared" si="48"/>
        <v>7.0246085011185677E-2</v>
      </c>
      <c r="AI112" s="132">
        <v>45991</v>
      </c>
      <c r="AJ112">
        <v>1569</v>
      </c>
      <c r="AK112" s="55">
        <f t="shared" si="55"/>
        <v>2.6429412534345165E-2</v>
      </c>
      <c r="AM112" s="132">
        <v>45991</v>
      </c>
      <c r="AN112" s="197">
        <v>1471.8</v>
      </c>
      <c r="AO112" s="55">
        <f t="shared" si="56"/>
        <v>4.1982300884955803E-2</v>
      </c>
    </row>
    <row r="113" spans="3:41">
      <c r="C113" s="132">
        <v>45984</v>
      </c>
      <c r="D113">
        <v>26202.95</v>
      </c>
      <c r="E113" s="55">
        <f t="shared" si="49"/>
        <v>6.3009686307236024E-4</v>
      </c>
      <c r="G113" s="132">
        <v>45984</v>
      </c>
      <c r="H113">
        <v>530.5</v>
      </c>
      <c r="I113" s="55">
        <f t="shared" si="50"/>
        <v>2.6509287925696734E-2</v>
      </c>
      <c r="K113" s="132">
        <v>45984</v>
      </c>
      <c r="L113">
        <v>497.95</v>
      </c>
      <c r="M113" s="55">
        <f t="shared" si="51"/>
        <v>-9.4489755321265356E-3</v>
      </c>
      <c r="O113" s="132">
        <v>45984</v>
      </c>
      <c r="P113" s="197">
        <v>2739.4</v>
      </c>
      <c r="Q113" s="55">
        <f t="shared" si="52"/>
        <v>-2.7666545322169167E-3</v>
      </c>
      <c r="S113" s="132">
        <v>45984</v>
      </c>
      <c r="T113">
        <v>284.2</v>
      </c>
      <c r="U113" s="55">
        <f t="shared" si="53"/>
        <v>8.4318962228157046E-2</v>
      </c>
      <c r="W113" s="132">
        <v>45984</v>
      </c>
      <c r="X113" s="197">
        <v>2927.3</v>
      </c>
      <c r="Y113" s="55">
        <f t="shared" si="54"/>
        <v>1.4521383517016817E-2</v>
      </c>
      <c r="AA113" s="132">
        <v>45984</v>
      </c>
      <c r="AB113">
        <v>114.15</v>
      </c>
      <c r="AC113" s="55">
        <f t="shared" si="47"/>
        <v>-6.0949063996516006E-3</v>
      </c>
      <c r="AE113" s="132">
        <v>45984</v>
      </c>
      <c r="AF113">
        <v>25.52</v>
      </c>
      <c r="AG113" s="55">
        <f t="shared" si="48"/>
        <v>6.6889632107023367E-2</v>
      </c>
      <c r="AI113" s="132">
        <v>45984</v>
      </c>
      <c r="AJ113">
        <v>1558.6</v>
      </c>
      <c r="AK113" s="55">
        <f t="shared" si="55"/>
        <v>-6.6284257488846698E-3</v>
      </c>
      <c r="AM113" s="132">
        <v>45984</v>
      </c>
      <c r="AN113" s="197">
        <v>1511.7</v>
      </c>
      <c r="AO113" s="55">
        <f t="shared" si="56"/>
        <v>2.710966163880979E-2</v>
      </c>
    </row>
    <row r="114" spans="3:41">
      <c r="C114" s="132">
        <v>45977</v>
      </c>
      <c r="D114">
        <v>26068.15</v>
      </c>
      <c r="E114" s="55">
        <f t="shared" si="49"/>
        <v>-5.144458925426254E-3</v>
      </c>
      <c r="G114" s="132">
        <v>45977</v>
      </c>
      <c r="H114">
        <v>545.75</v>
      </c>
      <c r="I114" s="55">
        <f t="shared" si="50"/>
        <v>2.8746465598491922E-2</v>
      </c>
      <c r="K114" s="132">
        <v>45977</v>
      </c>
      <c r="L114">
        <v>492.3</v>
      </c>
      <c r="M114" s="55">
        <f t="shared" si="51"/>
        <v>-1.1346520735013521E-2</v>
      </c>
      <c r="O114" s="132">
        <v>45977</v>
      </c>
      <c r="P114" s="197">
        <v>2734.8</v>
      </c>
      <c r="Q114" s="55">
        <f t="shared" si="52"/>
        <v>-1.679199824779154E-3</v>
      </c>
      <c r="S114" s="132">
        <v>45977</v>
      </c>
      <c r="T114">
        <v>308.45</v>
      </c>
      <c r="U114" s="55">
        <f t="shared" si="53"/>
        <v>8.5327234342012614E-2</v>
      </c>
      <c r="W114" s="132">
        <v>45977</v>
      </c>
      <c r="X114" s="197">
        <v>2838.4</v>
      </c>
      <c r="Y114" s="55">
        <f t="shared" si="54"/>
        <v>-3.0369282273767673E-2</v>
      </c>
      <c r="AA114" s="132">
        <v>45977</v>
      </c>
      <c r="AB114">
        <v>118.4</v>
      </c>
      <c r="AC114" s="55">
        <f t="shared" si="47"/>
        <v>3.7231712658782223E-2</v>
      </c>
      <c r="AE114" s="132">
        <v>45977</v>
      </c>
      <c r="AF114">
        <v>22.26</v>
      </c>
      <c r="AG114" s="55">
        <f t="shared" si="48"/>
        <v>-0.12774294670846387</v>
      </c>
      <c r="AI114" s="132">
        <v>45977</v>
      </c>
      <c r="AJ114">
        <v>1691.8</v>
      </c>
      <c r="AK114" s="55">
        <f t="shared" si="55"/>
        <v>8.5461311433337572E-2</v>
      </c>
      <c r="AM114" s="132">
        <v>45977</v>
      </c>
      <c r="AN114" s="197">
        <v>1451.8</v>
      </c>
      <c r="AO114" s="55">
        <f t="shared" si="56"/>
        <v>-3.9624264073559679E-2</v>
      </c>
    </row>
    <row r="115" spans="3:41">
      <c r="C115" s="132">
        <v>45970</v>
      </c>
      <c r="D115">
        <v>25910.05</v>
      </c>
      <c r="E115" s="55">
        <f t="shared" si="49"/>
        <v>-6.0648722674989664E-3</v>
      </c>
      <c r="G115" s="132">
        <v>45970</v>
      </c>
      <c r="H115">
        <v>553.5</v>
      </c>
      <c r="I115" s="55">
        <f t="shared" si="50"/>
        <v>1.4200641319285445E-2</v>
      </c>
      <c r="K115" s="132">
        <v>45970</v>
      </c>
      <c r="L115">
        <v>504.5</v>
      </c>
      <c r="M115" s="55">
        <f t="shared" si="51"/>
        <v>2.4781637213081353E-2</v>
      </c>
      <c r="O115" s="132">
        <v>45970</v>
      </c>
      <c r="P115" s="197">
        <v>2783.4</v>
      </c>
      <c r="Q115" s="55">
        <f t="shared" si="52"/>
        <v>1.7770952172005305E-2</v>
      </c>
      <c r="S115" s="132">
        <v>45970</v>
      </c>
      <c r="T115">
        <v>345.1</v>
      </c>
      <c r="U115" s="55">
        <f t="shared" si="53"/>
        <v>0.1188199059815207</v>
      </c>
      <c r="W115" s="132">
        <v>45970</v>
      </c>
      <c r="X115" s="197">
        <v>2839.1</v>
      </c>
      <c r="Y115" s="55">
        <f t="shared" si="54"/>
        <v>2.4661781285217899E-4</v>
      </c>
      <c r="AA115" s="132">
        <v>45970</v>
      </c>
      <c r="AB115">
        <v>110.95</v>
      </c>
      <c r="AC115" s="55">
        <f t="shared" si="47"/>
        <v>-6.2922297297297369E-2</v>
      </c>
      <c r="AE115" s="132">
        <v>45970</v>
      </c>
      <c r="AF115">
        <v>24.1</v>
      </c>
      <c r="AG115" s="55">
        <f t="shared" si="48"/>
        <v>8.2659478885893867E-2</v>
      </c>
      <c r="AI115" s="132">
        <v>45970</v>
      </c>
      <c r="AJ115">
        <v>1741</v>
      </c>
      <c r="AK115" s="55">
        <f t="shared" si="55"/>
        <v>2.9081451708239836E-2</v>
      </c>
      <c r="AM115" s="132">
        <v>45970</v>
      </c>
      <c r="AN115" s="197">
        <v>1507.7</v>
      </c>
      <c r="AO115" s="55">
        <f t="shared" si="56"/>
        <v>3.8503926160628144E-2</v>
      </c>
    </row>
    <row r="116" spans="3:41">
      <c r="C116" s="132">
        <v>45963</v>
      </c>
      <c r="D116">
        <v>25492.3</v>
      </c>
      <c r="E116" s="55">
        <f t="shared" si="49"/>
        <v>-1.6123087373432266E-2</v>
      </c>
      <c r="G116" s="132">
        <v>45963</v>
      </c>
      <c r="H116">
        <v>558</v>
      </c>
      <c r="I116" s="55">
        <f t="shared" si="50"/>
        <v>8.1300813008129413E-3</v>
      </c>
      <c r="K116" s="132">
        <v>45963</v>
      </c>
      <c r="L116">
        <v>490.65</v>
      </c>
      <c r="M116" s="55">
        <f t="shared" si="51"/>
        <v>-2.7452923686818731E-2</v>
      </c>
      <c r="O116" s="132">
        <v>45963</v>
      </c>
      <c r="P116" s="197">
        <v>2724.6</v>
      </c>
      <c r="Q116" s="55">
        <f t="shared" si="52"/>
        <v>-2.1125242509161479E-2</v>
      </c>
      <c r="S116" s="132">
        <v>45963</v>
      </c>
      <c r="T116">
        <v>377.45</v>
      </c>
      <c r="U116" s="55">
        <f t="shared" si="53"/>
        <v>9.3740944653723401E-2</v>
      </c>
      <c r="W116" s="132">
        <v>45963</v>
      </c>
      <c r="X116" s="197">
        <v>2896.8</v>
      </c>
      <c r="Y116" s="55">
        <f t="shared" si="54"/>
        <v>2.0323341904124659E-2</v>
      </c>
      <c r="AA116" s="132">
        <v>45963</v>
      </c>
      <c r="AB116">
        <v>114.25</v>
      </c>
      <c r="AC116" s="55">
        <f t="shared" si="47"/>
        <v>2.9743127534925584E-2</v>
      </c>
      <c r="AE116" s="132">
        <v>45963</v>
      </c>
      <c r="AF116">
        <v>22.4</v>
      </c>
      <c r="AG116" s="55">
        <f t="shared" si="48"/>
        <v>-7.0539419087137012E-2</v>
      </c>
      <c r="AI116" s="132">
        <v>45963</v>
      </c>
      <c r="AJ116">
        <v>1720.6</v>
      </c>
      <c r="AK116" s="55">
        <f t="shared" si="55"/>
        <v>-1.1717403790924785E-2</v>
      </c>
      <c r="AM116" s="132">
        <v>45963</v>
      </c>
      <c r="AN116" s="197">
        <v>1648.1</v>
      </c>
      <c r="AO116" s="55">
        <f t="shared" si="56"/>
        <v>9.3121973867480223E-2</v>
      </c>
    </row>
    <row r="117" spans="3:41">
      <c r="C117" s="132">
        <v>45956</v>
      </c>
      <c r="D117">
        <v>25722.1</v>
      </c>
      <c r="E117" s="55">
        <f t="shared" si="49"/>
        <v>9.0144867273647122E-3</v>
      </c>
      <c r="G117" s="132">
        <v>45956</v>
      </c>
      <c r="H117">
        <v>572.04999999999995</v>
      </c>
      <c r="I117" s="55">
        <f t="shared" si="50"/>
        <v>2.5179211469533946E-2</v>
      </c>
      <c r="K117" s="132">
        <v>45956</v>
      </c>
      <c r="L117">
        <v>502.95</v>
      </c>
      <c r="M117" s="55">
        <f t="shared" si="51"/>
        <v>2.506878630388254E-2</v>
      </c>
      <c r="O117" s="132">
        <v>45956</v>
      </c>
      <c r="P117" s="197">
        <v>2891.7</v>
      </c>
      <c r="Q117" s="55">
        <f t="shared" si="52"/>
        <v>6.133010350143131E-2</v>
      </c>
      <c r="S117" s="132">
        <v>45956</v>
      </c>
      <c r="T117">
        <v>398.85</v>
      </c>
      <c r="U117" s="55">
        <f t="shared" si="53"/>
        <v>5.6696251159094047E-2</v>
      </c>
      <c r="W117" s="132">
        <v>45956</v>
      </c>
      <c r="X117" s="197">
        <v>2930.5</v>
      </c>
      <c r="Y117" s="55">
        <f t="shared" si="54"/>
        <v>1.1633526650096648E-2</v>
      </c>
      <c r="AA117" s="132">
        <v>45956</v>
      </c>
      <c r="AB117">
        <v>120.55</v>
      </c>
      <c r="AC117" s="55">
        <f t="shared" si="47"/>
        <v>5.5142231947483467E-2</v>
      </c>
      <c r="AE117" s="132">
        <v>45956</v>
      </c>
      <c r="AF117">
        <v>23.55</v>
      </c>
      <c r="AG117" s="55">
        <f t="shared" si="48"/>
        <v>5.1339285714285809E-2</v>
      </c>
      <c r="AI117" s="132">
        <v>45956</v>
      </c>
      <c r="AJ117">
        <v>1728.4</v>
      </c>
      <c r="AK117" s="55">
        <f t="shared" si="55"/>
        <v>4.5333023363944847E-3</v>
      </c>
      <c r="AM117" s="132">
        <v>45956</v>
      </c>
      <c r="AN117" s="197">
        <v>1689.7</v>
      </c>
      <c r="AO117" s="55">
        <f t="shared" si="56"/>
        <v>2.5241186821188144E-2</v>
      </c>
    </row>
    <row r="118" spans="3:41">
      <c r="C118" s="132">
        <v>45949</v>
      </c>
      <c r="D118">
        <v>25795.15</v>
      </c>
      <c r="E118" s="55">
        <f t="shared" si="49"/>
        <v>2.839970297915162E-3</v>
      </c>
      <c r="G118" s="132">
        <v>45949</v>
      </c>
      <c r="H118">
        <v>560.15</v>
      </c>
      <c r="I118" s="55">
        <f t="shared" si="50"/>
        <v>-2.080237741456159E-2</v>
      </c>
      <c r="K118" s="132">
        <v>45949</v>
      </c>
      <c r="L118">
        <v>497.4</v>
      </c>
      <c r="M118" s="55">
        <f t="shared" si="51"/>
        <v>-1.1034894124664518E-2</v>
      </c>
      <c r="O118" s="132">
        <v>45949</v>
      </c>
      <c r="P118" s="197">
        <v>2841.3</v>
      </c>
      <c r="Q118" s="55">
        <f t="shared" si="52"/>
        <v>-1.7429193899782036E-2</v>
      </c>
      <c r="S118" s="132">
        <v>45949</v>
      </c>
      <c r="T118">
        <v>395.4</v>
      </c>
      <c r="U118" s="55">
        <f t="shared" si="53"/>
        <v>-8.6498683715683367E-3</v>
      </c>
      <c r="W118" s="132">
        <v>45949</v>
      </c>
      <c r="X118" s="197">
        <v>3082</v>
      </c>
      <c r="Y118" s="55">
        <f t="shared" si="54"/>
        <v>5.1697662514929243E-2</v>
      </c>
      <c r="AA118" s="132">
        <v>45949</v>
      </c>
      <c r="AB118">
        <v>126.8</v>
      </c>
      <c r="AC118" s="55">
        <f t="shared" si="47"/>
        <v>5.1845707175445899E-2</v>
      </c>
      <c r="AE118" s="132">
        <v>45949</v>
      </c>
      <c r="AF118">
        <v>23.59</v>
      </c>
      <c r="AG118" s="55">
        <f t="shared" si="48"/>
        <v>1.6985138004246281E-3</v>
      </c>
      <c r="AI118" s="132">
        <v>45949</v>
      </c>
      <c r="AJ118">
        <v>1757.1</v>
      </c>
      <c r="AK118" s="55">
        <f t="shared" si="55"/>
        <v>1.660495255727823E-2</v>
      </c>
      <c r="AM118" s="132">
        <v>45949</v>
      </c>
      <c r="AN118" s="197">
        <v>1705.8</v>
      </c>
      <c r="AO118" s="55">
        <f t="shared" si="56"/>
        <v>9.5283186364443218E-3</v>
      </c>
    </row>
    <row r="119" spans="3:41">
      <c r="C119" s="132">
        <v>45942</v>
      </c>
      <c r="D119">
        <v>25709.85</v>
      </c>
      <c r="E119" s="55">
        <f t="shared" si="49"/>
        <v>-3.3068231818773608E-3</v>
      </c>
      <c r="G119" s="132">
        <v>45942</v>
      </c>
      <c r="H119">
        <v>545.65</v>
      </c>
      <c r="I119" s="55">
        <f t="shared" si="50"/>
        <v>-2.588592341337137E-2</v>
      </c>
      <c r="K119" s="132">
        <v>45942</v>
      </c>
      <c r="L119">
        <v>496.7</v>
      </c>
      <c r="M119" s="55">
        <f t="shared" si="51"/>
        <v>-1.4073180538801688E-3</v>
      </c>
      <c r="O119" s="132">
        <v>45942</v>
      </c>
      <c r="P119" s="197">
        <v>2836.2</v>
      </c>
      <c r="Q119" s="55">
        <f t="shared" si="52"/>
        <v>-1.7949530144653059E-3</v>
      </c>
      <c r="S119" s="132">
        <v>45942</v>
      </c>
      <c r="T119">
        <v>390.25</v>
      </c>
      <c r="U119" s="55">
        <f t="shared" si="53"/>
        <v>-1.3024785027819896E-2</v>
      </c>
      <c r="W119" s="132">
        <v>45942</v>
      </c>
      <c r="X119" s="197">
        <v>3169.4</v>
      </c>
      <c r="Y119" s="55">
        <f t="shared" si="54"/>
        <v>2.8358208955223896E-2</v>
      </c>
      <c r="AA119" s="132">
        <v>45942</v>
      </c>
      <c r="AB119">
        <v>117.25</v>
      </c>
      <c r="AC119" s="55">
        <f t="shared" si="47"/>
        <v>-7.5315457413249187E-2</v>
      </c>
      <c r="AE119" s="132">
        <v>45942</v>
      </c>
      <c r="AF119">
        <v>23.71</v>
      </c>
      <c r="AG119" s="55">
        <f t="shared" si="48"/>
        <v>5.0869012293344174E-3</v>
      </c>
      <c r="AI119" s="132">
        <v>45942</v>
      </c>
      <c r="AJ119">
        <v>1770.2</v>
      </c>
      <c r="AK119" s="55">
        <f t="shared" si="55"/>
        <v>7.4554663934893739E-3</v>
      </c>
      <c r="AM119" s="132">
        <v>45942</v>
      </c>
      <c r="AN119" s="197">
        <v>1700.6</v>
      </c>
      <c r="AO119" s="55">
        <f t="shared" si="56"/>
        <v>-3.0484230273185586E-3</v>
      </c>
    </row>
    <row r="120" spans="3:41">
      <c r="C120" s="132">
        <v>45935</v>
      </c>
      <c r="D120">
        <v>25285.35</v>
      </c>
      <c r="E120" s="55">
        <f t="shared" si="49"/>
        <v>-1.6511181512144146E-2</v>
      </c>
      <c r="G120" s="132">
        <v>45935</v>
      </c>
      <c r="H120">
        <v>566.54999999999995</v>
      </c>
      <c r="I120" s="55">
        <f t="shared" si="50"/>
        <v>3.8302941445981897E-2</v>
      </c>
      <c r="K120" s="132">
        <v>45935</v>
      </c>
      <c r="L120">
        <v>498</v>
      </c>
      <c r="M120" s="55">
        <f t="shared" si="51"/>
        <v>2.6172740084557944E-3</v>
      </c>
      <c r="O120" s="132">
        <v>45935</v>
      </c>
      <c r="P120" s="197">
        <v>2811</v>
      </c>
      <c r="Q120" s="55">
        <f t="shared" si="52"/>
        <v>-8.8851279881531076E-3</v>
      </c>
      <c r="S120" s="132">
        <v>45935</v>
      </c>
      <c r="T120">
        <v>366.1</v>
      </c>
      <c r="U120" s="55">
        <f t="shared" si="53"/>
        <v>-6.1883408071748858E-2</v>
      </c>
      <c r="W120" s="132">
        <v>45935</v>
      </c>
      <c r="X120" s="197">
        <v>3024.5</v>
      </c>
      <c r="Y120" s="55">
        <f t="shared" si="54"/>
        <v>-4.5718432510885365E-2</v>
      </c>
      <c r="AA120" s="132">
        <v>45935</v>
      </c>
      <c r="AB120">
        <v>119.05</v>
      </c>
      <c r="AC120" s="55">
        <f t="shared" si="47"/>
        <v>1.5351812366737771E-2</v>
      </c>
      <c r="AE120" s="132">
        <v>45935</v>
      </c>
      <c r="AF120">
        <v>23.56</v>
      </c>
      <c r="AG120" s="55">
        <f t="shared" si="48"/>
        <v>-6.3264445381696621E-3</v>
      </c>
      <c r="AI120" s="132">
        <v>45935</v>
      </c>
      <c r="AJ120">
        <v>1789.3</v>
      </c>
      <c r="AK120" s="55">
        <f t="shared" si="55"/>
        <v>1.0789741272172693E-2</v>
      </c>
      <c r="AM120" s="132">
        <v>45935</v>
      </c>
      <c r="AN120" s="197">
        <v>1715.9</v>
      </c>
      <c r="AO120" s="55">
        <f t="shared" si="56"/>
        <v>8.9968246501235249E-3</v>
      </c>
    </row>
    <row r="121" spans="3:41">
      <c r="C121" s="132">
        <v>45928</v>
      </c>
      <c r="D121">
        <v>24894.25</v>
      </c>
      <c r="E121" s="55">
        <f t="shared" si="49"/>
        <v>-1.5467454474626607E-2</v>
      </c>
      <c r="G121" s="132">
        <v>45928</v>
      </c>
      <c r="H121">
        <v>561.6</v>
      </c>
      <c r="I121" s="55">
        <f t="shared" si="50"/>
        <v>-8.7370929308974166E-3</v>
      </c>
      <c r="K121" s="132">
        <v>45928</v>
      </c>
      <c r="L121">
        <v>502.3</v>
      </c>
      <c r="M121" s="55">
        <f t="shared" si="51"/>
        <v>8.6345381526105047E-3</v>
      </c>
      <c r="O121" s="132">
        <v>45928</v>
      </c>
      <c r="P121" s="197">
        <v>2791.4</v>
      </c>
      <c r="Q121" s="55">
        <f t="shared" si="52"/>
        <v>-6.9726076129490444E-3</v>
      </c>
      <c r="S121" s="132">
        <v>45928</v>
      </c>
      <c r="T121">
        <v>387.1</v>
      </c>
      <c r="U121" s="55">
        <f t="shared" si="53"/>
        <v>5.7361376673040088E-2</v>
      </c>
      <c r="W121" s="132">
        <v>45928</v>
      </c>
      <c r="X121" s="197">
        <v>2919.4</v>
      </c>
      <c r="Y121" s="55">
        <f t="shared" si="54"/>
        <v>-3.4749545379401559E-2</v>
      </c>
      <c r="AA121" s="132">
        <v>45928</v>
      </c>
      <c r="AB121">
        <v>121.05</v>
      </c>
      <c r="AC121" s="55">
        <f t="shared" si="47"/>
        <v>1.6799664006719839E-2</v>
      </c>
      <c r="AE121" s="132">
        <v>45928</v>
      </c>
      <c r="AF121">
        <v>23.76</v>
      </c>
      <c r="AG121" s="55">
        <f t="shared" si="48"/>
        <v>8.4889643463499365E-3</v>
      </c>
      <c r="AI121" s="132">
        <v>45928</v>
      </c>
      <c r="AJ121">
        <v>1851.8</v>
      </c>
      <c r="AK121" s="55">
        <f t="shared" si="55"/>
        <v>3.492986083943439E-2</v>
      </c>
      <c r="AM121" s="132">
        <v>45928</v>
      </c>
      <c r="AN121" s="197">
        <v>1753.7</v>
      </c>
      <c r="AO121" s="55">
        <f t="shared" si="56"/>
        <v>2.2029255784136614E-2</v>
      </c>
    </row>
    <row r="122" spans="3:41">
      <c r="C122" s="132">
        <v>45921</v>
      </c>
      <c r="D122">
        <v>24654.7</v>
      </c>
      <c r="E122" s="55">
        <f t="shared" si="49"/>
        <v>-9.6227040380810758E-3</v>
      </c>
      <c r="G122" s="132">
        <v>45921</v>
      </c>
      <c r="H122">
        <v>559.6</v>
      </c>
      <c r="I122" s="55">
        <f t="shared" si="50"/>
        <v>-3.5612535612535856E-3</v>
      </c>
      <c r="K122" s="132">
        <v>45921</v>
      </c>
      <c r="L122">
        <v>497.3</v>
      </c>
      <c r="M122" s="55">
        <f t="shared" si="51"/>
        <v>-9.9542106310969158E-3</v>
      </c>
      <c r="O122" s="132">
        <v>45921</v>
      </c>
      <c r="P122" s="197">
        <v>2746.8</v>
      </c>
      <c r="Q122" s="55">
        <f t="shared" si="52"/>
        <v>-1.59776456258508E-2</v>
      </c>
      <c r="S122" s="132">
        <v>45921</v>
      </c>
      <c r="T122">
        <v>418.4</v>
      </c>
      <c r="U122" s="55">
        <f t="shared" si="53"/>
        <v>8.0857659519503855E-2</v>
      </c>
      <c r="W122" s="132">
        <v>45921</v>
      </c>
      <c r="X122" s="197">
        <v>2806.9</v>
      </c>
      <c r="Y122" s="55">
        <f t="shared" si="54"/>
        <v>-3.8535315475782705E-2</v>
      </c>
      <c r="AA122" s="132">
        <v>45921</v>
      </c>
      <c r="AB122">
        <v>118.75</v>
      </c>
      <c r="AC122" s="55">
        <f t="shared" si="47"/>
        <v>-1.9000413052457588E-2</v>
      </c>
      <c r="AE122" s="132">
        <v>45921</v>
      </c>
      <c r="AF122">
        <v>24.43</v>
      </c>
      <c r="AG122" s="55">
        <f t="shared" si="48"/>
        <v>2.8198653198653112E-2</v>
      </c>
      <c r="AI122" s="132">
        <v>45921</v>
      </c>
      <c r="AJ122">
        <v>1848.4</v>
      </c>
      <c r="AK122" s="55">
        <f t="shared" si="55"/>
        <v>-1.836051409439432E-3</v>
      </c>
      <c r="AM122" s="132">
        <v>45921</v>
      </c>
      <c r="AN122" s="197">
        <v>1659.2</v>
      </c>
      <c r="AO122" s="55">
        <f t="shared" si="56"/>
        <v>-5.3886069453156216E-2</v>
      </c>
    </row>
    <row r="123" spans="3:41">
      <c r="C123" s="132">
        <v>45914</v>
      </c>
      <c r="D123">
        <v>25327.05</v>
      </c>
      <c r="E123" s="55">
        <f t="shared" si="49"/>
        <v>2.7270662388915623E-2</v>
      </c>
      <c r="G123" s="132">
        <v>45914</v>
      </c>
      <c r="H123">
        <v>594.5</v>
      </c>
      <c r="I123" s="55">
        <f t="shared" si="50"/>
        <v>6.2365975696926368E-2</v>
      </c>
      <c r="K123" s="132">
        <v>45914</v>
      </c>
      <c r="L123">
        <v>513</v>
      </c>
      <c r="M123" s="55">
        <f t="shared" si="51"/>
        <v>3.1570480595214168E-2</v>
      </c>
      <c r="O123" s="132">
        <v>45914</v>
      </c>
      <c r="P123" s="197">
        <v>2877.9</v>
      </c>
      <c r="Q123" s="55">
        <f t="shared" si="52"/>
        <v>4.7728265618173893E-2</v>
      </c>
      <c r="S123" s="132">
        <v>45914</v>
      </c>
      <c r="T123">
        <v>428.4</v>
      </c>
      <c r="U123" s="55">
        <f t="shared" si="53"/>
        <v>2.390057361376674E-2</v>
      </c>
      <c r="W123" s="132">
        <v>45914</v>
      </c>
      <c r="X123" s="197">
        <v>2937.2</v>
      </c>
      <c r="Y123" s="55">
        <f t="shared" si="54"/>
        <v>4.6421318892728491E-2</v>
      </c>
      <c r="AA123" s="132">
        <v>45914</v>
      </c>
      <c r="AB123">
        <v>129.19999999999999</v>
      </c>
      <c r="AC123" s="55">
        <f t="shared" si="47"/>
        <v>8.7999999999999856E-2</v>
      </c>
      <c r="AE123" s="132">
        <v>45914</v>
      </c>
      <c r="AF123">
        <v>25.81</v>
      </c>
      <c r="AG123" s="55">
        <f t="shared" si="48"/>
        <v>5.6487924682766977E-2</v>
      </c>
      <c r="AI123" s="132">
        <v>45914</v>
      </c>
      <c r="AJ123">
        <v>1805.7</v>
      </c>
      <c r="AK123" s="55">
        <f t="shared" si="55"/>
        <v>-2.3101060376541915E-2</v>
      </c>
      <c r="AM123" s="132">
        <v>45914</v>
      </c>
      <c r="AN123" s="197">
        <v>1763.2</v>
      </c>
      <c r="AO123" s="55">
        <f t="shared" si="56"/>
        <v>6.2680810028929557E-2</v>
      </c>
    </row>
    <row r="124" spans="3:41">
      <c r="C124" s="132">
        <v>45907</v>
      </c>
      <c r="D124">
        <v>25114</v>
      </c>
      <c r="E124" s="55">
        <f t="shared" si="49"/>
        <v>-8.4119548072120187E-3</v>
      </c>
      <c r="G124" s="132">
        <v>45907</v>
      </c>
      <c r="H124">
        <v>608.6</v>
      </c>
      <c r="I124" s="55">
        <f t="shared" si="50"/>
        <v>2.3717409587888927E-2</v>
      </c>
      <c r="K124" s="132">
        <v>45907</v>
      </c>
      <c r="L124">
        <v>505.45</v>
      </c>
      <c r="M124" s="55">
        <f t="shared" si="51"/>
        <v>-1.471734892787524E-2</v>
      </c>
      <c r="O124" s="132">
        <v>45907</v>
      </c>
      <c r="P124" s="197">
        <v>2802</v>
      </c>
      <c r="Q124" s="55">
        <f t="shared" si="52"/>
        <v>-2.6373397268841914E-2</v>
      </c>
      <c r="S124" s="132">
        <v>45907</v>
      </c>
      <c r="T124">
        <v>429.6</v>
      </c>
      <c r="U124" s="55">
        <f t="shared" si="53"/>
        <v>2.8011204481794838E-3</v>
      </c>
      <c r="W124" s="132">
        <v>45907</v>
      </c>
      <c r="X124" s="197">
        <v>2971.7</v>
      </c>
      <c r="Y124" s="55">
        <f t="shared" si="54"/>
        <v>1.174588043034186E-2</v>
      </c>
      <c r="AA124" s="132">
        <v>45907</v>
      </c>
      <c r="AB124">
        <v>127.3</v>
      </c>
      <c r="AC124" s="55">
        <f t="shared" si="47"/>
        <v>-1.4705882352941124E-2</v>
      </c>
      <c r="AE124" s="132">
        <v>45907</v>
      </c>
      <c r="AF124">
        <v>26.14</v>
      </c>
      <c r="AG124" s="55">
        <f t="shared" si="48"/>
        <v>1.2785741960480435E-2</v>
      </c>
      <c r="AI124" s="132">
        <v>45907</v>
      </c>
      <c r="AJ124">
        <v>1749.6</v>
      </c>
      <c r="AK124" s="55">
        <f t="shared" si="55"/>
        <v>-3.1068283768067806E-2</v>
      </c>
      <c r="AM124" s="132">
        <v>45907</v>
      </c>
      <c r="AN124" s="197">
        <v>1786.4</v>
      </c>
      <c r="AO124" s="55">
        <f t="shared" si="56"/>
        <v>1.3157894736842035E-2</v>
      </c>
    </row>
    <row r="125" spans="3:41">
      <c r="C125" s="132">
        <v>45900</v>
      </c>
      <c r="D125">
        <v>24741</v>
      </c>
      <c r="E125" s="55">
        <f t="shared" si="49"/>
        <v>-1.4852273632236956E-2</v>
      </c>
      <c r="G125" s="132">
        <v>45900</v>
      </c>
      <c r="H125">
        <v>587.79999999999995</v>
      </c>
      <c r="I125" s="55">
        <f t="shared" si="50"/>
        <v>-3.4176799211304787E-2</v>
      </c>
      <c r="K125" s="132">
        <v>45900</v>
      </c>
      <c r="L125">
        <v>504.45</v>
      </c>
      <c r="M125" s="55">
        <f t="shared" si="51"/>
        <v>-1.97843505786921E-3</v>
      </c>
      <c r="O125" s="132">
        <v>45900</v>
      </c>
      <c r="P125" s="197">
        <v>2804</v>
      </c>
      <c r="Q125" s="55">
        <f t="shared" si="52"/>
        <v>7.1377587437537748E-4</v>
      </c>
      <c r="S125" s="132">
        <v>45900</v>
      </c>
      <c r="T125">
        <v>416.05</v>
      </c>
      <c r="U125" s="55">
        <f t="shared" si="53"/>
        <v>-3.1540968342644304E-2</v>
      </c>
      <c r="W125" s="132">
        <v>45900</v>
      </c>
      <c r="X125" s="197">
        <v>2851.8</v>
      </c>
      <c r="Y125" s="55">
        <f t="shared" si="54"/>
        <v>-4.0347275969983443E-2</v>
      </c>
      <c r="AA125" s="132">
        <v>45900</v>
      </c>
      <c r="AB125">
        <v>132.75</v>
      </c>
      <c r="AC125" s="55">
        <f t="shared" si="47"/>
        <v>4.2812254516889192E-2</v>
      </c>
      <c r="AE125" s="132">
        <v>45900</v>
      </c>
      <c r="AF125">
        <v>25.29</v>
      </c>
      <c r="AG125" s="55">
        <f t="shared" si="48"/>
        <v>-3.2517214996174548E-2</v>
      </c>
      <c r="AI125" s="132">
        <v>45900</v>
      </c>
      <c r="AJ125">
        <v>1749.5</v>
      </c>
      <c r="AK125" s="55">
        <f t="shared" si="55"/>
        <v>-5.7155921353357897E-5</v>
      </c>
      <c r="AM125" s="132">
        <v>45900</v>
      </c>
      <c r="AN125" s="197">
        <v>1760.7</v>
      </c>
      <c r="AO125" s="55">
        <f t="shared" si="56"/>
        <v>-1.4386475593372139E-2</v>
      </c>
    </row>
    <row r="126" spans="3:41">
      <c r="C126" s="132">
        <v>45893</v>
      </c>
      <c r="D126">
        <v>24426.85</v>
      </c>
      <c r="E126" s="55">
        <f t="shared" si="49"/>
        <v>-1.2697546582595698E-2</v>
      </c>
      <c r="G126" s="132">
        <v>45893</v>
      </c>
      <c r="H126">
        <v>564.29999999999995</v>
      </c>
      <c r="I126" s="55">
        <f t="shared" si="50"/>
        <v>-3.9979584892820719E-2</v>
      </c>
      <c r="K126" s="132">
        <v>45893</v>
      </c>
      <c r="L126">
        <v>522.75</v>
      </c>
      <c r="M126" s="55">
        <f t="shared" si="51"/>
        <v>3.6277133511745552E-2</v>
      </c>
      <c r="O126" s="132">
        <v>45893</v>
      </c>
      <c r="P126" s="197">
        <v>2775.6</v>
      </c>
      <c r="Q126" s="55">
        <f t="shared" si="52"/>
        <v>-1.0128388017118461E-2</v>
      </c>
      <c r="S126" s="132">
        <v>45893</v>
      </c>
      <c r="T126">
        <v>427.3</v>
      </c>
      <c r="U126" s="55">
        <f t="shared" si="53"/>
        <v>2.7040019228458112E-2</v>
      </c>
      <c r="W126" s="132">
        <v>45893</v>
      </c>
      <c r="X126" s="197">
        <v>2836.4</v>
      </c>
      <c r="Y126" s="55">
        <f t="shared" si="54"/>
        <v>-5.4000981836033191E-3</v>
      </c>
      <c r="AA126" s="132">
        <v>45893</v>
      </c>
      <c r="AB126">
        <v>125.6</v>
      </c>
      <c r="AC126" s="55">
        <f t="shared" si="47"/>
        <v>-5.3860640301318319E-2</v>
      </c>
      <c r="AE126" s="132">
        <v>45893</v>
      </c>
      <c r="AF126">
        <v>25.67</v>
      </c>
      <c r="AG126" s="55">
        <f t="shared" si="48"/>
        <v>1.5025701858442098E-2</v>
      </c>
      <c r="AI126" s="132">
        <v>45893</v>
      </c>
      <c r="AJ126">
        <v>1787.9</v>
      </c>
      <c r="AK126" s="55">
        <f t="shared" si="55"/>
        <v>2.1949128322377831E-2</v>
      </c>
      <c r="AM126" s="132">
        <v>45893</v>
      </c>
      <c r="AN126" s="197">
        <v>1811.4</v>
      </c>
      <c r="AO126" s="55">
        <f t="shared" si="56"/>
        <v>2.8795365479638901E-2</v>
      </c>
    </row>
    <row r="127" spans="3:41">
      <c r="C127" s="132">
        <v>45886</v>
      </c>
      <c r="D127">
        <v>24870.1</v>
      </c>
      <c r="E127" s="55">
        <f t="shared" si="49"/>
        <v>1.8146015552557904E-2</v>
      </c>
      <c r="G127" s="132">
        <v>45886</v>
      </c>
      <c r="H127">
        <v>574.54999999999995</v>
      </c>
      <c r="I127" s="55">
        <f t="shared" si="50"/>
        <v>1.8164097111465605E-2</v>
      </c>
      <c r="K127" s="132">
        <v>45886</v>
      </c>
      <c r="L127">
        <v>531.54999999999995</v>
      </c>
      <c r="M127" s="55">
        <f t="shared" si="51"/>
        <v>1.6834050693448122E-2</v>
      </c>
      <c r="O127" s="132">
        <v>45886</v>
      </c>
      <c r="P127" s="197">
        <v>2813.8</v>
      </c>
      <c r="Q127" s="55">
        <f t="shared" si="52"/>
        <v>1.3762790027381566E-2</v>
      </c>
      <c r="S127" s="132">
        <v>45886</v>
      </c>
      <c r="T127">
        <v>439.2</v>
      </c>
      <c r="U127" s="55">
        <f t="shared" si="53"/>
        <v>2.7849286215773317E-2</v>
      </c>
      <c r="W127" s="132">
        <v>45886</v>
      </c>
      <c r="X127" s="197">
        <v>2917.5</v>
      </c>
      <c r="Y127" s="55">
        <f t="shared" si="54"/>
        <v>2.8592582146382606E-2</v>
      </c>
      <c r="AA127" s="132">
        <v>45886</v>
      </c>
      <c r="AB127">
        <v>133.55000000000001</v>
      </c>
      <c r="AC127" s="55">
        <f t="shared" si="47"/>
        <v>6.3296178343949183E-2</v>
      </c>
      <c r="AE127" s="132">
        <v>45886</v>
      </c>
      <c r="AF127">
        <v>26.92</v>
      </c>
      <c r="AG127" s="55">
        <f t="shared" si="48"/>
        <v>4.8694974678613168E-2</v>
      </c>
      <c r="AI127" s="132">
        <v>45886</v>
      </c>
      <c r="AJ127">
        <v>1805.2</v>
      </c>
      <c r="AK127" s="55">
        <f t="shared" si="55"/>
        <v>9.6761563845852994E-3</v>
      </c>
      <c r="AM127" s="132">
        <v>45886</v>
      </c>
      <c r="AN127" s="197">
        <v>1845.3</v>
      </c>
      <c r="AO127" s="55">
        <f t="shared" si="56"/>
        <v>1.8714806227227543E-2</v>
      </c>
    </row>
    <row r="128" spans="3:41">
      <c r="C128" s="132">
        <v>45879</v>
      </c>
      <c r="D128">
        <v>24631.3</v>
      </c>
      <c r="E128" s="55">
        <f t="shared" si="49"/>
        <v>-9.6018914278591661E-3</v>
      </c>
      <c r="G128" s="132">
        <v>45879</v>
      </c>
      <c r="H128">
        <v>550.35</v>
      </c>
      <c r="I128" s="55">
        <f t="shared" si="50"/>
        <v>-4.2119919937342098E-2</v>
      </c>
      <c r="K128" s="132">
        <v>45879</v>
      </c>
      <c r="L128">
        <v>501.6</v>
      </c>
      <c r="M128" s="55">
        <f t="shared" si="51"/>
        <v>-5.6344652431567943E-2</v>
      </c>
      <c r="O128" s="132">
        <v>45879</v>
      </c>
      <c r="P128" s="197">
        <v>2764.9</v>
      </c>
      <c r="Q128" s="55">
        <f t="shared" si="52"/>
        <v>-1.7378633875897442E-2</v>
      </c>
      <c r="S128" s="132">
        <v>45879</v>
      </c>
      <c r="T128">
        <v>428.6</v>
      </c>
      <c r="U128" s="55">
        <f t="shared" si="53"/>
        <v>-2.4134790528233085E-2</v>
      </c>
      <c r="W128" s="132">
        <v>45879</v>
      </c>
      <c r="X128" s="197">
        <v>2841.9</v>
      </c>
      <c r="Y128" s="55">
        <f t="shared" si="54"/>
        <v>-2.5912596401028276E-2</v>
      </c>
      <c r="AA128" s="132">
        <v>45879</v>
      </c>
      <c r="AB128">
        <v>125.8</v>
      </c>
      <c r="AC128" s="55">
        <f t="shared" si="47"/>
        <v>-5.803070011231759E-2</v>
      </c>
      <c r="AE128" s="132">
        <v>45879</v>
      </c>
      <c r="AF128">
        <v>27.3</v>
      </c>
      <c r="AG128" s="55">
        <f t="shared" si="48"/>
        <v>1.4115898959881079E-2</v>
      </c>
      <c r="AI128" s="132">
        <v>45879</v>
      </c>
      <c r="AJ128">
        <v>1856.6</v>
      </c>
      <c r="AK128" s="55">
        <f t="shared" si="55"/>
        <v>2.8473299357411941E-2</v>
      </c>
      <c r="AM128" s="132">
        <v>45879</v>
      </c>
      <c r="AN128" s="197">
        <v>1868</v>
      </c>
      <c r="AO128" s="55">
        <f t="shared" si="56"/>
        <v>1.2301522787622643E-2</v>
      </c>
    </row>
    <row r="129" spans="3:41">
      <c r="C129" s="132">
        <v>45872</v>
      </c>
      <c r="D129">
        <v>24363.3</v>
      </c>
      <c r="E129" s="55">
        <f t="shared" si="49"/>
        <v>-1.0880465099284198E-2</v>
      </c>
      <c r="G129" s="132">
        <v>45872</v>
      </c>
      <c r="H129">
        <v>578.65</v>
      </c>
      <c r="I129" s="55">
        <f t="shared" si="50"/>
        <v>5.142182247660565E-2</v>
      </c>
      <c r="K129" s="132">
        <v>45872</v>
      </c>
      <c r="L129">
        <v>498.25</v>
      </c>
      <c r="M129" s="55">
        <f t="shared" si="51"/>
        <v>-6.6786283891547837E-3</v>
      </c>
      <c r="O129" s="132">
        <v>45872</v>
      </c>
      <c r="P129" s="197">
        <v>2691.6</v>
      </c>
      <c r="Q129" s="55">
        <f t="shared" si="52"/>
        <v>-2.6510904553510128E-2</v>
      </c>
      <c r="S129" s="132">
        <v>45872</v>
      </c>
      <c r="T129">
        <v>410.5</v>
      </c>
      <c r="U129" s="55">
        <f t="shared" si="53"/>
        <v>-4.2230517965469061E-2</v>
      </c>
      <c r="W129" s="132">
        <v>45872</v>
      </c>
      <c r="X129" s="197">
        <v>2861.2</v>
      </c>
      <c r="Y129" s="55">
        <f t="shared" si="54"/>
        <v>6.7912312185509638E-3</v>
      </c>
      <c r="AA129" s="132">
        <v>45872</v>
      </c>
      <c r="AB129">
        <v>110.65</v>
      </c>
      <c r="AC129" s="55">
        <f t="shared" si="47"/>
        <v>-0.12042925278219385</v>
      </c>
      <c r="AE129" s="132">
        <v>45872</v>
      </c>
      <c r="AF129">
        <v>26.86</v>
      </c>
      <c r="AG129" s="55">
        <f t="shared" si="48"/>
        <v>-1.6117216117216171E-2</v>
      </c>
      <c r="AI129" s="132">
        <v>45872</v>
      </c>
      <c r="AJ129">
        <v>1805.8</v>
      </c>
      <c r="AK129" s="55">
        <f t="shared" si="55"/>
        <v>-2.7361844231390653E-2</v>
      </c>
      <c r="AM129" s="132">
        <v>45872</v>
      </c>
      <c r="AN129" s="197">
        <v>1832</v>
      </c>
      <c r="AO129" s="55">
        <f t="shared" si="56"/>
        <v>-1.9271948608137079E-2</v>
      </c>
    </row>
    <row r="130" spans="3:41">
      <c r="C130" s="132">
        <v>45865</v>
      </c>
      <c r="D130">
        <v>24565.35</v>
      </c>
      <c r="E130" s="55">
        <f t="shared" si="49"/>
        <v>8.2932115107559046E-3</v>
      </c>
      <c r="G130" s="132">
        <v>45865</v>
      </c>
      <c r="H130">
        <v>573.25</v>
      </c>
      <c r="I130" s="55">
        <f t="shared" si="50"/>
        <v>-9.3320660157262258E-3</v>
      </c>
      <c r="K130" s="132">
        <v>45865</v>
      </c>
      <c r="L130">
        <v>535.04999999999995</v>
      </c>
      <c r="M130" s="55">
        <f t="shared" si="51"/>
        <v>7.3858504766683319E-2</v>
      </c>
      <c r="O130" s="132">
        <v>45865</v>
      </c>
      <c r="P130" s="197">
        <v>2722.2</v>
      </c>
      <c r="Q130" s="55">
        <f t="shared" si="52"/>
        <v>1.136870263040568E-2</v>
      </c>
      <c r="S130" s="132">
        <v>45865</v>
      </c>
      <c r="T130">
        <v>418.5</v>
      </c>
      <c r="U130" s="55">
        <f t="shared" si="53"/>
        <v>1.948842874543244E-2</v>
      </c>
      <c r="W130" s="132">
        <v>45865</v>
      </c>
      <c r="X130" s="197">
        <v>2985.2</v>
      </c>
      <c r="Y130" s="55">
        <f t="shared" si="54"/>
        <v>4.3338459387669559E-2</v>
      </c>
      <c r="AA130" s="132">
        <v>45865</v>
      </c>
      <c r="AB130">
        <v>112.55</v>
      </c>
      <c r="AC130" s="55">
        <f t="shared" si="47"/>
        <v>1.7171260732037785E-2</v>
      </c>
      <c r="AE130" s="132">
        <v>45865</v>
      </c>
      <c r="AF130">
        <v>27.58</v>
      </c>
      <c r="AG130" s="55">
        <f t="shared" si="48"/>
        <v>2.6805658972449686E-2</v>
      </c>
      <c r="AI130" s="132">
        <v>45865</v>
      </c>
      <c r="AJ130">
        <v>1819.8</v>
      </c>
      <c r="AK130" s="55">
        <f t="shared" si="55"/>
        <v>7.7527965444679214E-3</v>
      </c>
      <c r="AM130" s="132">
        <v>45865</v>
      </c>
      <c r="AN130" s="197">
        <v>1956.3</v>
      </c>
      <c r="AO130" s="55">
        <f t="shared" si="56"/>
        <v>6.784934497816586E-2</v>
      </c>
    </row>
    <row r="131" spans="3:41">
      <c r="C131" s="132">
        <v>45858</v>
      </c>
      <c r="D131">
        <v>24837</v>
      </c>
      <c r="E131" s="55">
        <f t="shared" si="49"/>
        <v>1.1058258889045103E-2</v>
      </c>
      <c r="G131" s="132">
        <v>45858</v>
      </c>
      <c r="H131">
        <v>594.1</v>
      </c>
      <c r="I131" s="55">
        <f t="shared" si="50"/>
        <v>3.6371565634540026E-2</v>
      </c>
      <c r="K131" s="132">
        <v>45858</v>
      </c>
      <c r="L131">
        <v>538.4</v>
      </c>
      <c r="M131" s="55">
        <f t="shared" si="51"/>
        <v>6.2610970937295729E-3</v>
      </c>
      <c r="O131" s="132">
        <v>45858</v>
      </c>
      <c r="P131" s="197">
        <v>2708.6</v>
      </c>
      <c r="Q131" s="55">
        <f t="shared" si="52"/>
        <v>-4.9959591506869572E-3</v>
      </c>
      <c r="S131" s="132">
        <v>45858</v>
      </c>
      <c r="T131">
        <v>439.35</v>
      </c>
      <c r="U131" s="55">
        <f t="shared" si="53"/>
        <v>4.9820788530466009E-2</v>
      </c>
      <c r="W131" s="132">
        <v>45858</v>
      </c>
      <c r="X131" s="197">
        <v>3040.8</v>
      </c>
      <c r="Y131" s="55">
        <f t="shared" si="54"/>
        <v>1.8625217740855016E-2</v>
      </c>
      <c r="AA131" s="132">
        <v>45858</v>
      </c>
      <c r="AB131">
        <v>103.11</v>
      </c>
      <c r="AC131" s="55">
        <f t="shared" si="47"/>
        <v>-8.3873833851621504E-2</v>
      </c>
      <c r="AE131" s="132">
        <v>45858</v>
      </c>
      <c r="AF131">
        <v>29.84</v>
      </c>
      <c r="AG131" s="55">
        <f t="shared" si="48"/>
        <v>8.1943437273386488E-2</v>
      </c>
      <c r="AI131" s="132">
        <v>45858</v>
      </c>
      <c r="AJ131">
        <v>1902.6</v>
      </c>
      <c r="AK131" s="55">
        <f t="shared" si="55"/>
        <v>4.5499505440158128E-2</v>
      </c>
      <c r="AM131" s="132">
        <v>45858</v>
      </c>
      <c r="AN131" s="197">
        <v>1847.9</v>
      </c>
      <c r="AO131" s="55">
        <f t="shared" si="56"/>
        <v>-5.541072432653471E-2</v>
      </c>
    </row>
    <row r="132" spans="3:41">
      <c r="C132" s="132">
        <v>45851</v>
      </c>
      <c r="D132">
        <v>24968.400000000001</v>
      </c>
      <c r="E132" s="55">
        <f t="shared" si="49"/>
        <v>5.2904940210170004E-3</v>
      </c>
      <c r="G132" s="132">
        <v>45851</v>
      </c>
      <c r="H132">
        <v>590.1</v>
      </c>
      <c r="I132" s="55">
        <f t="shared" si="50"/>
        <v>-6.7328732536610092E-3</v>
      </c>
      <c r="K132" s="132">
        <v>45851</v>
      </c>
      <c r="L132">
        <v>545.85</v>
      </c>
      <c r="M132" s="55">
        <f t="shared" si="51"/>
        <v>1.383729569093628E-2</v>
      </c>
      <c r="O132" s="132">
        <v>45851</v>
      </c>
      <c r="P132" s="197">
        <v>2728.5</v>
      </c>
      <c r="Q132" s="55">
        <f t="shared" si="52"/>
        <v>7.346968913830132E-3</v>
      </c>
      <c r="S132" s="132">
        <v>45851</v>
      </c>
      <c r="T132">
        <v>455.8</v>
      </c>
      <c r="U132" s="55">
        <f t="shared" si="53"/>
        <v>3.7441675202003033E-2</v>
      </c>
      <c r="W132" s="132">
        <v>45851</v>
      </c>
      <c r="X132" s="197">
        <v>3187.1</v>
      </c>
      <c r="Y132" s="55">
        <f t="shared" si="54"/>
        <v>4.8112338858195214E-2</v>
      </c>
      <c r="AA132" s="132">
        <v>45851</v>
      </c>
      <c r="AB132">
        <v>101.01</v>
      </c>
      <c r="AC132" s="55">
        <f t="shared" si="47"/>
        <v>-2.0366598778004064E-2</v>
      </c>
      <c r="AE132" s="132">
        <v>45851</v>
      </c>
      <c r="AF132">
        <v>26.72</v>
      </c>
      <c r="AG132" s="55">
        <f t="shared" si="48"/>
        <v>-0.10455764075067031</v>
      </c>
      <c r="AI132" s="132">
        <v>45851</v>
      </c>
      <c r="AJ132">
        <v>1948.9</v>
      </c>
      <c r="AK132" s="55">
        <f t="shared" si="55"/>
        <v>2.4335120361610452E-2</v>
      </c>
      <c r="AM132" s="132">
        <v>45851</v>
      </c>
      <c r="AN132" s="197">
        <v>1798.4</v>
      </c>
      <c r="AO132" s="55">
        <f t="shared" si="56"/>
        <v>-2.6787163807565295E-2</v>
      </c>
    </row>
    <row r="133" spans="3:41">
      <c r="C133" s="132">
        <v>45844</v>
      </c>
      <c r="D133">
        <v>25149.85</v>
      </c>
      <c r="E133" s="55">
        <f t="shared" si="49"/>
        <v>7.267185722753533E-3</v>
      </c>
      <c r="G133" s="132">
        <v>45844</v>
      </c>
      <c r="H133">
        <v>591.5</v>
      </c>
      <c r="I133" s="55">
        <f t="shared" si="50"/>
        <v>2.3724792408066353E-3</v>
      </c>
      <c r="K133" s="132">
        <v>45844</v>
      </c>
      <c r="L133">
        <v>539.1</v>
      </c>
      <c r="M133" s="55">
        <f t="shared" si="51"/>
        <v>-1.2366034624896938E-2</v>
      </c>
      <c r="O133" s="132">
        <v>45844</v>
      </c>
      <c r="P133" s="197">
        <v>2762</v>
      </c>
      <c r="Q133" s="55">
        <f t="shared" si="52"/>
        <v>1.2277808319589578E-2</v>
      </c>
      <c r="S133" s="132">
        <v>45844</v>
      </c>
      <c r="T133">
        <v>421.55</v>
      </c>
      <c r="U133" s="55">
        <f t="shared" si="53"/>
        <v>-7.5142606406318535E-2</v>
      </c>
      <c r="W133" s="132">
        <v>45844</v>
      </c>
      <c r="X133" s="197">
        <v>3182.5</v>
      </c>
      <c r="Y133" s="55">
        <f t="shared" si="54"/>
        <v>-1.4433183772081248E-3</v>
      </c>
      <c r="AA133" s="132">
        <v>45844</v>
      </c>
      <c r="AB133">
        <v>96.68</v>
      </c>
      <c r="AC133" s="55">
        <f t="shared" si="47"/>
        <v>-4.2867042867042793E-2</v>
      </c>
      <c r="AE133" s="132">
        <v>45844</v>
      </c>
      <c r="AF133">
        <v>25.73</v>
      </c>
      <c r="AG133" s="55">
        <f t="shared" si="48"/>
        <v>-3.7050898203592753E-2</v>
      </c>
      <c r="AI133" s="132">
        <v>45844</v>
      </c>
      <c r="AJ133">
        <v>1988.1</v>
      </c>
      <c r="AK133" s="55">
        <f t="shared" si="55"/>
        <v>2.0113910411001079E-2</v>
      </c>
      <c r="AM133" s="132">
        <v>45844</v>
      </c>
      <c r="AN133" s="197">
        <v>1741.2</v>
      </c>
      <c r="AO133" s="55">
        <f t="shared" si="56"/>
        <v>-3.1806049822064031E-2</v>
      </c>
    </row>
    <row r="134" spans="3:41">
      <c r="C134" s="132">
        <v>45837</v>
      </c>
      <c r="D134">
        <v>25461</v>
      </c>
      <c r="E134" s="55">
        <f t="shared" si="49"/>
        <v>1.2371843172026997E-2</v>
      </c>
      <c r="G134" s="132">
        <v>45837</v>
      </c>
      <c r="H134">
        <v>579.70000000000005</v>
      </c>
      <c r="I134" s="55">
        <f t="shared" si="50"/>
        <v>-1.9949281487742998E-2</v>
      </c>
      <c r="K134" s="132">
        <v>45837</v>
      </c>
      <c r="L134">
        <v>558.35</v>
      </c>
      <c r="M134" s="55">
        <f t="shared" si="51"/>
        <v>3.5707660916342032E-2</v>
      </c>
      <c r="O134" s="132">
        <v>45837</v>
      </c>
      <c r="P134" s="197">
        <v>2805.9</v>
      </c>
      <c r="Q134" s="55">
        <f t="shared" si="52"/>
        <v>1.5894279507603137E-2</v>
      </c>
      <c r="S134" s="132">
        <v>45837</v>
      </c>
      <c r="T134">
        <v>429.25</v>
      </c>
      <c r="U134" s="55">
        <f t="shared" si="53"/>
        <v>1.8265923378009807E-2</v>
      </c>
      <c r="W134" s="132">
        <v>45837</v>
      </c>
      <c r="X134" s="197">
        <v>3230.5</v>
      </c>
      <c r="Y134" s="55">
        <f t="shared" si="54"/>
        <v>1.5082482325216029E-2</v>
      </c>
      <c r="AA134" s="132">
        <v>45837</v>
      </c>
      <c r="AB134">
        <v>96.18</v>
      </c>
      <c r="AC134" s="55">
        <f t="shared" si="47"/>
        <v>-5.171700455109618E-3</v>
      </c>
      <c r="AE134" s="132">
        <v>45837</v>
      </c>
      <c r="AF134">
        <v>27.67</v>
      </c>
      <c r="AG134" s="55">
        <f t="shared" si="48"/>
        <v>7.5398367664205157E-2</v>
      </c>
      <c r="AI134" s="132">
        <v>45837</v>
      </c>
      <c r="AJ134">
        <v>1963.2</v>
      </c>
      <c r="AK134" s="55">
        <f t="shared" si="55"/>
        <v>-1.2524520899351077E-2</v>
      </c>
      <c r="AM134" s="132">
        <v>45837</v>
      </c>
      <c r="AN134" s="197">
        <v>1816.6</v>
      </c>
      <c r="AO134" s="55">
        <f t="shared" si="56"/>
        <v>4.3303468872042172E-2</v>
      </c>
    </row>
    <row r="135" spans="3:41">
      <c r="C135" s="132">
        <v>45830</v>
      </c>
      <c r="D135">
        <v>25637.8</v>
      </c>
      <c r="E135" s="55">
        <f t="shared" si="49"/>
        <v>6.9439534975059836E-3</v>
      </c>
      <c r="G135" s="132">
        <v>45830</v>
      </c>
      <c r="H135">
        <v>606.45000000000005</v>
      </c>
      <c r="I135" s="55">
        <f t="shared" si="50"/>
        <v>4.6144557529756769E-2</v>
      </c>
      <c r="K135" s="132">
        <v>45830</v>
      </c>
      <c r="L135">
        <v>546.20000000000005</v>
      </c>
      <c r="M135" s="55">
        <f t="shared" si="51"/>
        <v>-2.1760544461359332E-2</v>
      </c>
      <c r="O135" s="132">
        <v>45830</v>
      </c>
      <c r="P135" s="197">
        <v>2861.1</v>
      </c>
      <c r="Q135" s="55">
        <f t="shared" si="52"/>
        <v>1.9672832246337979E-2</v>
      </c>
      <c r="S135" s="132">
        <v>45830</v>
      </c>
      <c r="T135">
        <v>441.1</v>
      </c>
      <c r="U135" s="55">
        <f t="shared" si="53"/>
        <v>2.7606290040768755E-2</v>
      </c>
      <c r="W135" s="132">
        <v>45830</v>
      </c>
      <c r="X135" s="197">
        <v>3174.8</v>
      </c>
      <c r="Y135" s="55">
        <f t="shared" si="54"/>
        <v>-1.7241913016560861E-2</v>
      </c>
      <c r="AA135" s="132">
        <v>45830</v>
      </c>
      <c r="AB135">
        <v>97.8</v>
      </c>
      <c r="AC135" s="55">
        <f t="shared" si="47"/>
        <v>1.6843418590143378E-2</v>
      </c>
      <c r="AE135" s="132">
        <v>45830</v>
      </c>
      <c r="AF135">
        <v>25.73</v>
      </c>
      <c r="AG135" s="55">
        <f t="shared" si="48"/>
        <v>-7.0112034694615133E-2</v>
      </c>
      <c r="AI135" s="132">
        <v>45830</v>
      </c>
      <c r="AJ135">
        <v>1984.6</v>
      </c>
      <c r="AK135" s="55">
        <f t="shared" si="55"/>
        <v>1.0900570497147433E-2</v>
      </c>
      <c r="AM135" s="132">
        <v>45830</v>
      </c>
      <c r="AN135" s="197">
        <v>1800.2</v>
      </c>
      <c r="AO135" s="55">
        <f t="shared" si="56"/>
        <v>-9.0278542331827527E-3</v>
      </c>
    </row>
    <row r="136" spans="3:41">
      <c r="C136" s="132">
        <v>45823</v>
      </c>
      <c r="D136">
        <v>25112.400000000001</v>
      </c>
      <c r="E136" s="55">
        <f t="shared" si="49"/>
        <v>-2.0493178041797622E-2</v>
      </c>
      <c r="G136" s="132">
        <v>45823</v>
      </c>
      <c r="H136">
        <v>570.20000000000005</v>
      </c>
      <c r="I136" s="55">
        <f t="shared" si="50"/>
        <v>-5.977409514387011E-2</v>
      </c>
      <c r="K136" s="132">
        <v>45823</v>
      </c>
      <c r="L136">
        <v>522.85</v>
      </c>
      <c r="M136" s="55">
        <f t="shared" si="51"/>
        <v>-4.2749908458440178E-2</v>
      </c>
      <c r="O136" s="132">
        <v>45823</v>
      </c>
      <c r="P136" s="197">
        <v>2712.6</v>
      </c>
      <c r="Q136" s="55">
        <f t="shared" si="52"/>
        <v>-5.1903114186851229E-2</v>
      </c>
      <c r="S136" s="132">
        <v>45823</v>
      </c>
      <c r="T136">
        <v>413.8</v>
      </c>
      <c r="U136" s="55">
        <f t="shared" si="53"/>
        <v>-6.1890727726139239E-2</v>
      </c>
      <c r="W136" s="132">
        <v>45823</v>
      </c>
      <c r="X136" s="197">
        <v>3030.1</v>
      </c>
      <c r="Y136" s="55">
        <f t="shared" si="54"/>
        <v>-4.5577674184200667E-2</v>
      </c>
      <c r="AA136" s="132">
        <v>45823</v>
      </c>
      <c r="AB136">
        <v>96.9</v>
      </c>
      <c r="AC136" s="55">
        <f t="shared" si="47"/>
        <v>-9.2024539877300082E-3</v>
      </c>
      <c r="AE136" s="132">
        <v>45823</v>
      </c>
      <c r="AF136">
        <v>26.37</v>
      </c>
      <c r="AG136" s="55">
        <f t="shared" si="48"/>
        <v>2.4873688301593422E-2</v>
      </c>
      <c r="AI136" s="132">
        <v>45823</v>
      </c>
      <c r="AJ136">
        <v>1894.6</v>
      </c>
      <c r="AK136" s="55">
        <f t="shared" si="55"/>
        <v>-4.5349188753401215E-2</v>
      </c>
      <c r="AM136" s="132">
        <v>45823</v>
      </c>
      <c r="AN136" s="197">
        <v>1731.4</v>
      </c>
      <c r="AO136" s="55">
        <f t="shared" si="56"/>
        <v>-3.8217975780468816E-2</v>
      </c>
    </row>
    <row r="137" spans="3:41">
      <c r="C137" s="132">
        <v>45816</v>
      </c>
      <c r="D137">
        <v>24718.6</v>
      </c>
      <c r="E137" s="55">
        <f t="shared" si="49"/>
        <v>-1.568149599401103E-2</v>
      </c>
      <c r="G137" s="132">
        <v>45816</v>
      </c>
      <c r="H137">
        <v>591.29999999999995</v>
      </c>
      <c r="I137" s="55">
        <f t="shared" si="50"/>
        <v>3.700455980357753E-2</v>
      </c>
      <c r="K137" s="132">
        <v>45816</v>
      </c>
      <c r="L137">
        <v>536</v>
      </c>
      <c r="M137" s="55">
        <f t="shared" si="51"/>
        <v>2.5150616811705051E-2</v>
      </c>
      <c r="O137" s="132">
        <v>45816</v>
      </c>
      <c r="P137" s="197">
        <v>2663.8</v>
      </c>
      <c r="Q137" s="55">
        <f t="shared" si="52"/>
        <v>-1.7990120179901092E-2</v>
      </c>
      <c r="S137" s="132">
        <v>45816</v>
      </c>
      <c r="T137">
        <v>433.1</v>
      </c>
      <c r="U137" s="55">
        <f t="shared" si="53"/>
        <v>4.6640889318511292E-2</v>
      </c>
      <c r="W137" s="132">
        <v>45816</v>
      </c>
      <c r="X137" s="197">
        <v>3099.6</v>
      </c>
      <c r="Y137" s="55">
        <f t="shared" si="54"/>
        <v>2.2936536747962144E-2</v>
      </c>
      <c r="AA137" s="132">
        <v>45816</v>
      </c>
      <c r="AB137">
        <v>98.85</v>
      </c>
      <c r="AC137" s="55">
        <f t="shared" si="47"/>
        <v>2.0123839009287714E-2</v>
      </c>
      <c r="AE137" s="132">
        <v>45816</v>
      </c>
      <c r="AF137">
        <v>28.1</v>
      </c>
      <c r="AG137" s="55">
        <f t="shared" si="48"/>
        <v>6.560485400075855E-2</v>
      </c>
      <c r="AI137" s="132">
        <v>45816</v>
      </c>
      <c r="AJ137">
        <v>1909.9</v>
      </c>
      <c r="AK137" s="55">
        <f t="shared" si="55"/>
        <v>8.0755832365670965E-3</v>
      </c>
      <c r="AM137" s="132">
        <v>45816</v>
      </c>
      <c r="AN137" s="197">
        <v>1819.4</v>
      </c>
      <c r="AO137" s="55">
        <f t="shared" si="56"/>
        <v>5.0825921219822101E-2</v>
      </c>
    </row>
    <row r="138" spans="3:41">
      <c r="C138" s="132">
        <v>45809</v>
      </c>
      <c r="D138">
        <v>25003.05</v>
      </c>
      <c r="E138" s="55">
        <f t="shared" si="49"/>
        <v>1.1507528743537332E-2</v>
      </c>
      <c r="G138" s="132">
        <v>45809</v>
      </c>
      <c r="H138">
        <v>589.4</v>
      </c>
      <c r="I138" s="55">
        <f t="shared" si="50"/>
        <v>-3.2132589210214224E-3</v>
      </c>
      <c r="K138" s="132">
        <v>45809</v>
      </c>
      <c r="L138">
        <v>547</v>
      </c>
      <c r="M138" s="55">
        <f t="shared" si="51"/>
        <v>2.0522388059701413E-2</v>
      </c>
      <c r="O138" s="132">
        <v>45809</v>
      </c>
      <c r="P138" s="197">
        <v>2574.4</v>
      </c>
      <c r="Q138" s="55">
        <f t="shared" si="52"/>
        <v>-3.3561078159020985E-2</v>
      </c>
      <c r="S138" s="132">
        <v>45809</v>
      </c>
      <c r="T138">
        <v>425.85</v>
      </c>
      <c r="U138" s="55">
        <f t="shared" si="53"/>
        <v>-1.6739782960055405E-2</v>
      </c>
      <c r="W138" s="132">
        <v>45809</v>
      </c>
      <c r="X138" s="197">
        <v>3123.5</v>
      </c>
      <c r="Y138" s="55">
        <f t="shared" si="54"/>
        <v>7.7106723448188141E-3</v>
      </c>
      <c r="AA138" s="132">
        <v>45809</v>
      </c>
      <c r="AB138">
        <v>101.7</v>
      </c>
      <c r="AC138" s="55">
        <f t="shared" si="47"/>
        <v>2.8831562974203528E-2</v>
      </c>
      <c r="AE138" s="132">
        <v>45809</v>
      </c>
      <c r="AF138">
        <v>24.7</v>
      </c>
      <c r="AG138" s="55">
        <f t="shared" si="48"/>
        <v>-0.12099644128113884</v>
      </c>
      <c r="AI138" s="132">
        <v>45809</v>
      </c>
      <c r="AJ138">
        <v>1940.6</v>
      </c>
      <c r="AK138" s="55">
        <f t="shared" si="55"/>
        <v>1.6074140007330096E-2</v>
      </c>
      <c r="AM138" s="132">
        <v>45809</v>
      </c>
      <c r="AN138" s="197">
        <v>1781.2</v>
      </c>
      <c r="AO138" s="55">
        <f t="shared" si="56"/>
        <v>-2.0995932725074273E-2</v>
      </c>
    </row>
    <row r="139" spans="3:41">
      <c r="C139" s="132">
        <v>45802</v>
      </c>
      <c r="D139">
        <v>24750.7</v>
      </c>
      <c r="E139" s="55">
        <f t="shared" si="49"/>
        <v>-1.0092768682220754E-2</v>
      </c>
      <c r="G139" s="132">
        <v>45802</v>
      </c>
      <c r="H139">
        <v>574</v>
      </c>
      <c r="I139" s="55">
        <f t="shared" si="50"/>
        <v>-2.6128266033254133E-2</v>
      </c>
      <c r="K139" s="132">
        <v>45802</v>
      </c>
      <c r="L139">
        <v>535.45000000000005</v>
      </c>
      <c r="M139" s="55">
        <f t="shared" si="51"/>
        <v>-2.1115173674588594E-2</v>
      </c>
      <c r="O139" s="132">
        <v>45802</v>
      </c>
      <c r="P139" s="197">
        <v>2545.8000000000002</v>
      </c>
      <c r="Q139" s="55">
        <f t="shared" si="52"/>
        <v>-1.1109384711000536E-2</v>
      </c>
      <c r="S139" s="132">
        <v>45802</v>
      </c>
      <c r="T139">
        <v>424.45</v>
      </c>
      <c r="U139" s="55">
        <f t="shared" si="53"/>
        <v>-3.2875425619350862E-3</v>
      </c>
      <c r="W139" s="132">
        <v>45802</v>
      </c>
      <c r="X139" s="197">
        <v>2861</v>
      </c>
      <c r="Y139" s="55">
        <f t="shared" si="54"/>
        <v>-8.4040339362894234E-2</v>
      </c>
      <c r="AA139" s="132">
        <v>45802</v>
      </c>
      <c r="AB139">
        <v>100.6</v>
      </c>
      <c r="AC139" s="55">
        <f t="shared" si="47"/>
        <v>-1.0816125860373726E-2</v>
      </c>
      <c r="AE139" s="132">
        <v>45802</v>
      </c>
      <c r="AF139">
        <v>25.99</v>
      </c>
      <c r="AG139" s="55">
        <f t="shared" si="48"/>
        <v>5.2226720647773339E-2</v>
      </c>
      <c r="AI139" s="132">
        <v>45802</v>
      </c>
      <c r="AJ139">
        <v>2027.3</v>
      </c>
      <c r="AK139" s="55">
        <f t="shared" si="55"/>
        <v>4.4676904050293675E-2</v>
      </c>
      <c r="AM139" s="132">
        <v>45802</v>
      </c>
      <c r="AN139" s="197">
        <v>1780.1</v>
      </c>
      <c r="AO139" s="55">
        <f t="shared" si="56"/>
        <v>-6.1756119470024462E-4</v>
      </c>
    </row>
    <row r="140" spans="3:41">
      <c r="C140" s="132">
        <v>45795</v>
      </c>
      <c r="D140">
        <v>24853.15</v>
      </c>
      <c r="E140" s="55">
        <f t="shared" si="49"/>
        <v>4.139276868937003E-3</v>
      </c>
      <c r="G140" s="132">
        <v>45795</v>
      </c>
      <c r="H140">
        <v>597.9</v>
      </c>
      <c r="I140" s="55">
        <f t="shared" si="50"/>
        <v>4.1637630662020975E-2</v>
      </c>
      <c r="K140" s="132">
        <v>45795</v>
      </c>
      <c r="L140">
        <v>513.4</v>
      </c>
      <c r="M140" s="55">
        <f t="shared" si="51"/>
        <v>-4.1180315622373787E-2</v>
      </c>
      <c r="O140" s="132">
        <v>45795</v>
      </c>
      <c r="P140" s="197">
        <v>2659.4</v>
      </c>
      <c r="Q140" s="55">
        <f t="shared" si="52"/>
        <v>4.462251551575136E-2</v>
      </c>
      <c r="S140" s="132">
        <v>45795</v>
      </c>
      <c r="T140">
        <v>435.2</v>
      </c>
      <c r="U140" s="55">
        <f t="shared" si="53"/>
        <v>2.5326893627046765E-2</v>
      </c>
      <c r="W140" s="132">
        <v>45795</v>
      </c>
      <c r="X140" s="197">
        <v>2900.2</v>
      </c>
      <c r="Y140" s="55">
        <f t="shared" si="54"/>
        <v>1.3701502970989043E-2</v>
      </c>
      <c r="AA140" s="132">
        <v>45795</v>
      </c>
      <c r="AB140">
        <v>108.07</v>
      </c>
      <c r="AC140" s="55">
        <f t="shared" si="47"/>
        <v>7.4254473161033729E-2</v>
      </c>
      <c r="AE140" s="132">
        <v>45795</v>
      </c>
      <c r="AF140">
        <v>25.28</v>
      </c>
      <c r="AG140" s="55">
        <f t="shared" si="48"/>
        <v>-2.731819930742585E-2</v>
      </c>
      <c r="AI140" s="132">
        <v>45795</v>
      </c>
      <c r="AJ140">
        <v>2069.1999999999998</v>
      </c>
      <c r="AK140" s="55">
        <f t="shared" si="55"/>
        <v>2.0667883391703112E-2</v>
      </c>
      <c r="AM140" s="132">
        <v>45795</v>
      </c>
      <c r="AN140" s="197">
        <v>1858.8</v>
      </c>
      <c r="AO140" s="55">
        <f t="shared" si="56"/>
        <v>4.4210999382057192E-2</v>
      </c>
    </row>
    <row r="141" spans="3:41">
      <c r="C141" s="132">
        <v>45788</v>
      </c>
      <c r="D141">
        <v>25019.8</v>
      </c>
      <c r="E141" s="55">
        <f t="shared" si="49"/>
        <v>6.705387445856914E-3</v>
      </c>
      <c r="G141" s="132">
        <v>45788</v>
      </c>
      <c r="H141">
        <v>652.35</v>
      </c>
      <c r="I141" s="55">
        <f t="shared" si="50"/>
        <v>9.1068740592072261E-2</v>
      </c>
      <c r="K141" s="132">
        <v>45788</v>
      </c>
      <c r="L141">
        <v>510.45</v>
      </c>
      <c r="M141" s="55">
        <f t="shared" si="51"/>
        <v>-5.7460070120762818E-3</v>
      </c>
      <c r="O141" s="132">
        <v>45788</v>
      </c>
      <c r="P141" s="197">
        <v>2804.2</v>
      </c>
      <c r="Q141" s="55">
        <f t="shared" si="52"/>
        <v>5.4448371813190732E-2</v>
      </c>
      <c r="S141" s="132">
        <v>45788</v>
      </c>
      <c r="T141">
        <v>422</v>
      </c>
      <c r="U141" s="55">
        <f t="shared" si="53"/>
        <v>-3.0330882352941124E-2</v>
      </c>
      <c r="W141" s="132">
        <v>45788</v>
      </c>
      <c r="X141" s="197">
        <v>2914.9</v>
      </c>
      <c r="Y141" s="55">
        <f t="shared" si="54"/>
        <v>5.0686159575201728E-3</v>
      </c>
      <c r="AA141" s="132">
        <v>45788</v>
      </c>
      <c r="AB141">
        <v>107.14</v>
      </c>
      <c r="AC141" s="55">
        <f t="shared" si="47"/>
        <v>-8.6055334505412695E-3</v>
      </c>
      <c r="AE141" s="132">
        <v>45788</v>
      </c>
      <c r="AF141">
        <v>25.74</v>
      </c>
      <c r="AG141" s="55">
        <f t="shared" si="48"/>
        <v>1.8196202531645556E-2</v>
      </c>
      <c r="AI141" s="132">
        <v>45788</v>
      </c>
      <c r="AJ141">
        <v>2110.9</v>
      </c>
      <c r="AK141" s="55">
        <f t="shared" si="55"/>
        <v>2.015271602551727E-2</v>
      </c>
      <c r="AM141" s="132">
        <v>45788</v>
      </c>
      <c r="AN141" s="197">
        <v>1836.5</v>
      </c>
      <c r="AO141" s="55">
        <f t="shared" si="56"/>
        <v>-1.1996987303636741E-2</v>
      </c>
    </row>
    <row r="142" spans="3:41">
      <c r="C142" s="132">
        <v>45781</v>
      </c>
      <c r="D142">
        <v>24008</v>
      </c>
      <c r="E142" s="55">
        <f t="shared" si="49"/>
        <v>-4.0439971542538311E-2</v>
      </c>
      <c r="G142" s="132">
        <v>45781</v>
      </c>
      <c r="H142">
        <v>609.9</v>
      </c>
      <c r="I142" s="55">
        <f t="shared" si="50"/>
        <v>-6.5072430443780194E-2</v>
      </c>
      <c r="K142" s="132">
        <v>45781</v>
      </c>
      <c r="L142">
        <v>466.35</v>
      </c>
      <c r="M142" s="55">
        <f t="shared" si="51"/>
        <v>-8.6394357919482689E-2</v>
      </c>
      <c r="O142" s="132">
        <v>45781</v>
      </c>
      <c r="P142" s="197">
        <v>2634.8</v>
      </c>
      <c r="Q142" s="55">
        <f t="shared" si="52"/>
        <v>-6.0409385921118219E-2</v>
      </c>
      <c r="S142" s="132">
        <v>45781</v>
      </c>
      <c r="T142">
        <v>392.6</v>
      </c>
      <c r="U142" s="55">
        <f t="shared" si="53"/>
        <v>-6.9668246445497628E-2</v>
      </c>
      <c r="W142" s="132">
        <v>45781</v>
      </c>
      <c r="X142" s="197">
        <v>3004.3</v>
      </c>
      <c r="Y142" s="55">
        <f t="shared" si="54"/>
        <v>3.0670005832104108E-2</v>
      </c>
      <c r="AA142" s="132">
        <v>45781</v>
      </c>
      <c r="AB142">
        <v>97.38</v>
      </c>
      <c r="AC142" s="55">
        <f t="shared" si="47"/>
        <v>-9.1095762553668136E-2</v>
      </c>
      <c r="AE142" s="132">
        <v>45781</v>
      </c>
      <c r="AF142">
        <v>24.34</v>
      </c>
      <c r="AG142" s="55">
        <f t="shared" si="48"/>
        <v>-5.4390054390054288E-2</v>
      </c>
      <c r="AI142" s="132">
        <v>45781</v>
      </c>
      <c r="AJ142">
        <v>1908.1</v>
      </c>
      <c r="AK142" s="55">
        <f t="shared" si="55"/>
        <v>-9.6072765171254071E-2</v>
      </c>
      <c r="AM142" s="132">
        <v>45781</v>
      </c>
      <c r="AN142" s="197">
        <v>1751.9</v>
      </c>
      <c r="AO142" s="55">
        <f t="shared" si="56"/>
        <v>-4.6065886196569483E-2</v>
      </c>
    </row>
    <row r="143" spans="3:41">
      <c r="C143" s="132">
        <v>45774</v>
      </c>
      <c r="D143">
        <v>24346.7</v>
      </c>
      <c r="E143" s="55">
        <f t="shared" si="49"/>
        <v>1.4107797400866318E-2</v>
      </c>
      <c r="G143" s="132">
        <v>45774</v>
      </c>
      <c r="H143">
        <v>611.79999999999995</v>
      </c>
      <c r="I143" s="55">
        <f t="shared" si="50"/>
        <v>3.1152647975076775E-3</v>
      </c>
      <c r="K143" s="132">
        <v>45774</v>
      </c>
      <c r="L143">
        <v>486.55</v>
      </c>
      <c r="M143" s="55">
        <f t="shared" si="51"/>
        <v>4.3315106679532533E-2</v>
      </c>
      <c r="O143" s="132">
        <v>45774</v>
      </c>
      <c r="P143" s="197">
        <v>2718.3</v>
      </c>
      <c r="Q143" s="55">
        <f t="shared" si="52"/>
        <v>3.1691209959010092E-2</v>
      </c>
      <c r="S143" s="132">
        <v>45774</v>
      </c>
      <c r="T143">
        <v>408.8</v>
      </c>
      <c r="U143" s="55">
        <f t="shared" si="53"/>
        <v>4.1263372389200192E-2</v>
      </c>
      <c r="W143" s="132">
        <v>45774</v>
      </c>
      <c r="X143" s="197">
        <v>2970.2</v>
      </c>
      <c r="Y143" s="55">
        <f t="shared" si="54"/>
        <v>-1.1350397763206233E-2</v>
      </c>
      <c r="AA143" s="132">
        <v>45774</v>
      </c>
      <c r="AB143">
        <v>101.7</v>
      </c>
      <c r="AC143" s="55">
        <f t="shared" si="47"/>
        <v>4.4362292051756125E-2</v>
      </c>
      <c r="AE143" s="132">
        <v>45774</v>
      </c>
      <c r="AF143">
        <v>25.34</v>
      </c>
      <c r="AG143" s="55">
        <f t="shared" si="48"/>
        <v>4.1084634346754356E-2</v>
      </c>
      <c r="AI143" s="132">
        <v>45774</v>
      </c>
      <c r="AJ143">
        <v>1989.6</v>
      </c>
      <c r="AK143" s="55">
        <f t="shared" si="55"/>
        <v>4.2712646087731176E-2</v>
      </c>
      <c r="AM143" s="132">
        <v>45774</v>
      </c>
      <c r="AN143" s="197">
        <v>1762.9</v>
      </c>
      <c r="AO143" s="55">
        <f t="shared" si="56"/>
        <v>6.2788971973286589E-3</v>
      </c>
    </row>
    <row r="144" spans="3:41">
      <c r="C144" s="132">
        <v>45767</v>
      </c>
      <c r="D144">
        <v>24039.35</v>
      </c>
      <c r="E144" s="55">
        <f t="shared" si="49"/>
        <v>-1.2623887426222113E-2</v>
      </c>
      <c r="G144" s="132">
        <v>45767</v>
      </c>
      <c r="H144">
        <v>622.9</v>
      </c>
      <c r="I144" s="55">
        <f t="shared" si="50"/>
        <v>1.8143184047074268E-2</v>
      </c>
      <c r="K144" s="132">
        <v>45767</v>
      </c>
      <c r="L144">
        <v>487.6</v>
      </c>
      <c r="M144" s="55">
        <f t="shared" si="51"/>
        <v>2.1580515877093198E-3</v>
      </c>
      <c r="O144" s="132">
        <v>45767</v>
      </c>
      <c r="P144" s="197">
        <v>2734.8</v>
      </c>
      <c r="Q144" s="55">
        <f t="shared" si="52"/>
        <v>6.0699702019644253E-3</v>
      </c>
      <c r="S144" s="132">
        <v>45767</v>
      </c>
      <c r="T144">
        <v>433.3</v>
      </c>
      <c r="U144" s="55">
        <f t="shared" si="53"/>
        <v>5.9931506849315141E-2</v>
      </c>
      <c r="W144" s="132">
        <v>45767</v>
      </c>
      <c r="X144" s="197">
        <v>2968.1</v>
      </c>
      <c r="Y144" s="55">
        <f t="shared" si="54"/>
        <v>-7.0702309608772218E-4</v>
      </c>
      <c r="AA144" s="132">
        <v>45767</v>
      </c>
      <c r="AB144">
        <v>100.18</v>
      </c>
      <c r="AC144" s="55">
        <f t="shared" si="47"/>
        <v>-1.4945919370698113E-2</v>
      </c>
      <c r="AE144" s="132">
        <v>45767</v>
      </c>
      <c r="AF144">
        <v>27.39</v>
      </c>
      <c r="AG144" s="55">
        <f t="shared" si="48"/>
        <v>8.0899763220205312E-2</v>
      </c>
      <c r="AI144" s="132">
        <v>45767</v>
      </c>
      <c r="AJ144">
        <v>1961.3</v>
      </c>
      <c r="AK144" s="55">
        <f t="shared" si="55"/>
        <v>-1.4223964616003171E-2</v>
      </c>
      <c r="AM144" s="132">
        <v>45767</v>
      </c>
      <c r="AN144" s="197">
        <v>1839.2</v>
      </c>
      <c r="AO144" s="55">
        <f t="shared" si="56"/>
        <v>4.32809575131885E-2</v>
      </c>
    </row>
    <row r="145" spans="3:41">
      <c r="C145" s="132">
        <v>45760</v>
      </c>
      <c r="D145">
        <v>23851.65</v>
      </c>
      <c r="E145" s="55">
        <f t="shared" si="49"/>
        <v>-7.8080314151587338E-3</v>
      </c>
      <c r="G145" s="132">
        <v>45760</v>
      </c>
      <c r="H145">
        <v>636.29999999999995</v>
      </c>
      <c r="I145" s="55">
        <f t="shared" si="50"/>
        <v>2.1512281265050559E-2</v>
      </c>
      <c r="K145" s="132">
        <v>45760</v>
      </c>
      <c r="L145">
        <v>507.1</v>
      </c>
      <c r="M145" s="55">
        <f t="shared" si="51"/>
        <v>3.9991796554552872E-2</v>
      </c>
      <c r="O145" s="132">
        <v>45760</v>
      </c>
      <c r="P145" s="197">
        <v>2760.7</v>
      </c>
      <c r="Q145" s="55">
        <f t="shared" si="52"/>
        <v>9.470528009360768E-3</v>
      </c>
      <c r="S145" s="132">
        <v>45760</v>
      </c>
      <c r="T145">
        <v>445.6</v>
      </c>
      <c r="U145" s="55">
        <f t="shared" si="53"/>
        <v>2.838679898453722E-2</v>
      </c>
      <c r="W145" s="132">
        <v>45760</v>
      </c>
      <c r="X145" s="197">
        <v>2990.4</v>
      </c>
      <c r="Y145" s="55">
        <f t="shared" si="54"/>
        <v>7.5132239479802632E-3</v>
      </c>
      <c r="AA145" s="132">
        <v>45760</v>
      </c>
      <c r="AB145">
        <v>102.22</v>
      </c>
      <c r="AC145" s="55">
        <f t="shared" si="47"/>
        <v>2.0363345977240987E-2</v>
      </c>
      <c r="AE145" s="132">
        <v>45760</v>
      </c>
      <c r="AF145">
        <v>26.49</v>
      </c>
      <c r="AG145" s="55">
        <f t="shared" si="48"/>
        <v>-3.2858707557502864E-2</v>
      </c>
      <c r="AI145" s="132">
        <v>45760</v>
      </c>
      <c r="AJ145">
        <v>1959.8</v>
      </c>
      <c r="AK145" s="55">
        <f t="shared" si="55"/>
        <v>-7.6479885790037283E-4</v>
      </c>
      <c r="AM145" s="132">
        <v>45760</v>
      </c>
      <c r="AN145" s="197">
        <v>1878.3</v>
      </c>
      <c r="AO145" s="55">
        <f t="shared" si="56"/>
        <v>2.1259243149195362E-2</v>
      </c>
    </row>
    <row r="146" spans="3:41">
      <c r="C146" s="132">
        <v>45753</v>
      </c>
      <c r="D146">
        <v>22828.55</v>
      </c>
      <c r="E146" s="55">
        <f t="shared" si="49"/>
        <v>-4.2894307102443685E-2</v>
      </c>
      <c r="G146" s="132">
        <v>45753</v>
      </c>
      <c r="H146">
        <v>602.4</v>
      </c>
      <c r="I146" s="55">
        <f t="shared" si="50"/>
        <v>-5.3276756247053192E-2</v>
      </c>
      <c r="K146" s="132">
        <v>45753</v>
      </c>
      <c r="L146">
        <v>480.8</v>
      </c>
      <c r="M146" s="55">
        <f t="shared" si="51"/>
        <v>-5.1863537763754741E-2</v>
      </c>
      <c r="O146" s="132">
        <v>45753</v>
      </c>
      <c r="P146" s="197">
        <v>2651.25</v>
      </c>
      <c r="Q146" s="55">
        <f t="shared" si="52"/>
        <v>-3.9645742021950925E-2</v>
      </c>
      <c r="S146" s="132">
        <v>45753</v>
      </c>
      <c r="T146">
        <v>432.7</v>
      </c>
      <c r="U146" s="55">
        <f t="shared" si="53"/>
        <v>-2.8949730700179588E-2</v>
      </c>
      <c r="W146" s="132">
        <v>45753</v>
      </c>
      <c r="X146" s="197">
        <v>2947.35</v>
      </c>
      <c r="Y146" s="55">
        <f t="shared" si="54"/>
        <v>-1.4396067415730407E-2</v>
      </c>
      <c r="AA146" s="132">
        <v>45753</v>
      </c>
      <c r="AB146">
        <v>97.1</v>
      </c>
      <c r="AC146" s="55">
        <f t="shared" si="47"/>
        <v>-5.0088045392291169E-2</v>
      </c>
      <c r="AE146" s="132">
        <v>45753</v>
      </c>
      <c r="AF146">
        <v>26.44</v>
      </c>
      <c r="AG146" s="55">
        <f t="shared" si="48"/>
        <v>-1.8875047187616456E-3</v>
      </c>
      <c r="AI146" s="132">
        <v>45753</v>
      </c>
      <c r="AJ146">
        <v>1932.85</v>
      </c>
      <c r="AK146" s="55">
        <f t="shared" si="55"/>
        <v>-1.3751403204408597E-2</v>
      </c>
      <c r="AM146" s="132">
        <v>45753</v>
      </c>
      <c r="AN146" s="197">
        <v>1784.65</v>
      </c>
      <c r="AO146" s="55">
        <f t="shared" si="56"/>
        <v>-4.9858914976308344E-2</v>
      </c>
    </row>
    <row r="147" spans="3:41">
      <c r="C147" s="132">
        <v>45746</v>
      </c>
      <c r="D147">
        <v>22904.45</v>
      </c>
      <c r="E147" s="55">
        <f t="shared" si="49"/>
        <v>3.3247840971064591E-3</v>
      </c>
      <c r="G147" s="132">
        <v>45746</v>
      </c>
      <c r="H147">
        <v>625.75</v>
      </c>
      <c r="I147" s="55">
        <f t="shared" si="50"/>
        <v>3.8761620185923107E-2</v>
      </c>
      <c r="K147" s="132">
        <v>45746</v>
      </c>
      <c r="L147">
        <v>491.45</v>
      </c>
      <c r="M147" s="55">
        <f t="shared" si="51"/>
        <v>2.2150582362728821E-2</v>
      </c>
      <c r="O147" s="132">
        <v>45746</v>
      </c>
      <c r="P147" s="197">
        <v>2616.9</v>
      </c>
      <c r="Q147" s="55">
        <f t="shared" si="52"/>
        <v>-1.2956152758132888E-2</v>
      </c>
      <c r="S147" s="132">
        <v>45746</v>
      </c>
      <c r="T147">
        <v>427.05</v>
      </c>
      <c r="U147" s="55">
        <f t="shared" si="53"/>
        <v>-1.3057545643632928E-2</v>
      </c>
      <c r="W147" s="132">
        <v>45746</v>
      </c>
      <c r="X147" s="197">
        <v>2854.85</v>
      </c>
      <c r="Y147" s="55">
        <f t="shared" si="54"/>
        <v>-3.1384124722208084E-2</v>
      </c>
      <c r="AA147" s="132">
        <v>45746</v>
      </c>
      <c r="AB147">
        <v>102.38</v>
      </c>
      <c r="AC147" s="55">
        <f t="shared" si="47"/>
        <v>5.4376930998970119E-2</v>
      </c>
      <c r="AE147" s="132">
        <v>45746</v>
      </c>
      <c r="AF147">
        <v>27.19</v>
      </c>
      <c r="AG147" s="55">
        <f t="shared" si="48"/>
        <v>2.8366111951588557E-2</v>
      </c>
      <c r="AI147" s="132">
        <v>45746</v>
      </c>
      <c r="AJ147">
        <v>1928.95</v>
      </c>
      <c r="AK147" s="55">
        <f t="shared" si="55"/>
        <v>-2.0177458157641937E-3</v>
      </c>
      <c r="AM147" s="132">
        <v>45746</v>
      </c>
      <c r="AN147" s="197">
        <v>1765</v>
      </c>
      <c r="AO147" s="55">
        <f t="shared" si="56"/>
        <v>-1.1010562295127979E-2</v>
      </c>
    </row>
    <row r="148" spans="3:41">
      <c r="C148" s="132">
        <v>45739</v>
      </c>
      <c r="D148">
        <v>23519.35</v>
      </c>
      <c r="E148" s="55">
        <f t="shared" si="49"/>
        <v>2.6846311524616251E-2</v>
      </c>
      <c r="G148" s="132">
        <v>45739</v>
      </c>
      <c r="H148">
        <v>579.20000000000005</v>
      </c>
      <c r="I148" s="55">
        <f t="shared" si="50"/>
        <v>-7.4390731122652709E-2</v>
      </c>
      <c r="K148" s="132">
        <v>45739</v>
      </c>
      <c r="L148">
        <v>496.45</v>
      </c>
      <c r="M148" s="55">
        <f t="shared" si="51"/>
        <v>1.0173974972021549E-2</v>
      </c>
      <c r="O148" s="132">
        <v>45739</v>
      </c>
      <c r="P148" s="197">
        <v>2611.15</v>
      </c>
      <c r="Q148" s="55">
        <f t="shared" si="52"/>
        <v>-2.1972562956169561E-3</v>
      </c>
      <c r="S148" s="132">
        <v>45739</v>
      </c>
      <c r="T148">
        <v>435.05</v>
      </c>
      <c r="U148" s="55">
        <f t="shared" si="53"/>
        <v>1.8733169418100992E-2</v>
      </c>
      <c r="W148" s="132">
        <v>45739</v>
      </c>
      <c r="X148" s="197">
        <v>2939.15</v>
      </c>
      <c r="Y148" s="55">
        <f t="shared" si="54"/>
        <v>2.9528696779165253E-2</v>
      </c>
      <c r="AA148" s="132">
        <v>45739</v>
      </c>
      <c r="AB148">
        <v>94.9</v>
      </c>
      <c r="AC148" s="55">
        <f t="shared" si="47"/>
        <v>-7.3061144754834828E-2</v>
      </c>
      <c r="AE148" s="132">
        <v>45739</v>
      </c>
      <c r="AF148">
        <v>21.19</v>
      </c>
      <c r="AG148" s="55">
        <f t="shared" si="48"/>
        <v>-0.2206693637366679</v>
      </c>
      <c r="AI148" s="132">
        <v>45739</v>
      </c>
      <c r="AJ148">
        <v>1983.6</v>
      </c>
      <c r="AK148" s="55">
        <f t="shared" si="55"/>
        <v>2.8331475673293749E-2</v>
      </c>
      <c r="AM148" s="132">
        <v>45739</v>
      </c>
      <c r="AN148" s="197">
        <v>1904.1</v>
      </c>
      <c r="AO148" s="55">
        <f t="shared" si="56"/>
        <v>7.881019830028313E-2</v>
      </c>
    </row>
    <row r="149" spans="3:41">
      <c r="C149" s="132">
        <v>45732</v>
      </c>
      <c r="D149">
        <v>23350.400000000001</v>
      </c>
      <c r="E149" s="55">
        <f t="shared" si="49"/>
        <v>-7.1834468214468927E-3</v>
      </c>
      <c r="G149" s="132">
        <v>45732</v>
      </c>
      <c r="H149">
        <v>548</v>
      </c>
      <c r="I149" s="55">
        <f t="shared" si="50"/>
        <v>-5.3867403314917239E-2</v>
      </c>
      <c r="K149" s="132">
        <v>45732</v>
      </c>
      <c r="L149">
        <v>491</v>
      </c>
      <c r="M149" s="55">
        <f t="shared" si="51"/>
        <v>-1.0977943398126633E-2</v>
      </c>
      <c r="O149" s="132">
        <v>45732</v>
      </c>
      <c r="P149" s="197">
        <v>2469.4</v>
      </c>
      <c r="Q149" s="55">
        <f t="shared" si="52"/>
        <v>-5.4286425521322013E-2</v>
      </c>
      <c r="S149" s="132">
        <v>45732</v>
      </c>
      <c r="T149">
        <v>463.35</v>
      </c>
      <c r="U149" s="55">
        <f t="shared" si="53"/>
        <v>6.5049994253534082E-2</v>
      </c>
      <c r="W149" s="132">
        <v>45732</v>
      </c>
      <c r="X149" s="197">
        <v>3024.35</v>
      </c>
      <c r="Y149" s="55">
        <f t="shared" si="54"/>
        <v>2.8987972713199417E-2</v>
      </c>
      <c r="AA149" s="132">
        <v>45732</v>
      </c>
      <c r="AB149">
        <v>98.3</v>
      </c>
      <c r="AC149" s="55">
        <f t="shared" si="47"/>
        <v>3.5827186512118026E-2</v>
      </c>
      <c r="AE149" s="132">
        <v>45732</v>
      </c>
      <c r="AF149">
        <v>24.19</v>
      </c>
      <c r="AG149" s="55">
        <f t="shared" si="48"/>
        <v>0.14157621519584707</v>
      </c>
      <c r="AI149" s="132">
        <v>45732</v>
      </c>
      <c r="AJ149">
        <v>2057.8000000000002</v>
      </c>
      <c r="AK149" s="55">
        <f t="shared" si="55"/>
        <v>3.7406735228876942E-2</v>
      </c>
      <c r="AM149" s="132">
        <v>45732</v>
      </c>
      <c r="AN149" s="197">
        <v>1923.95</v>
      </c>
      <c r="AO149" s="55">
        <f t="shared" si="56"/>
        <v>1.0424872643243654E-2</v>
      </c>
    </row>
    <row r="150" spans="3:41">
      <c r="C150" s="132">
        <v>45725</v>
      </c>
      <c r="D150">
        <v>22397.200000000001</v>
      </c>
      <c r="E150" s="55">
        <f t="shared" si="49"/>
        <v>-4.0821570508428162E-2</v>
      </c>
      <c r="G150" s="132">
        <v>45725</v>
      </c>
      <c r="H150">
        <v>516.1</v>
      </c>
      <c r="I150" s="55">
        <f t="shared" si="50"/>
        <v>-5.8211678832116753E-2</v>
      </c>
      <c r="K150" s="132">
        <v>45725</v>
      </c>
      <c r="L150">
        <v>482.4</v>
      </c>
      <c r="M150" s="55">
        <f t="shared" si="51"/>
        <v>-1.7515274949083559E-2</v>
      </c>
      <c r="O150" s="132">
        <v>45725</v>
      </c>
      <c r="P150" s="197">
        <v>2370.1999999999998</v>
      </c>
      <c r="Q150" s="55">
        <f t="shared" si="52"/>
        <v>-4.0171701627925938E-2</v>
      </c>
      <c r="S150" s="132">
        <v>45725</v>
      </c>
      <c r="T150">
        <v>430.45</v>
      </c>
      <c r="U150" s="55">
        <f t="shared" si="53"/>
        <v>-7.1004640120859053E-2</v>
      </c>
      <c r="W150" s="132">
        <v>45725</v>
      </c>
      <c r="X150" s="197">
        <v>2951.8</v>
      </c>
      <c r="Y150" s="55">
        <f t="shared" si="54"/>
        <v>-2.3988625655099405E-2</v>
      </c>
      <c r="AA150" s="132">
        <v>45725</v>
      </c>
      <c r="AB150">
        <v>93.72</v>
      </c>
      <c r="AC150" s="55">
        <f t="shared" si="47"/>
        <v>-4.6592065106815905E-2</v>
      </c>
      <c r="AE150" s="132">
        <v>45725</v>
      </c>
      <c r="AF150">
        <v>23.96</v>
      </c>
      <c r="AG150" s="55">
        <f t="shared" si="48"/>
        <v>-9.5080611823067374E-3</v>
      </c>
      <c r="AI150" s="132">
        <v>45725</v>
      </c>
      <c r="AJ150">
        <v>1948.6</v>
      </c>
      <c r="AK150" s="55">
        <f t="shared" si="55"/>
        <v>-5.3066381572553389E-2</v>
      </c>
      <c r="AM150" s="132">
        <v>45725</v>
      </c>
      <c r="AN150" s="197">
        <v>1813.75</v>
      </c>
      <c r="AO150" s="55">
        <f t="shared" si="56"/>
        <v>-5.727799578991144E-2</v>
      </c>
    </row>
    <row r="151" spans="3:41">
      <c r="C151" s="132">
        <v>45718</v>
      </c>
      <c r="D151">
        <v>22552.5</v>
      </c>
      <c r="E151" s="55">
        <f t="shared" si="49"/>
        <v>6.9339024520922443E-3</v>
      </c>
      <c r="G151" s="132">
        <v>45718</v>
      </c>
      <c r="H151">
        <v>542.95000000000005</v>
      </c>
      <c r="I151" s="55">
        <f t="shared" si="50"/>
        <v>5.202480139507859E-2</v>
      </c>
      <c r="K151" s="132">
        <v>45718</v>
      </c>
      <c r="L151">
        <v>502.45</v>
      </c>
      <c r="M151" s="55">
        <f t="shared" si="51"/>
        <v>4.1563018242122718E-2</v>
      </c>
      <c r="O151" s="132">
        <v>45718</v>
      </c>
      <c r="P151" s="197">
        <v>2407.25</v>
      </c>
      <c r="Q151" s="55">
        <f t="shared" si="52"/>
        <v>1.5631592270694439E-2</v>
      </c>
      <c r="S151" s="132">
        <v>45718</v>
      </c>
      <c r="T151">
        <v>446.15</v>
      </c>
      <c r="U151" s="55">
        <f t="shared" si="53"/>
        <v>3.6473458009060211E-2</v>
      </c>
      <c r="W151" s="132">
        <v>45718</v>
      </c>
      <c r="X151" s="197">
        <v>2935.35</v>
      </c>
      <c r="Y151" s="55">
        <f t="shared" si="54"/>
        <v>-5.5728707907041208E-3</v>
      </c>
      <c r="AA151" s="132">
        <v>45718</v>
      </c>
      <c r="AB151">
        <v>96.62</v>
      </c>
      <c r="AC151" s="55">
        <f t="shared" si="47"/>
        <v>3.0943235168587435E-2</v>
      </c>
      <c r="AE151" s="132">
        <v>45718</v>
      </c>
      <c r="AF151">
        <v>26.85</v>
      </c>
      <c r="AG151" s="55">
        <f t="shared" si="48"/>
        <v>0.12061769616026718</v>
      </c>
      <c r="AI151" s="132">
        <v>45718</v>
      </c>
      <c r="AJ151">
        <v>1989</v>
      </c>
      <c r="AK151" s="55">
        <f t="shared" si="55"/>
        <v>2.0732833829415931E-2</v>
      </c>
      <c r="AM151" s="132">
        <v>45718</v>
      </c>
      <c r="AN151" s="197">
        <v>1866.9</v>
      </c>
      <c r="AO151" s="55">
        <f t="shared" si="56"/>
        <v>2.9303928325292938E-2</v>
      </c>
    </row>
    <row r="152" spans="3:41">
      <c r="C152" s="132">
        <v>45711</v>
      </c>
      <c r="D152">
        <v>22124.7</v>
      </c>
      <c r="E152" s="55">
        <f t="shared" si="49"/>
        <v>-1.8969072164948475E-2</v>
      </c>
      <c r="G152" s="132">
        <v>45711</v>
      </c>
      <c r="H152">
        <v>524.15</v>
      </c>
      <c r="I152" s="55">
        <f t="shared" si="50"/>
        <v>-3.4625656137766025E-2</v>
      </c>
      <c r="K152" s="132">
        <v>45711</v>
      </c>
      <c r="L152">
        <v>468.85</v>
      </c>
      <c r="M152" s="55">
        <f t="shared" si="51"/>
        <v>-6.6872325604537708E-2</v>
      </c>
      <c r="O152" s="132">
        <v>45711</v>
      </c>
      <c r="P152" s="197">
        <v>2306.65</v>
      </c>
      <c r="Q152" s="55">
        <f t="shared" si="52"/>
        <v>-4.1790424758541889E-2</v>
      </c>
      <c r="S152" s="132">
        <v>45711</v>
      </c>
      <c r="T152">
        <v>404.6</v>
      </c>
      <c r="U152" s="55">
        <f t="shared" si="53"/>
        <v>-9.3130113190630803E-2</v>
      </c>
      <c r="W152" s="132">
        <v>45711</v>
      </c>
      <c r="X152" s="197">
        <v>2795.4</v>
      </c>
      <c r="Y152" s="55">
        <f t="shared" si="54"/>
        <v>-4.767744902652149E-2</v>
      </c>
      <c r="AA152" s="132">
        <v>45711</v>
      </c>
      <c r="AB152">
        <v>91.82</v>
      </c>
      <c r="AC152" s="55">
        <f t="shared" si="47"/>
        <v>-4.9679155454357415E-2</v>
      </c>
      <c r="AE152" s="132">
        <v>45711</v>
      </c>
      <c r="AF152">
        <v>26.14</v>
      </c>
      <c r="AG152" s="55">
        <f t="shared" si="48"/>
        <v>-2.6443202979515856E-2</v>
      </c>
      <c r="AI152" s="132">
        <v>45711</v>
      </c>
      <c r="AJ152">
        <v>1851.3</v>
      </c>
      <c r="AK152" s="55">
        <f t="shared" si="55"/>
        <v>-6.9230769230769207E-2</v>
      </c>
      <c r="AM152" s="132">
        <v>45711</v>
      </c>
      <c r="AN152" s="197">
        <v>1613.35</v>
      </c>
      <c r="AO152" s="55">
        <f t="shared" si="56"/>
        <v>-0.13581338047029845</v>
      </c>
    </row>
    <row r="153" spans="3:41">
      <c r="C153" s="132">
        <v>45704</v>
      </c>
      <c r="D153">
        <v>22795.9</v>
      </c>
      <c r="E153" s="55">
        <f t="shared" si="49"/>
        <v>3.0337134514818231E-2</v>
      </c>
      <c r="G153" s="132">
        <v>45704</v>
      </c>
      <c r="H153">
        <v>579.29999999999995</v>
      </c>
      <c r="I153" s="55">
        <f t="shared" si="50"/>
        <v>0.10521797195459315</v>
      </c>
      <c r="K153" s="132">
        <v>45704</v>
      </c>
      <c r="L153">
        <v>543.65</v>
      </c>
      <c r="M153" s="55">
        <f t="shared" si="51"/>
        <v>0.15953929828303282</v>
      </c>
      <c r="O153" s="132">
        <v>45704</v>
      </c>
      <c r="P153" s="197">
        <v>2431.0500000000002</v>
      </c>
      <c r="Q153" s="55">
        <f t="shared" si="52"/>
        <v>5.3931025513190178E-2</v>
      </c>
      <c r="S153" s="132">
        <v>45704</v>
      </c>
      <c r="T153">
        <v>417.75</v>
      </c>
      <c r="U153" s="55">
        <f t="shared" si="53"/>
        <v>3.2501235788432892E-2</v>
      </c>
      <c r="W153" s="132">
        <v>45704</v>
      </c>
      <c r="X153" s="197">
        <v>2778.9</v>
      </c>
      <c r="Y153" s="55">
        <f t="shared" si="54"/>
        <v>-5.9025541961794659E-3</v>
      </c>
      <c r="AA153" s="132">
        <v>45704</v>
      </c>
      <c r="AB153">
        <v>99.36</v>
      </c>
      <c r="AC153" s="55">
        <f t="shared" si="47"/>
        <v>8.2117185798301184E-2</v>
      </c>
      <c r="AE153" s="132">
        <v>45704</v>
      </c>
      <c r="AF153">
        <v>28.22</v>
      </c>
      <c r="AG153" s="55">
        <f t="shared" si="48"/>
        <v>7.9571537872991538E-2</v>
      </c>
      <c r="AI153" s="132">
        <v>45704</v>
      </c>
      <c r="AJ153">
        <v>1932.75</v>
      </c>
      <c r="AK153" s="55">
        <f t="shared" si="55"/>
        <v>4.3996110841030722E-2</v>
      </c>
      <c r="AM153" s="132">
        <v>45704</v>
      </c>
      <c r="AN153" s="197">
        <v>1738.1</v>
      </c>
      <c r="AO153" s="55">
        <f t="shared" si="56"/>
        <v>7.7323581367961136E-2</v>
      </c>
    </row>
    <row r="154" spans="3:41">
      <c r="C154" s="132">
        <v>45697</v>
      </c>
      <c r="D154">
        <v>22929.25</v>
      </c>
      <c r="E154" s="55">
        <f t="shared" si="49"/>
        <v>5.8497361367613188E-3</v>
      </c>
      <c r="G154" s="132">
        <v>45697</v>
      </c>
      <c r="H154">
        <v>578.65</v>
      </c>
      <c r="I154" s="55">
        <f t="shared" si="50"/>
        <v>-1.1220438460209925E-3</v>
      </c>
      <c r="K154" s="132">
        <v>45697</v>
      </c>
      <c r="L154">
        <v>551.79999999999995</v>
      </c>
      <c r="M154" s="55">
        <f t="shared" si="51"/>
        <v>1.4991262760967405E-2</v>
      </c>
      <c r="O154" s="132">
        <v>45697</v>
      </c>
      <c r="P154" s="197">
        <v>2431.3000000000002</v>
      </c>
      <c r="Q154" s="55">
        <f t="shared" si="52"/>
        <v>1.0283622303131068E-4</v>
      </c>
      <c r="S154" s="132">
        <v>45697</v>
      </c>
      <c r="T154">
        <v>403.7</v>
      </c>
      <c r="U154" s="55">
        <f t="shared" si="53"/>
        <v>-3.3632555356074234E-2</v>
      </c>
      <c r="W154" s="132">
        <v>45697</v>
      </c>
      <c r="X154" s="197">
        <v>2752.25</v>
      </c>
      <c r="Y154" s="55">
        <f t="shared" si="54"/>
        <v>-9.5901255892619774E-3</v>
      </c>
      <c r="AA154" s="132">
        <v>45697</v>
      </c>
      <c r="AB154">
        <v>99.51</v>
      </c>
      <c r="AC154" s="55">
        <f t="shared" si="47"/>
        <v>1.5096618357488545E-3</v>
      </c>
      <c r="AE154" s="132">
        <v>45697</v>
      </c>
      <c r="AF154">
        <v>28.89</v>
      </c>
      <c r="AG154" s="55">
        <f t="shared" si="48"/>
        <v>2.374202693125449E-2</v>
      </c>
      <c r="AI154" s="132">
        <v>45697</v>
      </c>
      <c r="AJ154">
        <v>1900.5</v>
      </c>
      <c r="AK154" s="55">
        <f t="shared" si="55"/>
        <v>-1.668606907256498E-2</v>
      </c>
      <c r="AM154" s="132">
        <v>45697</v>
      </c>
      <c r="AN154" s="197">
        <v>1750.6</v>
      </c>
      <c r="AO154" s="55">
        <f t="shared" si="56"/>
        <v>7.1917611184626473E-3</v>
      </c>
    </row>
    <row r="155" spans="3:41">
      <c r="C155" s="132">
        <v>45690</v>
      </c>
      <c r="D155">
        <v>23559.95</v>
      </c>
      <c r="E155" s="55">
        <f t="shared" si="49"/>
        <v>2.7506351058146361E-2</v>
      </c>
      <c r="G155" s="132">
        <v>45690</v>
      </c>
      <c r="H155">
        <v>662.5</v>
      </c>
      <c r="I155" s="55">
        <f t="shared" si="50"/>
        <v>0.14490624729974955</v>
      </c>
      <c r="K155" s="132">
        <v>45690</v>
      </c>
      <c r="L155">
        <v>576.65</v>
      </c>
      <c r="M155" s="55">
        <f t="shared" si="51"/>
        <v>4.5034432765494792E-2</v>
      </c>
      <c r="O155" s="132">
        <v>45690</v>
      </c>
      <c r="P155" s="197">
        <v>2487.6</v>
      </c>
      <c r="Q155" s="55">
        <f t="shared" si="52"/>
        <v>2.3156336116480825E-2</v>
      </c>
      <c r="S155" s="132">
        <v>45690</v>
      </c>
      <c r="T155">
        <v>461.7</v>
      </c>
      <c r="U155" s="55">
        <f t="shared" si="53"/>
        <v>0.1436710428536041</v>
      </c>
      <c r="W155" s="132">
        <v>45690</v>
      </c>
      <c r="X155" s="197">
        <v>2879.95</v>
      </c>
      <c r="Y155" s="55">
        <f t="shared" si="54"/>
        <v>4.6398401308020754E-2</v>
      </c>
      <c r="AA155" s="132">
        <v>45690</v>
      </c>
      <c r="AB155">
        <v>100.96</v>
      </c>
      <c r="AC155" s="55">
        <f t="shared" si="47"/>
        <v>1.4571399859310441E-2</v>
      </c>
      <c r="AE155" s="132">
        <v>45690</v>
      </c>
      <c r="AF155">
        <v>30.98</v>
      </c>
      <c r="AG155" s="55">
        <f t="shared" si="48"/>
        <v>7.234337140879199E-2</v>
      </c>
      <c r="AI155" s="132">
        <v>45690</v>
      </c>
      <c r="AJ155">
        <v>2350.9499999999998</v>
      </c>
      <c r="AK155" s="55">
        <f t="shared" si="55"/>
        <v>0.23701657458563519</v>
      </c>
      <c r="AM155" s="132">
        <v>45690</v>
      </c>
      <c r="AN155" s="197">
        <v>1950.65</v>
      </c>
      <c r="AO155" s="55">
        <f t="shared" si="56"/>
        <v>0.11427510567805332</v>
      </c>
    </row>
    <row r="156" spans="3:41">
      <c r="C156" s="132">
        <v>45683</v>
      </c>
      <c r="D156">
        <v>23508.400000000001</v>
      </c>
      <c r="E156" s="55">
        <f t="shared" si="49"/>
        <v>-2.188035203809835E-3</v>
      </c>
      <c r="G156" s="132">
        <v>45683</v>
      </c>
      <c r="H156">
        <v>693.1</v>
      </c>
      <c r="I156" s="55">
        <f t="shared" si="50"/>
        <v>4.6188679245283026E-2</v>
      </c>
      <c r="K156" s="132">
        <v>45683</v>
      </c>
      <c r="L156">
        <v>554.45000000000005</v>
      </c>
      <c r="M156" s="55">
        <f t="shared" si="51"/>
        <v>-3.8498222491979428E-2</v>
      </c>
      <c r="O156" s="132">
        <v>45683</v>
      </c>
      <c r="P156" s="197">
        <v>2508.85</v>
      </c>
      <c r="Q156" s="55">
        <f t="shared" si="52"/>
        <v>8.5423701559736998E-3</v>
      </c>
      <c r="S156" s="132">
        <v>45683</v>
      </c>
      <c r="T156">
        <v>474.6</v>
      </c>
      <c r="U156" s="55">
        <f t="shared" si="53"/>
        <v>2.7940220922677117E-2</v>
      </c>
      <c r="W156" s="132">
        <v>45683</v>
      </c>
      <c r="X156" s="197">
        <v>2809.85</v>
      </c>
      <c r="Y156" s="55">
        <f t="shared" si="54"/>
        <v>-2.4340700359381184E-2</v>
      </c>
      <c r="AA156" s="132">
        <v>45683</v>
      </c>
      <c r="AB156">
        <v>97.35</v>
      </c>
      <c r="AC156" s="55">
        <f t="shared" si="47"/>
        <v>-3.5756735340728985E-2</v>
      </c>
      <c r="AE156" s="132">
        <v>45683</v>
      </c>
      <c r="AF156">
        <v>31.28</v>
      </c>
      <c r="AG156" s="55">
        <f t="shared" si="48"/>
        <v>9.6836668818591765E-3</v>
      </c>
      <c r="AI156" s="132">
        <v>45683</v>
      </c>
      <c r="AJ156">
        <v>2325.6</v>
      </c>
      <c r="AK156" s="55">
        <f t="shared" si="55"/>
        <v>-1.0782875007975479E-2</v>
      </c>
      <c r="AM156" s="132">
        <v>45683</v>
      </c>
      <c r="AN156" s="197">
        <v>1846.4</v>
      </c>
      <c r="AO156" s="55">
        <f t="shared" si="56"/>
        <v>-5.3443723886909544E-2</v>
      </c>
    </row>
    <row r="157" spans="3:41">
      <c r="C157" s="132">
        <v>45676</v>
      </c>
      <c r="D157">
        <v>23092.2</v>
      </c>
      <c r="E157" s="55">
        <f t="shared" si="49"/>
        <v>-1.7704309948784247E-2</v>
      </c>
      <c r="G157" s="132">
        <v>45676</v>
      </c>
      <c r="H157">
        <v>698.05</v>
      </c>
      <c r="I157" s="55">
        <f t="shared" si="50"/>
        <v>7.1418265762515087E-3</v>
      </c>
      <c r="K157" s="132">
        <v>45676</v>
      </c>
      <c r="L157">
        <v>556.45000000000005</v>
      </c>
      <c r="M157" s="55">
        <f t="shared" si="51"/>
        <v>3.6071782847866274E-3</v>
      </c>
      <c r="O157" s="132">
        <v>45676</v>
      </c>
      <c r="P157" s="197">
        <v>2490.75</v>
      </c>
      <c r="Q157" s="55">
        <f t="shared" si="52"/>
        <v>-7.2144608087369999E-3</v>
      </c>
      <c r="S157" s="132">
        <v>45676</v>
      </c>
      <c r="T157">
        <v>475.7</v>
      </c>
      <c r="U157" s="55">
        <f t="shared" si="53"/>
        <v>2.3177412557942034E-3</v>
      </c>
      <c r="W157" s="132">
        <v>45676</v>
      </c>
      <c r="X157" s="197">
        <v>2583.9499999999998</v>
      </c>
      <c r="Y157" s="55">
        <f t="shared" si="54"/>
        <v>-8.0395750662846766E-2</v>
      </c>
      <c r="AA157" s="132">
        <v>45676</v>
      </c>
      <c r="AB157">
        <v>101.05</v>
      </c>
      <c r="AC157" s="55">
        <f t="shared" si="47"/>
        <v>3.8007190549563363E-2</v>
      </c>
      <c r="AE157" s="132">
        <v>45676</v>
      </c>
      <c r="AF157">
        <v>34.33</v>
      </c>
      <c r="AG157" s="55">
        <f t="shared" si="48"/>
        <v>9.7506393861892526E-2</v>
      </c>
      <c r="AI157" s="132">
        <v>45676</v>
      </c>
      <c r="AJ157">
        <v>2292.5500000000002</v>
      </c>
      <c r="AK157" s="55">
        <f t="shared" si="55"/>
        <v>-1.4211386308909391E-2</v>
      </c>
      <c r="AM157" s="132">
        <v>45676</v>
      </c>
      <c r="AN157" s="197">
        <v>1691.6</v>
      </c>
      <c r="AO157" s="55">
        <f t="shared" si="56"/>
        <v>-8.3838821490468063E-2</v>
      </c>
    </row>
    <row r="158" spans="3:41">
      <c r="C158" s="132">
        <v>45669</v>
      </c>
      <c r="D158">
        <v>23203.200000000001</v>
      </c>
      <c r="E158" s="55">
        <f t="shared" si="49"/>
        <v>4.8068178865590117E-3</v>
      </c>
      <c r="G158" s="132">
        <v>45669</v>
      </c>
      <c r="H158">
        <v>738.95</v>
      </c>
      <c r="I158" s="55">
        <f t="shared" si="50"/>
        <v>5.8591791418952877E-2</v>
      </c>
      <c r="K158" s="132">
        <v>45669</v>
      </c>
      <c r="L158">
        <v>563.15</v>
      </c>
      <c r="M158" s="55">
        <f t="shared" si="51"/>
        <v>1.2040614610477007E-2</v>
      </c>
      <c r="O158" s="132">
        <v>45669</v>
      </c>
      <c r="P158" s="197">
        <v>2375.85</v>
      </c>
      <c r="Q158" s="55">
        <f t="shared" si="52"/>
        <v>-4.6130683529057581E-2</v>
      </c>
      <c r="S158" s="132">
        <v>45669</v>
      </c>
      <c r="T158">
        <v>485.8</v>
      </c>
      <c r="U158" s="55">
        <f t="shared" si="53"/>
        <v>2.1231868824889588E-2</v>
      </c>
      <c r="W158" s="132">
        <v>45669</v>
      </c>
      <c r="X158" s="197">
        <v>2606.4499999999998</v>
      </c>
      <c r="Y158" s="55">
        <f t="shared" si="54"/>
        <v>8.7075988312468322E-3</v>
      </c>
      <c r="AA158" s="132">
        <v>45669</v>
      </c>
      <c r="AB158">
        <v>105.8</v>
      </c>
      <c r="AC158" s="55">
        <f t="shared" si="47"/>
        <v>4.7006432459178571E-2</v>
      </c>
      <c r="AE158" s="132">
        <v>45669</v>
      </c>
      <c r="AF158">
        <v>36.32</v>
      </c>
      <c r="AG158" s="55">
        <f t="shared" si="48"/>
        <v>5.796679289251383E-2</v>
      </c>
      <c r="AI158" s="132">
        <v>45669</v>
      </c>
      <c r="AJ158">
        <v>2358.75</v>
      </c>
      <c r="AK158" s="55">
        <f t="shared" si="55"/>
        <v>2.8876142286972994E-2</v>
      </c>
      <c r="AM158" s="132">
        <v>45669</v>
      </c>
      <c r="AN158" s="197">
        <v>1732.7</v>
      </c>
      <c r="AO158" s="55">
        <f t="shared" si="56"/>
        <v>2.4296524000945841E-2</v>
      </c>
    </row>
    <row r="159" spans="3:41">
      <c r="C159" s="132">
        <v>45662</v>
      </c>
      <c r="D159">
        <v>23431.5</v>
      </c>
      <c r="E159" s="55">
        <f t="shared" si="49"/>
        <v>9.8391601158460684E-3</v>
      </c>
      <c r="G159" s="132">
        <v>45662</v>
      </c>
      <c r="H159">
        <v>738.3</v>
      </c>
      <c r="I159" s="55">
        <f t="shared" si="50"/>
        <v>-8.7962649705675133E-4</v>
      </c>
      <c r="K159" s="132">
        <v>45662</v>
      </c>
      <c r="L159">
        <v>546.4</v>
      </c>
      <c r="M159" s="55">
        <f t="shared" si="51"/>
        <v>-2.974340761786376E-2</v>
      </c>
      <c r="O159" s="132">
        <v>45662</v>
      </c>
      <c r="P159" s="197">
        <v>2364.1</v>
      </c>
      <c r="Q159" s="55">
        <f t="shared" si="52"/>
        <v>-4.9455984174084922E-3</v>
      </c>
      <c r="S159" s="132">
        <v>45662</v>
      </c>
      <c r="T159">
        <v>478.4</v>
      </c>
      <c r="U159" s="55">
        <f t="shared" si="53"/>
        <v>-1.5232606010704086E-2</v>
      </c>
      <c r="W159" s="132">
        <v>45662</v>
      </c>
      <c r="X159" s="197">
        <v>2601.1</v>
      </c>
      <c r="Y159" s="55">
        <f t="shared" si="54"/>
        <v>-2.0526002800743681E-3</v>
      </c>
      <c r="AA159" s="132">
        <v>45662</v>
      </c>
      <c r="AB159">
        <v>104.4</v>
      </c>
      <c r="AC159" s="55">
        <f t="shared" si="47"/>
        <v>-1.3232514177693666E-2</v>
      </c>
      <c r="AE159" s="132">
        <v>45662</v>
      </c>
      <c r="AF159">
        <v>37.090000000000003</v>
      </c>
      <c r="AG159" s="55">
        <f t="shared" si="48"/>
        <v>2.1200440528634346E-2</v>
      </c>
      <c r="AI159" s="132">
        <v>45662</v>
      </c>
      <c r="AJ159">
        <v>2418.75</v>
      </c>
      <c r="AK159" s="55">
        <f t="shared" si="55"/>
        <v>2.5437201907790197E-2</v>
      </c>
      <c r="AM159" s="132">
        <v>45662</v>
      </c>
      <c r="AN159" s="197">
        <v>1744.55</v>
      </c>
      <c r="AO159" s="55">
        <f t="shared" si="56"/>
        <v>6.8390373405666782E-3</v>
      </c>
    </row>
    <row r="160" spans="3:41">
      <c r="C160" s="132">
        <v>45655</v>
      </c>
      <c r="D160">
        <v>24004.75</v>
      </c>
      <c r="E160" s="55">
        <f t="shared" si="49"/>
        <v>2.4464929688666981E-2</v>
      </c>
      <c r="G160" s="132">
        <v>45655</v>
      </c>
      <c r="H160">
        <v>749.75</v>
      </c>
      <c r="I160" s="55">
        <f t="shared" si="50"/>
        <v>1.5508600839767128E-2</v>
      </c>
      <c r="K160" s="132">
        <v>45655</v>
      </c>
      <c r="L160">
        <v>567</v>
      </c>
      <c r="M160" s="55">
        <f t="shared" si="51"/>
        <v>3.7701317715959082E-2</v>
      </c>
      <c r="O160" s="132">
        <v>45655</v>
      </c>
      <c r="P160" s="197">
        <v>2510</v>
      </c>
      <c r="Q160" s="55">
        <f t="shared" si="52"/>
        <v>6.171481747811014E-2</v>
      </c>
      <c r="S160" s="132">
        <v>45655</v>
      </c>
      <c r="T160">
        <v>496.9</v>
      </c>
      <c r="U160" s="55">
        <f t="shared" si="53"/>
        <v>3.8670568561872898E-2</v>
      </c>
      <c r="W160" s="132">
        <v>45655</v>
      </c>
      <c r="X160" s="197">
        <v>2284.9</v>
      </c>
      <c r="Y160" s="55">
        <f t="shared" si="54"/>
        <v>-0.1215639537118911</v>
      </c>
      <c r="AA160" s="132">
        <v>45655</v>
      </c>
      <c r="AB160">
        <v>107.85</v>
      </c>
      <c r="AC160" s="55">
        <f t="shared" si="47"/>
        <v>3.3045977011494143E-2</v>
      </c>
      <c r="AE160" s="132">
        <v>45655</v>
      </c>
      <c r="AF160">
        <v>39.14</v>
      </c>
      <c r="AG160" s="55">
        <f t="shared" si="48"/>
        <v>5.5270962523591205E-2</v>
      </c>
      <c r="AI160" s="132">
        <v>45655</v>
      </c>
      <c r="AJ160">
        <v>2452.6999999999998</v>
      </c>
      <c r="AK160" s="55">
        <f t="shared" si="55"/>
        <v>1.4036175710594234E-2</v>
      </c>
      <c r="AM160" s="132">
        <v>45655</v>
      </c>
      <c r="AN160" s="197">
        <v>1813.85</v>
      </c>
      <c r="AO160" s="55">
        <f t="shared" si="56"/>
        <v>3.9723710985640981E-2</v>
      </c>
    </row>
    <row r="161" spans="3:41">
      <c r="C161" s="132">
        <v>45648</v>
      </c>
      <c r="D161">
        <v>23813.4</v>
      </c>
      <c r="E161" s="55">
        <f t="shared" si="49"/>
        <v>-7.9713390058216982E-3</v>
      </c>
      <c r="G161" s="132">
        <v>45648</v>
      </c>
      <c r="H161">
        <v>754.9</v>
      </c>
      <c r="I161" s="55">
        <f t="shared" si="50"/>
        <v>6.8689563187729341E-3</v>
      </c>
      <c r="K161" s="132">
        <v>45648</v>
      </c>
      <c r="L161">
        <v>571.54999999999995</v>
      </c>
      <c r="M161" s="55">
        <f t="shared" si="51"/>
        <v>8.0246913580246382E-3</v>
      </c>
      <c r="O161" s="132">
        <v>45648</v>
      </c>
      <c r="P161" s="197">
        <v>2480.3000000000002</v>
      </c>
      <c r="Q161" s="55">
        <f t="shared" si="52"/>
        <v>-1.18326693227091E-2</v>
      </c>
      <c r="S161" s="132">
        <v>45648</v>
      </c>
      <c r="T161">
        <v>502.2</v>
      </c>
      <c r="U161" s="55">
        <f t="shared" si="53"/>
        <v>1.0666130006037555E-2</v>
      </c>
      <c r="W161" s="132">
        <v>45648</v>
      </c>
      <c r="X161" s="197">
        <v>2264.4499999999998</v>
      </c>
      <c r="Y161" s="55">
        <f t="shared" si="54"/>
        <v>-8.9500634601077378E-3</v>
      </c>
      <c r="AA161" s="132">
        <v>45648</v>
      </c>
      <c r="AB161">
        <v>106.1</v>
      </c>
      <c r="AC161" s="55">
        <f t="shared" si="47"/>
        <v>-1.6226240148354165E-2</v>
      </c>
      <c r="AE161" s="132">
        <v>45648</v>
      </c>
      <c r="AF161">
        <v>37.06</v>
      </c>
      <c r="AG161" s="55">
        <f t="shared" si="48"/>
        <v>-5.3142565150740895E-2</v>
      </c>
      <c r="AI161" s="132">
        <v>45648</v>
      </c>
      <c r="AJ161">
        <v>2579.75</v>
      </c>
      <c r="AK161" s="55">
        <f t="shared" si="55"/>
        <v>5.1800057079952833E-2</v>
      </c>
      <c r="AM161" s="132">
        <v>45648</v>
      </c>
      <c r="AN161" s="197">
        <v>1888.55</v>
      </c>
      <c r="AO161" s="55">
        <f t="shared" si="56"/>
        <v>4.1183118780494521E-2</v>
      </c>
    </row>
    <row r="162" spans="3:41">
      <c r="C162" s="132">
        <v>45641</v>
      </c>
      <c r="D162">
        <v>23587.5</v>
      </c>
      <c r="E162" s="55">
        <f t="shared" si="49"/>
        <v>-9.4862556375822082E-3</v>
      </c>
      <c r="G162" s="132">
        <v>45641</v>
      </c>
      <c r="H162">
        <v>743.85</v>
      </c>
      <c r="I162" s="55">
        <f t="shared" si="50"/>
        <v>-1.4637700357663208E-2</v>
      </c>
      <c r="K162" s="132">
        <v>45641</v>
      </c>
      <c r="L162">
        <v>583.79999999999995</v>
      </c>
      <c r="M162" s="55">
        <f t="shared" si="51"/>
        <v>2.1432945499081368E-2</v>
      </c>
      <c r="O162" s="132">
        <v>45641</v>
      </c>
      <c r="P162" s="197">
        <v>2488.6999999999998</v>
      </c>
      <c r="Q162" s="55">
        <f t="shared" si="52"/>
        <v>3.3866870943028982E-3</v>
      </c>
      <c r="S162" s="132">
        <v>45641</v>
      </c>
      <c r="T162">
        <v>497.15</v>
      </c>
      <c r="U162" s="55">
        <f t="shared" si="53"/>
        <v>-1.0055754679410667E-2</v>
      </c>
      <c r="W162" s="132">
        <v>45641</v>
      </c>
      <c r="X162" s="197">
        <v>2277.6</v>
      </c>
      <c r="Y162" s="55">
        <f t="shared" si="54"/>
        <v>5.8071496389853205E-3</v>
      </c>
      <c r="AA162" s="132">
        <v>45641</v>
      </c>
      <c r="AB162">
        <v>104.55</v>
      </c>
      <c r="AC162" s="55">
        <f t="shared" si="47"/>
        <v>-1.4608859566446752E-2</v>
      </c>
      <c r="AE162" s="132">
        <v>45641</v>
      </c>
      <c r="AF162">
        <v>38.119999999999997</v>
      </c>
      <c r="AG162" s="55">
        <f t="shared" si="48"/>
        <v>2.8602266594711212E-2</v>
      </c>
      <c r="AI162" s="132">
        <v>45641</v>
      </c>
      <c r="AJ162">
        <v>2596.85</v>
      </c>
      <c r="AK162" s="55">
        <f t="shared" si="55"/>
        <v>6.6285492780306932E-3</v>
      </c>
      <c r="AM162" s="132">
        <v>45641</v>
      </c>
      <c r="AN162" s="197">
        <v>1966.05</v>
      </c>
      <c r="AO162" s="55">
        <f t="shared" si="56"/>
        <v>4.1036774244791019E-2</v>
      </c>
    </row>
    <row r="163" spans="3:41">
      <c r="C163" s="132">
        <v>45634</v>
      </c>
      <c r="D163">
        <v>24768.3</v>
      </c>
      <c r="E163" s="55">
        <f t="shared" si="49"/>
        <v>5.0060413354531041E-2</v>
      </c>
      <c r="G163" s="132">
        <v>45634</v>
      </c>
      <c r="H163">
        <v>776.75</v>
      </c>
      <c r="I163" s="55">
        <f t="shared" si="50"/>
        <v>4.4229347314646672E-2</v>
      </c>
      <c r="K163" s="132">
        <v>45634</v>
      </c>
      <c r="L163">
        <v>619.35</v>
      </c>
      <c r="M163" s="55">
        <f t="shared" si="51"/>
        <v>6.0894141829393789E-2</v>
      </c>
      <c r="O163" s="132">
        <v>45634</v>
      </c>
      <c r="P163" s="197">
        <v>2692.7</v>
      </c>
      <c r="Q163" s="55">
        <f t="shared" si="52"/>
        <v>8.1970506690239864E-2</v>
      </c>
      <c r="S163" s="132">
        <v>45634</v>
      </c>
      <c r="T163">
        <v>507.25</v>
      </c>
      <c r="U163" s="55">
        <f t="shared" si="53"/>
        <v>2.0315800060344058E-2</v>
      </c>
      <c r="W163" s="132">
        <v>45634</v>
      </c>
      <c r="X163" s="197">
        <v>2296.6999999999998</v>
      </c>
      <c r="Y163" s="55">
        <f t="shared" si="54"/>
        <v>8.386020372321612E-3</v>
      </c>
      <c r="AA163" s="132">
        <v>45634</v>
      </c>
      <c r="AB163">
        <v>113.3</v>
      </c>
      <c r="AC163" s="55">
        <f t="shared" si="47"/>
        <v>8.3692013390722186E-2</v>
      </c>
      <c r="AE163" s="132">
        <v>45634</v>
      </c>
      <c r="AF163">
        <v>41.67</v>
      </c>
      <c r="AG163" s="55">
        <f t="shared" si="48"/>
        <v>9.3126967471143907E-2</v>
      </c>
      <c r="AI163" s="132">
        <v>45634</v>
      </c>
      <c r="AJ163">
        <v>2679.85</v>
      </c>
      <c r="AK163" s="55">
        <f t="shared" si="55"/>
        <v>3.1961799872922914E-2</v>
      </c>
      <c r="AM163" s="132">
        <v>45634</v>
      </c>
      <c r="AN163" s="197">
        <v>2086.15</v>
      </c>
      <c r="AO163" s="55">
        <f t="shared" si="56"/>
        <v>6.1086950993108013E-2</v>
      </c>
    </row>
    <row r="164" spans="3:41">
      <c r="C164" s="132">
        <v>45627</v>
      </c>
      <c r="D164">
        <v>24677.8</v>
      </c>
      <c r="E164" s="55">
        <f t="shared" si="49"/>
        <v>-3.653864011660013E-3</v>
      </c>
      <c r="G164" s="132">
        <v>45627</v>
      </c>
      <c r="H164">
        <v>794.35</v>
      </c>
      <c r="I164" s="55">
        <f t="shared" si="50"/>
        <v>2.265851303508204E-2</v>
      </c>
      <c r="K164" s="132">
        <v>45627</v>
      </c>
      <c r="L164">
        <v>636.70000000000005</v>
      </c>
      <c r="M164" s="55">
        <f t="shared" si="51"/>
        <v>2.8013239686768499E-2</v>
      </c>
      <c r="O164" s="132">
        <v>45627</v>
      </c>
      <c r="P164" s="197">
        <v>2701.9</v>
      </c>
      <c r="Q164" s="55">
        <f t="shared" si="52"/>
        <v>3.4166450031567486E-3</v>
      </c>
      <c r="S164" s="132">
        <v>45627</v>
      </c>
      <c r="T164">
        <v>509.75</v>
      </c>
      <c r="U164" s="55">
        <f t="shared" si="53"/>
        <v>4.92853622474132E-3</v>
      </c>
      <c r="W164" s="132">
        <v>45627</v>
      </c>
      <c r="X164" s="197">
        <v>2294.6999999999998</v>
      </c>
      <c r="Y164" s="55">
        <f t="shared" si="54"/>
        <v>-8.7081464710236922E-4</v>
      </c>
      <c r="AA164" s="132">
        <v>45627</v>
      </c>
      <c r="AB164">
        <v>115.5</v>
      </c>
      <c r="AC164" s="55">
        <f t="shared" si="47"/>
        <v>1.9417475728155331E-2</v>
      </c>
      <c r="AE164" s="132">
        <v>45627</v>
      </c>
      <c r="AF164">
        <v>41.99</v>
      </c>
      <c r="AG164" s="55">
        <f t="shared" si="48"/>
        <v>7.6793856491481627E-3</v>
      </c>
      <c r="AI164" s="132">
        <v>45627</v>
      </c>
      <c r="AJ164">
        <v>2701.8</v>
      </c>
      <c r="AK164" s="55">
        <f t="shared" si="55"/>
        <v>8.1907569453514295E-3</v>
      </c>
      <c r="AM164" s="132">
        <v>45627</v>
      </c>
      <c r="AN164" s="197">
        <v>2084</v>
      </c>
      <c r="AO164" s="55">
        <f t="shared" si="56"/>
        <v>-1.0306066198499941E-3</v>
      </c>
    </row>
    <row r="165" spans="3:41">
      <c r="C165" s="132">
        <v>45620</v>
      </c>
      <c r="D165">
        <v>24131.1</v>
      </c>
      <c r="E165" s="55">
        <f t="shared" si="49"/>
        <v>-2.2153514494809179E-2</v>
      </c>
      <c r="G165" s="132">
        <v>45620</v>
      </c>
      <c r="H165">
        <v>786.65</v>
      </c>
      <c r="I165" s="55">
        <f t="shared" si="50"/>
        <v>-9.6934600616856992E-3</v>
      </c>
      <c r="K165" s="132">
        <v>45620</v>
      </c>
      <c r="L165">
        <v>638.79999999999995</v>
      </c>
      <c r="M165" s="55">
        <f t="shared" si="51"/>
        <v>3.2982566357779852E-3</v>
      </c>
      <c r="O165" s="132">
        <v>45620</v>
      </c>
      <c r="P165" s="197">
        <v>2606.25</v>
      </c>
      <c r="Q165" s="55">
        <f t="shared" si="52"/>
        <v>-3.5401014101188122E-2</v>
      </c>
      <c r="S165" s="132">
        <v>45620</v>
      </c>
      <c r="T165">
        <v>500.2</v>
      </c>
      <c r="U165" s="55">
        <f t="shared" si="53"/>
        <v>-1.8734673859735151E-2</v>
      </c>
      <c r="W165" s="132">
        <v>45620</v>
      </c>
      <c r="X165" s="197">
        <v>2265</v>
      </c>
      <c r="Y165" s="55">
        <f t="shared" si="54"/>
        <v>-1.2942868348803649E-2</v>
      </c>
      <c r="AA165" s="132">
        <v>45620</v>
      </c>
      <c r="AB165">
        <v>115.3</v>
      </c>
      <c r="AC165" s="55">
        <f t="shared" si="47"/>
        <v>-1.7316017316018062E-3</v>
      </c>
      <c r="AE165" s="132">
        <v>45620</v>
      </c>
      <c r="AF165">
        <v>38.14</v>
      </c>
      <c r="AG165" s="55">
        <f t="shared" si="48"/>
        <v>-9.1688497261252722E-2</v>
      </c>
      <c r="AI165" s="132">
        <v>45620</v>
      </c>
      <c r="AJ165">
        <v>2727.25</v>
      </c>
      <c r="AK165" s="55">
        <f t="shared" si="55"/>
        <v>9.4196461618178962E-3</v>
      </c>
      <c r="AM165" s="132">
        <v>45620</v>
      </c>
      <c r="AN165" s="197">
        <v>2082.35</v>
      </c>
      <c r="AO165" s="55">
        <f t="shared" si="56"/>
        <v>-7.9174664107495296E-4</v>
      </c>
    </row>
    <row r="166" spans="3:41">
      <c r="C166" s="132">
        <v>45613</v>
      </c>
      <c r="D166">
        <v>23907.25</v>
      </c>
      <c r="E166" s="55">
        <f t="shared" si="49"/>
        <v>-9.2764109385812255E-3</v>
      </c>
      <c r="G166" s="132">
        <v>45613</v>
      </c>
      <c r="H166">
        <v>759.95</v>
      </c>
      <c r="I166" s="55">
        <f t="shared" si="50"/>
        <v>-3.394139706349697E-2</v>
      </c>
      <c r="K166" s="132">
        <v>45613</v>
      </c>
      <c r="L166">
        <v>564.20000000000005</v>
      </c>
      <c r="M166" s="55">
        <f t="shared" si="51"/>
        <v>-0.11678146524733868</v>
      </c>
      <c r="O166" s="132">
        <v>45613</v>
      </c>
      <c r="P166" s="197">
        <v>2598.65</v>
      </c>
      <c r="Q166" s="55">
        <f t="shared" si="52"/>
        <v>-2.9160671462828969E-3</v>
      </c>
      <c r="S166" s="132">
        <v>45613</v>
      </c>
      <c r="T166">
        <v>490.3</v>
      </c>
      <c r="U166" s="55">
        <f t="shared" si="53"/>
        <v>-1.979208316673331E-2</v>
      </c>
      <c r="W166" s="132">
        <v>45613</v>
      </c>
      <c r="X166" s="197">
        <v>2163.25</v>
      </c>
      <c r="Y166" s="55">
        <f t="shared" si="54"/>
        <v>-4.4922737306843263E-2</v>
      </c>
      <c r="AA166" s="132">
        <v>45613</v>
      </c>
      <c r="AB166">
        <v>113</v>
      </c>
      <c r="AC166" s="55">
        <f t="shared" si="47"/>
        <v>-1.9947961838681638E-2</v>
      </c>
      <c r="AE166" s="132">
        <v>45613</v>
      </c>
      <c r="AF166">
        <v>37.479999999999997</v>
      </c>
      <c r="AG166" s="55">
        <f t="shared" si="48"/>
        <v>-1.7304667016255992E-2</v>
      </c>
      <c r="AI166" s="132">
        <v>45613</v>
      </c>
      <c r="AJ166">
        <v>2670.85</v>
      </c>
      <c r="AK166" s="55">
        <f t="shared" si="55"/>
        <v>-2.0680172334769487E-2</v>
      </c>
      <c r="AM166" s="132">
        <v>45613</v>
      </c>
      <c r="AN166" s="197">
        <v>1946.65</v>
      </c>
      <c r="AO166" s="55">
        <f t="shared" si="56"/>
        <v>-6.5166758710111128E-2</v>
      </c>
    </row>
    <row r="167" spans="3:41">
      <c r="C167" s="132">
        <v>45606</v>
      </c>
      <c r="D167">
        <v>23532.7</v>
      </c>
      <c r="E167" s="55">
        <f t="shared" si="49"/>
        <v>-1.5666795637306663E-2</v>
      </c>
      <c r="G167" s="132">
        <v>45606</v>
      </c>
      <c r="H167">
        <v>783.55</v>
      </c>
      <c r="I167" s="55">
        <f t="shared" si="50"/>
        <v>3.105467464964784E-2</v>
      </c>
      <c r="K167" s="132">
        <v>45606</v>
      </c>
      <c r="L167">
        <v>554.20000000000005</v>
      </c>
      <c r="M167" s="55">
        <f t="shared" si="51"/>
        <v>-1.7724211272598378E-2</v>
      </c>
      <c r="O167" s="132">
        <v>45606</v>
      </c>
      <c r="P167" s="197">
        <v>2523.9499999999998</v>
      </c>
      <c r="Q167" s="55">
        <f t="shared" si="52"/>
        <v>-2.8745694880033978E-2</v>
      </c>
      <c r="S167" s="132">
        <v>45606</v>
      </c>
      <c r="T167">
        <v>482.2</v>
      </c>
      <c r="U167" s="55">
        <f t="shared" si="53"/>
        <v>-1.6520497654497257E-2</v>
      </c>
      <c r="W167" s="132">
        <v>45606</v>
      </c>
      <c r="X167" s="197">
        <v>2235.1999999999998</v>
      </c>
      <c r="Y167" s="55">
        <f t="shared" si="54"/>
        <v>3.3260140991563603E-2</v>
      </c>
      <c r="AA167" s="132">
        <v>45606</v>
      </c>
      <c r="AB167">
        <v>107</v>
      </c>
      <c r="AC167" s="55">
        <f t="shared" si="47"/>
        <v>-5.3097345132743334E-2</v>
      </c>
      <c r="AE167" s="132">
        <v>45606</v>
      </c>
      <c r="AF167">
        <v>38.1</v>
      </c>
      <c r="AG167" s="55">
        <f t="shared" si="48"/>
        <v>1.6542155816435589E-2</v>
      </c>
      <c r="AI167" s="132">
        <v>45606</v>
      </c>
      <c r="AJ167">
        <v>2638.5</v>
      </c>
      <c r="AK167" s="55">
        <f t="shared" si="55"/>
        <v>-1.2112248909523116E-2</v>
      </c>
      <c r="AM167" s="132">
        <v>45606</v>
      </c>
      <c r="AN167" s="197">
        <v>2057.4499999999998</v>
      </c>
      <c r="AO167" s="55">
        <f t="shared" si="56"/>
        <v>5.6918295533352037E-2</v>
      </c>
    </row>
    <row r="168" spans="3:41">
      <c r="C168" s="132">
        <v>45599</v>
      </c>
      <c r="D168">
        <v>24148.2</v>
      </c>
      <c r="E168" s="55">
        <f t="shared" si="49"/>
        <v>2.6155094825498049E-2</v>
      </c>
      <c r="G168" s="132">
        <v>45599</v>
      </c>
      <c r="H168">
        <v>807.75</v>
      </c>
      <c r="I168" s="55">
        <f t="shared" ref="I168:I207" si="57">H168/H167-1</f>
        <v>3.088507434113974E-2</v>
      </c>
      <c r="K168" s="132">
        <v>45599</v>
      </c>
      <c r="L168">
        <v>618.65</v>
      </c>
      <c r="M168" s="55">
        <f t="shared" ref="M168:M207" si="58">L168/L167-1</f>
        <v>0.1162937567665101</v>
      </c>
      <c r="O168" s="132">
        <v>45599</v>
      </c>
      <c r="P168" s="197">
        <v>2544.85</v>
      </c>
      <c r="Q168" s="55">
        <f t="shared" ref="Q168:Q207" si="59">P168/P167-1</f>
        <v>8.2806711701897129E-3</v>
      </c>
      <c r="S168" s="132">
        <v>45599</v>
      </c>
      <c r="T168">
        <v>489.95</v>
      </c>
      <c r="U168" s="55">
        <f t="shared" ref="U168:U207" si="60">T168/T167-1</f>
        <v>1.6072169224388144E-2</v>
      </c>
      <c r="W168" s="132">
        <v>45599</v>
      </c>
      <c r="X168" s="197">
        <v>2305.9499999999998</v>
      </c>
      <c r="Y168" s="55">
        <f t="shared" si="54"/>
        <v>3.1652648532569883E-2</v>
      </c>
      <c r="AA168" s="132">
        <v>45599</v>
      </c>
      <c r="AB168">
        <v>116.3</v>
      </c>
      <c r="AC168" s="55">
        <f t="shared" ref="AC168:AC207" si="61">AB168/AB167-1</f>
        <v>8.6915887850467222E-2</v>
      </c>
      <c r="AE168" s="132">
        <v>45599</v>
      </c>
      <c r="AF168">
        <v>41.86</v>
      </c>
      <c r="AG168" s="55">
        <f t="shared" ref="AG168:AG207" si="62">AF168/AF167-1</f>
        <v>9.8687664041994694E-2</v>
      </c>
      <c r="AI168" s="132">
        <v>45599</v>
      </c>
      <c r="AJ168">
        <v>2678.25</v>
      </c>
      <c r="AK168" s="55">
        <f t="shared" ref="AK168:AK207" si="63">AJ168/AJ167-1</f>
        <v>1.5065378055713508E-2</v>
      </c>
      <c r="AM168" s="132">
        <v>45599</v>
      </c>
      <c r="AN168" s="197">
        <v>2105.1</v>
      </c>
      <c r="AO168" s="55">
        <f t="shared" si="56"/>
        <v>2.3159736567109901E-2</v>
      </c>
    </row>
    <row r="169" spans="3:41">
      <c r="C169" s="132">
        <v>45592</v>
      </c>
      <c r="D169">
        <v>24304.35</v>
      </c>
      <c r="E169" s="55">
        <f t="shared" ref="E169:E207" si="64">D169/D168-1</f>
        <v>6.4663204710908584E-3</v>
      </c>
      <c r="G169" s="132">
        <v>45592</v>
      </c>
      <c r="H169">
        <v>849.05</v>
      </c>
      <c r="I169" s="55">
        <f t="shared" si="57"/>
        <v>5.112968121324668E-2</v>
      </c>
      <c r="K169" s="132">
        <v>45592</v>
      </c>
      <c r="L169">
        <v>626.70000000000005</v>
      </c>
      <c r="M169" s="55">
        <f t="shared" si="58"/>
        <v>1.3012203992564642E-2</v>
      </c>
      <c r="O169" s="132">
        <v>45592</v>
      </c>
      <c r="P169" s="197">
        <v>2698.9</v>
      </c>
      <c r="Q169" s="55">
        <f t="shared" si="59"/>
        <v>6.0534019686818485E-2</v>
      </c>
      <c r="S169" s="132">
        <v>45592</v>
      </c>
      <c r="T169">
        <v>486.5</v>
      </c>
      <c r="U169" s="55">
        <f t="shared" si="60"/>
        <v>-7.0415348504949682E-3</v>
      </c>
      <c r="W169" s="132">
        <v>45592</v>
      </c>
      <c r="X169" s="197">
        <v>2252.3000000000002</v>
      </c>
      <c r="Y169" s="55">
        <f t="shared" ref="Y169:Y207" si="65">X169/X168-1</f>
        <v>-2.3265899087143938E-2</v>
      </c>
      <c r="AA169" s="132">
        <v>45592</v>
      </c>
      <c r="AB169">
        <v>110.9</v>
      </c>
      <c r="AC169" s="55">
        <f t="shared" si="61"/>
        <v>-4.6431642304385123E-2</v>
      </c>
      <c r="AE169" s="132">
        <v>45592</v>
      </c>
      <c r="AF169">
        <v>40.880000000000003</v>
      </c>
      <c r="AG169" s="55">
        <f t="shared" si="62"/>
        <v>-2.3411371237458067E-2</v>
      </c>
      <c r="AI169" s="132">
        <v>45592</v>
      </c>
      <c r="AJ169">
        <v>2646.25</v>
      </c>
      <c r="AK169" s="55">
        <f t="shared" si="63"/>
        <v>-1.19481004387193E-2</v>
      </c>
      <c r="AM169" s="132">
        <v>45592</v>
      </c>
      <c r="AN169" s="197">
        <v>2136.3000000000002</v>
      </c>
      <c r="AO169" s="55">
        <f t="shared" ref="AO169:AO207" si="66">AN169/AN168-1</f>
        <v>1.4821148639019732E-2</v>
      </c>
    </row>
    <row r="170" spans="3:41">
      <c r="C170" s="132">
        <v>45585</v>
      </c>
      <c r="D170">
        <v>24180.799999999999</v>
      </c>
      <c r="E170" s="55">
        <f t="shared" si="64"/>
        <v>-5.0834521392261189E-3</v>
      </c>
      <c r="G170" s="132">
        <v>45585</v>
      </c>
      <c r="H170">
        <v>835.2</v>
      </c>
      <c r="I170" s="55">
        <f t="shared" si="57"/>
        <v>-1.6312349096048395E-2</v>
      </c>
      <c r="K170" s="132">
        <v>45585</v>
      </c>
      <c r="L170">
        <v>597.20000000000005</v>
      </c>
      <c r="M170" s="55">
        <f t="shared" si="58"/>
        <v>-4.7071964257220378E-2</v>
      </c>
      <c r="O170" s="132">
        <v>45585</v>
      </c>
      <c r="P170" s="197">
        <v>2615.1999999999998</v>
      </c>
      <c r="Q170" s="55">
        <f t="shared" si="59"/>
        <v>-3.1012634777131565E-2</v>
      </c>
      <c r="S170" s="132">
        <v>45585</v>
      </c>
      <c r="T170">
        <v>442.9</v>
      </c>
      <c r="U170" s="55">
        <f t="shared" si="60"/>
        <v>-8.9619732785200412E-2</v>
      </c>
      <c r="W170" s="132">
        <v>45585</v>
      </c>
      <c r="X170" s="197">
        <v>2206.9</v>
      </c>
      <c r="Y170" s="55">
        <f t="shared" si="65"/>
        <v>-2.0157172667939482E-2</v>
      </c>
      <c r="AA170" s="132">
        <v>45585</v>
      </c>
      <c r="AB170">
        <v>101.44</v>
      </c>
      <c r="AC170" s="55">
        <f t="shared" si="61"/>
        <v>-8.5302073940486944E-2</v>
      </c>
      <c r="AE170" s="132">
        <v>45585</v>
      </c>
      <c r="AF170">
        <v>37.729999999999997</v>
      </c>
      <c r="AG170" s="55">
        <f t="shared" si="62"/>
        <v>-7.7054794520548087E-2</v>
      </c>
      <c r="AI170" s="132">
        <v>45585</v>
      </c>
      <c r="AJ170">
        <v>2671.4</v>
      </c>
      <c r="AK170" s="55">
        <f t="shared" si="63"/>
        <v>9.5040151157297359E-3</v>
      </c>
      <c r="AM170" s="132">
        <v>45585</v>
      </c>
      <c r="AN170" s="197">
        <v>1904.7</v>
      </c>
      <c r="AO170" s="55">
        <f t="shared" si="66"/>
        <v>-0.10841173992416797</v>
      </c>
    </row>
    <row r="171" spans="3:41">
      <c r="C171" s="132">
        <v>45578</v>
      </c>
      <c r="D171">
        <v>24854.05</v>
      </c>
      <c r="E171" s="55">
        <f t="shared" si="64"/>
        <v>2.7842337722490562E-2</v>
      </c>
      <c r="G171" s="132">
        <v>45578</v>
      </c>
      <c r="H171">
        <v>821</v>
      </c>
      <c r="I171" s="55">
        <f t="shared" si="57"/>
        <v>-1.7001915708812265E-2</v>
      </c>
      <c r="K171" s="132">
        <v>45578</v>
      </c>
      <c r="L171">
        <v>641.6</v>
      </c>
      <c r="M171" s="55">
        <f t="shared" si="58"/>
        <v>7.4346952444741987E-2</v>
      </c>
      <c r="O171" s="132">
        <v>45578</v>
      </c>
      <c r="P171" s="197">
        <v>2760.95</v>
      </c>
      <c r="Q171" s="55">
        <f t="shared" si="59"/>
        <v>5.5731875191189939E-2</v>
      </c>
      <c r="S171" s="132">
        <v>45578</v>
      </c>
      <c r="T171">
        <v>478.65</v>
      </c>
      <c r="U171" s="55">
        <f t="shared" si="60"/>
        <v>8.0717995032738798E-2</v>
      </c>
      <c r="W171" s="132">
        <v>45578</v>
      </c>
      <c r="X171" s="197">
        <v>2325.6999999999998</v>
      </c>
      <c r="Y171" s="55">
        <f t="shared" si="65"/>
        <v>5.3831165888803101E-2</v>
      </c>
      <c r="AA171" s="132">
        <v>45578</v>
      </c>
      <c r="AB171">
        <v>109.74</v>
      </c>
      <c r="AC171" s="55">
        <f t="shared" si="61"/>
        <v>8.1821766561514186E-2</v>
      </c>
      <c r="AE171" s="132">
        <v>45578</v>
      </c>
      <c r="AF171">
        <v>39.840000000000003</v>
      </c>
      <c r="AG171" s="55">
        <f t="shared" si="62"/>
        <v>5.5923668168566198E-2</v>
      </c>
      <c r="AI171" s="132">
        <v>45578</v>
      </c>
      <c r="AJ171">
        <v>2839.4</v>
      </c>
      <c r="AK171" s="55">
        <f t="shared" si="63"/>
        <v>6.2888373137680587E-2</v>
      </c>
      <c r="AM171" s="132">
        <v>45578</v>
      </c>
      <c r="AN171" s="197">
        <v>2214.15</v>
      </c>
      <c r="AO171" s="55">
        <f t="shared" si="66"/>
        <v>0.16246653016223034</v>
      </c>
    </row>
    <row r="172" spans="3:41">
      <c r="C172" s="132">
        <v>45571</v>
      </c>
      <c r="D172">
        <v>24964.25</v>
      </c>
      <c r="E172" s="55">
        <f t="shared" si="64"/>
        <v>4.4338850207512603E-3</v>
      </c>
      <c r="G172" s="132">
        <v>45571</v>
      </c>
      <c r="H172">
        <v>875.3</v>
      </c>
      <c r="I172" s="55">
        <f t="shared" si="57"/>
        <v>6.6138855054811208E-2</v>
      </c>
      <c r="K172" s="132">
        <v>45571</v>
      </c>
      <c r="L172">
        <v>647.70000000000005</v>
      </c>
      <c r="M172" s="55">
        <f t="shared" si="58"/>
        <v>9.5074812967581579E-3</v>
      </c>
      <c r="O172" s="132">
        <v>45571</v>
      </c>
      <c r="P172" s="197">
        <v>2725.55</v>
      </c>
      <c r="Q172" s="55">
        <f t="shared" si="59"/>
        <v>-1.2821673699270009E-2</v>
      </c>
      <c r="S172" s="132">
        <v>45571</v>
      </c>
      <c r="T172">
        <v>500.1</v>
      </c>
      <c r="U172" s="55">
        <f t="shared" si="60"/>
        <v>4.4813538075838322E-2</v>
      </c>
      <c r="W172" s="132">
        <v>45571</v>
      </c>
      <c r="X172" s="197">
        <v>2348.75</v>
      </c>
      <c r="Y172" s="55">
        <f t="shared" si="65"/>
        <v>9.9109945392785725E-3</v>
      </c>
      <c r="AA172" s="132">
        <v>45571</v>
      </c>
      <c r="AB172">
        <v>102.09</v>
      </c>
      <c r="AC172" s="55">
        <f t="shared" si="61"/>
        <v>-6.9710224166210977E-2</v>
      </c>
      <c r="AE172" s="132">
        <v>45571</v>
      </c>
      <c r="AF172">
        <v>41.78</v>
      </c>
      <c r="AG172" s="55">
        <f t="shared" si="62"/>
        <v>4.8694779116465803E-2</v>
      </c>
      <c r="AI172" s="132">
        <v>45571</v>
      </c>
      <c r="AJ172">
        <v>2829.6</v>
      </c>
      <c r="AK172" s="55">
        <f t="shared" si="63"/>
        <v>-3.4514334014229542E-3</v>
      </c>
      <c r="AM172" s="132">
        <v>45571</v>
      </c>
      <c r="AN172" s="197">
        <v>2227.6999999999998</v>
      </c>
      <c r="AO172" s="55">
        <f t="shared" si="66"/>
        <v>6.1197299189303944E-3</v>
      </c>
    </row>
    <row r="173" spans="3:41">
      <c r="C173" s="132">
        <v>45564</v>
      </c>
      <c r="D173">
        <v>25014.6</v>
      </c>
      <c r="E173" s="55">
        <f t="shared" si="64"/>
        <v>2.0168841443264363E-3</v>
      </c>
      <c r="G173" s="132">
        <v>45564</v>
      </c>
      <c r="H173">
        <v>811.05</v>
      </c>
      <c r="I173" s="55">
        <f t="shared" si="57"/>
        <v>-7.3403404547012441E-2</v>
      </c>
      <c r="K173" s="132">
        <v>45564</v>
      </c>
      <c r="L173">
        <v>645.75</v>
      </c>
      <c r="M173" s="55">
        <f t="shared" si="58"/>
        <v>-3.0106530801297104E-3</v>
      </c>
      <c r="O173" s="132">
        <v>45564</v>
      </c>
      <c r="P173" s="197">
        <v>2745.1</v>
      </c>
      <c r="Q173" s="55">
        <f t="shared" si="59"/>
        <v>7.1728641925481451E-3</v>
      </c>
      <c r="S173" s="132">
        <v>45564</v>
      </c>
      <c r="T173">
        <v>505.15</v>
      </c>
      <c r="U173" s="55">
        <f t="shared" si="60"/>
        <v>1.0097980403919182E-2</v>
      </c>
      <c r="W173" s="132">
        <v>45564</v>
      </c>
      <c r="X173" s="197">
        <v>2350.35</v>
      </c>
      <c r="Y173" s="55">
        <f t="shared" si="65"/>
        <v>6.8121341138893676E-4</v>
      </c>
      <c r="AA173" s="132">
        <v>45564</v>
      </c>
      <c r="AB173">
        <v>91.58</v>
      </c>
      <c r="AC173" s="55">
        <f t="shared" si="61"/>
        <v>-0.1029483788813792</v>
      </c>
      <c r="AE173" s="132">
        <v>45564</v>
      </c>
      <c r="AF173">
        <v>40.76</v>
      </c>
      <c r="AG173" s="55">
        <f t="shared" si="62"/>
        <v>-2.4413595021541501E-2</v>
      </c>
      <c r="AI173" s="132">
        <v>45564</v>
      </c>
      <c r="AJ173">
        <v>2828.5</v>
      </c>
      <c r="AK173" s="55">
        <f t="shared" si="63"/>
        <v>-3.8874752615203345E-4</v>
      </c>
      <c r="AM173" s="132">
        <v>45564</v>
      </c>
      <c r="AN173" s="197">
        <v>2209.9499999999998</v>
      </c>
      <c r="AO173" s="55">
        <f t="shared" si="66"/>
        <v>-7.9678592270053805E-3</v>
      </c>
    </row>
    <row r="174" spans="3:41">
      <c r="C174" s="132">
        <v>45557</v>
      </c>
      <c r="D174">
        <v>26178.95</v>
      </c>
      <c r="E174" s="55">
        <f t="shared" si="64"/>
        <v>4.6546816659071233E-2</v>
      </c>
      <c r="G174" s="132">
        <v>45557</v>
      </c>
      <c r="H174">
        <v>827.1</v>
      </c>
      <c r="I174" s="55">
        <f t="shared" si="57"/>
        <v>1.9789162197151988E-2</v>
      </c>
      <c r="K174" s="132">
        <v>45557</v>
      </c>
      <c r="L174">
        <v>675.25</v>
      </c>
      <c r="M174" s="55">
        <f t="shared" si="58"/>
        <v>4.5683313975996898E-2</v>
      </c>
      <c r="O174" s="132">
        <v>45557</v>
      </c>
      <c r="P174" s="197">
        <v>2783.15</v>
      </c>
      <c r="Q174" s="55">
        <f t="shared" si="59"/>
        <v>1.386106152781319E-2</v>
      </c>
      <c r="S174" s="132">
        <v>45557</v>
      </c>
      <c r="T174">
        <v>508.95</v>
      </c>
      <c r="U174" s="55">
        <f t="shared" si="60"/>
        <v>7.5225180639413303E-3</v>
      </c>
      <c r="W174" s="132">
        <v>45557</v>
      </c>
      <c r="X174" s="197">
        <v>2461.5500000000002</v>
      </c>
      <c r="Y174" s="55">
        <f t="shared" si="65"/>
        <v>4.7312102452826243E-2</v>
      </c>
      <c r="AA174" s="132">
        <v>45557</v>
      </c>
      <c r="AB174">
        <v>94.26</v>
      </c>
      <c r="AC174" s="55">
        <f t="shared" si="61"/>
        <v>2.9264031447914451E-2</v>
      </c>
      <c r="AE174" s="132">
        <v>45557</v>
      </c>
      <c r="AF174">
        <v>41.23</v>
      </c>
      <c r="AG174" s="55">
        <f t="shared" si="62"/>
        <v>1.1530912659470038E-2</v>
      </c>
      <c r="AI174" s="132">
        <v>45557</v>
      </c>
      <c r="AJ174">
        <v>2896.5</v>
      </c>
      <c r="AK174" s="55">
        <f t="shared" si="63"/>
        <v>2.4041011136644919E-2</v>
      </c>
      <c r="AM174" s="132">
        <v>45557</v>
      </c>
      <c r="AN174" s="197">
        <v>2232.0500000000002</v>
      </c>
      <c r="AO174" s="55">
        <f t="shared" si="66"/>
        <v>1.0000226249462729E-2</v>
      </c>
    </row>
    <row r="175" spans="3:41">
      <c r="C175" s="132">
        <v>45550</v>
      </c>
      <c r="D175">
        <v>25790.95</v>
      </c>
      <c r="E175" s="55">
        <f t="shared" si="64"/>
        <v>-1.4821068071866894E-2</v>
      </c>
      <c r="G175" s="132">
        <v>45550</v>
      </c>
      <c r="H175">
        <v>815.5</v>
      </c>
      <c r="I175" s="55">
        <f t="shared" si="57"/>
        <v>-1.4024906299117457E-2</v>
      </c>
      <c r="K175" s="132">
        <v>45550</v>
      </c>
      <c r="L175">
        <v>644.6</v>
      </c>
      <c r="M175" s="55">
        <f t="shared" si="58"/>
        <v>-4.5390596075527534E-2</v>
      </c>
      <c r="O175" s="132">
        <v>45550</v>
      </c>
      <c r="P175" s="197">
        <v>2678.25</v>
      </c>
      <c r="Q175" s="55">
        <f t="shared" si="59"/>
        <v>-3.7691105402152258E-2</v>
      </c>
      <c r="S175" s="132">
        <v>45550</v>
      </c>
      <c r="T175">
        <v>516.79999999999995</v>
      </c>
      <c r="U175" s="55">
        <f t="shared" si="60"/>
        <v>1.5423911975636084E-2</v>
      </c>
      <c r="W175" s="132">
        <v>45550</v>
      </c>
      <c r="X175" s="197">
        <v>2419.6999999999998</v>
      </c>
      <c r="Y175" s="55">
        <f t="shared" si="65"/>
        <v>-1.7001482805549473E-2</v>
      </c>
      <c r="AA175" s="132">
        <v>45550</v>
      </c>
      <c r="AB175">
        <v>93.84</v>
      </c>
      <c r="AC175" s="55">
        <f t="shared" si="61"/>
        <v>-4.4557606619987089E-3</v>
      </c>
      <c r="AE175" s="132">
        <v>45550</v>
      </c>
      <c r="AF175">
        <v>42.44</v>
      </c>
      <c r="AG175" s="55">
        <f t="shared" si="62"/>
        <v>2.9347562454523413E-2</v>
      </c>
      <c r="AI175" s="132">
        <v>45550</v>
      </c>
      <c r="AJ175">
        <v>2844.1</v>
      </c>
      <c r="AK175" s="55">
        <f t="shared" si="63"/>
        <v>-1.8090799240462641E-2</v>
      </c>
      <c r="AM175" s="132">
        <v>45550</v>
      </c>
      <c r="AN175" s="197">
        <v>1991.7</v>
      </c>
      <c r="AO175" s="55">
        <f t="shared" si="66"/>
        <v>-0.10768127954122897</v>
      </c>
    </row>
    <row r="176" spans="3:41">
      <c r="C176" s="132">
        <v>45543</v>
      </c>
      <c r="D176">
        <v>25356.5</v>
      </c>
      <c r="E176" s="55">
        <f t="shared" si="64"/>
        <v>-1.684505611464493E-2</v>
      </c>
      <c r="G176" s="132">
        <v>45543</v>
      </c>
      <c r="H176">
        <v>826.65</v>
      </c>
      <c r="I176" s="55">
        <f t="shared" si="57"/>
        <v>1.367259350091965E-2</v>
      </c>
      <c r="K176" s="132">
        <v>45543</v>
      </c>
      <c r="L176">
        <v>660.1</v>
      </c>
      <c r="M176" s="55">
        <f t="shared" si="58"/>
        <v>2.4045919950356875E-2</v>
      </c>
      <c r="O176" s="132">
        <v>45543</v>
      </c>
      <c r="P176" s="197">
        <v>2784.35</v>
      </c>
      <c r="Q176" s="55">
        <f t="shared" si="59"/>
        <v>3.961542051712863E-2</v>
      </c>
      <c r="S176" s="132">
        <v>45543</v>
      </c>
      <c r="T176">
        <v>490.3</v>
      </c>
      <c r="U176" s="55">
        <f t="shared" si="60"/>
        <v>-5.1277089783281604E-2</v>
      </c>
      <c r="W176" s="132">
        <v>45543</v>
      </c>
      <c r="X176" s="197">
        <v>2466.4</v>
      </c>
      <c r="Y176" s="55">
        <f t="shared" si="65"/>
        <v>1.9299913212381892E-2</v>
      </c>
      <c r="AA176" s="132">
        <v>45543</v>
      </c>
      <c r="AB176">
        <v>96.15</v>
      </c>
      <c r="AC176" s="55">
        <f t="shared" si="61"/>
        <v>2.4616368286445089E-2</v>
      </c>
      <c r="AE176" s="132">
        <v>45543</v>
      </c>
      <c r="AF176">
        <v>42.65</v>
      </c>
      <c r="AG176" s="55">
        <f t="shared" si="62"/>
        <v>4.9481621112159591E-3</v>
      </c>
      <c r="AI176" s="132">
        <v>45543</v>
      </c>
      <c r="AJ176">
        <v>2930.9</v>
      </c>
      <c r="AK176" s="55">
        <f t="shared" si="63"/>
        <v>3.0519320698990882E-2</v>
      </c>
      <c r="AM176" s="132">
        <v>45543</v>
      </c>
      <c r="AN176" s="197">
        <v>2047.6</v>
      </c>
      <c r="AO176" s="55">
        <f t="shared" si="66"/>
        <v>2.8066475874880759E-2</v>
      </c>
    </row>
    <row r="177" spans="3:41">
      <c r="C177" s="132">
        <v>45536</v>
      </c>
      <c r="D177">
        <v>24852.15</v>
      </c>
      <c r="E177" s="55">
        <f t="shared" si="64"/>
        <v>-1.9890363417664036E-2</v>
      </c>
      <c r="G177" s="132">
        <v>45536</v>
      </c>
      <c r="H177">
        <v>773.15</v>
      </c>
      <c r="I177" s="55">
        <f t="shared" si="57"/>
        <v>-6.4719046754974863E-2</v>
      </c>
      <c r="K177" s="132">
        <v>45536</v>
      </c>
      <c r="L177">
        <v>680.55</v>
      </c>
      <c r="M177" s="55">
        <f t="shared" si="58"/>
        <v>3.0980154522042058E-2</v>
      </c>
      <c r="O177" s="132">
        <v>45536</v>
      </c>
      <c r="P177" s="197">
        <v>2692.85</v>
      </c>
      <c r="Q177" s="55">
        <f t="shared" si="59"/>
        <v>-3.2862247921417898E-2</v>
      </c>
      <c r="S177" s="132">
        <v>45536</v>
      </c>
      <c r="T177">
        <v>500.45</v>
      </c>
      <c r="U177" s="55">
        <f t="shared" si="60"/>
        <v>2.0701611258413077E-2</v>
      </c>
      <c r="W177" s="132">
        <v>45536</v>
      </c>
      <c r="X177" s="197">
        <v>2509.0500000000002</v>
      </c>
      <c r="Y177" s="55">
        <f t="shared" si="65"/>
        <v>1.7292409990269153E-2</v>
      </c>
      <c r="AA177" s="132">
        <v>45536</v>
      </c>
      <c r="AB177">
        <v>96.72</v>
      </c>
      <c r="AC177" s="55">
        <f t="shared" si="61"/>
        <v>5.9282371294850922E-3</v>
      </c>
      <c r="AE177" s="132">
        <v>45536</v>
      </c>
      <c r="AF177">
        <v>43.13</v>
      </c>
      <c r="AG177" s="55">
        <f t="shared" si="62"/>
        <v>1.1254396248534748E-2</v>
      </c>
      <c r="AI177" s="132">
        <v>45536</v>
      </c>
      <c r="AJ177">
        <v>2929.1</v>
      </c>
      <c r="AK177" s="55">
        <f t="shared" si="63"/>
        <v>-6.1414582551444497E-4</v>
      </c>
      <c r="AM177" s="132">
        <v>45536</v>
      </c>
      <c r="AN177" s="197">
        <v>1842.35</v>
      </c>
      <c r="AO177" s="55">
        <f t="shared" si="66"/>
        <v>-0.10023930455167029</v>
      </c>
    </row>
    <row r="178" spans="3:41">
      <c r="C178" s="132">
        <v>45529</v>
      </c>
      <c r="D178">
        <v>25235.9</v>
      </c>
      <c r="E178" s="55">
        <f t="shared" si="64"/>
        <v>1.544131996628062E-2</v>
      </c>
      <c r="G178" s="132">
        <v>45529</v>
      </c>
      <c r="H178">
        <v>757.61</v>
      </c>
      <c r="I178" s="55">
        <f t="shared" si="57"/>
        <v>-2.0099592575826164E-2</v>
      </c>
      <c r="K178" s="132">
        <v>45529</v>
      </c>
      <c r="L178">
        <v>683.5</v>
      </c>
      <c r="M178" s="55">
        <f t="shared" si="58"/>
        <v>4.3347292630961931E-3</v>
      </c>
      <c r="O178" s="132">
        <v>45529</v>
      </c>
      <c r="P178" s="197">
        <v>2698.85</v>
      </c>
      <c r="Q178" s="55">
        <f t="shared" si="59"/>
        <v>2.2281226210150162E-3</v>
      </c>
      <c r="S178" s="132">
        <v>45529</v>
      </c>
      <c r="T178">
        <v>502.3</v>
      </c>
      <c r="U178" s="55">
        <f t="shared" si="60"/>
        <v>3.6966729943050947E-3</v>
      </c>
      <c r="W178" s="132">
        <v>45529</v>
      </c>
      <c r="X178" s="197">
        <v>2564.6</v>
      </c>
      <c r="Y178" s="55">
        <f t="shared" si="65"/>
        <v>2.2139853729499004E-2</v>
      </c>
      <c r="AA178" s="132">
        <v>45529</v>
      </c>
      <c r="AB178">
        <v>96.25</v>
      </c>
      <c r="AC178" s="55">
        <f t="shared" si="61"/>
        <v>-4.8593879239040572E-3</v>
      </c>
      <c r="AE178" s="132">
        <v>45529</v>
      </c>
      <c r="AF178">
        <v>41.59</v>
      </c>
      <c r="AG178" s="55">
        <f t="shared" si="62"/>
        <v>-3.5706005100857863E-2</v>
      </c>
      <c r="AI178" s="132">
        <v>45529</v>
      </c>
      <c r="AJ178">
        <v>2911.05</v>
      </c>
      <c r="AK178" s="55">
        <f t="shared" si="63"/>
        <v>-6.1623024137106297E-3</v>
      </c>
      <c r="AM178" s="132">
        <v>45529</v>
      </c>
      <c r="AN178" s="197">
        <v>1860.55</v>
      </c>
      <c r="AO178" s="55">
        <f t="shared" si="66"/>
        <v>9.8786875457974599E-3</v>
      </c>
    </row>
    <row r="179" spans="3:41">
      <c r="C179" s="132">
        <v>45522</v>
      </c>
      <c r="D179">
        <v>24823.15</v>
      </c>
      <c r="E179" s="55">
        <f t="shared" si="64"/>
        <v>-1.6355667917530181E-2</v>
      </c>
      <c r="G179" s="132">
        <v>45522</v>
      </c>
      <c r="H179">
        <v>760.02</v>
      </c>
      <c r="I179" s="55">
        <f t="shared" si="57"/>
        <v>3.1810562162590816E-3</v>
      </c>
      <c r="K179" s="132">
        <v>45522</v>
      </c>
      <c r="L179">
        <v>666.85</v>
      </c>
      <c r="M179" s="55">
        <f t="shared" si="58"/>
        <v>-2.4359912216532553E-2</v>
      </c>
      <c r="O179" s="132">
        <v>45522</v>
      </c>
      <c r="P179" s="197">
        <v>2748.55</v>
      </c>
      <c r="Q179" s="55">
        <f t="shared" si="59"/>
        <v>1.8415250940215344E-2</v>
      </c>
      <c r="S179" s="132">
        <v>45522</v>
      </c>
      <c r="T179">
        <v>494</v>
      </c>
      <c r="U179" s="55">
        <f t="shared" si="60"/>
        <v>-1.6523989647620918E-2</v>
      </c>
      <c r="W179" s="132">
        <v>45522</v>
      </c>
      <c r="X179" s="197">
        <v>2490.65</v>
      </c>
      <c r="Y179" s="55">
        <f t="shared" si="65"/>
        <v>-2.8834906028230467E-2</v>
      </c>
      <c r="AA179" s="132">
        <v>45522</v>
      </c>
      <c r="AB179">
        <v>98.75</v>
      </c>
      <c r="AC179" s="55">
        <f t="shared" si="61"/>
        <v>2.5974025974025983E-2</v>
      </c>
      <c r="AE179" s="132">
        <v>45522</v>
      </c>
      <c r="AF179">
        <v>40.97</v>
      </c>
      <c r="AG179" s="55">
        <f t="shared" si="62"/>
        <v>-1.4907429670593997E-2</v>
      </c>
      <c r="AI179" s="132">
        <v>45522</v>
      </c>
      <c r="AJ179">
        <v>2821.05</v>
      </c>
      <c r="AK179" s="55">
        <f t="shared" si="63"/>
        <v>-3.0916679548616433E-2</v>
      </c>
      <c r="AM179" s="132">
        <v>45522</v>
      </c>
      <c r="AN179" s="197">
        <v>1943.75</v>
      </c>
      <c r="AO179" s="55">
        <f t="shared" si="66"/>
        <v>4.4717959743086677E-2</v>
      </c>
    </row>
    <row r="180" spans="3:41">
      <c r="C180" s="132">
        <v>45515</v>
      </c>
      <c r="D180">
        <v>24541.15</v>
      </c>
      <c r="E180" s="55">
        <f t="shared" si="64"/>
        <v>-1.1360363209342861E-2</v>
      </c>
      <c r="G180" s="132">
        <v>45515</v>
      </c>
      <c r="H180">
        <v>708.79</v>
      </c>
      <c r="I180" s="55">
        <f t="shared" si="57"/>
        <v>-6.740612089155551E-2</v>
      </c>
      <c r="K180" s="132">
        <v>45515</v>
      </c>
      <c r="L180">
        <v>650.6</v>
      </c>
      <c r="M180" s="55">
        <f t="shared" si="58"/>
        <v>-2.4368298717852621E-2</v>
      </c>
      <c r="O180" s="132">
        <v>45515</v>
      </c>
      <c r="P180" s="197">
        <v>2600.35</v>
      </c>
      <c r="Q180" s="55">
        <f t="shared" si="59"/>
        <v>-5.391933928798831E-2</v>
      </c>
      <c r="S180" s="132">
        <v>45515</v>
      </c>
      <c r="T180">
        <v>493.95</v>
      </c>
      <c r="U180" s="55">
        <f t="shared" si="60"/>
        <v>-1.0121457489875585E-4</v>
      </c>
      <c r="W180" s="132">
        <v>45515</v>
      </c>
      <c r="X180" s="197">
        <v>2481.1999999999998</v>
      </c>
      <c r="Y180" s="55">
        <f t="shared" si="65"/>
        <v>-3.7941902716159825E-3</v>
      </c>
      <c r="AA180" s="132">
        <v>45515</v>
      </c>
      <c r="AB180">
        <v>97.05</v>
      </c>
      <c r="AC180" s="55">
        <f t="shared" si="61"/>
        <v>-1.7215189873417747E-2</v>
      </c>
      <c r="AE180" s="132">
        <v>45515</v>
      </c>
      <c r="AF180">
        <v>39.64</v>
      </c>
      <c r="AG180" s="55">
        <f t="shared" si="62"/>
        <v>-3.2462777642177199E-2</v>
      </c>
      <c r="AI180" s="132">
        <v>45515</v>
      </c>
      <c r="AJ180">
        <v>2900.8</v>
      </c>
      <c r="AK180" s="55">
        <f t="shared" si="63"/>
        <v>2.8269615923149249E-2</v>
      </c>
      <c r="AM180" s="132">
        <v>45515</v>
      </c>
      <c r="AN180" s="197">
        <v>1835.9</v>
      </c>
      <c r="AO180" s="55">
        <f t="shared" si="66"/>
        <v>-5.5485530546623751E-2</v>
      </c>
    </row>
    <row r="181" spans="3:41">
      <c r="C181" s="132">
        <v>45508</v>
      </c>
      <c r="D181">
        <v>24367.5</v>
      </c>
      <c r="E181" s="55">
        <f t="shared" si="64"/>
        <v>-7.0758705276647849E-3</v>
      </c>
      <c r="G181" s="132">
        <v>45508</v>
      </c>
      <c r="H181">
        <v>732.34</v>
      </c>
      <c r="I181" s="55">
        <f t="shared" si="57"/>
        <v>3.3225638059227736E-2</v>
      </c>
      <c r="K181" s="132">
        <v>45508</v>
      </c>
      <c r="L181">
        <v>667.1</v>
      </c>
      <c r="M181" s="55">
        <f t="shared" si="58"/>
        <v>2.536120504150019E-2</v>
      </c>
      <c r="O181" s="132">
        <v>45508</v>
      </c>
      <c r="P181" s="197">
        <v>2572.75</v>
      </c>
      <c r="Q181" s="55">
        <f t="shared" si="59"/>
        <v>-1.0613955813640441E-2</v>
      </c>
      <c r="S181" s="132">
        <v>45508</v>
      </c>
      <c r="T181">
        <v>518.6</v>
      </c>
      <c r="U181" s="55">
        <f t="shared" si="60"/>
        <v>4.9903836420690517E-2</v>
      </c>
      <c r="W181" s="132">
        <v>45508</v>
      </c>
      <c r="X181" s="197">
        <v>2553.65</v>
      </c>
      <c r="Y181" s="55">
        <f t="shared" si="65"/>
        <v>2.9199580847976803E-2</v>
      </c>
      <c r="AA181" s="132">
        <v>45508</v>
      </c>
      <c r="AB181">
        <v>95.85</v>
      </c>
      <c r="AC181" s="55">
        <f t="shared" si="61"/>
        <v>-1.2364760432766686E-2</v>
      </c>
      <c r="AE181" s="132">
        <v>45508</v>
      </c>
      <c r="AF181">
        <v>44.27</v>
      </c>
      <c r="AG181" s="55">
        <f t="shared" si="62"/>
        <v>0.11680121089808271</v>
      </c>
      <c r="AI181" s="132">
        <v>45508</v>
      </c>
      <c r="AJ181">
        <v>3076.35</v>
      </c>
      <c r="AK181" s="55">
        <f t="shared" si="63"/>
        <v>6.0517788196359446E-2</v>
      </c>
      <c r="AM181" s="132">
        <v>45508</v>
      </c>
      <c r="AN181" s="197">
        <v>1934.95</v>
      </c>
      <c r="AO181" s="55">
        <f t="shared" si="66"/>
        <v>5.395174029086558E-2</v>
      </c>
    </row>
    <row r="182" spans="3:41">
      <c r="C182" s="132">
        <v>45501</v>
      </c>
      <c r="D182">
        <v>24717.7</v>
      </c>
      <c r="E182" s="55">
        <f t="shared" si="64"/>
        <v>1.4371601518415877E-2</v>
      </c>
      <c r="G182" s="132">
        <v>45501</v>
      </c>
      <c r="H182">
        <v>773.05</v>
      </c>
      <c r="I182" s="55">
        <f t="shared" si="57"/>
        <v>5.558893410164667E-2</v>
      </c>
      <c r="K182" s="132">
        <v>45501</v>
      </c>
      <c r="L182">
        <v>679.45</v>
      </c>
      <c r="M182" s="55">
        <f t="shared" si="58"/>
        <v>1.8512966571728517E-2</v>
      </c>
      <c r="O182" s="132">
        <v>45501</v>
      </c>
      <c r="P182" s="197">
        <v>2706.8</v>
      </c>
      <c r="Q182" s="55">
        <f t="shared" si="59"/>
        <v>5.2103780001943489E-2</v>
      </c>
      <c r="S182" s="132">
        <v>45501</v>
      </c>
      <c r="T182">
        <v>550.04999999999995</v>
      </c>
      <c r="U182" s="55">
        <f t="shared" si="60"/>
        <v>6.0644041650597558E-2</v>
      </c>
      <c r="W182" s="132">
        <v>45501</v>
      </c>
      <c r="X182" s="197">
        <v>2522.8000000000002</v>
      </c>
      <c r="Y182" s="55">
        <f t="shared" si="65"/>
        <v>-1.2080747165821415E-2</v>
      </c>
      <c r="AA182" s="132">
        <v>45501</v>
      </c>
      <c r="AB182">
        <v>100.2</v>
      </c>
      <c r="AC182" s="55">
        <f t="shared" si="61"/>
        <v>4.5383411580594668E-2</v>
      </c>
      <c r="AE182" s="132">
        <v>45501</v>
      </c>
      <c r="AF182">
        <v>41.51</v>
      </c>
      <c r="AG182" s="55">
        <f t="shared" si="62"/>
        <v>-6.2344702959114651E-2</v>
      </c>
      <c r="AI182" s="132">
        <v>45501</v>
      </c>
      <c r="AJ182">
        <v>3095.95</v>
      </c>
      <c r="AK182" s="55">
        <f t="shared" si="63"/>
        <v>6.3711866335105505E-3</v>
      </c>
      <c r="AM182" s="132">
        <v>45501</v>
      </c>
      <c r="AN182" s="197">
        <v>1829.55</v>
      </c>
      <c r="AO182" s="55">
        <f t="shared" si="66"/>
        <v>-5.4471691774981346E-2</v>
      </c>
    </row>
    <row r="183" spans="3:41">
      <c r="C183" s="132">
        <v>45494</v>
      </c>
      <c r="D183">
        <v>24834.85</v>
      </c>
      <c r="E183" s="55">
        <f t="shared" si="64"/>
        <v>4.7395186445340354E-3</v>
      </c>
      <c r="G183" s="132">
        <v>45494</v>
      </c>
      <c r="H183">
        <v>772.36</v>
      </c>
      <c r="I183" s="55">
        <f t="shared" si="57"/>
        <v>-8.9256839790430309E-4</v>
      </c>
      <c r="K183" s="132">
        <v>45494</v>
      </c>
      <c r="L183">
        <v>683</v>
      </c>
      <c r="M183" s="55">
        <f t="shared" si="58"/>
        <v>5.2248141879460697E-3</v>
      </c>
      <c r="O183" s="132">
        <v>45494</v>
      </c>
      <c r="P183" s="197">
        <v>2843.3</v>
      </c>
      <c r="Q183" s="55">
        <f t="shared" si="59"/>
        <v>5.0428550317718424E-2</v>
      </c>
      <c r="S183" s="132">
        <v>45494</v>
      </c>
      <c r="T183">
        <v>525.45000000000005</v>
      </c>
      <c r="U183" s="55">
        <f t="shared" si="60"/>
        <v>-4.4723206981183372E-2</v>
      </c>
      <c r="W183" s="132">
        <v>45494</v>
      </c>
      <c r="X183" s="197">
        <v>2456.15</v>
      </c>
      <c r="Y183" s="55">
        <f t="shared" si="65"/>
        <v>-2.6419058189313449E-2</v>
      </c>
      <c r="AA183" s="132">
        <v>45494</v>
      </c>
      <c r="AB183">
        <v>101.94</v>
      </c>
      <c r="AC183" s="55">
        <f t="shared" si="61"/>
        <v>1.7365269461077748E-2</v>
      </c>
      <c r="AE183" s="132">
        <v>45494</v>
      </c>
      <c r="AF183">
        <v>38.03</v>
      </c>
      <c r="AG183" s="55">
        <f t="shared" si="62"/>
        <v>-8.3835220428812307E-2</v>
      </c>
      <c r="AI183" s="132">
        <v>45494</v>
      </c>
      <c r="AJ183">
        <v>2919.9</v>
      </c>
      <c r="AK183" s="55">
        <f t="shared" si="63"/>
        <v>-5.6864613446599543E-2</v>
      </c>
      <c r="AM183" s="132">
        <v>45494</v>
      </c>
      <c r="AN183" s="197">
        <v>1687.35</v>
      </c>
      <c r="AO183" s="55">
        <f t="shared" si="66"/>
        <v>-7.7724030499303098E-2</v>
      </c>
    </row>
    <row r="184" spans="3:41">
      <c r="C184" s="132">
        <v>45487</v>
      </c>
      <c r="D184">
        <v>24530.9</v>
      </c>
      <c r="E184" s="55">
        <f t="shared" si="64"/>
        <v>-1.2238849842056476E-2</v>
      </c>
      <c r="G184" s="132">
        <v>45487</v>
      </c>
      <c r="H184">
        <v>756.58</v>
      </c>
      <c r="I184" s="55">
        <f t="shared" si="57"/>
        <v>-2.0430887151069443E-2</v>
      </c>
      <c r="K184" s="132">
        <v>45487</v>
      </c>
      <c r="L184">
        <v>664.15</v>
      </c>
      <c r="M184" s="55">
        <f t="shared" si="58"/>
        <v>-2.7598828696925315E-2</v>
      </c>
      <c r="O184" s="132">
        <v>45487</v>
      </c>
      <c r="P184" s="197">
        <v>2743</v>
      </c>
      <c r="Q184" s="55">
        <f t="shared" si="59"/>
        <v>-3.5275911792635339E-2</v>
      </c>
      <c r="S184" s="132">
        <v>45487</v>
      </c>
      <c r="T184">
        <v>503.8</v>
      </c>
      <c r="U184" s="55">
        <f t="shared" si="60"/>
        <v>-4.1202778570748944E-2</v>
      </c>
      <c r="W184" s="132">
        <v>45487</v>
      </c>
      <c r="X184" s="197">
        <v>2342.6</v>
      </c>
      <c r="Y184" s="55">
        <f t="shared" si="65"/>
        <v>-4.6230889807218678E-2</v>
      </c>
      <c r="AA184" s="132">
        <v>45487</v>
      </c>
      <c r="AB184">
        <v>92.93</v>
      </c>
      <c r="AC184" s="55">
        <f t="shared" si="61"/>
        <v>-8.8385324700804291E-2</v>
      </c>
      <c r="AE184" s="132">
        <v>45487</v>
      </c>
      <c r="AF184">
        <v>36.380000000000003</v>
      </c>
      <c r="AG184" s="55">
        <f t="shared" si="62"/>
        <v>-4.3386799894819861E-2</v>
      </c>
      <c r="AI184" s="132">
        <v>45487</v>
      </c>
      <c r="AJ184">
        <v>2792.75</v>
      </c>
      <c r="AK184" s="55">
        <f t="shared" si="63"/>
        <v>-4.3546011849720956E-2</v>
      </c>
      <c r="AM184" s="132">
        <v>45487</v>
      </c>
      <c r="AN184" s="197">
        <v>1414.85</v>
      </c>
      <c r="AO184" s="55">
        <f t="shared" si="66"/>
        <v>-0.16149583666696299</v>
      </c>
    </row>
    <row r="185" spans="3:41">
      <c r="C185" s="132">
        <v>45480</v>
      </c>
      <c r="D185">
        <v>24502.15</v>
      </c>
      <c r="E185" s="55">
        <f t="shared" si="64"/>
        <v>-1.1719912436967128E-3</v>
      </c>
      <c r="G185" s="132">
        <v>45480</v>
      </c>
      <c r="H185">
        <v>765.14</v>
      </c>
      <c r="I185" s="55">
        <f t="shared" si="57"/>
        <v>1.1314071215205113E-2</v>
      </c>
      <c r="K185" s="132">
        <v>45480</v>
      </c>
      <c r="L185">
        <v>685.95</v>
      </c>
      <c r="M185" s="55">
        <f t="shared" si="58"/>
        <v>3.2823910261236211E-2</v>
      </c>
      <c r="O185" s="132">
        <v>45480</v>
      </c>
      <c r="P185" s="197">
        <v>2843.75</v>
      </c>
      <c r="Q185" s="55">
        <f t="shared" si="59"/>
        <v>3.6729857819905121E-2</v>
      </c>
      <c r="S185" s="132">
        <v>45480</v>
      </c>
      <c r="T185">
        <v>533.29999999999995</v>
      </c>
      <c r="U185" s="55">
        <f t="shared" si="60"/>
        <v>5.8554982135768041E-2</v>
      </c>
      <c r="W185" s="132">
        <v>45480</v>
      </c>
      <c r="X185" s="197">
        <v>2390.25</v>
      </c>
      <c r="Y185" s="55">
        <f t="shared" si="65"/>
        <v>2.0340647144198698E-2</v>
      </c>
      <c r="AA185" s="132">
        <v>45480</v>
      </c>
      <c r="AB185">
        <v>87.04</v>
      </c>
      <c r="AC185" s="55">
        <f t="shared" si="61"/>
        <v>-6.338103949209084E-2</v>
      </c>
      <c r="AE185" s="132">
        <v>45480</v>
      </c>
      <c r="AF185">
        <v>37.94</v>
      </c>
      <c r="AG185" s="55">
        <f t="shared" si="62"/>
        <v>4.2880703683342292E-2</v>
      </c>
      <c r="AI185" s="132">
        <v>45480</v>
      </c>
      <c r="AJ185">
        <v>2774.6</v>
      </c>
      <c r="AK185" s="55">
        <f t="shared" si="63"/>
        <v>-6.4989705487422667E-3</v>
      </c>
      <c r="AM185" s="132">
        <v>45480</v>
      </c>
      <c r="AN185" s="197">
        <v>1458.1</v>
      </c>
      <c r="AO185" s="55">
        <f t="shared" si="66"/>
        <v>3.0568611513587918E-2</v>
      </c>
    </row>
    <row r="186" spans="3:41">
      <c r="C186" s="132">
        <v>45473</v>
      </c>
      <c r="D186">
        <v>24323.85</v>
      </c>
      <c r="E186" s="55">
        <f t="shared" si="64"/>
        <v>-7.2769124342150215E-3</v>
      </c>
      <c r="G186" s="132">
        <v>45473</v>
      </c>
      <c r="H186">
        <v>766.32</v>
      </c>
      <c r="I186" s="55">
        <f t="shared" si="57"/>
        <v>1.5422014271899709E-3</v>
      </c>
      <c r="K186" s="132">
        <v>45473</v>
      </c>
      <c r="L186">
        <v>714.1</v>
      </c>
      <c r="M186" s="55">
        <f t="shared" si="58"/>
        <v>4.103797652890151E-2</v>
      </c>
      <c r="O186" s="132">
        <v>45473</v>
      </c>
      <c r="P186" s="197">
        <v>2748</v>
      </c>
      <c r="Q186" s="55">
        <f t="shared" si="59"/>
        <v>-3.3670329670329679E-2</v>
      </c>
      <c r="S186" s="132">
        <v>45473</v>
      </c>
      <c r="T186">
        <v>550.04999999999995</v>
      </c>
      <c r="U186" s="55">
        <f t="shared" si="60"/>
        <v>3.1408213013313313E-2</v>
      </c>
      <c r="W186" s="132">
        <v>45473</v>
      </c>
      <c r="X186" s="197">
        <v>2400.75</v>
      </c>
      <c r="Y186" s="55">
        <f t="shared" si="65"/>
        <v>4.3928459366175954E-3</v>
      </c>
      <c r="AA186" s="132">
        <v>45473</v>
      </c>
      <c r="AB186">
        <v>89.36</v>
      </c>
      <c r="AC186" s="55">
        <f t="shared" si="61"/>
        <v>2.6654411764705843E-2</v>
      </c>
      <c r="AE186" s="132">
        <v>45473</v>
      </c>
      <c r="AF186">
        <v>38.770000000000003</v>
      </c>
      <c r="AG186" s="55">
        <f t="shared" si="62"/>
        <v>2.1876647337902178E-2</v>
      </c>
      <c r="AI186" s="132">
        <v>45473</v>
      </c>
      <c r="AJ186">
        <v>2687.8</v>
      </c>
      <c r="AK186" s="55">
        <f t="shared" si="63"/>
        <v>-3.1283788654220324E-2</v>
      </c>
      <c r="AM186" s="132">
        <v>45473</v>
      </c>
      <c r="AN186" s="197">
        <v>1532.05</v>
      </c>
      <c r="AO186" s="55">
        <f t="shared" si="66"/>
        <v>5.071668609834723E-2</v>
      </c>
    </row>
    <row r="187" spans="3:41">
      <c r="C187" s="132">
        <v>45466</v>
      </c>
      <c r="D187">
        <v>24010.6</v>
      </c>
      <c r="E187" s="55">
        <f t="shared" si="64"/>
        <v>-1.2878306682535867E-2</v>
      </c>
      <c r="G187" s="132">
        <v>45466</v>
      </c>
      <c r="H187">
        <v>757.47</v>
      </c>
      <c r="I187" s="55">
        <f t="shared" si="57"/>
        <v>-1.1548700281866608E-2</v>
      </c>
      <c r="K187" s="132">
        <v>45466</v>
      </c>
      <c r="L187">
        <v>710.5</v>
      </c>
      <c r="M187" s="55">
        <f t="shared" si="58"/>
        <v>-5.041310740792615E-3</v>
      </c>
      <c r="O187" s="132">
        <v>45466</v>
      </c>
      <c r="P187" s="197">
        <v>2670.45</v>
      </c>
      <c r="Q187" s="55">
        <f t="shared" si="59"/>
        <v>-2.822052401746733E-2</v>
      </c>
      <c r="S187" s="132">
        <v>45466</v>
      </c>
      <c r="T187">
        <v>533.5</v>
      </c>
      <c r="U187" s="55">
        <f t="shared" si="60"/>
        <v>-3.008817380238149E-2</v>
      </c>
      <c r="W187" s="132">
        <v>45466</v>
      </c>
      <c r="X187" s="197">
        <v>2436.0500000000002</v>
      </c>
      <c r="Y187" s="55">
        <f t="shared" si="65"/>
        <v>1.4703738415078771E-2</v>
      </c>
      <c r="AA187" s="132">
        <v>45466</v>
      </c>
      <c r="AB187">
        <v>89.31</v>
      </c>
      <c r="AC187" s="55">
        <f t="shared" si="61"/>
        <v>-5.5953446732315282E-4</v>
      </c>
      <c r="AE187" s="132">
        <v>45466</v>
      </c>
      <c r="AF187">
        <v>38.770000000000003</v>
      </c>
      <c r="AG187" s="55">
        <f t="shared" si="62"/>
        <v>0</v>
      </c>
      <c r="AI187" s="132">
        <v>45466</v>
      </c>
      <c r="AJ187">
        <v>2501.9499999999998</v>
      </c>
      <c r="AK187" s="55">
        <f t="shared" si="63"/>
        <v>-6.9145769774536903E-2</v>
      </c>
      <c r="AM187" s="132">
        <v>45466</v>
      </c>
      <c r="AN187" s="197">
        <v>1324.85</v>
      </c>
      <c r="AO187" s="55">
        <f t="shared" si="66"/>
        <v>-0.1352436278189354</v>
      </c>
    </row>
    <row r="188" spans="3:41">
      <c r="C188" s="132">
        <v>45459</v>
      </c>
      <c r="D188">
        <v>23501.1</v>
      </c>
      <c r="E188" s="55">
        <f t="shared" si="64"/>
        <v>-2.1219794590722429E-2</v>
      </c>
      <c r="G188" s="132">
        <v>45459</v>
      </c>
      <c r="H188">
        <v>775.32</v>
      </c>
      <c r="I188" s="55">
        <f t="shared" si="57"/>
        <v>2.3565289714444271E-2</v>
      </c>
      <c r="K188" s="132">
        <v>45459</v>
      </c>
      <c r="L188">
        <v>715.85</v>
      </c>
      <c r="M188" s="55">
        <f t="shared" si="58"/>
        <v>7.5299085151301348E-3</v>
      </c>
      <c r="O188" s="132">
        <v>45459</v>
      </c>
      <c r="P188" s="197">
        <v>2466.15</v>
      </c>
      <c r="Q188" s="55">
        <f t="shared" si="59"/>
        <v>-7.6503960006740312E-2</v>
      </c>
      <c r="S188" s="132">
        <v>45459</v>
      </c>
      <c r="T188">
        <v>561.25</v>
      </c>
      <c r="U188" s="55">
        <f t="shared" si="60"/>
        <v>5.2014995313964363E-2</v>
      </c>
      <c r="W188" s="132">
        <v>45459</v>
      </c>
      <c r="X188" s="197">
        <v>2460.0500000000002</v>
      </c>
      <c r="Y188" s="55">
        <f t="shared" si="65"/>
        <v>9.8520145317213537E-3</v>
      </c>
      <c r="AA188" s="132">
        <v>45459</v>
      </c>
      <c r="AB188">
        <v>91.83</v>
      </c>
      <c r="AC188" s="55">
        <f t="shared" si="61"/>
        <v>2.8216325159556632E-2</v>
      </c>
      <c r="AE188" s="132">
        <v>45459</v>
      </c>
      <c r="AF188">
        <v>40.229999999999997</v>
      </c>
      <c r="AG188" s="55">
        <f t="shared" si="62"/>
        <v>3.7657982976528004E-2</v>
      </c>
      <c r="AI188" s="132">
        <v>45459</v>
      </c>
      <c r="AJ188">
        <v>2545.9499999999998</v>
      </c>
      <c r="AK188" s="55">
        <f t="shared" si="63"/>
        <v>1.758628269949436E-2</v>
      </c>
      <c r="AM188" s="132">
        <v>45459</v>
      </c>
      <c r="AN188" s="197">
        <v>1385.65</v>
      </c>
      <c r="AO188" s="55">
        <f t="shared" si="66"/>
        <v>4.5891987772200826E-2</v>
      </c>
    </row>
    <row r="189" spans="3:41">
      <c r="C189" s="132">
        <v>45452</v>
      </c>
      <c r="D189">
        <v>23465.599999999999</v>
      </c>
      <c r="E189" s="55">
        <f t="shared" si="64"/>
        <v>-1.5105675904532045E-3</v>
      </c>
      <c r="G189" s="132">
        <v>45452</v>
      </c>
      <c r="H189">
        <v>776</v>
      </c>
      <c r="I189" s="55">
        <f t="shared" si="57"/>
        <v>8.7705721508535284E-4</v>
      </c>
      <c r="K189" s="132">
        <v>45452</v>
      </c>
      <c r="L189">
        <v>683.8</v>
      </c>
      <c r="M189" s="55">
        <f t="shared" si="58"/>
        <v>-4.4771949430746805E-2</v>
      </c>
      <c r="O189" s="132">
        <v>45452</v>
      </c>
      <c r="P189" s="197">
        <v>2471.1999999999998</v>
      </c>
      <c r="Q189" s="55">
        <f t="shared" si="59"/>
        <v>2.047726212922818E-3</v>
      </c>
      <c r="S189" s="132">
        <v>45452</v>
      </c>
      <c r="T189">
        <v>621.5</v>
      </c>
      <c r="U189" s="55">
        <f t="shared" si="60"/>
        <v>0.10734966592427608</v>
      </c>
      <c r="W189" s="132">
        <v>45452</v>
      </c>
      <c r="X189" s="197">
        <v>2402</v>
      </c>
      <c r="Y189" s="55">
        <f t="shared" si="65"/>
        <v>-2.3597081360135053E-2</v>
      </c>
      <c r="AA189" s="132">
        <v>45452</v>
      </c>
      <c r="AB189">
        <v>89.64</v>
      </c>
      <c r="AC189" s="55">
        <f t="shared" si="61"/>
        <v>-2.3848415550473678E-2</v>
      </c>
      <c r="AE189" s="132">
        <v>45452</v>
      </c>
      <c r="AF189">
        <v>40.25</v>
      </c>
      <c r="AG189" s="55">
        <f t="shared" si="62"/>
        <v>4.9714143673873501E-4</v>
      </c>
      <c r="AI189" s="132">
        <v>45452</v>
      </c>
      <c r="AJ189">
        <v>2413.6999999999998</v>
      </c>
      <c r="AK189" s="55">
        <f t="shared" si="63"/>
        <v>-5.1945246371688403E-2</v>
      </c>
      <c r="AM189" s="132">
        <v>45452</v>
      </c>
      <c r="AN189" s="197">
        <v>1335.15</v>
      </c>
      <c r="AO189" s="55">
        <f t="shared" si="66"/>
        <v>-3.6444989716017728E-2</v>
      </c>
    </row>
    <row r="190" spans="3:41">
      <c r="C190" s="132">
        <v>45445</v>
      </c>
      <c r="D190">
        <v>23290.15</v>
      </c>
      <c r="E190" s="55">
        <f t="shared" si="64"/>
        <v>-7.4769023591980677E-3</v>
      </c>
      <c r="G190" s="132">
        <v>45445</v>
      </c>
      <c r="H190">
        <v>730.23</v>
      </c>
      <c r="I190" s="55">
        <f t="shared" si="57"/>
        <v>-5.8981958762886588E-2</v>
      </c>
      <c r="K190" s="132">
        <v>45445</v>
      </c>
      <c r="L190">
        <v>646.35</v>
      </c>
      <c r="M190" s="55">
        <f t="shared" si="58"/>
        <v>-5.4767475870137416E-2</v>
      </c>
      <c r="O190" s="132">
        <v>45445</v>
      </c>
      <c r="P190" s="197">
        <v>2379.85</v>
      </c>
      <c r="Q190" s="55">
        <f t="shared" si="59"/>
        <v>-3.69658465522823E-2</v>
      </c>
      <c r="S190" s="132">
        <v>45445</v>
      </c>
      <c r="T190">
        <v>491.2</v>
      </c>
      <c r="U190" s="55">
        <f t="shared" si="60"/>
        <v>-0.20965406275140785</v>
      </c>
      <c r="W190" s="132">
        <v>45445</v>
      </c>
      <c r="X190" s="197">
        <v>2312.3000000000002</v>
      </c>
      <c r="Y190" s="55">
        <f t="shared" si="65"/>
        <v>-3.7343880099916626E-2</v>
      </c>
      <c r="AA190" s="132">
        <v>45445</v>
      </c>
      <c r="AB190">
        <v>86.26</v>
      </c>
      <c r="AC190" s="55">
        <f t="shared" si="61"/>
        <v>-3.7706381079875007E-2</v>
      </c>
      <c r="AE190" s="132">
        <v>45445</v>
      </c>
      <c r="AF190">
        <v>37.880000000000003</v>
      </c>
      <c r="AG190" s="55">
        <f t="shared" si="62"/>
        <v>-5.8881987577639738E-2</v>
      </c>
      <c r="AI190" s="132">
        <v>45445</v>
      </c>
      <c r="AJ190">
        <v>2282.0500000000002</v>
      </c>
      <c r="AK190" s="55">
        <f t="shared" si="63"/>
        <v>-5.4542818080125843E-2</v>
      </c>
      <c r="AM190" s="132">
        <v>45445</v>
      </c>
      <c r="AN190" s="197">
        <v>1338.45</v>
      </c>
      <c r="AO190" s="55">
        <f t="shared" si="66"/>
        <v>2.471632400853796E-3</v>
      </c>
    </row>
    <row r="191" spans="3:41">
      <c r="C191" s="132">
        <v>45438</v>
      </c>
      <c r="D191">
        <v>22530.7</v>
      </c>
      <c r="E191" s="55">
        <f t="shared" si="64"/>
        <v>-3.2608205614820029E-2</v>
      </c>
      <c r="G191" s="132">
        <v>45438</v>
      </c>
      <c r="H191">
        <v>749.8</v>
      </c>
      <c r="I191" s="55">
        <f t="shared" si="57"/>
        <v>2.6799775413225868E-2</v>
      </c>
      <c r="K191" s="132">
        <v>45438</v>
      </c>
      <c r="L191">
        <v>633.65</v>
      </c>
      <c r="M191" s="55">
        <f t="shared" si="58"/>
        <v>-1.9648797091359249E-2</v>
      </c>
      <c r="O191" s="132">
        <v>45438</v>
      </c>
      <c r="P191" s="197">
        <v>2316.25</v>
      </c>
      <c r="Q191" s="55">
        <f t="shared" si="59"/>
        <v>-2.6724373384877209E-2</v>
      </c>
      <c r="S191" s="132">
        <v>45438</v>
      </c>
      <c r="T191">
        <v>469.95</v>
      </c>
      <c r="U191" s="55">
        <f t="shared" si="60"/>
        <v>-4.3261400651465776E-2</v>
      </c>
      <c r="W191" s="132">
        <v>45438</v>
      </c>
      <c r="X191" s="197">
        <v>2211.35</v>
      </c>
      <c r="Y191" s="55">
        <f t="shared" si="65"/>
        <v>-4.3657829866366904E-2</v>
      </c>
      <c r="AA191" s="132">
        <v>45438</v>
      </c>
      <c r="AB191">
        <v>81.22</v>
      </c>
      <c r="AC191" s="55">
        <f t="shared" si="61"/>
        <v>-5.8428008346858351E-2</v>
      </c>
      <c r="AE191" s="132">
        <v>45438</v>
      </c>
      <c r="AF191">
        <v>37.979999999999997</v>
      </c>
      <c r="AG191" s="55">
        <f t="shared" si="62"/>
        <v>2.6399155227030402E-3</v>
      </c>
      <c r="AI191" s="132">
        <v>45438</v>
      </c>
      <c r="AJ191">
        <v>2191.3000000000002</v>
      </c>
      <c r="AK191" s="55">
        <f t="shared" si="63"/>
        <v>-3.9766876273526042E-2</v>
      </c>
      <c r="AM191" s="132">
        <v>45438</v>
      </c>
      <c r="AN191" s="197">
        <v>1219.7</v>
      </c>
      <c r="AO191" s="55">
        <f t="shared" si="66"/>
        <v>-8.8722029212895515E-2</v>
      </c>
    </row>
    <row r="192" spans="3:41">
      <c r="C192" s="132">
        <v>45431</v>
      </c>
      <c r="D192">
        <v>22957.1</v>
      </c>
      <c r="E192" s="55">
        <f t="shared" si="64"/>
        <v>1.8925288606212787E-2</v>
      </c>
      <c r="G192" s="132">
        <v>45431</v>
      </c>
      <c r="H192">
        <v>786.53</v>
      </c>
      <c r="I192" s="55">
        <f t="shared" si="57"/>
        <v>4.8986396372366015E-2</v>
      </c>
      <c r="K192" s="132">
        <v>45431</v>
      </c>
      <c r="L192">
        <v>656.4</v>
      </c>
      <c r="M192" s="55">
        <f t="shared" si="58"/>
        <v>3.5903101081038447E-2</v>
      </c>
      <c r="O192" s="132">
        <v>45431</v>
      </c>
      <c r="P192" s="197">
        <v>2441</v>
      </c>
      <c r="Q192" s="55">
        <f t="shared" si="59"/>
        <v>5.3858607663248792E-2</v>
      </c>
      <c r="S192" s="132">
        <v>45431</v>
      </c>
      <c r="T192">
        <v>475</v>
      </c>
      <c r="U192" s="55">
        <f t="shared" si="60"/>
        <v>1.0745824023832284E-2</v>
      </c>
      <c r="W192" s="132">
        <v>45431</v>
      </c>
      <c r="X192" s="197">
        <v>2289.1</v>
      </c>
      <c r="Y192" s="55">
        <f t="shared" si="65"/>
        <v>3.5159517941528939E-2</v>
      </c>
      <c r="AA192" s="132">
        <v>45431</v>
      </c>
      <c r="AB192">
        <v>89.8</v>
      </c>
      <c r="AC192" s="55">
        <f t="shared" si="61"/>
        <v>0.10563900517114</v>
      </c>
      <c r="AE192" s="132">
        <v>45431</v>
      </c>
      <c r="AF192">
        <v>40.07</v>
      </c>
      <c r="AG192" s="55">
        <f t="shared" si="62"/>
        <v>5.5028962611901155E-2</v>
      </c>
      <c r="AI192" s="132">
        <v>45431</v>
      </c>
      <c r="AJ192">
        <v>2365.1999999999998</v>
      </c>
      <c r="AK192" s="55">
        <f t="shared" si="63"/>
        <v>7.9359284443024425E-2</v>
      </c>
      <c r="AM192" s="132">
        <v>45431</v>
      </c>
      <c r="AN192" s="197">
        <v>1274.95</v>
      </c>
      <c r="AO192" s="55">
        <f t="shared" si="66"/>
        <v>4.5298024104287959E-2</v>
      </c>
    </row>
    <row r="193" spans="3:41">
      <c r="C193" s="132">
        <v>45424</v>
      </c>
      <c r="D193">
        <v>22466.1</v>
      </c>
      <c r="E193" s="55">
        <f t="shared" si="64"/>
        <v>-2.1387718832082458E-2</v>
      </c>
      <c r="G193" s="132">
        <v>45424</v>
      </c>
      <c r="H193">
        <v>795.67</v>
      </c>
      <c r="I193" s="55">
        <f t="shared" si="57"/>
        <v>1.1620662911776991E-2</v>
      </c>
      <c r="K193" s="132">
        <v>45424</v>
      </c>
      <c r="L193">
        <v>670.65</v>
      </c>
      <c r="M193" s="55">
        <f t="shared" si="58"/>
        <v>2.1709323583180895E-2</v>
      </c>
      <c r="O193" s="132">
        <v>45424</v>
      </c>
      <c r="P193" s="197">
        <v>2423.65</v>
      </c>
      <c r="Q193" s="55">
        <f t="shared" si="59"/>
        <v>-7.1077427283899874E-3</v>
      </c>
      <c r="S193" s="132">
        <v>45424</v>
      </c>
      <c r="T193">
        <v>490.8</v>
      </c>
      <c r="U193" s="55">
        <f t="shared" si="60"/>
        <v>3.3263157894736883E-2</v>
      </c>
      <c r="W193" s="132">
        <v>45424</v>
      </c>
      <c r="X193" s="197">
        <v>2280.35</v>
      </c>
      <c r="Y193" s="55">
        <f t="shared" si="65"/>
        <v>-3.8224629767157348E-3</v>
      </c>
      <c r="AA193" s="132">
        <v>45424</v>
      </c>
      <c r="AB193">
        <v>90.41</v>
      </c>
      <c r="AC193" s="55">
        <f t="shared" si="61"/>
        <v>6.7928730512250013E-3</v>
      </c>
      <c r="AE193" s="132">
        <v>45424</v>
      </c>
      <c r="AF193">
        <v>40.54</v>
      </c>
      <c r="AG193" s="55">
        <f t="shared" si="62"/>
        <v>1.1729473421512315E-2</v>
      </c>
      <c r="AI193" s="132">
        <v>45424</v>
      </c>
      <c r="AJ193">
        <v>2474.65</v>
      </c>
      <c r="AK193" s="55">
        <f t="shared" si="63"/>
        <v>4.627515643497393E-2</v>
      </c>
      <c r="AM193" s="132">
        <v>45424</v>
      </c>
      <c r="AN193" s="197">
        <v>1274.25</v>
      </c>
      <c r="AO193" s="55">
        <f t="shared" si="66"/>
        <v>-5.4904113886822259E-4</v>
      </c>
    </row>
    <row r="194" spans="3:41">
      <c r="C194" s="132">
        <v>45417</v>
      </c>
      <c r="D194">
        <v>22055.200000000001</v>
      </c>
      <c r="E194" s="55">
        <f t="shared" si="64"/>
        <v>-1.8289778822314418E-2</v>
      </c>
      <c r="G194" s="132">
        <v>45417</v>
      </c>
      <c r="H194">
        <v>761.25</v>
      </c>
      <c r="I194" s="55">
        <f t="shared" si="57"/>
        <v>-4.3259140095768256E-2</v>
      </c>
      <c r="K194" s="132">
        <v>45417</v>
      </c>
      <c r="L194">
        <v>645.75</v>
      </c>
      <c r="M194" s="55">
        <f t="shared" si="58"/>
        <v>-3.7128159248490222E-2</v>
      </c>
      <c r="O194" s="132">
        <v>45417</v>
      </c>
      <c r="P194" s="197">
        <v>2377.15</v>
      </c>
      <c r="Q194" s="55">
        <f t="shared" si="59"/>
        <v>-1.9185938563736515E-2</v>
      </c>
      <c r="S194" s="132">
        <v>45417</v>
      </c>
      <c r="T194">
        <v>456.6</v>
      </c>
      <c r="U194" s="55">
        <f t="shared" si="60"/>
        <v>-6.968215158924207E-2</v>
      </c>
      <c r="W194" s="132">
        <v>45417</v>
      </c>
      <c r="X194" s="197">
        <v>2278.0500000000002</v>
      </c>
      <c r="Y194" s="55">
        <f t="shared" si="65"/>
        <v>-1.0086170982523956E-3</v>
      </c>
      <c r="AA194" s="132">
        <v>45417</v>
      </c>
      <c r="AB194">
        <v>90.02</v>
      </c>
      <c r="AC194" s="55">
        <f t="shared" si="61"/>
        <v>-4.3136821148103133E-3</v>
      </c>
      <c r="AE194" s="132">
        <v>45417</v>
      </c>
      <c r="AF194">
        <v>41.62</v>
      </c>
      <c r="AG194" s="55">
        <f t="shared" si="62"/>
        <v>2.6640355204736066E-2</v>
      </c>
      <c r="AI194" s="132">
        <v>45417</v>
      </c>
      <c r="AJ194">
        <v>2494.5500000000002</v>
      </c>
      <c r="AK194" s="55">
        <f t="shared" si="63"/>
        <v>8.0415412280525622E-3</v>
      </c>
      <c r="AM194" s="132">
        <v>45417</v>
      </c>
      <c r="AN194" s="197">
        <v>1278.0999999999999</v>
      </c>
      <c r="AO194" s="55">
        <f t="shared" si="66"/>
        <v>3.0213851285068039E-3</v>
      </c>
    </row>
    <row r="195" spans="3:41">
      <c r="C195" s="132">
        <v>45410</v>
      </c>
      <c r="D195">
        <v>22475.85</v>
      </c>
      <c r="E195" s="55">
        <f t="shared" si="64"/>
        <v>1.9072599659037293E-2</v>
      </c>
      <c r="G195" s="132">
        <v>45410</v>
      </c>
      <c r="H195">
        <v>780.13</v>
      </c>
      <c r="I195" s="55">
        <f t="shared" si="57"/>
        <v>2.4801313628899813E-2</v>
      </c>
      <c r="K195" s="132">
        <v>45410</v>
      </c>
      <c r="L195">
        <v>684.8</v>
      </c>
      <c r="M195" s="55">
        <f t="shared" si="58"/>
        <v>6.0472319008904263E-2</v>
      </c>
      <c r="O195" s="132">
        <v>45410</v>
      </c>
      <c r="P195" s="197">
        <v>2481.35</v>
      </c>
      <c r="Q195" s="55">
        <f t="shared" si="59"/>
        <v>4.3834002902635394E-2</v>
      </c>
      <c r="S195" s="132">
        <v>45410</v>
      </c>
      <c r="T195">
        <v>479.4</v>
      </c>
      <c r="U195" s="55">
        <f t="shared" si="60"/>
        <v>4.993429697766083E-2</v>
      </c>
      <c r="W195" s="132">
        <v>45410</v>
      </c>
      <c r="X195" s="197">
        <v>2567.65</v>
      </c>
      <c r="Y195" s="55">
        <f t="shared" si="65"/>
        <v>0.12712627027501577</v>
      </c>
      <c r="AA195" s="132">
        <v>45410</v>
      </c>
      <c r="AB195">
        <v>93.37</v>
      </c>
      <c r="AC195" s="55">
        <f t="shared" si="61"/>
        <v>3.7213952455010135E-2</v>
      </c>
      <c r="AE195" s="132">
        <v>45410</v>
      </c>
      <c r="AF195">
        <v>45.35</v>
      </c>
      <c r="AG195" s="55">
        <f t="shared" si="62"/>
        <v>8.9620374819798343E-2</v>
      </c>
      <c r="AI195" s="132">
        <v>45410</v>
      </c>
      <c r="AJ195">
        <v>2448.65</v>
      </c>
      <c r="AK195" s="55">
        <f t="shared" si="63"/>
        <v>-1.8400112244693512E-2</v>
      </c>
      <c r="AM195" s="132">
        <v>45410</v>
      </c>
      <c r="AN195" s="197">
        <v>1300.4000000000001</v>
      </c>
      <c r="AO195" s="55">
        <f t="shared" si="66"/>
        <v>1.7447774039590191E-2</v>
      </c>
    </row>
    <row r="196" spans="3:41">
      <c r="C196" s="132">
        <v>45403</v>
      </c>
      <c r="D196">
        <v>22419.95</v>
      </c>
      <c r="E196" s="55">
        <f t="shared" si="64"/>
        <v>-2.4871139467471659E-3</v>
      </c>
      <c r="G196" s="132">
        <v>45403</v>
      </c>
      <c r="H196">
        <v>792.13</v>
      </c>
      <c r="I196" s="55">
        <f t="shared" si="57"/>
        <v>1.5382051709330602E-2</v>
      </c>
      <c r="K196" s="132">
        <v>45403</v>
      </c>
      <c r="L196">
        <v>719.45</v>
      </c>
      <c r="M196" s="55">
        <f t="shared" si="58"/>
        <v>5.0598714953271173E-2</v>
      </c>
      <c r="O196" s="132">
        <v>45403</v>
      </c>
      <c r="P196" s="197">
        <v>2342.4499999999998</v>
      </c>
      <c r="Q196" s="55">
        <f t="shared" si="59"/>
        <v>-5.5977592842605839E-2</v>
      </c>
      <c r="S196" s="132">
        <v>45403</v>
      </c>
      <c r="T196">
        <v>496.5</v>
      </c>
      <c r="U196" s="55">
        <f t="shared" si="60"/>
        <v>3.5669586983729795E-2</v>
      </c>
      <c r="W196" s="132">
        <v>45403</v>
      </c>
      <c r="X196" s="197">
        <v>2640.8</v>
      </c>
      <c r="Y196" s="55">
        <f t="shared" si="65"/>
        <v>2.8489085350417831E-2</v>
      </c>
      <c r="AA196" s="132">
        <v>45403</v>
      </c>
      <c r="AB196">
        <v>96.93</v>
      </c>
      <c r="AC196" s="55">
        <f t="shared" si="61"/>
        <v>3.8127878333511944E-2</v>
      </c>
      <c r="AE196" s="132">
        <v>45403</v>
      </c>
      <c r="AF196">
        <v>45.59</v>
      </c>
      <c r="AG196" s="55">
        <f t="shared" si="62"/>
        <v>5.292171995589845E-3</v>
      </c>
      <c r="AI196" s="132">
        <v>45403</v>
      </c>
      <c r="AJ196">
        <v>2477.0500000000002</v>
      </c>
      <c r="AK196" s="55">
        <f t="shared" si="63"/>
        <v>1.1598227594797228E-2</v>
      </c>
      <c r="AM196" s="132">
        <v>45403</v>
      </c>
      <c r="AN196" s="197">
        <v>1307.2</v>
      </c>
      <c r="AO196" s="55">
        <f t="shared" si="66"/>
        <v>5.2291602583820485E-3</v>
      </c>
    </row>
    <row r="197" spans="3:41">
      <c r="C197" s="132">
        <v>45396</v>
      </c>
      <c r="D197">
        <v>22147</v>
      </c>
      <c r="E197" s="55">
        <f t="shared" si="64"/>
        <v>-1.2174425009868428E-2</v>
      </c>
      <c r="G197" s="132">
        <v>45396</v>
      </c>
      <c r="H197">
        <v>783.08</v>
      </c>
      <c r="I197" s="55">
        <f t="shared" si="57"/>
        <v>-1.1424892378776197E-2</v>
      </c>
      <c r="K197" s="132">
        <v>45396</v>
      </c>
      <c r="L197">
        <v>682.35</v>
      </c>
      <c r="M197" s="55">
        <f t="shared" si="58"/>
        <v>-5.1567169365487553E-2</v>
      </c>
      <c r="O197" s="132">
        <v>45396</v>
      </c>
      <c r="P197" s="197">
        <v>2273.15</v>
      </c>
      <c r="Q197" s="55">
        <f t="shared" si="59"/>
        <v>-2.958440948579466E-2</v>
      </c>
      <c r="S197" s="132">
        <v>45396</v>
      </c>
      <c r="T197">
        <v>479.6</v>
      </c>
      <c r="U197" s="55">
        <f t="shared" si="60"/>
        <v>-3.4038267875125872E-2</v>
      </c>
      <c r="W197" s="132">
        <v>45396</v>
      </c>
      <c r="X197" s="197">
        <v>2529.0500000000002</v>
      </c>
      <c r="Y197" s="55">
        <f t="shared" si="65"/>
        <v>-4.2316722205392288E-2</v>
      </c>
      <c r="AA197" s="132">
        <v>45396</v>
      </c>
      <c r="AB197">
        <v>96.79</v>
      </c>
      <c r="AC197" s="55">
        <f t="shared" si="61"/>
        <v>-1.4443412772103814E-3</v>
      </c>
      <c r="AE197" s="132">
        <v>45396</v>
      </c>
      <c r="AF197">
        <v>44.32</v>
      </c>
      <c r="AG197" s="55">
        <f t="shared" si="62"/>
        <v>-2.7856986181180154E-2</v>
      </c>
      <c r="AI197" s="132">
        <v>45396</v>
      </c>
      <c r="AJ197">
        <v>2271.85</v>
      </c>
      <c r="AK197" s="55">
        <f t="shared" si="63"/>
        <v>-8.2840475565693183E-2</v>
      </c>
      <c r="AM197" s="132">
        <v>45396</v>
      </c>
      <c r="AN197" s="197">
        <v>1319.7</v>
      </c>
      <c r="AO197" s="55">
        <f t="shared" si="66"/>
        <v>9.5624235006119829E-3</v>
      </c>
    </row>
    <row r="198" spans="3:41">
      <c r="C198" s="132">
        <v>45389</v>
      </c>
      <c r="D198">
        <v>22519.4</v>
      </c>
      <c r="E198" s="55">
        <f t="shared" si="64"/>
        <v>1.6814918499119536E-2</v>
      </c>
      <c r="G198" s="132">
        <v>45389</v>
      </c>
      <c r="H198">
        <v>800.05</v>
      </c>
      <c r="I198" s="55">
        <f t="shared" si="57"/>
        <v>2.1670838228533329E-2</v>
      </c>
      <c r="K198" s="132">
        <v>45389</v>
      </c>
      <c r="L198">
        <v>699</v>
      </c>
      <c r="M198" s="55">
        <f t="shared" si="58"/>
        <v>2.4400967245548522E-2</v>
      </c>
      <c r="O198" s="132">
        <v>45389</v>
      </c>
      <c r="P198" s="197">
        <v>2254.0500000000002</v>
      </c>
      <c r="Q198" s="55">
        <f t="shared" si="59"/>
        <v>-8.4024371466906445E-3</v>
      </c>
      <c r="S198" s="132">
        <v>45389</v>
      </c>
      <c r="T198">
        <v>490.6</v>
      </c>
      <c r="U198" s="55">
        <f t="shared" si="60"/>
        <v>2.2935779816513735E-2</v>
      </c>
      <c r="W198" s="132">
        <v>45389</v>
      </c>
      <c r="X198" s="197">
        <v>2632.3</v>
      </c>
      <c r="Y198" s="55">
        <f t="shared" si="65"/>
        <v>4.0825606453015917E-2</v>
      </c>
      <c r="AA198" s="132">
        <v>45389</v>
      </c>
      <c r="AB198">
        <v>98.76</v>
      </c>
      <c r="AC198" s="55">
        <f t="shared" si="61"/>
        <v>2.0353342287426468E-2</v>
      </c>
      <c r="AE198" s="132">
        <v>45389</v>
      </c>
      <c r="AF198">
        <v>42.36</v>
      </c>
      <c r="AG198" s="55">
        <f t="shared" si="62"/>
        <v>-4.4223826714801517E-2</v>
      </c>
      <c r="AI198" s="132">
        <v>45389</v>
      </c>
      <c r="AJ198">
        <v>2316.6999999999998</v>
      </c>
      <c r="AK198" s="55">
        <f t="shared" si="63"/>
        <v>1.9741620265422366E-2</v>
      </c>
      <c r="AM198" s="132">
        <v>45389</v>
      </c>
      <c r="AN198" s="197">
        <v>1309.3</v>
      </c>
      <c r="AO198" s="55">
        <f t="shared" si="66"/>
        <v>-7.8805789194514864E-3</v>
      </c>
    </row>
    <row r="199" spans="3:41">
      <c r="C199" s="132">
        <v>45382</v>
      </c>
      <c r="D199">
        <v>22513.7</v>
      </c>
      <c r="E199" s="55">
        <f t="shared" si="64"/>
        <v>-2.5311509187642134E-4</v>
      </c>
      <c r="G199" s="132">
        <v>45382</v>
      </c>
      <c r="H199">
        <v>766.81</v>
      </c>
      <c r="I199" s="55">
        <f t="shared" si="57"/>
        <v>-4.154740328729456E-2</v>
      </c>
      <c r="K199" s="132">
        <v>45382</v>
      </c>
      <c r="L199">
        <v>707.65</v>
      </c>
      <c r="M199" s="55">
        <f t="shared" si="58"/>
        <v>1.2374821173104511E-2</v>
      </c>
      <c r="O199" s="132">
        <v>45382</v>
      </c>
      <c r="P199" s="197">
        <v>2237.5500000000002</v>
      </c>
      <c r="Q199" s="55">
        <f t="shared" si="59"/>
        <v>-7.3201570506421509E-3</v>
      </c>
      <c r="S199" s="132">
        <v>45382</v>
      </c>
      <c r="T199">
        <v>485.65</v>
      </c>
      <c r="U199" s="55">
        <f t="shared" si="60"/>
        <v>-1.0089686098654793E-2</v>
      </c>
      <c r="W199" s="132">
        <v>45382</v>
      </c>
      <c r="X199" s="197">
        <v>2586.85</v>
      </c>
      <c r="Y199" s="55">
        <f t="shared" si="65"/>
        <v>-1.7266269042282567E-2</v>
      </c>
      <c r="AA199" s="132">
        <v>45382</v>
      </c>
      <c r="AB199">
        <v>100.37</v>
      </c>
      <c r="AC199" s="55">
        <f t="shared" si="61"/>
        <v>1.6302146618063951E-2</v>
      </c>
      <c r="AE199" s="132">
        <v>45382</v>
      </c>
      <c r="AF199">
        <v>43.73</v>
      </c>
      <c r="AG199" s="55">
        <f t="shared" si="62"/>
        <v>3.2341831916902652E-2</v>
      </c>
      <c r="AI199" s="132">
        <v>45382</v>
      </c>
      <c r="AJ199">
        <v>2219.9</v>
      </c>
      <c r="AK199" s="55">
        <f t="shared" si="63"/>
        <v>-4.1783571459403368E-2</v>
      </c>
      <c r="AM199" s="132">
        <v>45382</v>
      </c>
      <c r="AN199" s="197">
        <v>1350.4</v>
      </c>
      <c r="AO199" s="55">
        <f t="shared" si="66"/>
        <v>3.1390819521881941E-2</v>
      </c>
    </row>
    <row r="200" spans="3:41">
      <c r="C200" s="132">
        <v>45375</v>
      </c>
      <c r="D200">
        <v>22326.9</v>
      </c>
      <c r="E200" s="55">
        <f t="shared" si="64"/>
        <v>-8.2971701674979803E-3</v>
      </c>
      <c r="G200" s="132">
        <v>45375</v>
      </c>
      <c r="H200">
        <v>662.23</v>
      </c>
      <c r="I200" s="55">
        <f t="shared" si="57"/>
        <v>-0.13638319792386633</v>
      </c>
      <c r="K200" s="132">
        <v>45375</v>
      </c>
      <c r="L200">
        <v>625.1</v>
      </c>
      <c r="M200" s="55">
        <f t="shared" si="58"/>
        <v>-0.11665371299371152</v>
      </c>
      <c r="O200" s="132">
        <v>45375</v>
      </c>
      <c r="P200" s="197">
        <v>2287.3000000000002</v>
      </c>
      <c r="Q200" s="55">
        <f t="shared" si="59"/>
        <v>2.2234140019217419E-2</v>
      </c>
      <c r="S200" s="132">
        <v>45375</v>
      </c>
      <c r="T200">
        <v>450</v>
      </c>
      <c r="U200" s="55">
        <f t="shared" si="60"/>
        <v>-7.3406774426026944E-2</v>
      </c>
      <c r="W200" s="132">
        <v>45375</v>
      </c>
      <c r="X200" s="197">
        <v>2560.25</v>
      </c>
      <c r="Y200" s="55">
        <f t="shared" si="65"/>
        <v>-1.0282776349614386E-2</v>
      </c>
      <c r="AA200" s="132">
        <v>45375</v>
      </c>
      <c r="AB200">
        <v>81.13</v>
      </c>
      <c r="AC200" s="55">
        <f t="shared" si="61"/>
        <v>-0.19169074424628885</v>
      </c>
      <c r="AE200" s="132">
        <v>45375</v>
      </c>
      <c r="AF200">
        <v>34.08</v>
      </c>
      <c r="AG200" s="55">
        <f t="shared" si="62"/>
        <v>-0.22067230734049847</v>
      </c>
      <c r="AI200" s="132">
        <v>45375</v>
      </c>
      <c r="AJ200">
        <v>2125.5</v>
      </c>
      <c r="AK200" s="55">
        <f t="shared" si="63"/>
        <v>-4.2524438037749523E-2</v>
      </c>
      <c r="AM200" s="132">
        <v>45375</v>
      </c>
      <c r="AN200" s="197">
        <v>1097.95</v>
      </c>
      <c r="AO200" s="55">
        <f t="shared" si="66"/>
        <v>-0.1869446090047393</v>
      </c>
    </row>
    <row r="201" spans="3:41">
      <c r="C201" s="132">
        <v>45368</v>
      </c>
      <c r="D201">
        <v>22096.75</v>
      </c>
      <c r="E201" s="55">
        <f t="shared" si="64"/>
        <v>-1.0308193255669229E-2</v>
      </c>
      <c r="G201" s="132">
        <v>45368</v>
      </c>
      <c r="H201">
        <v>684.41</v>
      </c>
      <c r="I201" s="55">
        <f t="shared" si="57"/>
        <v>3.3492895217673624E-2</v>
      </c>
      <c r="K201" s="132">
        <v>45368</v>
      </c>
      <c r="L201">
        <v>624.4</v>
      </c>
      <c r="M201" s="55">
        <f t="shared" si="58"/>
        <v>-1.1198208286674616E-3</v>
      </c>
      <c r="O201" s="132">
        <v>45368</v>
      </c>
      <c r="P201" s="197">
        <v>2223.5500000000002</v>
      </c>
      <c r="Q201" s="55">
        <f t="shared" si="59"/>
        <v>-2.7871289293052937E-2</v>
      </c>
      <c r="S201" s="132">
        <v>45368</v>
      </c>
      <c r="T201">
        <v>443.3</v>
      </c>
      <c r="U201" s="55">
        <f t="shared" si="60"/>
        <v>-1.488888888888884E-2</v>
      </c>
      <c r="W201" s="132">
        <v>45368</v>
      </c>
      <c r="X201" s="197">
        <v>2550.9499999999998</v>
      </c>
      <c r="Y201" s="55">
        <f t="shared" si="65"/>
        <v>-3.6324577677961933E-3</v>
      </c>
      <c r="AA201" s="132">
        <v>45368</v>
      </c>
      <c r="AB201">
        <v>86.29</v>
      </c>
      <c r="AC201" s="55">
        <f t="shared" si="61"/>
        <v>6.3601627018365692E-2</v>
      </c>
      <c r="AE201" s="132">
        <v>45368</v>
      </c>
      <c r="AF201">
        <v>38.78</v>
      </c>
      <c r="AG201" s="55">
        <f t="shared" si="62"/>
        <v>0.13791079812206575</v>
      </c>
      <c r="AI201" s="132">
        <v>45368</v>
      </c>
      <c r="AJ201">
        <v>2161.15</v>
      </c>
      <c r="AK201" s="55">
        <f t="shared" si="63"/>
        <v>1.6772524111973608E-2</v>
      </c>
      <c r="AM201" s="132">
        <v>45368</v>
      </c>
      <c r="AN201" s="197">
        <v>1059.55</v>
      </c>
      <c r="AO201" s="55">
        <f t="shared" si="66"/>
        <v>-3.4974270230884952E-2</v>
      </c>
    </row>
    <row r="202" spans="3:41">
      <c r="C202" s="132">
        <v>45361</v>
      </c>
      <c r="D202">
        <v>22023.35</v>
      </c>
      <c r="E202" s="55">
        <f t="shared" si="64"/>
        <v>-3.3217554617761547E-3</v>
      </c>
      <c r="G202" s="132">
        <v>45361</v>
      </c>
      <c r="H202">
        <v>689.57</v>
      </c>
      <c r="I202" s="55">
        <f t="shared" si="57"/>
        <v>7.5393404538217634E-3</v>
      </c>
      <c r="K202" s="132">
        <v>45361</v>
      </c>
      <c r="L202">
        <v>626.5</v>
      </c>
      <c r="M202" s="55">
        <f t="shared" si="58"/>
        <v>3.3632286995515237E-3</v>
      </c>
      <c r="O202" s="132">
        <v>45361</v>
      </c>
      <c r="P202" s="197">
        <v>2197.1</v>
      </c>
      <c r="Q202" s="55">
        <f t="shared" si="59"/>
        <v>-1.1895392502979552E-2</v>
      </c>
      <c r="S202" s="132">
        <v>45361</v>
      </c>
      <c r="T202">
        <v>433.15</v>
      </c>
      <c r="U202" s="55">
        <f t="shared" si="60"/>
        <v>-2.2896458380329388E-2</v>
      </c>
      <c r="W202" s="132">
        <v>45361</v>
      </c>
      <c r="X202" s="197">
        <v>2428.5500000000002</v>
      </c>
      <c r="Y202" s="55">
        <f t="shared" si="65"/>
        <v>-4.7982124306630736E-2</v>
      </c>
      <c r="AA202" s="132">
        <v>45361</v>
      </c>
      <c r="AB202">
        <v>87.91</v>
      </c>
      <c r="AC202" s="55">
        <f t="shared" si="61"/>
        <v>1.8773901958511807E-2</v>
      </c>
      <c r="AE202" s="132">
        <v>45361</v>
      </c>
      <c r="AF202">
        <v>38.07</v>
      </c>
      <c r="AG202" s="55">
        <f t="shared" si="62"/>
        <v>-1.8308406395049048E-2</v>
      </c>
      <c r="AI202" s="132">
        <v>45361</v>
      </c>
      <c r="AJ202">
        <v>2098.65</v>
      </c>
      <c r="AK202" s="55">
        <f t="shared" si="63"/>
        <v>-2.8919788075792985E-2</v>
      </c>
      <c r="AM202" s="132">
        <v>45361</v>
      </c>
      <c r="AN202">
        <v>995</v>
      </c>
      <c r="AO202" s="55">
        <f t="shared" si="66"/>
        <v>-6.0922089566325277E-2</v>
      </c>
    </row>
    <row r="203" spans="3:41">
      <c r="C203" s="132">
        <v>45354</v>
      </c>
      <c r="D203">
        <v>22493.55</v>
      </c>
      <c r="E203" s="55">
        <f t="shared" si="64"/>
        <v>2.1350067087886337E-2</v>
      </c>
      <c r="G203" s="132">
        <v>45354</v>
      </c>
      <c r="H203">
        <v>773.4</v>
      </c>
      <c r="I203" s="55">
        <f t="shared" si="57"/>
        <v>0.12156851371144328</v>
      </c>
      <c r="K203" s="132">
        <v>45354</v>
      </c>
      <c r="L203">
        <v>630.29999999999995</v>
      </c>
      <c r="M203" s="55">
        <f t="shared" si="58"/>
        <v>6.0654429369513263E-3</v>
      </c>
      <c r="O203" s="132">
        <v>45354</v>
      </c>
      <c r="P203" s="197">
        <v>2228.1</v>
      </c>
      <c r="Q203" s="55">
        <f t="shared" si="59"/>
        <v>1.4109507987802195E-2</v>
      </c>
      <c r="S203" s="132">
        <v>45354</v>
      </c>
      <c r="T203">
        <v>452.1</v>
      </c>
      <c r="U203" s="55">
        <f t="shared" si="60"/>
        <v>4.3749278540921255E-2</v>
      </c>
      <c r="W203" s="132">
        <v>45354</v>
      </c>
      <c r="X203" s="197">
        <v>2450.0500000000002</v>
      </c>
      <c r="Y203" s="55">
        <f t="shared" si="65"/>
        <v>8.853019291346742E-3</v>
      </c>
      <c r="AA203" s="132">
        <v>45354</v>
      </c>
      <c r="AB203">
        <v>93.68</v>
      </c>
      <c r="AC203" s="55">
        <f t="shared" si="61"/>
        <v>6.5635308838585038E-2</v>
      </c>
      <c r="AE203" s="132">
        <v>45354</v>
      </c>
      <c r="AF203">
        <v>43.98</v>
      </c>
      <c r="AG203" s="55">
        <f t="shared" si="62"/>
        <v>0.15524034672970832</v>
      </c>
      <c r="AI203" s="132">
        <v>45354</v>
      </c>
      <c r="AJ203">
        <v>2206.0500000000002</v>
      </c>
      <c r="AK203" s="55">
        <f t="shared" si="63"/>
        <v>5.1175755843041904E-2</v>
      </c>
      <c r="AM203" s="132">
        <v>45354</v>
      </c>
      <c r="AN203" s="197">
        <v>1143.4000000000001</v>
      </c>
      <c r="AO203" s="55">
        <f t="shared" si="66"/>
        <v>0.14914572864321607</v>
      </c>
    </row>
    <row r="204" spans="3:41">
      <c r="C204" s="132">
        <v>45347</v>
      </c>
      <c r="D204">
        <v>22338.75</v>
      </c>
      <c r="E204" s="55">
        <f t="shared" si="64"/>
        <v>-6.8819728322118134E-3</v>
      </c>
      <c r="G204" s="132">
        <v>45347</v>
      </c>
      <c r="H204">
        <v>797.49</v>
      </c>
      <c r="I204" s="55">
        <f t="shared" si="57"/>
        <v>3.1148176881303336E-2</v>
      </c>
      <c r="K204" s="132">
        <v>45347</v>
      </c>
      <c r="L204">
        <v>631.85</v>
      </c>
      <c r="M204" s="55">
        <f t="shared" si="58"/>
        <v>2.4591464382042183E-3</v>
      </c>
      <c r="O204" s="132">
        <v>45347</v>
      </c>
      <c r="P204" s="197">
        <v>2254.9</v>
      </c>
      <c r="Q204" s="55">
        <f t="shared" si="59"/>
        <v>1.202818544948614E-2</v>
      </c>
      <c r="S204" s="132">
        <v>45347</v>
      </c>
      <c r="T204">
        <v>491.95</v>
      </c>
      <c r="U204" s="55">
        <f t="shared" si="60"/>
        <v>8.8144215881442056E-2</v>
      </c>
      <c r="W204" s="132">
        <v>45347</v>
      </c>
      <c r="X204" s="197">
        <v>2397.35</v>
      </c>
      <c r="Y204" s="55">
        <f t="shared" si="65"/>
        <v>-2.1509765106834666E-2</v>
      </c>
      <c r="AA204" s="132">
        <v>45347</v>
      </c>
      <c r="AB204">
        <v>97.43</v>
      </c>
      <c r="AC204" s="55">
        <f t="shared" si="61"/>
        <v>4.0029888983774464E-2</v>
      </c>
      <c r="AE204" s="132">
        <v>45347</v>
      </c>
      <c r="AF204">
        <v>42.14</v>
      </c>
      <c r="AG204" s="55">
        <f t="shared" si="62"/>
        <v>-4.1837198726693892E-2</v>
      </c>
      <c r="AI204" s="132">
        <v>45347</v>
      </c>
      <c r="AJ204">
        <v>2221.25</v>
      </c>
      <c r="AK204" s="55">
        <f t="shared" si="63"/>
        <v>6.8901430157974897E-3</v>
      </c>
      <c r="AM204" s="132">
        <v>45347</v>
      </c>
      <c r="AN204" s="197">
        <v>1186.7</v>
      </c>
      <c r="AO204" s="55">
        <f t="shared" si="66"/>
        <v>3.7869511981808657E-2</v>
      </c>
    </row>
    <row r="205" spans="3:41">
      <c r="C205" s="132">
        <v>45340</v>
      </c>
      <c r="D205">
        <v>22212.7</v>
      </c>
      <c r="E205" s="55">
        <f t="shared" si="64"/>
        <v>-5.6426612948351496E-3</v>
      </c>
      <c r="G205" s="132">
        <v>45340</v>
      </c>
      <c r="H205">
        <v>807.91</v>
      </c>
      <c r="I205" s="55">
        <f t="shared" si="57"/>
        <v>1.3065994557925453E-2</v>
      </c>
      <c r="K205" s="132">
        <v>45340</v>
      </c>
      <c r="L205">
        <v>675.05</v>
      </c>
      <c r="M205" s="55">
        <f t="shared" si="58"/>
        <v>6.8370657592782935E-2</v>
      </c>
      <c r="O205" s="132">
        <v>45340</v>
      </c>
      <c r="P205" s="197">
        <v>2194.4</v>
      </c>
      <c r="Q205" s="55">
        <f t="shared" si="59"/>
        <v>-2.6830458113441868E-2</v>
      </c>
      <c r="S205" s="132">
        <v>45340</v>
      </c>
      <c r="T205">
        <v>468.7</v>
      </c>
      <c r="U205" s="55">
        <f t="shared" si="60"/>
        <v>-4.7260900498018121E-2</v>
      </c>
      <c r="W205" s="132">
        <v>45340</v>
      </c>
      <c r="X205" s="197">
        <v>2385.8000000000002</v>
      </c>
      <c r="Y205" s="55">
        <f t="shared" si="65"/>
        <v>-4.81781967589201E-3</v>
      </c>
      <c r="AA205" s="132">
        <v>45340</v>
      </c>
      <c r="AB205">
        <v>101.7</v>
      </c>
      <c r="AC205" s="55">
        <f t="shared" si="61"/>
        <v>4.3826336857230697E-2</v>
      </c>
      <c r="AE205" s="132">
        <v>45340</v>
      </c>
      <c r="AF205">
        <v>41.52</v>
      </c>
      <c r="AG205" s="55">
        <f t="shared" si="62"/>
        <v>-1.4712861888941609E-2</v>
      </c>
      <c r="AI205" s="132">
        <v>45340</v>
      </c>
      <c r="AJ205">
        <v>2305.5500000000002</v>
      </c>
      <c r="AK205" s="55">
        <f t="shared" si="63"/>
        <v>3.7951603826674285E-2</v>
      </c>
      <c r="AM205" s="132">
        <v>45340</v>
      </c>
      <c r="AN205" s="197">
        <v>1225.55</v>
      </c>
      <c r="AO205" s="55">
        <f t="shared" si="66"/>
        <v>3.2737844442571662E-2</v>
      </c>
    </row>
    <row r="206" spans="3:41">
      <c r="C206" s="132">
        <v>45333</v>
      </c>
      <c r="D206">
        <v>22040.7</v>
      </c>
      <c r="E206" s="55">
        <f t="shared" si="64"/>
        <v>-7.7433180117680855E-3</v>
      </c>
      <c r="G206" s="132">
        <v>45333</v>
      </c>
      <c r="H206">
        <v>798.72</v>
      </c>
      <c r="I206" s="55">
        <f t="shared" si="57"/>
        <v>-1.1375029396838654E-2</v>
      </c>
      <c r="K206" s="132">
        <v>45333</v>
      </c>
      <c r="L206">
        <v>659.35</v>
      </c>
      <c r="M206" s="55">
        <f t="shared" si="58"/>
        <v>-2.3257536478779262E-2</v>
      </c>
      <c r="O206" s="132">
        <v>45333</v>
      </c>
      <c r="P206" s="197">
        <v>2105.65</v>
      </c>
      <c r="Q206" s="55">
        <f t="shared" si="59"/>
        <v>-4.0443857090776469E-2</v>
      </c>
      <c r="S206" s="132">
        <v>45333</v>
      </c>
      <c r="T206">
        <v>450.75</v>
      </c>
      <c r="U206" s="55">
        <f t="shared" si="60"/>
        <v>-3.8297418391295079E-2</v>
      </c>
      <c r="W206" s="132">
        <v>45333</v>
      </c>
      <c r="X206" s="197">
        <v>2380.1</v>
      </c>
      <c r="Y206" s="55">
        <f t="shared" si="65"/>
        <v>-2.3891357196748064E-3</v>
      </c>
      <c r="AA206" s="132">
        <v>45333</v>
      </c>
      <c r="AB206">
        <v>96.95</v>
      </c>
      <c r="AC206" s="55">
        <f t="shared" si="61"/>
        <v>-4.6705998033431673E-2</v>
      </c>
      <c r="AE206" s="132">
        <v>45333</v>
      </c>
      <c r="AF206">
        <v>39.03</v>
      </c>
      <c r="AG206" s="55">
        <f t="shared" si="62"/>
        <v>-5.9971098265895972E-2</v>
      </c>
      <c r="AI206" s="132">
        <v>45333</v>
      </c>
      <c r="AJ206">
        <v>2312.1999999999998</v>
      </c>
      <c r="AK206" s="55">
        <f t="shared" si="63"/>
        <v>2.8843442996246971E-3</v>
      </c>
      <c r="AM206" s="132">
        <v>45333</v>
      </c>
      <c r="AN206" s="197">
        <v>1052.0999999999999</v>
      </c>
      <c r="AO206" s="55">
        <f t="shared" si="66"/>
        <v>-0.14152829341928119</v>
      </c>
    </row>
    <row r="207" spans="3:41">
      <c r="C207" s="132">
        <v>45326</v>
      </c>
      <c r="D207">
        <v>21782.5</v>
      </c>
      <c r="E207" s="55">
        <f t="shared" si="64"/>
        <v>-1.1714691457167858E-2</v>
      </c>
      <c r="G207" s="132">
        <v>45326</v>
      </c>
      <c r="H207">
        <v>788.34</v>
      </c>
      <c r="I207" s="55">
        <f t="shared" si="57"/>
        <v>-1.2995793269230727E-2</v>
      </c>
      <c r="K207" s="132">
        <v>45326</v>
      </c>
      <c r="L207">
        <v>671.7</v>
      </c>
      <c r="M207" s="55">
        <f t="shared" si="58"/>
        <v>1.8730567983620272E-2</v>
      </c>
      <c r="O207" s="132">
        <v>45326</v>
      </c>
      <c r="P207" s="197">
        <v>2168.5</v>
      </c>
      <c r="Q207" s="55">
        <f t="shared" si="59"/>
        <v>2.9848265381236194E-2</v>
      </c>
      <c r="S207" s="132">
        <v>45326</v>
      </c>
      <c r="T207">
        <v>469.4</v>
      </c>
      <c r="U207" s="55">
        <f t="shared" si="60"/>
        <v>4.1375485302273862E-2</v>
      </c>
      <c r="W207" s="132">
        <v>45326</v>
      </c>
      <c r="X207" s="197">
        <v>2298.5500000000002</v>
      </c>
      <c r="Y207" s="55">
        <f t="shared" si="65"/>
        <v>-3.4263266249317192E-2</v>
      </c>
      <c r="AA207" s="132">
        <v>45326</v>
      </c>
      <c r="AB207">
        <v>98.65</v>
      </c>
      <c r="AC207" s="55">
        <f t="shared" si="61"/>
        <v>1.7534811758638469E-2</v>
      </c>
      <c r="AE207" s="132">
        <v>45326</v>
      </c>
      <c r="AF207">
        <v>43.6</v>
      </c>
      <c r="AG207" s="55">
        <f t="shared" si="62"/>
        <v>0.11708941839610554</v>
      </c>
      <c r="AI207" s="132">
        <v>45326</v>
      </c>
      <c r="AJ207">
        <v>2215.15</v>
      </c>
      <c r="AK207" s="55">
        <f t="shared" si="63"/>
        <v>-4.1973012715162961E-2</v>
      </c>
      <c r="AM207" s="132">
        <v>45326</v>
      </c>
      <c r="AN207" s="197">
        <v>1019</v>
      </c>
      <c r="AO207" s="55">
        <f t="shared" si="66"/>
        <v>-3.1460887748312794E-2</v>
      </c>
    </row>
    <row r="209" spans="2:41" s="39" customFormat="1">
      <c r="E209" s="39" t="s">
        <v>956</v>
      </c>
      <c r="H209" s="39" t="s">
        <v>956</v>
      </c>
      <c r="I209" s="39">
        <f>SLOPE(I104:I207,$E$104:$E$207)</f>
        <v>1.1608709869687428</v>
      </c>
      <c r="M209" s="39">
        <f>SLOPE(M104:M207,$E$104:$E$207)</f>
        <v>1.3114087234748923</v>
      </c>
      <c r="Q209" s="39">
        <f>SLOPE(Q104:Q207,$E$104:$E$207)</f>
        <v>1.2088705243254989</v>
      </c>
      <c r="U209" s="39">
        <f>SLOPE(U104:U207,$E$104:$E$207)</f>
        <v>1.2021750448510822</v>
      </c>
      <c r="Y209" s="39">
        <f>SLOPE(Y104:Y207,$E$104:$E$207)</f>
        <v>0.8001002080702424</v>
      </c>
      <c r="AC209" s="39">
        <f>SLOPE(AC104:AC207,$E$104:$E$207)</f>
        <v>1.3395297351511326</v>
      </c>
      <c r="AG209" s="39">
        <f>SLOPE(AG104:AG207,$E$104:$E$207)</f>
        <v>0.71670228833775596</v>
      </c>
      <c r="AK209" s="39">
        <f>SLOPE(AK104:AK207,$E$104:$E$207)</f>
        <v>1.0388115721866751</v>
      </c>
      <c r="AO209" s="39">
        <f>SLOPE(AO104:AO207,$E$104:$E$207)</f>
        <v>1.6715682412168176</v>
      </c>
    </row>
    <row r="212" spans="2:41">
      <c r="B212" s="39"/>
    </row>
  </sheetData>
  <sheetProtection algorithmName="SHA-512" hashValue="784vaHXtXPqeIthZxiXGQE1kEjV44M2pK4+S8ZjxTVme8FNy2SwgrcjKgvbxJMjvX511Usd+3Rd48NupUSLZjw==" saltValue="gBsKBqPnV2rNOjeHSVzIaw=="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4947F-375C-4E61-9C0E-3A7D461CFB86}">
  <dimension ref="B3:O161"/>
  <sheetViews>
    <sheetView showGridLines="0" zoomScaleNormal="100" workbookViewId="0"/>
  </sheetViews>
  <sheetFormatPr defaultRowHeight="15"/>
  <cols>
    <col min="1" max="1" width="2" customWidth="1"/>
    <col min="2" max="2" width="29.42578125" bestFit="1" customWidth="1"/>
    <col min="3" max="3" width="24.85546875" bestFit="1" customWidth="1"/>
    <col min="4" max="4" width="16.7109375" bestFit="1" customWidth="1"/>
    <col min="5" max="5" width="29" bestFit="1" customWidth="1"/>
  </cols>
  <sheetData>
    <row r="3" spans="2:15">
      <c r="B3" s="39" t="s">
        <v>888</v>
      </c>
      <c r="G3" s="39" t="s">
        <v>889</v>
      </c>
    </row>
    <row r="4" spans="2:15">
      <c r="B4" s="141" t="s">
        <v>685</v>
      </c>
      <c r="C4" s="141" t="s">
        <v>696</v>
      </c>
      <c r="D4" s="141" t="s">
        <v>697</v>
      </c>
      <c r="E4" s="141" t="s">
        <v>698</v>
      </c>
      <c r="G4" s="412" t="s">
        <v>890</v>
      </c>
      <c r="H4" s="411"/>
      <c r="I4" s="411"/>
      <c r="J4" s="411"/>
      <c r="L4" s="422" t="s">
        <v>911</v>
      </c>
      <c r="M4" s="421"/>
      <c r="N4" s="421"/>
      <c r="O4" s="421"/>
    </row>
    <row r="5" spans="2:15">
      <c r="B5" t="s">
        <v>792</v>
      </c>
      <c r="C5" t="s">
        <v>728</v>
      </c>
      <c r="D5" t="s">
        <v>716</v>
      </c>
      <c r="E5">
        <v>2.160985823777507E-2</v>
      </c>
      <c r="G5" s="413" t="s">
        <v>891</v>
      </c>
      <c r="H5" s="413"/>
      <c r="I5" s="414"/>
      <c r="J5" s="414"/>
      <c r="L5" s="575" t="s">
        <v>891</v>
      </c>
      <c r="M5" s="576"/>
      <c r="N5" s="416"/>
      <c r="O5" s="416"/>
    </row>
    <row r="6" spans="2:15">
      <c r="B6" t="s">
        <v>878</v>
      </c>
      <c r="C6" t="s">
        <v>706</v>
      </c>
      <c r="D6" t="s">
        <v>733</v>
      </c>
      <c r="E6">
        <v>5.8935977012113828E-3</v>
      </c>
      <c r="G6" s="415" t="s">
        <v>892</v>
      </c>
      <c r="H6" s="415" t="s">
        <v>910</v>
      </c>
      <c r="I6" s="415" t="s">
        <v>893</v>
      </c>
      <c r="J6" s="419" t="s">
        <v>894</v>
      </c>
      <c r="L6" s="416" t="s">
        <v>912</v>
      </c>
      <c r="M6" s="416" t="s">
        <v>910</v>
      </c>
      <c r="N6" s="416" t="s">
        <v>893</v>
      </c>
      <c r="O6" s="416" t="s">
        <v>894</v>
      </c>
    </row>
    <row r="7" spans="2:15">
      <c r="B7" t="s">
        <v>879</v>
      </c>
      <c r="C7" t="s">
        <v>751</v>
      </c>
      <c r="D7" t="s">
        <v>721</v>
      </c>
      <c r="E7">
        <v>2.7000000000000001E-3</v>
      </c>
      <c r="G7" s="416">
        <v>-100000</v>
      </c>
      <c r="H7" s="416">
        <v>0.19999900000000001</v>
      </c>
      <c r="I7" s="418" t="s">
        <v>895</v>
      </c>
      <c r="J7" s="420">
        <v>0.19</v>
      </c>
      <c r="L7" s="416">
        <v>-100000</v>
      </c>
      <c r="M7" s="416">
        <v>0.49999900000000003</v>
      </c>
      <c r="N7" s="416" t="s">
        <v>895</v>
      </c>
      <c r="O7" s="420">
        <v>0.19</v>
      </c>
    </row>
    <row r="8" spans="2:15">
      <c r="B8" t="s">
        <v>699</v>
      </c>
      <c r="C8" t="s">
        <v>700</v>
      </c>
      <c r="D8" t="s">
        <v>701</v>
      </c>
      <c r="E8">
        <v>4.8535510480564323E-3</v>
      </c>
      <c r="G8" s="416">
        <v>0.2</v>
      </c>
      <c r="H8" s="416">
        <v>0.64999899999999999</v>
      </c>
      <c r="I8" s="418" t="s">
        <v>896</v>
      </c>
      <c r="J8" s="420">
        <v>0.16</v>
      </c>
      <c r="L8" s="416">
        <v>0.5</v>
      </c>
      <c r="M8" s="416">
        <v>0.79999900000000002</v>
      </c>
      <c r="N8" s="416" t="s">
        <v>896</v>
      </c>
      <c r="O8" s="420">
        <v>0.16</v>
      </c>
    </row>
    <row r="9" spans="2:15">
      <c r="B9" t="s">
        <v>702</v>
      </c>
      <c r="C9" t="s">
        <v>703</v>
      </c>
      <c r="D9" t="s">
        <v>704</v>
      </c>
      <c r="E9">
        <v>3.53615862072683E-2</v>
      </c>
      <c r="G9" s="416">
        <v>0.65</v>
      </c>
      <c r="H9" s="416">
        <v>0.79999900000000002</v>
      </c>
      <c r="I9" s="418" t="s">
        <v>897</v>
      </c>
      <c r="J9" s="420">
        <v>0.12609999999999999</v>
      </c>
      <c r="L9" s="416">
        <v>0.8</v>
      </c>
      <c r="M9" s="416">
        <v>1.2499990000000001</v>
      </c>
      <c r="N9" s="416" t="s">
        <v>897</v>
      </c>
      <c r="O9" s="420">
        <v>0.12609999999999999</v>
      </c>
    </row>
    <row r="10" spans="2:15">
      <c r="B10" t="s">
        <v>705</v>
      </c>
      <c r="C10" t="s">
        <v>706</v>
      </c>
      <c r="D10" t="s">
        <v>707</v>
      </c>
      <c r="E10">
        <v>1.5716260536563685E-2</v>
      </c>
      <c r="G10" s="416">
        <v>0.8</v>
      </c>
      <c r="H10" s="416">
        <v>1.2499990000000001</v>
      </c>
      <c r="I10" s="418" t="s">
        <v>898</v>
      </c>
      <c r="J10" s="420">
        <v>8.8499999999999995E-2</v>
      </c>
      <c r="L10" s="416">
        <v>1.25</v>
      </c>
      <c r="M10" s="416">
        <v>1.4999990000000001</v>
      </c>
      <c r="N10" s="416" t="s">
        <v>898</v>
      </c>
      <c r="O10" s="420">
        <v>8.8499999999999995E-2</v>
      </c>
    </row>
    <row r="11" spans="2:15">
      <c r="B11" t="s">
        <v>708</v>
      </c>
      <c r="C11" t="s">
        <v>696</v>
      </c>
      <c r="D11" t="s">
        <v>709</v>
      </c>
      <c r="E11">
        <v>6.3905088799409676E-2</v>
      </c>
      <c r="G11" s="416">
        <v>1.25</v>
      </c>
      <c r="H11" s="416">
        <v>1.4999990000000001</v>
      </c>
      <c r="I11" s="418" t="s">
        <v>899</v>
      </c>
      <c r="J11" s="420">
        <v>5.0900000000000001E-2</v>
      </c>
      <c r="L11" s="416">
        <v>1.5</v>
      </c>
      <c r="M11" s="416">
        <v>1.9999990000000001</v>
      </c>
      <c r="N11" s="416" t="s">
        <v>899</v>
      </c>
      <c r="O11" s="420">
        <v>5.0900000000000001E-2</v>
      </c>
    </row>
    <row r="12" spans="2:15">
      <c r="B12" t="s">
        <v>710</v>
      </c>
      <c r="C12" t="s">
        <v>711</v>
      </c>
      <c r="D12" t="s">
        <v>712</v>
      </c>
      <c r="E12">
        <v>9.8342189092762475E-2</v>
      </c>
      <c r="G12" s="416">
        <v>1.5</v>
      </c>
      <c r="H12" s="416">
        <v>1.7499990000000001</v>
      </c>
      <c r="I12" s="418" t="s">
        <v>900</v>
      </c>
      <c r="J12" s="420">
        <v>3.2099999999999997E-2</v>
      </c>
      <c r="L12" s="416">
        <v>2</v>
      </c>
      <c r="M12" s="416">
        <v>2.4999989999999999</v>
      </c>
      <c r="N12" s="416" t="s">
        <v>900</v>
      </c>
      <c r="O12" s="420">
        <v>3.2099999999999997E-2</v>
      </c>
    </row>
    <row r="13" spans="2:15">
      <c r="B13" t="s">
        <v>713</v>
      </c>
      <c r="C13" t="s">
        <v>703</v>
      </c>
      <c r="D13" t="s">
        <v>704</v>
      </c>
      <c r="E13">
        <v>3.5361586207268286E-2</v>
      </c>
      <c r="G13" s="416">
        <v>1.75</v>
      </c>
      <c r="H13" s="416">
        <v>1.9999990000000001</v>
      </c>
      <c r="I13" s="418" t="s">
        <v>901</v>
      </c>
      <c r="J13" s="420">
        <v>2.75E-2</v>
      </c>
      <c r="L13" s="416">
        <v>2.5</v>
      </c>
      <c r="M13" s="416">
        <v>2.9999989999999999</v>
      </c>
      <c r="N13" s="416" t="s">
        <v>901</v>
      </c>
      <c r="O13" s="420">
        <v>2.75E-2</v>
      </c>
    </row>
    <row r="14" spans="2:15">
      <c r="B14" t="s">
        <v>714</v>
      </c>
      <c r="C14" t="s">
        <v>715</v>
      </c>
      <c r="D14" t="s">
        <v>716</v>
      </c>
      <c r="E14">
        <v>2.160985823777507E-2</v>
      </c>
      <c r="G14" s="416">
        <v>2</v>
      </c>
      <c r="H14" s="416">
        <v>2.2499999000000002</v>
      </c>
      <c r="I14" s="418" t="s">
        <v>902</v>
      </c>
      <c r="J14" s="420">
        <v>1.84E-2</v>
      </c>
      <c r="L14" s="416">
        <v>3</v>
      </c>
      <c r="M14" s="416">
        <v>3.4999989999999999</v>
      </c>
      <c r="N14" s="416" t="s">
        <v>902</v>
      </c>
      <c r="O14" s="420">
        <v>1.84E-2</v>
      </c>
    </row>
    <row r="15" spans="2:15">
      <c r="B15" t="s">
        <v>717</v>
      </c>
      <c r="C15" t="s">
        <v>718</v>
      </c>
      <c r="D15" t="s">
        <v>719</v>
      </c>
      <c r="E15">
        <v>0</v>
      </c>
      <c r="G15" s="416">
        <v>2.25</v>
      </c>
      <c r="H15" s="416">
        <v>2.4999899999999999</v>
      </c>
      <c r="I15" s="418" t="s">
        <v>903</v>
      </c>
      <c r="J15" s="420">
        <v>1.38E-2</v>
      </c>
      <c r="L15" s="416">
        <v>3.5</v>
      </c>
      <c r="M15" s="416">
        <v>3.9999999000000002</v>
      </c>
      <c r="N15" s="416" t="s">
        <v>903</v>
      </c>
      <c r="O15" s="420">
        <v>1.38E-2</v>
      </c>
    </row>
    <row r="16" spans="2:15">
      <c r="B16" t="s">
        <v>720</v>
      </c>
      <c r="C16" t="s">
        <v>706</v>
      </c>
      <c r="D16" t="s">
        <v>721</v>
      </c>
      <c r="E16">
        <v>2.7000000000000001E-3</v>
      </c>
      <c r="G16" s="416">
        <v>2.5</v>
      </c>
      <c r="H16" s="416">
        <v>2.9999989999999999</v>
      </c>
      <c r="I16" s="418" t="s">
        <v>904</v>
      </c>
      <c r="J16" s="420">
        <v>1.11E-2</v>
      </c>
      <c r="L16" s="416">
        <v>4</v>
      </c>
      <c r="M16" s="416">
        <v>4.4999989999999999</v>
      </c>
      <c r="N16" s="416" t="s">
        <v>904</v>
      </c>
      <c r="O16" s="420">
        <v>1.11E-2</v>
      </c>
    </row>
    <row r="17" spans="2:15">
      <c r="B17" t="s">
        <v>722</v>
      </c>
      <c r="C17" t="s">
        <v>703</v>
      </c>
      <c r="D17" t="s">
        <v>716</v>
      </c>
      <c r="E17">
        <v>2.160985823777507E-2</v>
      </c>
      <c r="G17" s="416">
        <v>3</v>
      </c>
      <c r="H17" s="416">
        <v>4.2499989999999999</v>
      </c>
      <c r="I17" s="418" t="s">
        <v>905</v>
      </c>
      <c r="J17" s="420">
        <v>8.8999999999999999E-3</v>
      </c>
      <c r="L17" s="416">
        <v>4.5</v>
      </c>
      <c r="M17" s="416">
        <v>5.9999989999999999</v>
      </c>
      <c r="N17" s="416" t="s">
        <v>905</v>
      </c>
      <c r="O17" s="420">
        <v>8.8999999999999999E-3</v>
      </c>
    </row>
    <row r="18" spans="2:15">
      <c r="B18" t="s">
        <v>723</v>
      </c>
      <c r="C18" t="s">
        <v>715</v>
      </c>
      <c r="D18" t="s">
        <v>724</v>
      </c>
      <c r="E18">
        <v>4.4259763128705075E-2</v>
      </c>
      <c r="G18" s="416">
        <v>4.25</v>
      </c>
      <c r="H18" s="416">
        <v>5.4999989999999999</v>
      </c>
      <c r="I18" s="418" t="s">
        <v>906</v>
      </c>
      <c r="J18" s="420">
        <v>7.7999999999999996E-3</v>
      </c>
      <c r="L18" s="416">
        <v>6</v>
      </c>
      <c r="M18" s="416">
        <v>7.4999989999999999</v>
      </c>
      <c r="N18" s="416" t="s">
        <v>906</v>
      </c>
      <c r="O18" s="420">
        <v>7.7999999999999996E-3</v>
      </c>
    </row>
    <row r="19" spans="2:15">
      <c r="B19" t="s">
        <v>725</v>
      </c>
      <c r="C19" t="s">
        <v>700</v>
      </c>
      <c r="D19" t="s">
        <v>726</v>
      </c>
      <c r="E19">
        <v>5.4082425964057379E-2</v>
      </c>
      <c r="G19" s="416">
        <v>5.5</v>
      </c>
      <c r="H19" s="416">
        <v>6.4999989999999999</v>
      </c>
      <c r="I19" s="418" t="s">
        <v>907</v>
      </c>
      <c r="J19" s="420">
        <v>7.0000000000000001E-3</v>
      </c>
      <c r="L19" s="416">
        <v>7.5</v>
      </c>
      <c r="M19" s="416">
        <v>9.4999990000000007</v>
      </c>
      <c r="N19" s="416" t="s">
        <v>907</v>
      </c>
      <c r="O19" s="420">
        <v>7.0000000000000001E-3</v>
      </c>
    </row>
    <row r="20" spans="2:15">
      <c r="B20" t="s">
        <v>727</v>
      </c>
      <c r="C20" t="s">
        <v>728</v>
      </c>
      <c r="D20" t="s">
        <v>726</v>
      </c>
      <c r="E20">
        <v>5.4082425964057379E-2</v>
      </c>
      <c r="G20" s="416">
        <v>6.5</v>
      </c>
      <c r="H20" s="416">
        <v>8.4999990000000007</v>
      </c>
      <c r="I20" s="418" t="s">
        <v>908</v>
      </c>
      <c r="J20" s="420">
        <v>5.4999999999999997E-3</v>
      </c>
      <c r="L20" s="416">
        <v>9.5</v>
      </c>
      <c r="M20" s="416">
        <v>12.499999000000001</v>
      </c>
      <c r="N20" s="416" t="s">
        <v>908</v>
      </c>
      <c r="O20" s="420">
        <v>5.4999999999999997E-3</v>
      </c>
    </row>
    <row r="21" spans="2:15">
      <c r="B21" t="s">
        <v>729</v>
      </c>
      <c r="C21" t="s">
        <v>715</v>
      </c>
      <c r="D21" t="s">
        <v>726</v>
      </c>
      <c r="E21">
        <v>5.4082425964057379E-2</v>
      </c>
      <c r="G21" s="417">
        <v>8.5</v>
      </c>
      <c r="H21" s="416">
        <v>100000</v>
      </c>
      <c r="I21" s="418" t="s">
        <v>909</v>
      </c>
      <c r="J21" s="420">
        <v>4.0000000000000001E-3</v>
      </c>
      <c r="L21" s="416">
        <v>12.5</v>
      </c>
      <c r="M21" s="416">
        <v>100000</v>
      </c>
      <c r="N21" s="416" t="s">
        <v>909</v>
      </c>
      <c r="O21" s="420">
        <v>4.0000000000000001E-3</v>
      </c>
    </row>
    <row r="22" spans="2:15">
      <c r="B22" t="s">
        <v>730</v>
      </c>
      <c r="C22" t="s">
        <v>703</v>
      </c>
      <c r="D22" t="s">
        <v>731</v>
      </c>
      <c r="E22">
        <v>0.17499999999999999</v>
      </c>
    </row>
    <row r="23" spans="2:15">
      <c r="B23" t="s">
        <v>732</v>
      </c>
      <c r="C23" t="s">
        <v>706</v>
      </c>
      <c r="D23" t="s">
        <v>733</v>
      </c>
      <c r="E23">
        <v>5.8935977012113828E-3</v>
      </c>
    </row>
    <row r="24" spans="2:15">
      <c r="B24" t="s">
        <v>734</v>
      </c>
      <c r="C24" t="s">
        <v>711</v>
      </c>
      <c r="D24" t="s">
        <v>735</v>
      </c>
      <c r="E24">
        <v>7.3727751634761987E-2</v>
      </c>
    </row>
    <row r="25" spans="2:15">
      <c r="B25" t="s">
        <v>736</v>
      </c>
      <c r="C25" t="s">
        <v>696</v>
      </c>
      <c r="D25" t="s">
        <v>724</v>
      </c>
      <c r="E25">
        <v>4.4259763128705075E-2</v>
      </c>
    </row>
    <row r="26" spans="2:15">
      <c r="B26" t="s">
        <v>737</v>
      </c>
      <c r="C26" t="s">
        <v>715</v>
      </c>
      <c r="D26" t="s">
        <v>738</v>
      </c>
      <c r="E26">
        <v>8.3203732252395985E-3</v>
      </c>
    </row>
    <row r="27" spans="2:15">
      <c r="B27" t="s">
        <v>739</v>
      </c>
      <c r="C27" t="s">
        <v>711</v>
      </c>
      <c r="D27" t="s">
        <v>740</v>
      </c>
      <c r="E27">
        <v>0.11798751476346708</v>
      </c>
    </row>
    <row r="28" spans="2:15">
      <c r="B28" t="s">
        <v>741</v>
      </c>
      <c r="C28" t="s">
        <v>703</v>
      </c>
      <c r="D28" t="s">
        <v>709</v>
      </c>
      <c r="E28">
        <v>6.3905088799409676E-2</v>
      </c>
    </row>
    <row r="29" spans="2:15">
      <c r="B29" t="s">
        <v>742</v>
      </c>
      <c r="C29" t="s">
        <v>696</v>
      </c>
      <c r="D29" t="s">
        <v>743</v>
      </c>
      <c r="E29">
        <v>1.1787195402422766E-2</v>
      </c>
    </row>
    <row r="30" spans="2:15">
      <c r="B30" t="s">
        <v>744</v>
      </c>
      <c r="C30" t="s">
        <v>711</v>
      </c>
      <c r="D30" t="s">
        <v>745</v>
      </c>
      <c r="E30">
        <v>2.4614437458000481E-2</v>
      </c>
    </row>
    <row r="31" spans="2:15">
      <c r="B31" t="s">
        <v>746</v>
      </c>
      <c r="C31" t="s">
        <v>703</v>
      </c>
      <c r="D31" t="s">
        <v>707</v>
      </c>
      <c r="E31">
        <v>1.5716260536563685E-2</v>
      </c>
    </row>
    <row r="32" spans="2:15">
      <c r="B32" t="s">
        <v>747</v>
      </c>
      <c r="C32" t="s">
        <v>696</v>
      </c>
      <c r="D32" t="s">
        <v>735</v>
      </c>
      <c r="E32">
        <v>7.3727751634761987E-2</v>
      </c>
    </row>
    <row r="33" spans="2:5">
      <c r="B33" t="s">
        <v>748</v>
      </c>
      <c r="C33" t="s">
        <v>728</v>
      </c>
      <c r="D33" t="s">
        <v>726</v>
      </c>
      <c r="E33">
        <v>5.4082425964057379E-2</v>
      </c>
    </row>
    <row r="34" spans="2:5">
      <c r="B34" t="s">
        <v>749</v>
      </c>
      <c r="C34" t="s">
        <v>696</v>
      </c>
      <c r="D34" t="s">
        <v>735</v>
      </c>
      <c r="E34">
        <v>7.3727751634761987E-2</v>
      </c>
    </row>
    <row r="35" spans="2:5">
      <c r="B35" t="s">
        <v>750</v>
      </c>
      <c r="C35" t="s">
        <v>751</v>
      </c>
      <c r="D35" t="s">
        <v>719</v>
      </c>
      <c r="E35">
        <v>0</v>
      </c>
    </row>
    <row r="36" spans="2:5">
      <c r="B36" t="s">
        <v>752</v>
      </c>
      <c r="C36" t="s">
        <v>696</v>
      </c>
      <c r="D36" t="s">
        <v>726</v>
      </c>
      <c r="E36">
        <v>5.4082425964057379E-2</v>
      </c>
    </row>
    <row r="37" spans="2:5">
      <c r="B37" t="s">
        <v>753</v>
      </c>
      <c r="C37" t="s">
        <v>715</v>
      </c>
      <c r="D37" t="s">
        <v>733</v>
      </c>
      <c r="E37">
        <v>5.8935977012113828E-3</v>
      </c>
    </row>
    <row r="38" spans="2:5">
      <c r="B38" t="s">
        <v>754</v>
      </c>
      <c r="C38" t="s">
        <v>711</v>
      </c>
      <c r="D38" t="s">
        <v>738</v>
      </c>
      <c r="E38">
        <v>8.3203732252395985E-3</v>
      </c>
    </row>
    <row r="39" spans="2:5">
      <c r="B39" t="s">
        <v>755</v>
      </c>
      <c r="C39" t="s">
        <v>728</v>
      </c>
      <c r="D39" t="s">
        <v>756</v>
      </c>
      <c r="E39">
        <v>6.9336443543663332E-3</v>
      </c>
    </row>
    <row r="40" spans="2:5">
      <c r="B40" t="s">
        <v>757</v>
      </c>
      <c r="C40" t="s">
        <v>711</v>
      </c>
      <c r="D40" t="s">
        <v>716</v>
      </c>
      <c r="E40">
        <v>2.160985823777507E-2</v>
      </c>
    </row>
    <row r="41" spans="2:5">
      <c r="B41" t="s">
        <v>758</v>
      </c>
      <c r="C41" t="s">
        <v>696</v>
      </c>
      <c r="D41" t="s">
        <v>709</v>
      </c>
      <c r="E41">
        <v>6.3905088799409676E-2</v>
      </c>
    </row>
    <row r="42" spans="2:5">
      <c r="B42" t="s">
        <v>759</v>
      </c>
      <c r="C42" t="s">
        <v>696</v>
      </c>
      <c r="D42" t="s">
        <v>760</v>
      </c>
      <c r="E42">
        <v>8.851952625741015E-2</v>
      </c>
    </row>
    <row r="43" spans="2:5">
      <c r="B43" t="s">
        <v>761</v>
      </c>
      <c r="C43" t="s">
        <v>718</v>
      </c>
      <c r="D43" t="s">
        <v>724</v>
      </c>
      <c r="E43">
        <v>4.4259763128705075E-2</v>
      </c>
    </row>
    <row r="44" spans="2:5">
      <c r="B44" t="s">
        <v>762</v>
      </c>
      <c r="C44" t="s">
        <v>711</v>
      </c>
      <c r="D44" t="s">
        <v>704</v>
      </c>
      <c r="E44">
        <v>3.5361586207268286E-2</v>
      </c>
    </row>
    <row r="45" spans="2:5">
      <c r="B45" t="s">
        <v>763</v>
      </c>
      <c r="C45" t="s">
        <v>696</v>
      </c>
      <c r="D45" t="s">
        <v>764</v>
      </c>
      <c r="E45">
        <v>2.9583549245296346E-2</v>
      </c>
    </row>
    <row r="46" spans="2:5">
      <c r="B46" t="s">
        <v>765</v>
      </c>
      <c r="C46" t="s">
        <v>703</v>
      </c>
      <c r="D46" t="s">
        <v>743</v>
      </c>
      <c r="E46">
        <v>1.1787195402422766E-2</v>
      </c>
    </row>
    <row r="47" spans="2:5">
      <c r="B47" t="s">
        <v>766</v>
      </c>
      <c r="C47" t="s">
        <v>715</v>
      </c>
      <c r="D47" t="s">
        <v>740</v>
      </c>
      <c r="E47">
        <v>0.11798751476346708</v>
      </c>
    </row>
    <row r="48" spans="2:5">
      <c r="B48" t="s">
        <v>767</v>
      </c>
      <c r="C48" t="s">
        <v>715</v>
      </c>
      <c r="D48" t="s">
        <v>716</v>
      </c>
      <c r="E48">
        <v>2.160985823777507E-2</v>
      </c>
    </row>
    <row r="49" spans="2:5">
      <c r="B49" t="s">
        <v>768</v>
      </c>
      <c r="C49" t="s">
        <v>706</v>
      </c>
      <c r="D49" t="s">
        <v>743</v>
      </c>
      <c r="E49">
        <v>1.1787195402422766E-2</v>
      </c>
    </row>
    <row r="50" spans="2:5">
      <c r="B50" t="s">
        <v>769</v>
      </c>
      <c r="C50" t="s">
        <v>703</v>
      </c>
      <c r="D50" t="s">
        <v>733</v>
      </c>
      <c r="E50">
        <v>5.8935977012113828E-3</v>
      </c>
    </row>
    <row r="51" spans="2:5">
      <c r="B51" t="s">
        <v>770</v>
      </c>
      <c r="C51" t="s">
        <v>706</v>
      </c>
      <c r="D51" t="s">
        <v>719</v>
      </c>
      <c r="E51">
        <v>0</v>
      </c>
    </row>
    <row r="52" spans="2:5">
      <c r="B52" t="s">
        <v>771</v>
      </c>
      <c r="C52" t="s">
        <v>715</v>
      </c>
      <c r="D52" t="s">
        <v>704</v>
      </c>
      <c r="E52">
        <v>3.5361586207268286E-2</v>
      </c>
    </row>
    <row r="53" spans="2:5">
      <c r="B53" t="s">
        <v>772</v>
      </c>
      <c r="C53" t="s">
        <v>711</v>
      </c>
      <c r="D53" t="s">
        <v>712</v>
      </c>
      <c r="E53">
        <v>9.8342189092762475E-2</v>
      </c>
    </row>
    <row r="54" spans="2:5">
      <c r="B54" t="s">
        <v>773</v>
      </c>
      <c r="C54" t="s">
        <v>696</v>
      </c>
      <c r="D54" t="s">
        <v>735</v>
      </c>
      <c r="E54">
        <v>7.3727751634761987E-2</v>
      </c>
    </row>
    <row r="55" spans="2:5">
      <c r="B55" t="s">
        <v>774</v>
      </c>
      <c r="C55" t="s">
        <v>711</v>
      </c>
      <c r="D55" t="s">
        <v>709</v>
      </c>
      <c r="E55">
        <v>6.3905088799409676E-2</v>
      </c>
    </row>
    <row r="56" spans="2:5">
      <c r="B56" t="s">
        <v>775</v>
      </c>
      <c r="C56" t="s">
        <v>703</v>
      </c>
      <c r="D56" t="s">
        <v>756</v>
      </c>
      <c r="E56">
        <v>6.9336443543663332E-3</v>
      </c>
    </row>
    <row r="57" spans="2:5">
      <c r="B57" t="s">
        <v>776</v>
      </c>
      <c r="C57" t="s">
        <v>696</v>
      </c>
      <c r="D57" t="s">
        <v>760</v>
      </c>
      <c r="E57">
        <v>8.851952625741015E-2</v>
      </c>
    </row>
    <row r="58" spans="2:5">
      <c r="B58" t="s">
        <v>777</v>
      </c>
      <c r="C58" t="s">
        <v>728</v>
      </c>
      <c r="D58" t="s">
        <v>724</v>
      </c>
      <c r="E58">
        <v>4.4259763128705075E-2</v>
      </c>
    </row>
    <row r="59" spans="2:5">
      <c r="B59" t="s">
        <v>778</v>
      </c>
      <c r="C59" t="s">
        <v>706</v>
      </c>
      <c r="D59" t="s">
        <v>721</v>
      </c>
      <c r="E59">
        <v>2.7000000000000001E-3</v>
      </c>
    </row>
    <row r="60" spans="2:5">
      <c r="B60" t="s">
        <v>779</v>
      </c>
      <c r="C60" t="s">
        <v>706</v>
      </c>
      <c r="D60" t="s">
        <v>733</v>
      </c>
      <c r="E60">
        <v>5.8935977012113828E-3</v>
      </c>
    </row>
    <row r="61" spans="2:5">
      <c r="B61" t="s">
        <v>780</v>
      </c>
      <c r="C61" t="s">
        <v>696</v>
      </c>
      <c r="D61" t="s">
        <v>760</v>
      </c>
      <c r="E61">
        <v>8.851952625741015E-2</v>
      </c>
    </row>
    <row r="62" spans="2:5">
      <c r="B62" t="s">
        <v>781</v>
      </c>
      <c r="C62" t="s">
        <v>703</v>
      </c>
      <c r="D62" t="s">
        <v>764</v>
      </c>
      <c r="E62">
        <v>2.9583549245296346E-2</v>
      </c>
    </row>
    <row r="63" spans="2:5">
      <c r="B63" t="s">
        <v>782</v>
      </c>
      <c r="C63" t="s">
        <v>706</v>
      </c>
      <c r="D63" t="s">
        <v>719</v>
      </c>
      <c r="E63">
        <v>0</v>
      </c>
    </row>
    <row r="64" spans="2:5">
      <c r="B64" t="s">
        <v>783</v>
      </c>
      <c r="C64" t="s">
        <v>696</v>
      </c>
      <c r="D64" t="s">
        <v>760</v>
      </c>
      <c r="E64">
        <v>8.851952625741015E-2</v>
      </c>
    </row>
    <row r="65" spans="2:5">
      <c r="B65" t="s">
        <v>784</v>
      </c>
      <c r="C65" t="s">
        <v>706</v>
      </c>
      <c r="D65" t="s">
        <v>716</v>
      </c>
      <c r="E65">
        <v>2.160985823777507E-2</v>
      </c>
    </row>
    <row r="66" spans="2:5">
      <c r="B66" t="s">
        <v>785</v>
      </c>
      <c r="C66" t="s">
        <v>711</v>
      </c>
      <c r="D66" t="s">
        <v>745</v>
      </c>
      <c r="E66">
        <v>2.4614437458000481E-2</v>
      </c>
    </row>
    <row r="67" spans="2:5">
      <c r="B67" t="s">
        <v>786</v>
      </c>
      <c r="C67" t="s">
        <v>706</v>
      </c>
      <c r="D67" t="s">
        <v>756</v>
      </c>
      <c r="E67">
        <v>6.9336443543663332E-3</v>
      </c>
    </row>
    <row r="68" spans="2:5">
      <c r="B68" t="s">
        <v>787</v>
      </c>
      <c r="C68" t="s">
        <v>711</v>
      </c>
      <c r="D68" t="s">
        <v>724</v>
      </c>
      <c r="E68">
        <v>4.4259763128705075E-2</v>
      </c>
    </row>
    <row r="69" spans="2:5">
      <c r="B69" t="s">
        <v>788</v>
      </c>
      <c r="C69" t="s">
        <v>728</v>
      </c>
      <c r="D69" t="s">
        <v>733</v>
      </c>
      <c r="E69">
        <v>5.8935977012113828E-3</v>
      </c>
    </row>
    <row r="70" spans="2:5">
      <c r="B70" t="s">
        <v>789</v>
      </c>
      <c r="C70" t="s">
        <v>703</v>
      </c>
      <c r="D70" t="s">
        <v>790</v>
      </c>
      <c r="E70">
        <v>1.87208397567891E-2</v>
      </c>
    </row>
    <row r="71" spans="2:5">
      <c r="B71" t="s">
        <v>791</v>
      </c>
      <c r="C71" t="s">
        <v>706</v>
      </c>
      <c r="D71" t="s">
        <v>756</v>
      </c>
      <c r="E71">
        <v>6.9336443543663332E-3</v>
      </c>
    </row>
    <row r="72" spans="2:5">
      <c r="B72" t="s">
        <v>793</v>
      </c>
      <c r="C72" t="s">
        <v>728</v>
      </c>
      <c r="D72" t="s">
        <v>790</v>
      </c>
      <c r="E72">
        <v>1.87208397567891E-2</v>
      </c>
    </row>
    <row r="73" spans="2:5">
      <c r="B73" t="s">
        <v>794</v>
      </c>
      <c r="C73" t="s">
        <v>700</v>
      </c>
      <c r="D73" t="s">
        <v>735</v>
      </c>
      <c r="E73">
        <v>7.3727751634761987E-2</v>
      </c>
    </row>
    <row r="74" spans="2:5">
      <c r="B74" t="s">
        <v>795</v>
      </c>
      <c r="C74" t="s">
        <v>706</v>
      </c>
      <c r="D74" t="s">
        <v>733</v>
      </c>
      <c r="E74">
        <v>5.8935977012113828E-3</v>
      </c>
    </row>
    <row r="75" spans="2:5">
      <c r="B75" t="s">
        <v>796</v>
      </c>
      <c r="C75" t="s">
        <v>706</v>
      </c>
      <c r="D75" t="s">
        <v>733</v>
      </c>
      <c r="E75">
        <v>5.8935977012113828E-3</v>
      </c>
    </row>
    <row r="76" spans="2:5">
      <c r="B76" t="s">
        <v>797</v>
      </c>
      <c r="C76" t="s">
        <v>700</v>
      </c>
      <c r="D76" t="s">
        <v>707</v>
      </c>
      <c r="E76">
        <v>1.5716260536563685E-2</v>
      </c>
    </row>
    <row r="77" spans="2:5">
      <c r="B77" t="s">
        <v>798</v>
      </c>
      <c r="C77" t="s">
        <v>706</v>
      </c>
      <c r="D77" t="s">
        <v>716</v>
      </c>
      <c r="E77">
        <v>2.160985823777507E-2</v>
      </c>
    </row>
    <row r="78" spans="2:5">
      <c r="B78" t="s">
        <v>799</v>
      </c>
      <c r="C78" t="s">
        <v>715</v>
      </c>
      <c r="D78" t="s">
        <v>724</v>
      </c>
      <c r="E78">
        <v>4.4259763128705075E-2</v>
      </c>
    </row>
    <row r="79" spans="2:5">
      <c r="B79" t="s">
        <v>800</v>
      </c>
      <c r="C79" t="s">
        <v>728</v>
      </c>
      <c r="D79" t="s">
        <v>756</v>
      </c>
      <c r="E79">
        <v>6.9336443543663332E-3</v>
      </c>
    </row>
    <row r="80" spans="2:5">
      <c r="B80" t="s">
        <v>801</v>
      </c>
      <c r="C80" t="s">
        <v>706</v>
      </c>
      <c r="D80" t="s">
        <v>733</v>
      </c>
      <c r="E80">
        <v>5.8935977012113828E-3</v>
      </c>
    </row>
    <row r="81" spans="2:5">
      <c r="B81" t="s">
        <v>802</v>
      </c>
      <c r="C81" t="s">
        <v>700</v>
      </c>
      <c r="D81" t="s">
        <v>704</v>
      </c>
      <c r="E81">
        <v>3.5361586207268286E-2</v>
      </c>
    </row>
    <row r="82" spans="2:5">
      <c r="B82" t="s">
        <v>803</v>
      </c>
      <c r="C82" t="s">
        <v>703</v>
      </c>
      <c r="D82" t="s">
        <v>707</v>
      </c>
      <c r="E82">
        <v>1.5716260536563685E-2</v>
      </c>
    </row>
    <row r="83" spans="2:5">
      <c r="B83" t="s">
        <v>804</v>
      </c>
      <c r="C83" t="s">
        <v>696</v>
      </c>
      <c r="D83" t="s">
        <v>735</v>
      </c>
      <c r="E83">
        <v>7.3727751634761987E-2</v>
      </c>
    </row>
    <row r="84" spans="2:5">
      <c r="B84" t="s">
        <v>805</v>
      </c>
      <c r="C84" t="s">
        <v>728</v>
      </c>
      <c r="D84" t="s">
        <v>701</v>
      </c>
      <c r="E84">
        <v>4.8535510480564323E-3</v>
      </c>
    </row>
    <row r="85" spans="2:5">
      <c r="B85" t="s">
        <v>806</v>
      </c>
      <c r="C85" t="s">
        <v>700</v>
      </c>
      <c r="D85" t="s">
        <v>756</v>
      </c>
      <c r="E85">
        <v>6.9336443543663332E-3</v>
      </c>
    </row>
    <row r="86" spans="2:5">
      <c r="B86" t="s">
        <v>807</v>
      </c>
      <c r="C86" t="s">
        <v>703</v>
      </c>
      <c r="D86" t="s">
        <v>709</v>
      </c>
      <c r="E86">
        <v>6.3905088799409676E-2</v>
      </c>
    </row>
    <row r="87" spans="2:5">
      <c r="B87" t="s">
        <v>808</v>
      </c>
      <c r="C87" t="s">
        <v>728</v>
      </c>
      <c r="D87" t="s">
        <v>712</v>
      </c>
      <c r="E87">
        <v>9.8342189092762475E-2</v>
      </c>
    </row>
    <row r="88" spans="2:5">
      <c r="B88" t="s">
        <v>809</v>
      </c>
      <c r="C88" t="s">
        <v>703</v>
      </c>
      <c r="D88" t="s">
        <v>743</v>
      </c>
      <c r="E88">
        <v>1.1787195402422766E-2</v>
      </c>
    </row>
    <row r="89" spans="2:5">
      <c r="B89" t="s">
        <v>810</v>
      </c>
      <c r="C89" t="s">
        <v>700</v>
      </c>
      <c r="D89" t="s">
        <v>731</v>
      </c>
      <c r="E89">
        <v>0.17499999999999999</v>
      </c>
    </row>
    <row r="90" spans="2:5">
      <c r="B90" t="s">
        <v>811</v>
      </c>
      <c r="C90" t="s">
        <v>706</v>
      </c>
      <c r="D90" t="s">
        <v>719</v>
      </c>
      <c r="E90">
        <v>0</v>
      </c>
    </row>
    <row r="91" spans="2:5">
      <c r="B91" t="s">
        <v>812</v>
      </c>
      <c r="C91" t="s">
        <v>703</v>
      </c>
      <c r="D91" t="s">
        <v>738</v>
      </c>
      <c r="E91">
        <v>8.3203732252395985E-3</v>
      </c>
    </row>
    <row r="92" spans="2:5">
      <c r="B92" t="s">
        <v>813</v>
      </c>
      <c r="C92" t="s">
        <v>706</v>
      </c>
      <c r="D92" t="s">
        <v>719</v>
      </c>
      <c r="E92">
        <v>0</v>
      </c>
    </row>
    <row r="93" spans="2:5">
      <c r="B93" t="s">
        <v>814</v>
      </c>
      <c r="C93" t="s">
        <v>728</v>
      </c>
      <c r="D93" t="s">
        <v>733</v>
      </c>
      <c r="E93">
        <v>5.8935977012113828E-3</v>
      </c>
    </row>
    <row r="94" spans="2:5">
      <c r="B94" t="s">
        <v>815</v>
      </c>
      <c r="C94" t="s">
        <v>703</v>
      </c>
      <c r="D94" t="s">
        <v>704</v>
      </c>
      <c r="E94">
        <v>3.5361586207268286E-2</v>
      </c>
    </row>
    <row r="95" spans="2:5">
      <c r="B95" t="s">
        <v>816</v>
      </c>
      <c r="C95" t="s">
        <v>728</v>
      </c>
      <c r="D95" t="s">
        <v>743</v>
      </c>
      <c r="E95">
        <v>1.1787195402422766E-2</v>
      </c>
    </row>
    <row r="96" spans="2:5">
      <c r="B96" t="s">
        <v>817</v>
      </c>
      <c r="C96" t="s">
        <v>728</v>
      </c>
      <c r="D96" t="s">
        <v>760</v>
      </c>
      <c r="E96">
        <v>8.851952625741015E-2</v>
      </c>
    </row>
    <row r="97" spans="2:5">
      <c r="B97" t="s">
        <v>818</v>
      </c>
      <c r="C97" t="s">
        <v>696</v>
      </c>
      <c r="D97" t="s">
        <v>760</v>
      </c>
      <c r="E97">
        <v>8.851952625741015E-2</v>
      </c>
    </row>
    <row r="98" spans="2:5">
      <c r="B98" t="s">
        <v>819</v>
      </c>
      <c r="C98" t="s">
        <v>706</v>
      </c>
      <c r="D98" t="s">
        <v>738</v>
      </c>
      <c r="E98">
        <v>8.3203732252395985E-3</v>
      </c>
    </row>
    <row r="99" spans="2:5">
      <c r="B99" t="s">
        <v>820</v>
      </c>
      <c r="C99" t="s">
        <v>696</v>
      </c>
      <c r="D99" t="s">
        <v>716</v>
      </c>
      <c r="E99">
        <v>2.160985823777507E-2</v>
      </c>
    </row>
    <row r="100" spans="2:5">
      <c r="B100" t="s">
        <v>821</v>
      </c>
      <c r="C100" t="s">
        <v>711</v>
      </c>
      <c r="D100" t="s">
        <v>790</v>
      </c>
      <c r="E100">
        <v>1.87208397567891E-2</v>
      </c>
    </row>
    <row r="101" spans="2:5">
      <c r="B101" t="s">
        <v>822</v>
      </c>
      <c r="C101" t="s">
        <v>703</v>
      </c>
      <c r="D101" t="s">
        <v>709</v>
      </c>
      <c r="E101">
        <v>6.3905088799409676E-2</v>
      </c>
    </row>
    <row r="102" spans="2:5">
      <c r="B102" t="s">
        <v>823</v>
      </c>
      <c r="C102" t="s">
        <v>728</v>
      </c>
      <c r="D102" t="s">
        <v>726</v>
      </c>
      <c r="E102">
        <v>5.4082425964057379E-2</v>
      </c>
    </row>
    <row r="103" spans="2:5">
      <c r="B103" t="s">
        <v>824</v>
      </c>
      <c r="C103" t="s">
        <v>703</v>
      </c>
      <c r="D103" t="s">
        <v>724</v>
      </c>
      <c r="E103">
        <v>4.4259763128705075E-2</v>
      </c>
    </row>
    <row r="104" spans="2:5">
      <c r="B104" t="s">
        <v>825</v>
      </c>
      <c r="C104" t="s">
        <v>715</v>
      </c>
      <c r="D104" t="s">
        <v>716</v>
      </c>
      <c r="E104">
        <v>2.160985823777507E-2</v>
      </c>
    </row>
    <row r="105" spans="2:5">
      <c r="B105" t="s">
        <v>826</v>
      </c>
      <c r="C105" t="s">
        <v>696</v>
      </c>
      <c r="D105" t="s">
        <v>745</v>
      </c>
      <c r="E105">
        <v>2.4614437458000481E-2</v>
      </c>
    </row>
    <row r="106" spans="2:5">
      <c r="B106" t="s">
        <v>827</v>
      </c>
      <c r="C106" t="s">
        <v>696</v>
      </c>
      <c r="D106" t="s">
        <v>712</v>
      </c>
      <c r="E106">
        <v>9.8342189092762475E-2</v>
      </c>
    </row>
    <row r="107" spans="2:5">
      <c r="B107" t="s">
        <v>828</v>
      </c>
      <c r="C107" t="s">
        <v>696</v>
      </c>
      <c r="D107" t="s">
        <v>724</v>
      </c>
      <c r="E107">
        <v>4.4259763128705075E-2</v>
      </c>
    </row>
    <row r="108" spans="2:5">
      <c r="B108" t="s">
        <v>829</v>
      </c>
      <c r="C108" t="s">
        <v>728</v>
      </c>
      <c r="D108" t="s">
        <v>704</v>
      </c>
      <c r="E108">
        <v>3.5361586207268286E-2</v>
      </c>
    </row>
    <row r="109" spans="2:5">
      <c r="B109" t="s">
        <v>830</v>
      </c>
      <c r="C109" t="s">
        <v>706</v>
      </c>
      <c r="D109" t="s">
        <v>719</v>
      </c>
      <c r="E109">
        <v>0</v>
      </c>
    </row>
    <row r="110" spans="2:5">
      <c r="B110" t="s">
        <v>831</v>
      </c>
      <c r="C110" t="s">
        <v>718</v>
      </c>
      <c r="D110" t="s">
        <v>719</v>
      </c>
      <c r="E110">
        <v>0</v>
      </c>
    </row>
    <row r="111" spans="2:5">
      <c r="B111" t="s">
        <v>832</v>
      </c>
      <c r="C111" t="s">
        <v>711</v>
      </c>
      <c r="D111" t="s">
        <v>726</v>
      </c>
      <c r="E111">
        <v>5.4082425964057379E-2</v>
      </c>
    </row>
    <row r="112" spans="2:5">
      <c r="B112" t="s">
        <v>833</v>
      </c>
      <c r="C112" t="s">
        <v>696</v>
      </c>
      <c r="D112" t="s">
        <v>712</v>
      </c>
      <c r="E112">
        <v>9.8342189092762475E-2</v>
      </c>
    </row>
    <row r="113" spans="2:5">
      <c r="B113" t="s">
        <v>834</v>
      </c>
      <c r="C113" t="s">
        <v>696</v>
      </c>
      <c r="D113" t="s">
        <v>709</v>
      </c>
      <c r="E113">
        <v>6.3905088799409676E-2</v>
      </c>
    </row>
    <row r="114" spans="2:5">
      <c r="B114" t="s">
        <v>835</v>
      </c>
      <c r="C114" t="s">
        <v>706</v>
      </c>
      <c r="D114" t="s">
        <v>719</v>
      </c>
      <c r="E114">
        <v>0</v>
      </c>
    </row>
    <row r="115" spans="2:5">
      <c r="B115" t="s">
        <v>836</v>
      </c>
      <c r="C115" t="s">
        <v>700</v>
      </c>
      <c r="D115" t="s">
        <v>745</v>
      </c>
      <c r="E115">
        <v>2.4614437458000481E-2</v>
      </c>
    </row>
    <row r="116" spans="2:5">
      <c r="B116" t="s">
        <v>837</v>
      </c>
      <c r="C116" t="s">
        <v>728</v>
      </c>
      <c r="D116" t="s">
        <v>760</v>
      </c>
      <c r="E116">
        <v>8.851952625741015E-2</v>
      </c>
    </row>
    <row r="117" spans="2:5">
      <c r="B117" t="s">
        <v>838</v>
      </c>
      <c r="C117" t="s">
        <v>711</v>
      </c>
      <c r="D117" t="s">
        <v>716</v>
      </c>
      <c r="E117">
        <v>2.160985823777507E-2</v>
      </c>
    </row>
    <row r="118" spans="2:5">
      <c r="B118" t="s">
        <v>839</v>
      </c>
      <c r="C118" t="s">
        <v>728</v>
      </c>
      <c r="D118" t="s">
        <v>726</v>
      </c>
      <c r="E118">
        <v>5.4082425964057379E-2</v>
      </c>
    </row>
    <row r="119" spans="2:5">
      <c r="B119" t="s">
        <v>840</v>
      </c>
      <c r="C119" t="s">
        <v>711</v>
      </c>
      <c r="D119" t="s">
        <v>716</v>
      </c>
      <c r="E119">
        <v>2.160985823777507E-2</v>
      </c>
    </row>
    <row r="120" spans="2:5">
      <c r="B120" t="s">
        <v>841</v>
      </c>
      <c r="C120" t="s">
        <v>711</v>
      </c>
      <c r="D120" t="s">
        <v>707</v>
      </c>
      <c r="E120">
        <v>1.5716260536563685E-2</v>
      </c>
    </row>
    <row r="121" spans="2:5">
      <c r="B121" t="s">
        <v>842</v>
      </c>
      <c r="C121" t="s">
        <v>728</v>
      </c>
      <c r="D121" t="s">
        <v>790</v>
      </c>
      <c r="E121">
        <v>1.87208397567891E-2</v>
      </c>
    </row>
    <row r="122" spans="2:5">
      <c r="B122" t="s">
        <v>843</v>
      </c>
      <c r="C122" t="s">
        <v>703</v>
      </c>
      <c r="D122" t="s">
        <v>738</v>
      </c>
      <c r="E122">
        <v>8.3203732252395985E-3</v>
      </c>
    </row>
    <row r="123" spans="2:5">
      <c r="B123" t="s">
        <v>844</v>
      </c>
      <c r="C123" t="s">
        <v>706</v>
      </c>
      <c r="D123" t="s">
        <v>743</v>
      </c>
      <c r="E123">
        <v>1.1787195402422766E-2</v>
      </c>
    </row>
    <row r="124" spans="2:5">
      <c r="B124" t="s">
        <v>845</v>
      </c>
      <c r="C124" t="s">
        <v>700</v>
      </c>
      <c r="D124" t="s">
        <v>701</v>
      </c>
      <c r="E124">
        <v>4.8535510480564323E-3</v>
      </c>
    </row>
    <row r="125" spans="2:5">
      <c r="B125" t="s">
        <v>846</v>
      </c>
      <c r="C125" t="s">
        <v>700</v>
      </c>
      <c r="D125" t="s">
        <v>743</v>
      </c>
      <c r="E125">
        <v>1.1787195402422766E-2</v>
      </c>
    </row>
    <row r="126" spans="2:5">
      <c r="B126" t="s">
        <v>847</v>
      </c>
      <c r="C126" t="s">
        <v>703</v>
      </c>
      <c r="D126" t="s">
        <v>716</v>
      </c>
      <c r="E126">
        <v>2.160985823777507E-2</v>
      </c>
    </row>
    <row r="127" spans="2:5">
      <c r="B127" t="s">
        <v>848</v>
      </c>
      <c r="C127" t="s">
        <v>696</v>
      </c>
      <c r="D127" t="s">
        <v>726</v>
      </c>
      <c r="E127">
        <v>5.4082425964057379E-2</v>
      </c>
    </row>
    <row r="128" spans="2:5">
      <c r="B128" t="s">
        <v>849</v>
      </c>
      <c r="C128" t="s">
        <v>700</v>
      </c>
      <c r="D128" t="s">
        <v>733</v>
      </c>
      <c r="E128">
        <v>5.8935977012113828E-3</v>
      </c>
    </row>
    <row r="129" spans="2:5">
      <c r="B129" t="s">
        <v>850</v>
      </c>
      <c r="C129" t="s">
        <v>696</v>
      </c>
      <c r="D129" t="s">
        <v>709</v>
      </c>
      <c r="E129">
        <v>6.3905088799409676E-2</v>
      </c>
    </row>
    <row r="130" spans="2:5">
      <c r="B130" t="s">
        <v>851</v>
      </c>
      <c r="C130" t="s">
        <v>703</v>
      </c>
      <c r="D130" t="s">
        <v>764</v>
      </c>
      <c r="E130">
        <v>2.9583549245296346E-2</v>
      </c>
    </row>
    <row r="131" spans="2:5">
      <c r="B131" t="s">
        <v>852</v>
      </c>
      <c r="C131" t="s">
        <v>700</v>
      </c>
      <c r="D131" t="s">
        <v>745</v>
      </c>
      <c r="E131">
        <v>2.4614437458000481E-2</v>
      </c>
    </row>
    <row r="132" spans="2:5">
      <c r="B132" t="s">
        <v>853</v>
      </c>
      <c r="C132" t="s">
        <v>728</v>
      </c>
      <c r="D132" t="s">
        <v>719</v>
      </c>
      <c r="E132">
        <v>0</v>
      </c>
    </row>
    <row r="133" spans="2:5">
      <c r="B133" t="s">
        <v>854</v>
      </c>
      <c r="C133" t="s">
        <v>703</v>
      </c>
      <c r="D133" t="s">
        <v>743</v>
      </c>
      <c r="E133">
        <v>1.1787195402422766E-2</v>
      </c>
    </row>
    <row r="134" spans="2:5">
      <c r="B134" t="s">
        <v>855</v>
      </c>
      <c r="C134" t="s">
        <v>703</v>
      </c>
      <c r="D134" t="s">
        <v>743</v>
      </c>
      <c r="E134">
        <v>1.1787195402422766E-2</v>
      </c>
    </row>
    <row r="135" spans="2:5">
      <c r="B135" t="s">
        <v>856</v>
      </c>
      <c r="C135" t="s">
        <v>728</v>
      </c>
      <c r="D135" t="s">
        <v>735</v>
      </c>
      <c r="E135">
        <v>7.3727751634761987E-2</v>
      </c>
    </row>
    <row r="136" spans="2:5">
      <c r="B136" t="s">
        <v>857</v>
      </c>
      <c r="C136" t="s">
        <v>696</v>
      </c>
      <c r="D136" t="s">
        <v>764</v>
      </c>
      <c r="E136">
        <v>2.9583549245296346E-2</v>
      </c>
    </row>
    <row r="137" spans="2:5">
      <c r="B137" t="s">
        <v>858</v>
      </c>
      <c r="C137" t="s">
        <v>706</v>
      </c>
      <c r="D137" t="s">
        <v>707</v>
      </c>
      <c r="E137">
        <v>1.5716260536563685E-2</v>
      </c>
    </row>
    <row r="138" spans="2:5">
      <c r="B138" t="s">
        <v>859</v>
      </c>
      <c r="C138" t="s">
        <v>728</v>
      </c>
      <c r="D138" t="s">
        <v>740</v>
      </c>
      <c r="E138">
        <v>0.11798751476346708</v>
      </c>
    </row>
    <row r="139" spans="2:5">
      <c r="B139" t="s">
        <v>860</v>
      </c>
      <c r="C139" t="s">
        <v>715</v>
      </c>
      <c r="D139" t="s">
        <v>764</v>
      </c>
      <c r="E139">
        <v>2.9583549245296346E-2</v>
      </c>
    </row>
    <row r="140" spans="2:5">
      <c r="B140" t="s">
        <v>861</v>
      </c>
      <c r="C140" t="s">
        <v>715</v>
      </c>
      <c r="D140" t="s">
        <v>709</v>
      </c>
      <c r="E140">
        <v>6.3905088799409676E-2</v>
      </c>
    </row>
    <row r="141" spans="2:5">
      <c r="B141" t="s">
        <v>862</v>
      </c>
      <c r="C141" t="s">
        <v>711</v>
      </c>
      <c r="D141" t="s">
        <v>735</v>
      </c>
      <c r="E141">
        <v>7.3727751634761987E-2</v>
      </c>
    </row>
    <row r="142" spans="2:5">
      <c r="B142" t="s">
        <v>863</v>
      </c>
      <c r="C142" t="s">
        <v>696</v>
      </c>
      <c r="D142" t="s">
        <v>726</v>
      </c>
      <c r="E142">
        <v>5.4082425964057379E-2</v>
      </c>
    </row>
    <row r="143" spans="2:5">
      <c r="B143" t="s">
        <v>864</v>
      </c>
      <c r="C143" t="s">
        <v>706</v>
      </c>
      <c r="D143" t="s">
        <v>719</v>
      </c>
      <c r="E143">
        <v>0</v>
      </c>
    </row>
    <row r="144" spans="2:5">
      <c r="B144" t="s">
        <v>865</v>
      </c>
      <c r="C144" t="s">
        <v>706</v>
      </c>
      <c r="D144" t="s">
        <v>719</v>
      </c>
      <c r="E144">
        <v>0</v>
      </c>
    </row>
    <row r="145" spans="2:5">
      <c r="B145" t="s">
        <v>866</v>
      </c>
      <c r="C145" t="s">
        <v>728</v>
      </c>
      <c r="D145" t="s">
        <v>733</v>
      </c>
      <c r="E145">
        <v>5.8935977012113828E-3</v>
      </c>
    </row>
    <row r="146" spans="2:5">
      <c r="B146" t="s">
        <v>867</v>
      </c>
      <c r="C146" t="s">
        <v>703</v>
      </c>
      <c r="D146" t="s">
        <v>709</v>
      </c>
      <c r="E146">
        <v>6.3905088799409676E-2</v>
      </c>
    </row>
    <row r="147" spans="2:5">
      <c r="B147" t="s">
        <v>868</v>
      </c>
      <c r="C147" t="s">
        <v>696</v>
      </c>
      <c r="D147" t="s">
        <v>724</v>
      </c>
      <c r="E147">
        <v>4.4259763128705075E-2</v>
      </c>
    </row>
    <row r="148" spans="2:5">
      <c r="B148" t="s">
        <v>869</v>
      </c>
      <c r="C148" t="s">
        <v>728</v>
      </c>
      <c r="D148" t="s">
        <v>707</v>
      </c>
      <c r="E148">
        <v>1.5716260536563685E-2</v>
      </c>
    </row>
    <row r="149" spans="2:5">
      <c r="B149" t="s">
        <v>870</v>
      </c>
      <c r="C149" t="s">
        <v>696</v>
      </c>
      <c r="D149" t="s">
        <v>709</v>
      </c>
      <c r="E149">
        <v>6.3905088799409676E-2</v>
      </c>
    </row>
    <row r="150" spans="2:5">
      <c r="B150" t="s">
        <v>871</v>
      </c>
      <c r="C150" t="s">
        <v>715</v>
      </c>
      <c r="D150" t="s">
        <v>764</v>
      </c>
      <c r="E150">
        <v>2.9583549245296346E-2</v>
      </c>
    </row>
    <row r="151" spans="2:5">
      <c r="B151" t="s">
        <v>872</v>
      </c>
      <c r="C151" t="s">
        <v>696</v>
      </c>
      <c r="D151" t="s">
        <v>735</v>
      </c>
      <c r="E151">
        <v>7.3727751634761987E-2</v>
      </c>
    </row>
    <row r="152" spans="2:5">
      <c r="B152" t="s">
        <v>873</v>
      </c>
      <c r="C152" t="s">
        <v>706</v>
      </c>
      <c r="D152" t="s">
        <v>724</v>
      </c>
      <c r="E152">
        <v>4.4259763128705075E-2</v>
      </c>
    </row>
    <row r="153" spans="2:5">
      <c r="B153" t="s">
        <v>874</v>
      </c>
      <c r="C153" t="s">
        <v>715</v>
      </c>
      <c r="D153" t="s">
        <v>707</v>
      </c>
      <c r="E153">
        <v>1.5716260536563685E-2</v>
      </c>
    </row>
    <row r="154" spans="2:5">
      <c r="B154" t="s">
        <v>875</v>
      </c>
      <c r="C154" t="s">
        <v>696</v>
      </c>
      <c r="D154" t="s">
        <v>709</v>
      </c>
      <c r="E154">
        <v>6.3905088799409676E-2</v>
      </c>
    </row>
    <row r="155" spans="2:5">
      <c r="B155" t="s">
        <v>876</v>
      </c>
      <c r="C155" t="s">
        <v>703</v>
      </c>
      <c r="D155" t="s">
        <v>740</v>
      </c>
      <c r="E155">
        <v>0.11798751476346708</v>
      </c>
    </row>
    <row r="156" spans="2:5">
      <c r="B156" t="s">
        <v>877</v>
      </c>
      <c r="C156" t="s">
        <v>700</v>
      </c>
      <c r="D156" t="s">
        <v>701</v>
      </c>
      <c r="E156">
        <v>4.8535510480564323E-3</v>
      </c>
    </row>
    <row r="157" spans="2:5">
      <c r="B157" t="s">
        <v>880</v>
      </c>
      <c r="C157" t="s">
        <v>711</v>
      </c>
      <c r="D157" t="s">
        <v>707</v>
      </c>
      <c r="E157">
        <v>1.5716260536563685E-2</v>
      </c>
    </row>
    <row r="158" spans="2:5">
      <c r="B158" t="s">
        <v>881</v>
      </c>
      <c r="C158" t="s">
        <v>703</v>
      </c>
      <c r="D158" t="s">
        <v>704</v>
      </c>
      <c r="E158">
        <v>3.5361586207268286E-2</v>
      </c>
    </row>
    <row r="159" spans="2:5">
      <c r="B159" t="s">
        <v>882</v>
      </c>
      <c r="C159" t="s">
        <v>711</v>
      </c>
      <c r="D159" t="s">
        <v>731</v>
      </c>
      <c r="E159">
        <v>0.17499999999999999</v>
      </c>
    </row>
    <row r="160" spans="2:5">
      <c r="B160" t="s">
        <v>883</v>
      </c>
      <c r="C160" t="s">
        <v>728</v>
      </c>
      <c r="D160" t="s">
        <v>764</v>
      </c>
      <c r="E160">
        <v>2.9583549245296346E-2</v>
      </c>
    </row>
    <row r="161" spans="2:5">
      <c r="B161" t="s">
        <v>884</v>
      </c>
      <c r="C161" t="s">
        <v>696</v>
      </c>
      <c r="D161" t="s">
        <v>760</v>
      </c>
      <c r="E161">
        <v>8.851952625741015E-2</v>
      </c>
    </row>
  </sheetData>
  <sheetProtection algorithmName="SHA-512" hashValue="g305c7KJZj6TCliOg+2XTMv5nW5cHBML8lvwth36yq/pYud7VjNdFqxs1n8Bsn0KQGv9dDaMO5jrl8nY8IliDg==" saltValue="waKLFD0VmXkh7jTvfMTEug==" spinCount="100000" sheet="1" objects="1" scenarios="1"/>
  <autoFilter ref="B4:E4" xr:uid="{9C24947F-375C-4E61-9C0E-3A7D461CFB86}"/>
  <mergeCells count="1">
    <mergeCell ref="L5:M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E0D8D-4EB3-4B40-956E-10AF7B71E75C}">
  <sheetPr>
    <pageSetUpPr autoPageBreaks="0"/>
  </sheetPr>
  <dimension ref="A1:V127"/>
  <sheetViews>
    <sheetView showGridLines="0" topLeftCell="A2" zoomScale="90" zoomScaleNormal="100" workbookViewId="0">
      <pane xSplit="3" ySplit="9" topLeftCell="D11" activePane="bottomRight" state="frozen"/>
      <selection activeCell="I6" sqref="I6"/>
      <selection pane="topRight" activeCell="I6" sqref="I6"/>
      <selection pane="bottomLeft" activeCell="I6" sqref="I6"/>
      <selection pane="bottomRight"/>
    </sheetView>
  </sheetViews>
  <sheetFormatPr defaultRowHeight="15" outlineLevelRow="1"/>
  <cols>
    <col min="1" max="1" width="1.85546875" customWidth="1"/>
    <col min="2" max="2" width="49.140625" customWidth="1"/>
    <col min="3" max="3" width="9" customWidth="1"/>
    <col min="4" max="9" width="10" customWidth="1"/>
    <col min="10" max="10" width="9.85546875" customWidth="1"/>
    <col min="11" max="16" width="10" customWidth="1"/>
  </cols>
  <sheetData>
    <row r="1" spans="1:22">
      <c r="M1" s="199"/>
    </row>
    <row r="2" spans="1:22" ht="21">
      <c r="B2" s="29" t="str">
        <f>'Input Sheet'!C5</f>
        <v>Epigral Ltd.</v>
      </c>
      <c r="C2" s="163">
        <v>46041</v>
      </c>
      <c r="D2" s="163"/>
      <c r="E2" s="163"/>
      <c r="L2" s="216"/>
      <c r="M2" s="199" t="s">
        <v>424</v>
      </c>
      <c r="N2" s="216"/>
      <c r="O2" s="216"/>
    </row>
    <row r="3" spans="1:22">
      <c r="B3" t="s">
        <v>32</v>
      </c>
      <c r="H3" t="s">
        <v>39</v>
      </c>
      <c r="I3">
        <v>1</v>
      </c>
      <c r="L3" s="216"/>
      <c r="M3" s="199" t="s">
        <v>425</v>
      </c>
      <c r="N3" s="216"/>
      <c r="O3" s="216"/>
    </row>
    <row r="4" spans="1:22">
      <c r="L4" s="216"/>
      <c r="M4" s="199" t="s">
        <v>426</v>
      </c>
      <c r="N4" s="216"/>
      <c r="O4" s="216"/>
    </row>
    <row r="7" spans="1:22">
      <c r="D7" s="577" t="s">
        <v>33</v>
      </c>
      <c r="E7" s="577"/>
      <c r="F7" s="577"/>
      <c r="G7" s="577"/>
      <c r="H7" s="577"/>
      <c r="I7" s="578" t="s">
        <v>1123</v>
      </c>
      <c r="J7" s="578"/>
      <c r="K7" s="578"/>
      <c r="L7" s="578"/>
      <c r="M7" s="578"/>
      <c r="N7" s="578"/>
      <c r="O7" s="578"/>
      <c r="P7" s="578"/>
      <c r="Q7" s="579" t="s">
        <v>1000</v>
      </c>
      <c r="R7" s="579"/>
      <c r="S7" s="579"/>
      <c r="T7" s="579"/>
      <c r="U7" s="579"/>
      <c r="V7" s="579"/>
    </row>
    <row r="8" spans="1:22">
      <c r="B8" s="30" t="s">
        <v>34</v>
      </c>
      <c r="C8" s="31"/>
      <c r="D8" s="32">
        <f>' Income Statement'!D6</f>
        <v>2021</v>
      </c>
      <c r="E8" s="32">
        <f>' Income Statement'!E6</f>
        <v>2022</v>
      </c>
      <c r="F8" s="32">
        <f>' Income Statement'!F6</f>
        <v>2023</v>
      </c>
      <c r="G8" s="32">
        <f>' Income Statement'!G6</f>
        <v>2024</v>
      </c>
      <c r="H8" s="32">
        <f>' Income Statement'!H6</f>
        <v>2025</v>
      </c>
      <c r="I8" s="32">
        <f t="shared" ref="I8:P8" si="0">H8+1</f>
        <v>2026</v>
      </c>
      <c r="J8" s="32">
        <f t="shared" si="0"/>
        <v>2027</v>
      </c>
      <c r="K8" s="32">
        <f t="shared" si="0"/>
        <v>2028</v>
      </c>
      <c r="L8" s="32">
        <f t="shared" si="0"/>
        <v>2029</v>
      </c>
      <c r="M8" s="32">
        <f t="shared" si="0"/>
        <v>2030</v>
      </c>
      <c r="N8" s="32">
        <f t="shared" si="0"/>
        <v>2031</v>
      </c>
      <c r="O8" s="32">
        <f t="shared" si="0"/>
        <v>2032</v>
      </c>
      <c r="P8" s="32">
        <f t="shared" si="0"/>
        <v>2033</v>
      </c>
      <c r="Q8" s="32">
        <f t="shared" ref="Q8" si="1">P8+1</f>
        <v>2034</v>
      </c>
      <c r="R8" s="32">
        <f t="shared" ref="R8" si="2">Q8+1</f>
        <v>2035</v>
      </c>
      <c r="S8" s="32">
        <f t="shared" ref="S8" si="3">R8+1</f>
        <v>2036</v>
      </c>
      <c r="T8" s="32">
        <f t="shared" ref="T8" si="4">S8+1</f>
        <v>2037</v>
      </c>
      <c r="U8" s="32">
        <f t="shared" ref="U8" si="5">T8+1</f>
        <v>2038</v>
      </c>
      <c r="V8" s="32">
        <f t="shared" ref="V8" si="6">U8+1</f>
        <v>2039</v>
      </c>
    </row>
    <row r="9" spans="1:22">
      <c r="B9" s="94"/>
      <c r="D9" s="96"/>
      <c r="E9" s="96"/>
      <c r="F9" s="96"/>
      <c r="G9" s="96"/>
      <c r="H9" s="96"/>
      <c r="I9" s="96"/>
      <c r="J9" s="96"/>
      <c r="K9" s="96"/>
      <c r="L9" s="96"/>
      <c r="M9" s="96"/>
      <c r="N9" s="96"/>
      <c r="O9" s="96"/>
      <c r="P9" s="96"/>
    </row>
    <row r="10" spans="1:22">
      <c r="B10" s="166" t="s">
        <v>669</v>
      </c>
      <c r="C10" s="166"/>
      <c r="D10" s="166"/>
      <c r="E10" s="166"/>
      <c r="F10" s="166"/>
      <c r="G10" s="166"/>
      <c r="H10" s="166"/>
      <c r="I10" s="166"/>
      <c r="J10" s="166"/>
      <c r="K10" s="166"/>
      <c r="L10" s="166"/>
      <c r="M10" s="166"/>
      <c r="N10" s="198"/>
      <c r="O10" s="198"/>
      <c r="P10" s="198"/>
      <c r="Q10" s="198"/>
      <c r="R10" s="198"/>
      <c r="S10" s="198"/>
      <c r="T10" s="198"/>
      <c r="U10" s="198"/>
      <c r="V10" s="198"/>
    </row>
    <row r="12" spans="1:22">
      <c r="A12" t="s">
        <v>35</v>
      </c>
      <c r="B12" s="166" t="s">
        <v>670</v>
      </c>
      <c r="C12" s="166"/>
      <c r="D12" s="166"/>
      <c r="E12" s="166"/>
      <c r="F12" s="166"/>
      <c r="G12" s="166"/>
      <c r="H12" s="166"/>
      <c r="I12" s="166"/>
      <c r="J12" s="166"/>
      <c r="K12" s="166"/>
      <c r="L12" s="166"/>
      <c r="M12" s="166"/>
      <c r="N12" s="198"/>
      <c r="O12" s="198"/>
      <c r="P12" s="198"/>
      <c r="Q12" s="198"/>
      <c r="R12" s="198"/>
      <c r="S12" s="198"/>
      <c r="T12" s="198"/>
      <c r="U12" s="198"/>
      <c r="V12" s="198"/>
    </row>
    <row r="13" spans="1:22" outlineLevel="1">
      <c r="B13" s="189"/>
      <c r="C13" s="189"/>
      <c r="D13" s="189"/>
      <c r="E13" s="189"/>
      <c r="F13" s="189"/>
      <c r="G13" s="189"/>
      <c r="H13" s="189"/>
      <c r="I13" s="189"/>
      <c r="J13" s="189"/>
      <c r="K13" s="189"/>
      <c r="L13" s="189"/>
      <c r="M13" s="189"/>
    </row>
    <row r="14" spans="1:22" outlineLevel="1">
      <c r="B14" s="39" t="s">
        <v>427</v>
      </c>
      <c r="J14" s="55"/>
      <c r="K14" s="55"/>
      <c r="L14" s="55"/>
      <c r="M14" s="55"/>
      <c r="N14" s="55"/>
      <c r="O14" s="55"/>
    </row>
    <row r="15" spans="1:22" outlineLevel="1">
      <c r="B15" s="35" t="s">
        <v>36</v>
      </c>
      <c r="C15" s="36"/>
      <c r="D15" s="201">
        <f>' Income Statement'!D12</f>
        <v>0</v>
      </c>
      <c r="E15" s="201">
        <f>' Income Statement'!E12</f>
        <v>0.77927927927927931</v>
      </c>
      <c r="F15" s="201">
        <f>' Income Statement'!F12</f>
        <v>0.35822784810126573</v>
      </c>
      <c r="G15" s="201">
        <f>' Income Statement'!G12</f>
        <v>-0.19105312208760483</v>
      </c>
      <c r="H15" s="201">
        <f>' Income Statement'!H12</f>
        <v>0.37903225806451624</v>
      </c>
      <c r="I15" s="40">
        <v>0.16</v>
      </c>
      <c r="J15" s="40">
        <v>0.22</v>
      </c>
      <c r="K15" s="40">
        <v>0.25</v>
      </c>
      <c r="L15" s="40">
        <v>0.25</v>
      </c>
      <c r="M15" s="200">
        <f>L$15-(($L$15-$P$15)/($P$8-$L$8))</f>
        <v>0.23249999999999998</v>
      </c>
      <c r="N15" s="200">
        <f>M$15-(($L$15-$P$15)/($P$8-$L$8))</f>
        <v>0.21499999999999997</v>
      </c>
      <c r="O15" s="200">
        <f>N$15-(($L$15-$P$15)/($P$8-$L$8))</f>
        <v>0.19749999999999995</v>
      </c>
      <c r="P15" s="40">
        <v>0.18</v>
      </c>
      <c r="Q15" s="40">
        <v>0.15</v>
      </c>
      <c r="R15" s="40">
        <v>0.14000000000000001</v>
      </c>
      <c r="S15" s="40">
        <v>0.12</v>
      </c>
      <c r="T15" s="40">
        <v>0.1</v>
      </c>
      <c r="U15" s="40">
        <v>0.08</v>
      </c>
      <c r="V15" s="40">
        <v>0.05</v>
      </c>
    </row>
    <row r="16" spans="1:22" outlineLevel="1">
      <c r="B16" s="35" t="s">
        <v>37</v>
      </c>
      <c r="C16" s="36"/>
      <c r="D16" s="200">
        <f>D15</f>
        <v>0</v>
      </c>
      <c r="E16" s="200">
        <f t="shared" ref="E16:H17" si="7">E15</f>
        <v>0.77927927927927931</v>
      </c>
      <c r="F16" s="200">
        <f t="shared" si="7"/>
        <v>0.35822784810126573</v>
      </c>
      <c r="G16" s="200">
        <f t="shared" si="7"/>
        <v>-0.19105312208760483</v>
      </c>
      <c r="H16" s="200">
        <f t="shared" si="7"/>
        <v>0.37903225806451624</v>
      </c>
      <c r="I16" s="40">
        <v>0.15</v>
      </c>
      <c r="J16" s="40">
        <v>0.2</v>
      </c>
      <c r="K16" s="40">
        <v>0.18</v>
      </c>
      <c r="L16" s="200">
        <f>K$16-(($K$16-$P$16)/($P$8-$K$8))</f>
        <v>0.17399999999999999</v>
      </c>
      <c r="M16" s="200">
        <f>L$16-(($K$16-$P$16)/($P$8-$K$8))</f>
        <v>0.16799999999999998</v>
      </c>
      <c r="N16" s="200">
        <f t="shared" ref="N16:O16" si="8">M$16-(($K$16-$P$16)/($P$8-$K$8))</f>
        <v>0.16199999999999998</v>
      </c>
      <c r="O16" s="200">
        <f t="shared" si="8"/>
        <v>0.15599999999999997</v>
      </c>
      <c r="P16" s="40">
        <v>0.15</v>
      </c>
      <c r="Q16" s="40">
        <v>0.15</v>
      </c>
      <c r="R16" s="40">
        <v>0.15</v>
      </c>
      <c r="S16" s="40">
        <v>0.15</v>
      </c>
      <c r="T16" s="40">
        <v>0.15</v>
      </c>
      <c r="U16" s="40">
        <v>0.15</v>
      </c>
      <c r="V16" s="40">
        <v>0.15</v>
      </c>
    </row>
    <row r="17" spans="1:22" outlineLevel="1">
      <c r="B17" s="35" t="s">
        <v>38</v>
      </c>
      <c r="C17" s="36"/>
      <c r="D17" s="200">
        <f>D16</f>
        <v>0</v>
      </c>
      <c r="E17" s="200">
        <f t="shared" si="7"/>
        <v>0.77927927927927931</v>
      </c>
      <c r="F17" s="200">
        <f t="shared" si="7"/>
        <v>0.35822784810126573</v>
      </c>
      <c r="G17" s="200">
        <f t="shared" si="7"/>
        <v>-0.19105312208760483</v>
      </c>
      <c r="H17" s="200">
        <f t="shared" si="7"/>
        <v>0.37903225806451624</v>
      </c>
      <c r="I17" s="40">
        <v>0.13</v>
      </c>
      <c r="J17" s="40">
        <v>0.2</v>
      </c>
      <c r="K17" s="200">
        <f t="shared" ref="K17:O17" si="9">J$17-(($I$17-$P$17)/($P$8-$I$8))</f>
        <v>0.19857142857142859</v>
      </c>
      <c r="L17" s="200">
        <f>K$17-(($I$17-$P$17)/($P$8-$I$8))</f>
        <v>0.19714285714285718</v>
      </c>
      <c r="M17" s="200">
        <f t="shared" si="9"/>
        <v>0.19571428571428576</v>
      </c>
      <c r="N17" s="200">
        <f t="shared" si="9"/>
        <v>0.19428571428571434</v>
      </c>
      <c r="O17" s="200">
        <f t="shared" si="9"/>
        <v>0.19285714285714292</v>
      </c>
      <c r="P17" s="40">
        <v>0.12</v>
      </c>
      <c r="Q17" s="40">
        <v>0.12</v>
      </c>
      <c r="R17" s="40">
        <v>0.12</v>
      </c>
      <c r="S17" s="40">
        <v>0.12</v>
      </c>
      <c r="T17" s="40">
        <v>0.12</v>
      </c>
      <c r="U17" s="40">
        <v>0.12</v>
      </c>
      <c r="V17" s="40">
        <v>0.12</v>
      </c>
    </row>
    <row r="18" spans="1:22" outlineLevel="1">
      <c r="B18" s="38" t="str">
        <f>"Current Case - "&amp;CHOOSE($I$3,B15,B16,B17)</f>
        <v xml:space="preserve">Current Case - Management Case </v>
      </c>
      <c r="C18" s="37"/>
      <c r="D18" s="37"/>
      <c r="E18" s="37"/>
      <c r="F18" s="37"/>
      <c r="G18" s="37"/>
      <c r="H18" s="37"/>
      <c r="I18" s="43">
        <f t="shared" ref="I18:O18" si="10">CHOOSE($I$3,I15,I16,I17,)</f>
        <v>0.16</v>
      </c>
      <c r="J18" s="43">
        <f t="shared" si="10"/>
        <v>0.22</v>
      </c>
      <c r="K18" s="43">
        <f t="shared" si="10"/>
        <v>0.25</v>
      </c>
      <c r="L18" s="43">
        <f t="shared" si="10"/>
        <v>0.25</v>
      </c>
      <c r="M18" s="43">
        <f t="shared" si="10"/>
        <v>0.23249999999999998</v>
      </c>
      <c r="N18" s="43">
        <f t="shared" si="10"/>
        <v>0.21499999999999997</v>
      </c>
      <c r="O18" s="43">
        <f t="shared" si="10"/>
        <v>0.19749999999999995</v>
      </c>
      <c r="P18" s="43">
        <f>CHOOSE($I$3,P15,P16,P17,)</f>
        <v>0.18</v>
      </c>
      <c r="Q18" s="43">
        <f t="shared" ref="Q18:V18" si="11">CHOOSE($I$3,Q15,Q16,Q17,)</f>
        <v>0.15</v>
      </c>
      <c r="R18" s="43">
        <f t="shared" si="11"/>
        <v>0.14000000000000001</v>
      </c>
      <c r="S18" s="43">
        <f t="shared" si="11"/>
        <v>0.12</v>
      </c>
      <c r="T18" s="43">
        <f t="shared" si="11"/>
        <v>0.1</v>
      </c>
      <c r="U18" s="43">
        <f t="shared" si="11"/>
        <v>0.08</v>
      </c>
      <c r="V18" s="43">
        <f t="shared" si="11"/>
        <v>0.05</v>
      </c>
    </row>
    <row r="19" spans="1:22">
      <c r="B19" s="189"/>
      <c r="C19" s="189"/>
      <c r="D19" s="189"/>
      <c r="E19" s="189"/>
      <c r="F19" s="189"/>
      <c r="G19" s="189"/>
      <c r="H19" s="189"/>
      <c r="I19" s="189"/>
      <c r="J19" s="189"/>
      <c r="K19" s="189"/>
      <c r="L19" s="189"/>
      <c r="M19" s="189"/>
    </row>
    <row r="20" spans="1:22">
      <c r="A20" t="s">
        <v>35</v>
      </c>
      <c r="B20" s="166" t="s">
        <v>671</v>
      </c>
      <c r="C20" s="166"/>
      <c r="D20" s="166"/>
      <c r="E20" s="166"/>
      <c r="F20" s="166"/>
      <c r="G20" s="166"/>
      <c r="H20" s="166"/>
      <c r="I20" s="166"/>
      <c r="J20" s="166"/>
      <c r="K20" s="166"/>
      <c r="L20" s="166"/>
      <c r="M20" s="166"/>
      <c r="N20" s="166"/>
      <c r="O20" s="166"/>
      <c r="P20" s="166"/>
      <c r="Q20" s="166"/>
      <c r="R20" s="166"/>
      <c r="S20" s="166"/>
      <c r="T20" s="166"/>
      <c r="U20" s="166"/>
      <c r="V20" s="166"/>
    </row>
    <row r="21" spans="1:22" s="202" customFormat="1" outlineLevel="1"/>
    <row r="22" spans="1:22" s="202" customFormat="1" outlineLevel="1">
      <c r="B22" s="39" t="s">
        <v>453</v>
      </c>
      <c r="C22"/>
      <c r="D22"/>
      <c r="E22"/>
      <c r="F22"/>
      <c r="G22"/>
      <c r="H22"/>
      <c r="I22"/>
      <c r="J22" s="55"/>
      <c r="K22" s="55"/>
      <c r="L22" s="55"/>
      <c r="M22" s="55"/>
      <c r="N22" s="55"/>
      <c r="O22" s="55"/>
      <c r="P22"/>
      <c r="Q22"/>
      <c r="R22"/>
      <c r="S22"/>
      <c r="T22"/>
      <c r="U22"/>
      <c r="V22"/>
    </row>
    <row r="23" spans="1:22" s="202" customFormat="1" outlineLevel="1">
      <c r="B23" s="35" t="s">
        <v>36</v>
      </c>
      <c r="C23" s="36"/>
      <c r="D23" s="201">
        <f>' Income Statement'!D14</f>
        <v>0.53558504221954162</v>
      </c>
      <c r="E23" s="201">
        <f>' Income Statement'!E14</f>
        <v>0.50934880722114761</v>
      </c>
      <c r="F23" s="201">
        <f>' Income Statement'!F14</f>
        <v>0.49040219378427785</v>
      </c>
      <c r="G23" s="201">
        <f>' Income Statement'!G14</f>
        <v>0.44997407983411097</v>
      </c>
      <c r="H23" s="201">
        <f>' Income Statement'!H14</f>
        <v>0.46941176470588231</v>
      </c>
      <c r="I23" s="40">
        <v>0.45</v>
      </c>
      <c r="J23" s="40">
        <v>0.45600000000000002</v>
      </c>
      <c r="K23" s="40">
        <v>0.45600000000000002</v>
      </c>
      <c r="L23" s="200">
        <f>K$23-(($K$23-$P$23)/($P$8-$K$8))</f>
        <v>0.46079999999999999</v>
      </c>
      <c r="M23" s="200">
        <f>L$23-(($K$23-$P$23)/($P$8-$K$8))</f>
        <v>0.46559999999999996</v>
      </c>
      <c r="N23" s="200">
        <f t="shared" ref="N23:O23" si="12">M$23-(($K$23-$P$23)/($P$8-$K$8))</f>
        <v>0.47039999999999993</v>
      </c>
      <c r="O23" s="200">
        <f t="shared" si="12"/>
        <v>0.4751999999999999</v>
      </c>
      <c r="P23" s="40">
        <v>0.48</v>
      </c>
      <c r="Q23" s="40">
        <v>0.51</v>
      </c>
      <c r="R23" s="40">
        <v>0.51</v>
      </c>
      <c r="S23" s="40">
        <v>0.51</v>
      </c>
      <c r="T23" s="40">
        <v>0.52</v>
      </c>
      <c r="U23" s="40">
        <v>0.52</v>
      </c>
      <c r="V23" s="40">
        <v>0.52</v>
      </c>
    </row>
    <row r="24" spans="1:22" s="202" customFormat="1" outlineLevel="1">
      <c r="B24" s="35" t="s">
        <v>37</v>
      </c>
      <c r="C24" s="36"/>
      <c r="D24" s="200">
        <f>D23</f>
        <v>0.53558504221954162</v>
      </c>
      <c r="E24" s="200">
        <f t="shared" ref="E24:H24" si="13">E23</f>
        <v>0.50934880722114761</v>
      </c>
      <c r="F24" s="200">
        <f t="shared" si="13"/>
        <v>0.49040219378427785</v>
      </c>
      <c r="G24" s="200">
        <f t="shared" si="13"/>
        <v>0.44997407983411097</v>
      </c>
      <c r="H24" s="200">
        <f t="shared" si="13"/>
        <v>0.46941176470588231</v>
      </c>
      <c r="I24" s="40">
        <v>0.47</v>
      </c>
      <c r="J24" s="40">
        <v>0.47</v>
      </c>
      <c r="K24" s="40">
        <v>0.49</v>
      </c>
      <c r="L24" s="200">
        <f>K$24-(($K$24-$P$24)/($P$8-$K$8))</f>
        <v>0.48199999999999998</v>
      </c>
      <c r="M24" s="200">
        <f>L$24-(($K$24-$P$24)/($P$8-$K$8))</f>
        <v>0.47399999999999998</v>
      </c>
      <c r="N24" s="200">
        <f t="shared" ref="N24:O24" si="14">M$24-(($K$24-$P$24)/($P$8-$K$8))</f>
        <v>0.46599999999999997</v>
      </c>
      <c r="O24" s="200">
        <f t="shared" si="14"/>
        <v>0.45799999999999996</v>
      </c>
      <c r="P24" s="40">
        <v>0.45</v>
      </c>
      <c r="Q24" s="40">
        <v>0.45</v>
      </c>
      <c r="R24" s="40">
        <v>0.45</v>
      </c>
      <c r="S24" s="40">
        <v>0.45</v>
      </c>
      <c r="T24" s="40">
        <v>0.45</v>
      </c>
      <c r="U24" s="40">
        <v>0.45</v>
      </c>
      <c r="V24" s="40">
        <v>0.45</v>
      </c>
    </row>
    <row r="25" spans="1:22" s="202" customFormat="1" outlineLevel="1">
      <c r="B25" s="35" t="s">
        <v>38</v>
      </c>
      <c r="C25" s="36"/>
      <c r="D25" s="200">
        <f>D24</f>
        <v>0.53558504221954162</v>
      </c>
      <c r="E25" s="200">
        <f t="shared" ref="E25:H25" si="15">E24</f>
        <v>0.50934880722114761</v>
      </c>
      <c r="F25" s="200">
        <f t="shared" si="15"/>
        <v>0.49040219378427785</v>
      </c>
      <c r="G25" s="200">
        <f t="shared" si="15"/>
        <v>0.44997407983411097</v>
      </c>
      <c r="H25" s="200">
        <f t="shared" si="15"/>
        <v>0.46941176470588231</v>
      </c>
      <c r="I25" s="40">
        <v>0.45</v>
      </c>
      <c r="J25" s="200">
        <f>I$25-(($I$25-$P$25)/($P$8-$I$8))</f>
        <v>0.43</v>
      </c>
      <c r="K25" s="200">
        <f t="shared" ref="K25:O25" si="16">J$25-(($I$25-$P$25)/($P$8-$I$8))</f>
        <v>0.41</v>
      </c>
      <c r="L25" s="200">
        <f t="shared" si="16"/>
        <v>0.38999999999999996</v>
      </c>
      <c r="M25" s="200">
        <f t="shared" si="16"/>
        <v>0.36999999999999994</v>
      </c>
      <c r="N25" s="200">
        <f t="shared" si="16"/>
        <v>0.34999999999999992</v>
      </c>
      <c r="O25" s="200">
        <f t="shared" si="16"/>
        <v>0.3299999999999999</v>
      </c>
      <c r="P25" s="40">
        <v>0.31</v>
      </c>
      <c r="Q25" s="40">
        <v>0.31</v>
      </c>
      <c r="R25" s="40">
        <v>0.31</v>
      </c>
      <c r="S25" s="40">
        <v>0.31</v>
      </c>
      <c r="T25" s="40">
        <v>0.31</v>
      </c>
      <c r="U25" s="40">
        <v>0.31</v>
      </c>
      <c r="V25" s="40">
        <v>0.31</v>
      </c>
    </row>
    <row r="26" spans="1:22" s="202" customFormat="1" outlineLevel="1">
      <c r="B26" s="38" t="str">
        <f>"Current Case - "&amp;CHOOSE($I$3,B23,B24,B25)</f>
        <v xml:space="preserve">Current Case - Management Case </v>
      </c>
      <c r="C26" s="37"/>
      <c r="D26" s="37"/>
      <c r="E26" s="37"/>
      <c r="F26" s="37"/>
      <c r="G26" s="37"/>
      <c r="H26" s="37"/>
      <c r="I26" s="43">
        <f>CHOOSE($I$3,I23,I24,I25,)</f>
        <v>0.45</v>
      </c>
      <c r="J26" s="43">
        <f>CHOOSE($I$3,J23,J24,J25,)</f>
        <v>0.45600000000000002</v>
      </c>
      <c r="K26" s="43">
        <f>CHOOSE($I$3,K23,K24,K25,)</f>
        <v>0.45600000000000002</v>
      </c>
      <c r="L26" s="43">
        <f>CHOOSE($I$3,L23,L24,L25,)</f>
        <v>0.46079999999999999</v>
      </c>
      <c r="M26" s="43">
        <f t="shared" ref="M26:O26" si="17">CHOOSE($I$3,M23,M24,M25,)</f>
        <v>0.46559999999999996</v>
      </c>
      <c r="N26" s="43">
        <f t="shared" si="17"/>
        <v>0.47039999999999993</v>
      </c>
      <c r="O26" s="43">
        <f t="shared" si="17"/>
        <v>0.4751999999999999</v>
      </c>
      <c r="P26" s="43">
        <f>CHOOSE($I$3,P23,P24,P25,)</f>
        <v>0.48</v>
      </c>
      <c r="Q26" s="43">
        <f t="shared" ref="Q26:V26" si="18">CHOOSE($I$3,Q23,Q24,Q25,)</f>
        <v>0.51</v>
      </c>
      <c r="R26" s="43">
        <f t="shared" si="18"/>
        <v>0.51</v>
      </c>
      <c r="S26" s="43">
        <f t="shared" si="18"/>
        <v>0.51</v>
      </c>
      <c r="T26" s="43">
        <f t="shared" si="18"/>
        <v>0.52</v>
      </c>
      <c r="U26" s="43">
        <f t="shared" si="18"/>
        <v>0.52</v>
      </c>
      <c r="V26" s="43">
        <f t="shared" si="18"/>
        <v>0.52</v>
      </c>
    </row>
    <row r="27" spans="1:22" s="211" customFormat="1" outlineLevel="1">
      <c r="I27" s="212"/>
      <c r="J27" s="212"/>
      <c r="K27" s="212"/>
      <c r="L27" s="212"/>
      <c r="M27" s="212"/>
      <c r="N27" s="212"/>
      <c r="O27" s="212"/>
      <c r="P27" s="212"/>
      <c r="Q27" s="212"/>
      <c r="R27" s="212"/>
      <c r="S27" s="212"/>
      <c r="T27" s="212"/>
      <c r="U27" s="212"/>
      <c r="V27" s="212"/>
    </row>
    <row r="28" spans="1:22" s="211" customFormat="1" outlineLevel="1">
      <c r="B28" s="211" t="s">
        <v>679</v>
      </c>
      <c r="D28" s="214"/>
      <c r="E28" s="214"/>
      <c r="F28" s="214"/>
      <c r="G28" s="214"/>
      <c r="H28" s="214"/>
      <c r="I28" s="215">
        <f>1-I26</f>
        <v>0.55000000000000004</v>
      </c>
      <c r="J28" s="215">
        <f t="shared" ref="J28:P28" si="19">1-J26</f>
        <v>0.54400000000000004</v>
      </c>
      <c r="K28" s="215">
        <f t="shared" si="19"/>
        <v>0.54400000000000004</v>
      </c>
      <c r="L28" s="215">
        <f t="shared" si="19"/>
        <v>0.53920000000000001</v>
      </c>
      <c r="M28" s="215">
        <f t="shared" si="19"/>
        <v>0.53439999999999999</v>
      </c>
      <c r="N28" s="215">
        <f t="shared" si="19"/>
        <v>0.52960000000000007</v>
      </c>
      <c r="O28" s="215">
        <f t="shared" si="19"/>
        <v>0.52480000000000016</v>
      </c>
      <c r="P28" s="215">
        <f t="shared" si="19"/>
        <v>0.52</v>
      </c>
      <c r="Q28" s="215">
        <f t="shared" ref="Q28:V28" si="20">1-Q26</f>
        <v>0.49</v>
      </c>
      <c r="R28" s="215">
        <f t="shared" si="20"/>
        <v>0.49</v>
      </c>
      <c r="S28" s="215">
        <f t="shared" si="20"/>
        <v>0.49</v>
      </c>
      <c r="T28" s="215">
        <f t="shared" si="20"/>
        <v>0.48</v>
      </c>
      <c r="U28" s="215">
        <f t="shared" si="20"/>
        <v>0.48</v>
      </c>
      <c r="V28" s="215">
        <f t="shared" si="20"/>
        <v>0.48</v>
      </c>
    </row>
    <row r="29" spans="1:22" s="211" customFormat="1">
      <c r="I29" s="212"/>
      <c r="J29" s="212"/>
      <c r="K29" s="212"/>
      <c r="L29" s="212"/>
      <c r="M29" s="212"/>
      <c r="N29" s="212"/>
      <c r="O29" s="212"/>
      <c r="P29" s="212"/>
      <c r="Q29" s="212"/>
      <c r="R29" s="212"/>
      <c r="S29" s="212"/>
      <c r="T29" s="212"/>
      <c r="U29" s="212"/>
      <c r="V29" s="212"/>
    </row>
    <row r="30" spans="1:22">
      <c r="A30" t="s">
        <v>35</v>
      </c>
      <c r="B30" s="166" t="s">
        <v>672</v>
      </c>
      <c r="C30" s="166"/>
      <c r="D30" s="166"/>
      <c r="E30" s="166"/>
      <c r="F30" s="166"/>
      <c r="G30" s="166"/>
      <c r="H30" s="166"/>
      <c r="I30" s="166"/>
      <c r="J30" s="166"/>
      <c r="K30" s="166"/>
      <c r="L30" s="166"/>
      <c r="M30" s="166"/>
      <c r="N30" s="166"/>
      <c r="O30" s="166"/>
      <c r="P30" s="166"/>
      <c r="Q30" s="166"/>
      <c r="R30" s="166"/>
      <c r="S30" s="166"/>
      <c r="T30" s="166"/>
      <c r="U30" s="166"/>
      <c r="V30" s="166"/>
    </row>
    <row r="31" spans="1:22" s="202" customFormat="1" outlineLevel="1"/>
    <row r="32" spans="1:22" s="202" customFormat="1" outlineLevel="1">
      <c r="B32" s="39" t="s">
        <v>459</v>
      </c>
      <c r="C32"/>
      <c r="D32"/>
      <c r="E32"/>
      <c r="F32"/>
      <c r="G32"/>
      <c r="H32"/>
      <c r="I32"/>
      <c r="J32" s="55"/>
      <c r="K32" s="55"/>
      <c r="L32" s="55"/>
      <c r="M32" s="55"/>
      <c r="N32" s="55"/>
      <c r="O32" s="55"/>
      <c r="P32"/>
      <c r="Q32"/>
      <c r="R32"/>
      <c r="S32"/>
      <c r="T32"/>
      <c r="U32"/>
      <c r="V32"/>
    </row>
    <row r="33" spans="2:22" s="202" customFormat="1" outlineLevel="1">
      <c r="B33" s="35" t="s">
        <v>36</v>
      </c>
      <c r="C33" s="36"/>
      <c r="D33" s="201">
        <f>'Assumptions Working'!D409</f>
        <v>4.9457177322074788E-2</v>
      </c>
      <c r="E33" s="201">
        <f>'Assumptions Working'!E409</f>
        <v>3.3526756931012251E-2</v>
      </c>
      <c r="F33" s="201">
        <f>'Assumptions Working'!F409</f>
        <v>3.1535648994515539E-2</v>
      </c>
      <c r="G33" s="201">
        <f>'Assumptions Working'!G409</f>
        <v>4.1990668740279936E-2</v>
      </c>
      <c r="H33" s="201">
        <f>'Assumptions Working'!H409</f>
        <v>3.8431372549019606E-2</v>
      </c>
      <c r="I33" s="40">
        <v>3.7999999999999999E-2</v>
      </c>
      <c r="J33" s="40">
        <v>3.7999999999999999E-2</v>
      </c>
      <c r="K33" s="40">
        <v>3.7999999999999999E-2</v>
      </c>
      <c r="L33" s="40">
        <v>3.7999999999999999E-2</v>
      </c>
      <c r="M33" s="40">
        <v>3.7999999999999999E-2</v>
      </c>
      <c r="N33" s="40">
        <v>3.7999999999999999E-2</v>
      </c>
      <c r="O33" s="40">
        <v>3.7999999999999999E-2</v>
      </c>
      <c r="P33" s="40">
        <v>3.7999999999999999E-2</v>
      </c>
      <c r="Q33" s="40">
        <v>3.7999999999999999E-2</v>
      </c>
      <c r="R33" s="40">
        <v>3.7999999999999999E-2</v>
      </c>
      <c r="S33" s="40">
        <v>3.7999999999999999E-2</v>
      </c>
      <c r="T33" s="40">
        <v>3.7999999999999999E-2</v>
      </c>
      <c r="U33" s="40">
        <v>3.7999999999999999E-2</v>
      </c>
      <c r="V33" s="40">
        <v>3.7999999999999999E-2</v>
      </c>
    </row>
    <row r="34" spans="2:22" s="202" customFormat="1" outlineLevel="1">
      <c r="B34" s="35" t="s">
        <v>37</v>
      </c>
      <c r="C34" s="36"/>
      <c r="D34" s="200">
        <f>D33</f>
        <v>4.9457177322074788E-2</v>
      </c>
      <c r="E34" s="200">
        <f t="shared" ref="E34:H35" si="21">E33</f>
        <v>3.3526756931012251E-2</v>
      </c>
      <c r="F34" s="200">
        <f t="shared" si="21"/>
        <v>3.1535648994515539E-2</v>
      </c>
      <c r="G34" s="200">
        <f t="shared" si="21"/>
        <v>4.1990668740279936E-2</v>
      </c>
      <c r="H34" s="200">
        <f t="shared" si="21"/>
        <v>3.8431372549019606E-2</v>
      </c>
      <c r="I34" s="40">
        <v>3.7999999999999999E-2</v>
      </c>
      <c r="J34" s="40">
        <v>3.7999999999999999E-2</v>
      </c>
      <c r="K34" s="40">
        <v>3.7999999999999999E-2</v>
      </c>
      <c r="L34" s="40">
        <v>3.7999999999999999E-2</v>
      </c>
      <c r="M34" s="40">
        <v>3.7999999999999999E-2</v>
      </c>
      <c r="N34" s="40">
        <v>3.7999999999999999E-2</v>
      </c>
      <c r="O34" s="40">
        <v>3.7999999999999999E-2</v>
      </c>
      <c r="P34" s="40">
        <v>3.7999999999999999E-2</v>
      </c>
      <c r="Q34" s="40">
        <v>3.7999999999999999E-2</v>
      </c>
      <c r="R34" s="40">
        <v>3.7999999999999999E-2</v>
      </c>
      <c r="S34" s="40">
        <v>3.7999999999999999E-2</v>
      </c>
      <c r="T34" s="40">
        <v>3.7999999999999999E-2</v>
      </c>
      <c r="U34" s="40">
        <v>3.7999999999999999E-2</v>
      </c>
      <c r="V34" s="40">
        <v>3.7999999999999999E-2</v>
      </c>
    </row>
    <row r="35" spans="2:22" s="202" customFormat="1" outlineLevel="1">
      <c r="B35" s="35" t="s">
        <v>38</v>
      </c>
      <c r="C35" s="36"/>
      <c r="D35" s="200">
        <f t="shared" ref="D35" si="22">D34</f>
        <v>4.9457177322074788E-2</v>
      </c>
      <c r="E35" s="200">
        <f t="shared" si="21"/>
        <v>3.3526756931012251E-2</v>
      </c>
      <c r="F35" s="200">
        <f t="shared" si="21"/>
        <v>3.1535648994515539E-2</v>
      </c>
      <c r="G35" s="200">
        <f t="shared" si="21"/>
        <v>4.1990668740279936E-2</v>
      </c>
      <c r="H35" s="200">
        <f t="shared" si="21"/>
        <v>3.8431372549019606E-2</v>
      </c>
      <c r="I35" s="40">
        <v>3.7999999999999999E-2</v>
      </c>
      <c r="J35" s="40">
        <v>3.7999999999999999E-2</v>
      </c>
      <c r="K35" s="40">
        <v>3.7999999999999999E-2</v>
      </c>
      <c r="L35" s="40">
        <v>3.7999999999999999E-2</v>
      </c>
      <c r="M35" s="40">
        <v>3.7999999999999999E-2</v>
      </c>
      <c r="N35" s="40">
        <v>3.7999999999999999E-2</v>
      </c>
      <c r="O35" s="40">
        <v>3.7999999999999999E-2</v>
      </c>
      <c r="P35" s="40">
        <v>3.7999999999999999E-2</v>
      </c>
      <c r="Q35" s="40">
        <v>3.7999999999999999E-2</v>
      </c>
      <c r="R35" s="40">
        <v>3.7999999999999999E-2</v>
      </c>
      <c r="S35" s="40">
        <v>3.7999999999999999E-2</v>
      </c>
      <c r="T35" s="40">
        <v>3.7999999999999999E-2</v>
      </c>
      <c r="U35" s="40">
        <v>3.7999999999999999E-2</v>
      </c>
      <c r="V35" s="40">
        <v>3.7999999999999999E-2</v>
      </c>
    </row>
    <row r="36" spans="2:22" s="202" customFormat="1" outlineLevel="1">
      <c r="B36" s="38" t="str">
        <f>"Current Case - "&amp;CHOOSE($I$3,B33,B34,B35)</f>
        <v xml:space="preserve">Current Case - Management Case </v>
      </c>
      <c r="C36" s="37"/>
      <c r="D36" s="37"/>
      <c r="E36" s="37"/>
      <c r="F36" s="37"/>
      <c r="G36" s="37"/>
      <c r="H36" s="37"/>
      <c r="I36" s="43">
        <f t="shared" ref="I36:O36" si="23">CHOOSE($I$3,I33,I34,I35,)</f>
        <v>3.7999999999999999E-2</v>
      </c>
      <c r="J36" s="43">
        <f t="shared" si="23"/>
        <v>3.7999999999999999E-2</v>
      </c>
      <c r="K36" s="43">
        <f t="shared" si="23"/>
        <v>3.7999999999999999E-2</v>
      </c>
      <c r="L36" s="43">
        <f t="shared" si="23"/>
        <v>3.7999999999999999E-2</v>
      </c>
      <c r="M36" s="43">
        <f t="shared" si="23"/>
        <v>3.7999999999999999E-2</v>
      </c>
      <c r="N36" s="43">
        <f t="shared" si="23"/>
        <v>3.7999999999999999E-2</v>
      </c>
      <c r="O36" s="43">
        <f t="shared" si="23"/>
        <v>3.7999999999999999E-2</v>
      </c>
      <c r="P36" s="43">
        <f>CHOOSE($I$3,P33,P34,P35,)</f>
        <v>3.7999999999999999E-2</v>
      </c>
      <c r="Q36" s="43">
        <f t="shared" ref="Q36:V36" si="24">CHOOSE($I$3,Q33,Q34,Q35,)</f>
        <v>3.7999999999999999E-2</v>
      </c>
      <c r="R36" s="43">
        <f t="shared" si="24"/>
        <v>3.7999999999999999E-2</v>
      </c>
      <c r="S36" s="43">
        <f t="shared" si="24"/>
        <v>3.7999999999999999E-2</v>
      </c>
      <c r="T36" s="43">
        <f t="shared" si="24"/>
        <v>3.7999999999999999E-2</v>
      </c>
      <c r="U36" s="43">
        <f t="shared" si="24"/>
        <v>3.7999999999999999E-2</v>
      </c>
      <c r="V36" s="43">
        <f t="shared" si="24"/>
        <v>3.7999999999999999E-2</v>
      </c>
    </row>
    <row r="37" spans="2:22" s="202" customFormat="1" outlineLevel="1"/>
    <row r="38" spans="2:22" s="202" customFormat="1" outlineLevel="1">
      <c r="B38" s="115" t="s">
        <v>466</v>
      </c>
      <c r="C38"/>
      <c r="D38"/>
      <c r="E38"/>
      <c r="F38"/>
      <c r="G38"/>
      <c r="H38"/>
      <c r="I38"/>
      <c r="J38" s="55"/>
      <c r="K38" s="55"/>
      <c r="L38" s="55"/>
      <c r="M38" s="55"/>
      <c r="N38" s="55"/>
      <c r="O38" s="55"/>
      <c r="P38"/>
      <c r="Q38"/>
      <c r="R38"/>
      <c r="S38"/>
      <c r="T38"/>
      <c r="U38"/>
      <c r="V38"/>
    </row>
    <row r="39" spans="2:22" s="202" customFormat="1" outlineLevel="1">
      <c r="B39" s="35" t="s">
        <v>36</v>
      </c>
      <c r="C39" s="36"/>
      <c r="D39" s="201">
        <f>'Assumptions Working'!D412</f>
        <v>3.1363088057901084E-2</v>
      </c>
      <c r="E39" s="201">
        <f>'Assumptions Working'!E412</f>
        <v>6.4474532559638947E-2</v>
      </c>
      <c r="F39" s="201">
        <f>'Assumptions Working'!F412</f>
        <v>7.0383912248628888E-2</v>
      </c>
      <c r="G39" s="201">
        <f>'Assumptions Working'!G412</f>
        <v>7.3094867807153963E-2</v>
      </c>
      <c r="H39" s="201">
        <f>'Assumptions Working'!H412</f>
        <v>7.0588235294117646E-2</v>
      </c>
      <c r="I39" s="40">
        <v>7.0000000000000007E-2</v>
      </c>
      <c r="J39" s="40">
        <v>7.0000000000000007E-2</v>
      </c>
      <c r="K39" s="40">
        <v>7.0000000000000007E-2</v>
      </c>
      <c r="L39" s="40">
        <v>7.0000000000000007E-2</v>
      </c>
      <c r="M39" s="40">
        <v>7.0000000000000007E-2</v>
      </c>
      <c r="N39" s="40">
        <v>7.0000000000000007E-2</v>
      </c>
      <c r="O39" s="40">
        <v>7.0000000000000007E-2</v>
      </c>
      <c r="P39" s="40">
        <v>7.0000000000000007E-2</v>
      </c>
      <c r="Q39" s="40">
        <v>7.0000000000000007E-2</v>
      </c>
      <c r="R39" s="40">
        <v>7.0000000000000007E-2</v>
      </c>
      <c r="S39" s="40">
        <v>7.0000000000000007E-2</v>
      </c>
      <c r="T39" s="40">
        <v>7.0000000000000007E-2</v>
      </c>
      <c r="U39" s="40">
        <v>7.0000000000000007E-2</v>
      </c>
      <c r="V39" s="40">
        <v>7.0000000000000007E-2</v>
      </c>
    </row>
    <row r="40" spans="2:22" s="202" customFormat="1" outlineLevel="1">
      <c r="B40" s="35" t="s">
        <v>37</v>
      </c>
      <c r="C40" s="36"/>
      <c r="D40" s="200">
        <f>D39</f>
        <v>3.1363088057901084E-2</v>
      </c>
      <c r="E40" s="200">
        <f t="shared" ref="E40:E41" si="25">E39</f>
        <v>6.4474532559638947E-2</v>
      </c>
      <c r="F40" s="200">
        <f t="shared" ref="F40:F41" si="26">F39</f>
        <v>7.0383912248628888E-2</v>
      </c>
      <c r="G40" s="200">
        <f t="shared" ref="G40:G41" si="27">G39</f>
        <v>7.3094867807153963E-2</v>
      </c>
      <c r="H40" s="200">
        <f t="shared" ref="H40:H41" si="28">H39</f>
        <v>7.0588235294117646E-2</v>
      </c>
      <c r="I40" s="40">
        <v>7.0000000000000007E-2</v>
      </c>
      <c r="J40" s="40">
        <v>7.0000000000000007E-2</v>
      </c>
      <c r="K40" s="40">
        <v>7.0000000000000007E-2</v>
      </c>
      <c r="L40" s="40">
        <v>7.0000000000000007E-2</v>
      </c>
      <c r="M40" s="40">
        <v>7.0000000000000007E-2</v>
      </c>
      <c r="N40" s="40">
        <v>7.0000000000000007E-2</v>
      </c>
      <c r="O40" s="40">
        <v>7.0000000000000007E-2</v>
      </c>
      <c r="P40" s="40">
        <v>7.0000000000000007E-2</v>
      </c>
      <c r="Q40" s="40">
        <v>7.0000000000000007E-2</v>
      </c>
      <c r="R40" s="40">
        <v>7.0000000000000007E-2</v>
      </c>
      <c r="S40" s="40">
        <v>7.0000000000000007E-2</v>
      </c>
      <c r="T40" s="40">
        <v>7.0000000000000007E-2</v>
      </c>
      <c r="U40" s="40">
        <v>7.0000000000000007E-2</v>
      </c>
      <c r="V40" s="40">
        <v>7.0000000000000007E-2</v>
      </c>
    </row>
    <row r="41" spans="2:22" s="202" customFormat="1" outlineLevel="1">
      <c r="B41" s="35" t="s">
        <v>38</v>
      </c>
      <c r="C41" s="36"/>
      <c r="D41" s="200">
        <f t="shared" ref="D41" si="29">D40</f>
        <v>3.1363088057901084E-2</v>
      </c>
      <c r="E41" s="200">
        <f t="shared" si="25"/>
        <v>6.4474532559638947E-2</v>
      </c>
      <c r="F41" s="200">
        <f t="shared" si="26"/>
        <v>7.0383912248628888E-2</v>
      </c>
      <c r="G41" s="200">
        <f t="shared" si="27"/>
        <v>7.3094867807153963E-2</v>
      </c>
      <c r="H41" s="200">
        <f t="shared" si="28"/>
        <v>7.0588235294117646E-2</v>
      </c>
      <c r="I41" s="40">
        <v>7.0000000000000007E-2</v>
      </c>
      <c r="J41" s="40">
        <v>7.0000000000000007E-2</v>
      </c>
      <c r="K41" s="40">
        <v>7.0000000000000007E-2</v>
      </c>
      <c r="L41" s="40">
        <v>7.0000000000000007E-2</v>
      </c>
      <c r="M41" s="40">
        <v>7.0000000000000007E-2</v>
      </c>
      <c r="N41" s="40">
        <v>7.0000000000000007E-2</v>
      </c>
      <c r="O41" s="40">
        <v>7.0000000000000007E-2</v>
      </c>
      <c r="P41" s="40">
        <v>7.0000000000000007E-2</v>
      </c>
      <c r="Q41" s="40">
        <v>7.0000000000000007E-2</v>
      </c>
      <c r="R41" s="40">
        <v>7.0000000000000007E-2</v>
      </c>
      <c r="S41" s="40">
        <v>7.0000000000000007E-2</v>
      </c>
      <c r="T41" s="40">
        <v>7.0000000000000007E-2</v>
      </c>
      <c r="U41" s="40">
        <v>7.0000000000000007E-2</v>
      </c>
      <c r="V41" s="40">
        <v>7.0000000000000007E-2</v>
      </c>
    </row>
    <row r="42" spans="2:22" s="202" customFormat="1" outlineLevel="1">
      <c r="B42" s="38" t="str">
        <f>"Current Case - "&amp;CHOOSE($I$3,B39,B40,B41)</f>
        <v xml:space="preserve">Current Case - Management Case </v>
      </c>
      <c r="C42" s="37"/>
      <c r="D42" s="37"/>
      <c r="E42" s="37"/>
      <c r="F42" s="37"/>
      <c r="G42" s="37"/>
      <c r="H42" s="37"/>
      <c r="I42" s="43">
        <f t="shared" ref="I42:O42" si="30">CHOOSE($I$3,I39,I40,I41,)</f>
        <v>7.0000000000000007E-2</v>
      </c>
      <c r="J42" s="43">
        <f t="shared" si="30"/>
        <v>7.0000000000000007E-2</v>
      </c>
      <c r="K42" s="43">
        <f t="shared" si="30"/>
        <v>7.0000000000000007E-2</v>
      </c>
      <c r="L42" s="43">
        <f t="shared" si="30"/>
        <v>7.0000000000000007E-2</v>
      </c>
      <c r="M42" s="43">
        <f t="shared" si="30"/>
        <v>7.0000000000000007E-2</v>
      </c>
      <c r="N42" s="43">
        <f t="shared" si="30"/>
        <v>7.0000000000000007E-2</v>
      </c>
      <c r="O42" s="43">
        <f t="shared" si="30"/>
        <v>7.0000000000000007E-2</v>
      </c>
      <c r="P42" s="43">
        <f>CHOOSE($I$3,P39,P40,P41,)</f>
        <v>7.0000000000000007E-2</v>
      </c>
      <c r="Q42" s="43">
        <f t="shared" ref="Q42:V42" si="31">CHOOSE($I$3,Q39,Q40,Q41,)</f>
        <v>7.0000000000000007E-2</v>
      </c>
      <c r="R42" s="43">
        <f t="shared" si="31"/>
        <v>7.0000000000000007E-2</v>
      </c>
      <c r="S42" s="43">
        <f t="shared" si="31"/>
        <v>7.0000000000000007E-2</v>
      </c>
      <c r="T42" s="43">
        <f t="shared" si="31"/>
        <v>7.0000000000000007E-2</v>
      </c>
      <c r="U42" s="43">
        <f t="shared" si="31"/>
        <v>7.0000000000000007E-2</v>
      </c>
      <c r="V42" s="43">
        <f t="shared" si="31"/>
        <v>7.0000000000000007E-2</v>
      </c>
    </row>
    <row r="43" spans="2:22" s="202" customFormat="1" outlineLevel="1"/>
    <row r="44" spans="2:22" s="202" customFormat="1" outlineLevel="1">
      <c r="B44" s="115" t="s">
        <v>470</v>
      </c>
      <c r="C44"/>
      <c r="D44"/>
      <c r="E44"/>
      <c r="F44"/>
      <c r="G44"/>
      <c r="H44"/>
      <c r="I44"/>
      <c r="J44" s="55"/>
      <c r="K44" s="55"/>
      <c r="L44" s="55"/>
      <c r="M44" s="55"/>
      <c r="N44" s="55"/>
      <c r="O44" s="55"/>
      <c r="P44"/>
      <c r="Q44"/>
      <c r="R44"/>
      <c r="S44"/>
      <c r="T44"/>
      <c r="U44"/>
      <c r="V44"/>
    </row>
    <row r="45" spans="2:22" s="202" customFormat="1" outlineLevel="1">
      <c r="B45" s="35" t="s">
        <v>36</v>
      </c>
      <c r="C45" s="36"/>
      <c r="D45" s="201">
        <f>'Assumptions Working'!D415</f>
        <v>5.3075995174909532E-2</v>
      </c>
      <c r="E45" s="201">
        <f>'Assumptions Working'!E415</f>
        <v>4.0618955512572531E-2</v>
      </c>
      <c r="F45" s="201">
        <f>'Assumptions Working'!F415</f>
        <v>3.6563071297989032E-2</v>
      </c>
      <c r="G45" s="201">
        <f>'Assumptions Working'!G415</f>
        <v>4.4582685329186106E-2</v>
      </c>
      <c r="H45" s="201">
        <f>'Assumptions Working'!H415</f>
        <v>3.6862745098039218E-2</v>
      </c>
      <c r="I45" s="40">
        <v>4.1000000000000002E-2</v>
      </c>
      <c r="J45" s="40">
        <v>4.1000000000000002E-2</v>
      </c>
      <c r="K45" s="40">
        <v>4.1000000000000002E-2</v>
      </c>
      <c r="L45" s="40">
        <v>4.1000000000000002E-2</v>
      </c>
      <c r="M45" s="40">
        <v>4.1000000000000002E-2</v>
      </c>
      <c r="N45" s="40">
        <v>4.1000000000000002E-2</v>
      </c>
      <c r="O45" s="40">
        <v>4.1000000000000002E-2</v>
      </c>
      <c r="P45" s="40">
        <v>4.1000000000000002E-2</v>
      </c>
      <c r="Q45" s="40">
        <v>4.1000000000000002E-2</v>
      </c>
      <c r="R45" s="40">
        <v>4.1000000000000002E-2</v>
      </c>
      <c r="S45" s="40">
        <v>4.1000000000000002E-2</v>
      </c>
      <c r="T45" s="40">
        <v>4.1000000000000002E-2</v>
      </c>
      <c r="U45" s="40">
        <v>4.1000000000000002E-2</v>
      </c>
      <c r="V45" s="40">
        <v>4.1000000000000002E-2</v>
      </c>
    </row>
    <row r="46" spans="2:22" s="202" customFormat="1" outlineLevel="1">
      <c r="B46" s="35" t="s">
        <v>37</v>
      </c>
      <c r="C46" s="36"/>
      <c r="D46" s="200">
        <f>D45</f>
        <v>5.3075995174909532E-2</v>
      </c>
      <c r="E46" s="200">
        <f t="shared" ref="E46:E47" si="32">E45</f>
        <v>4.0618955512572531E-2</v>
      </c>
      <c r="F46" s="200">
        <f t="shared" ref="F46:F47" si="33">F45</f>
        <v>3.6563071297989032E-2</v>
      </c>
      <c r="G46" s="200">
        <f t="shared" ref="G46:G47" si="34">G45</f>
        <v>4.4582685329186106E-2</v>
      </c>
      <c r="H46" s="200">
        <f t="shared" ref="H46:H47" si="35">H45</f>
        <v>3.6862745098039218E-2</v>
      </c>
      <c r="I46" s="40">
        <v>4.1000000000000002E-2</v>
      </c>
      <c r="J46" s="40">
        <v>4.1000000000000002E-2</v>
      </c>
      <c r="K46" s="40">
        <v>4.1000000000000002E-2</v>
      </c>
      <c r="L46" s="40">
        <v>4.1000000000000002E-2</v>
      </c>
      <c r="M46" s="40">
        <v>4.1000000000000002E-2</v>
      </c>
      <c r="N46" s="40">
        <v>4.1000000000000002E-2</v>
      </c>
      <c r="O46" s="40">
        <v>4.1000000000000002E-2</v>
      </c>
      <c r="P46" s="40">
        <v>4.1000000000000002E-2</v>
      </c>
      <c r="Q46" s="40">
        <v>4.1000000000000002E-2</v>
      </c>
      <c r="R46" s="40">
        <v>4.1000000000000002E-2</v>
      </c>
      <c r="S46" s="40">
        <v>4.1000000000000002E-2</v>
      </c>
      <c r="T46" s="40">
        <v>4.1000000000000002E-2</v>
      </c>
      <c r="U46" s="40">
        <v>4.1000000000000002E-2</v>
      </c>
      <c r="V46" s="40">
        <v>4.1000000000000002E-2</v>
      </c>
    </row>
    <row r="47" spans="2:22" s="202" customFormat="1" outlineLevel="1">
      <c r="B47" s="35" t="s">
        <v>38</v>
      </c>
      <c r="C47" s="36"/>
      <c r="D47" s="200">
        <f t="shared" ref="D47" si="36">D46</f>
        <v>5.3075995174909532E-2</v>
      </c>
      <c r="E47" s="200">
        <f t="shared" si="32"/>
        <v>4.0618955512572531E-2</v>
      </c>
      <c r="F47" s="200">
        <f t="shared" si="33"/>
        <v>3.6563071297989032E-2</v>
      </c>
      <c r="G47" s="200">
        <f t="shared" si="34"/>
        <v>4.4582685329186106E-2</v>
      </c>
      <c r="H47" s="200">
        <f t="shared" si="35"/>
        <v>3.6862745098039218E-2</v>
      </c>
      <c r="I47" s="40">
        <v>4.1000000000000002E-2</v>
      </c>
      <c r="J47" s="40">
        <v>4.1000000000000002E-2</v>
      </c>
      <c r="K47" s="40">
        <v>4.1000000000000002E-2</v>
      </c>
      <c r="L47" s="40">
        <v>4.1000000000000002E-2</v>
      </c>
      <c r="M47" s="40">
        <v>4.1000000000000002E-2</v>
      </c>
      <c r="N47" s="40">
        <v>4.1000000000000002E-2</v>
      </c>
      <c r="O47" s="40">
        <v>4.1000000000000002E-2</v>
      </c>
      <c r="P47" s="40">
        <v>4.1000000000000002E-2</v>
      </c>
      <c r="Q47" s="40">
        <v>4.1000000000000002E-2</v>
      </c>
      <c r="R47" s="40">
        <v>4.1000000000000002E-2</v>
      </c>
      <c r="S47" s="40">
        <v>4.1000000000000002E-2</v>
      </c>
      <c r="T47" s="40">
        <v>4.1000000000000002E-2</v>
      </c>
      <c r="U47" s="40">
        <v>4.1000000000000002E-2</v>
      </c>
      <c r="V47" s="40">
        <v>4.1000000000000002E-2</v>
      </c>
    </row>
    <row r="48" spans="2:22" s="202" customFormat="1" outlineLevel="1">
      <c r="B48" s="38" t="str">
        <f>"Current Case - "&amp;CHOOSE($I$3,B45,B46,B47)</f>
        <v xml:space="preserve">Current Case - Management Case </v>
      </c>
      <c r="C48" s="37"/>
      <c r="D48" s="37"/>
      <c r="E48" s="37"/>
      <c r="F48" s="37"/>
      <c r="G48" s="37"/>
      <c r="H48" s="37"/>
      <c r="I48" s="43">
        <f t="shared" ref="I48:O48" si="37">CHOOSE($I$3,I45,I46,I47,)</f>
        <v>4.1000000000000002E-2</v>
      </c>
      <c r="J48" s="43">
        <f t="shared" si="37"/>
        <v>4.1000000000000002E-2</v>
      </c>
      <c r="K48" s="43">
        <f t="shared" si="37"/>
        <v>4.1000000000000002E-2</v>
      </c>
      <c r="L48" s="43">
        <f t="shared" si="37"/>
        <v>4.1000000000000002E-2</v>
      </c>
      <c r="M48" s="43">
        <f t="shared" si="37"/>
        <v>4.1000000000000002E-2</v>
      </c>
      <c r="N48" s="43">
        <f t="shared" si="37"/>
        <v>4.1000000000000002E-2</v>
      </c>
      <c r="O48" s="43">
        <f t="shared" si="37"/>
        <v>4.1000000000000002E-2</v>
      </c>
      <c r="P48" s="43">
        <f>CHOOSE($I$3,P45,P46,P47,)</f>
        <v>4.1000000000000002E-2</v>
      </c>
      <c r="Q48" s="43">
        <f t="shared" ref="Q48:V48" si="38">CHOOSE($I$3,Q45,Q46,Q47,)</f>
        <v>4.1000000000000002E-2</v>
      </c>
      <c r="R48" s="43">
        <f t="shared" si="38"/>
        <v>4.1000000000000002E-2</v>
      </c>
      <c r="S48" s="43">
        <f t="shared" si="38"/>
        <v>4.1000000000000002E-2</v>
      </c>
      <c r="T48" s="43">
        <f t="shared" si="38"/>
        <v>4.1000000000000002E-2</v>
      </c>
      <c r="U48" s="43">
        <f t="shared" si="38"/>
        <v>4.1000000000000002E-2</v>
      </c>
      <c r="V48" s="43">
        <f t="shared" si="38"/>
        <v>4.1000000000000002E-2</v>
      </c>
    </row>
    <row r="49" spans="1:22" s="202" customFormat="1" outlineLevel="1"/>
    <row r="50" spans="1:22" s="202" customFormat="1" outlineLevel="1">
      <c r="B50" s="115" t="s">
        <v>463</v>
      </c>
      <c r="C50"/>
      <c r="D50"/>
      <c r="E50"/>
      <c r="F50"/>
      <c r="G50"/>
      <c r="H50"/>
      <c r="I50"/>
      <c r="J50" s="55"/>
      <c r="K50" s="55"/>
      <c r="L50" s="55"/>
      <c r="M50" s="55"/>
      <c r="N50" s="55"/>
      <c r="O50" s="55"/>
      <c r="P50"/>
      <c r="Q50"/>
      <c r="R50"/>
      <c r="S50"/>
      <c r="T50"/>
      <c r="U50"/>
      <c r="V50"/>
    </row>
    <row r="51" spans="1:22" s="202" customFormat="1" outlineLevel="1">
      <c r="B51" s="35" t="s">
        <v>36</v>
      </c>
      <c r="C51" s="36"/>
      <c r="D51" s="201">
        <f>'Assumptions Working'!D418</f>
        <v>8.5886610373944516E-2</v>
      </c>
      <c r="E51" s="201">
        <f>'Assumptions Working'!E418</f>
        <v>4.1779497098646035E-2</v>
      </c>
      <c r="F51" s="201">
        <f>'Assumptions Working'!F418</f>
        <v>3.6837294332723945E-2</v>
      </c>
      <c r="G51" s="201">
        <f>'Assumptions Working'!G418</f>
        <v>4.1109383100051841E-2</v>
      </c>
      <c r="H51" s="201">
        <f>'Assumptions Working'!H418</f>
        <v>4.4549019607843132E-2</v>
      </c>
      <c r="I51" s="40">
        <v>4.2000000000000003E-2</v>
      </c>
      <c r="J51" s="40">
        <v>4.2000000000000003E-2</v>
      </c>
      <c r="K51" s="40">
        <v>4.2000000000000003E-2</v>
      </c>
      <c r="L51" s="40">
        <v>4.2000000000000003E-2</v>
      </c>
      <c r="M51" s="40">
        <v>4.2000000000000003E-2</v>
      </c>
      <c r="N51" s="40">
        <v>4.2000000000000003E-2</v>
      </c>
      <c r="O51" s="40">
        <v>4.2000000000000003E-2</v>
      </c>
      <c r="P51" s="40">
        <v>4.2000000000000003E-2</v>
      </c>
      <c r="Q51" s="40">
        <v>4.2000000000000003E-2</v>
      </c>
      <c r="R51" s="40">
        <v>4.2000000000000003E-2</v>
      </c>
      <c r="S51" s="40">
        <v>4.2000000000000003E-2</v>
      </c>
      <c r="T51" s="40">
        <v>4.2000000000000003E-2</v>
      </c>
      <c r="U51" s="40">
        <v>4.2000000000000003E-2</v>
      </c>
      <c r="V51" s="40">
        <v>4.2000000000000003E-2</v>
      </c>
    </row>
    <row r="52" spans="1:22" s="202" customFormat="1" outlineLevel="1">
      <c r="B52" s="35" t="s">
        <v>37</v>
      </c>
      <c r="C52" s="36"/>
      <c r="D52" s="200">
        <f>D51</f>
        <v>8.5886610373944516E-2</v>
      </c>
      <c r="E52" s="200">
        <f t="shared" ref="E52:E53" si="39">E51</f>
        <v>4.1779497098646035E-2</v>
      </c>
      <c r="F52" s="200">
        <f t="shared" ref="F52:F53" si="40">F51</f>
        <v>3.6837294332723945E-2</v>
      </c>
      <c r="G52" s="200">
        <f t="shared" ref="G52:G53" si="41">G51</f>
        <v>4.1109383100051841E-2</v>
      </c>
      <c r="H52" s="200">
        <f t="shared" ref="H52:H53" si="42">H51</f>
        <v>4.4549019607843132E-2</v>
      </c>
      <c r="I52" s="40">
        <v>4.2000000000000003E-2</v>
      </c>
      <c r="J52" s="40">
        <v>4.2000000000000003E-2</v>
      </c>
      <c r="K52" s="40">
        <v>4.2000000000000003E-2</v>
      </c>
      <c r="L52" s="40">
        <v>4.2000000000000003E-2</v>
      </c>
      <c r="M52" s="40">
        <v>4.2000000000000003E-2</v>
      </c>
      <c r="N52" s="40">
        <v>4.2000000000000003E-2</v>
      </c>
      <c r="O52" s="40">
        <v>4.2000000000000003E-2</v>
      </c>
      <c r="P52" s="40">
        <v>4.2000000000000003E-2</v>
      </c>
      <c r="Q52" s="40">
        <v>4.2000000000000003E-2</v>
      </c>
      <c r="R52" s="40">
        <v>4.2000000000000003E-2</v>
      </c>
      <c r="S52" s="40">
        <v>4.2000000000000003E-2</v>
      </c>
      <c r="T52" s="40">
        <v>4.2000000000000003E-2</v>
      </c>
      <c r="U52" s="40">
        <v>4.2000000000000003E-2</v>
      </c>
      <c r="V52" s="40">
        <v>4.2000000000000003E-2</v>
      </c>
    </row>
    <row r="53" spans="1:22" s="202" customFormat="1" outlineLevel="1">
      <c r="B53" s="35" t="s">
        <v>38</v>
      </c>
      <c r="C53" s="36"/>
      <c r="D53" s="200">
        <f t="shared" ref="D53" si="43">D52</f>
        <v>8.5886610373944516E-2</v>
      </c>
      <c r="E53" s="200">
        <f t="shared" si="39"/>
        <v>4.1779497098646035E-2</v>
      </c>
      <c r="F53" s="200">
        <f t="shared" si="40"/>
        <v>3.6837294332723945E-2</v>
      </c>
      <c r="G53" s="200">
        <f t="shared" si="41"/>
        <v>4.1109383100051841E-2</v>
      </c>
      <c r="H53" s="200">
        <f t="shared" si="42"/>
        <v>4.4549019607843132E-2</v>
      </c>
      <c r="I53" s="40">
        <v>4.2000000000000003E-2</v>
      </c>
      <c r="J53" s="40">
        <v>4.2000000000000003E-2</v>
      </c>
      <c r="K53" s="40">
        <v>4.2000000000000003E-2</v>
      </c>
      <c r="L53" s="40">
        <v>4.2000000000000003E-2</v>
      </c>
      <c r="M53" s="40">
        <v>4.2000000000000003E-2</v>
      </c>
      <c r="N53" s="40">
        <v>4.2000000000000003E-2</v>
      </c>
      <c r="O53" s="40">
        <v>4.2000000000000003E-2</v>
      </c>
      <c r="P53" s="40">
        <v>4.2000000000000003E-2</v>
      </c>
      <c r="Q53" s="40">
        <v>4.2000000000000003E-2</v>
      </c>
      <c r="R53" s="40">
        <v>4.2000000000000003E-2</v>
      </c>
      <c r="S53" s="40">
        <v>4.2000000000000003E-2</v>
      </c>
      <c r="T53" s="40">
        <v>4.2000000000000003E-2</v>
      </c>
      <c r="U53" s="40">
        <v>4.2000000000000003E-2</v>
      </c>
      <c r="V53" s="40">
        <v>4.2000000000000003E-2</v>
      </c>
    </row>
    <row r="54" spans="1:22" s="202" customFormat="1" outlineLevel="1">
      <c r="B54" s="38" t="str">
        <f>"Current Case - "&amp;CHOOSE($I$3,B51,B52,B53)</f>
        <v xml:space="preserve">Current Case - Management Case </v>
      </c>
      <c r="C54" s="37"/>
      <c r="D54" s="37"/>
      <c r="E54" s="37"/>
      <c r="F54" s="37"/>
      <c r="G54" s="37"/>
      <c r="H54" s="37"/>
      <c r="I54" s="43">
        <f t="shared" ref="I54:O54" si="44">CHOOSE($I$3,I51,I52,I53,)</f>
        <v>4.2000000000000003E-2</v>
      </c>
      <c r="J54" s="43">
        <f t="shared" si="44"/>
        <v>4.2000000000000003E-2</v>
      </c>
      <c r="K54" s="43">
        <f t="shared" si="44"/>
        <v>4.2000000000000003E-2</v>
      </c>
      <c r="L54" s="43">
        <f t="shared" si="44"/>
        <v>4.2000000000000003E-2</v>
      </c>
      <c r="M54" s="43">
        <f t="shared" si="44"/>
        <v>4.2000000000000003E-2</v>
      </c>
      <c r="N54" s="43">
        <f t="shared" si="44"/>
        <v>4.2000000000000003E-2</v>
      </c>
      <c r="O54" s="43">
        <f t="shared" si="44"/>
        <v>4.2000000000000003E-2</v>
      </c>
      <c r="P54" s="43">
        <f>CHOOSE($I$3,P51,P52,P53,)</f>
        <v>4.2000000000000003E-2</v>
      </c>
      <c r="Q54" s="43">
        <f t="shared" ref="Q54:V54" si="45">CHOOSE($I$3,Q51,Q52,Q53,)</f>
        <v>4.2000000000000003E-2</v>
      </c>
      <c r="R54" s="43">
        <f t="shared" si="45"/>
        <v>4.2000000000000003E-2</v>
      </c>
      <c r="S54" s="43">
        <f t="shared" si="45"/>
        <v>4.2000000000000003E-2</v>
      </c>
      <c r="T54" s="43">
        <f t="shared" si="45"/>
        <v>4.2000000000000003E-2</v>
      </c>
      <c r="U54" s="43">
        <f t="shared" si="45"/>
        <v>4.2000000000000003E-2</v>
      </c>
      <c r="V54" s="43">
        <f t="shared" si="45"/>
        <v>4.2000000000000003E-2</v>
      </c>
    </row>
    <row r="55" spans="1:22" s="202" customFormat="1" outlineLevel="1"/>
    <row r="56" spans="1:22" s="202" customFormat="1" outlineLevel="1">
      <c r="B56" s="242" t="s">
        <v>467</v>
      </c>
      <c r="D56" s="243">
        <f>D51+D45+D39+D33</f>
        <v>0.21978287092882992</v>
      </c>
      <c r="E56" s="243">
        <f t="shared" ref="E56:P56" si="46">E51+E45+E39+E33</f>
        <v>0.18039974210186976</v>
      </c>
      <c r="F56" s="243">
        <f t="shared" si="46"/>
        <v>0.17531992687385739</v>
      </c>
      <c r="G56" s="243">
        <f t="shared" si="46"/>
        <v>0.20077760497667183</v>
      </c>
      <c r="H56" s="243">
        <f t="shared" si="46"/>
        <v>0.1904313725490196</v>
      </c>
      <c r="I56" s="243">
        <f t="shared" si="46"/>
        <v>0.19100000000000003</v>
      </c>
      <c r="J56" s="243">
        <f t="shared" si="46"/>
        <v>0.19100000000000003</v>
      </c>
      <c r="K56" s="243">
        <f t="shared" si="46"/>
        <v>0.19100000000000003</v>
      </c>
      <c r="L56" s="243">
        <f t="shared" si="46"/>
        <v>0.19100000000000003</v>
      </c>
      <c r="M56" s="243">
        <f t="shared" si="46"/>
        <v>0.19100000000000003</v>
      </c>
      <c r="N56" s="243">
        <f t="shared" si="46"/>
        <v>0.19100000000000003</v>
      </c>
      <c r="O56" s="243">
        <f t="shared" si="46"/>
        <v>0.19100000000000003</v>
      </c>
      <c r="P56" s="243">
        <f t="shared" si="46"/>
        <v>0.19100000000000003</v>
      </c>
      <c r="Q56" s="243">
        <f t="shared" ref="Q56:V56" si="47">Q51+Q45+Q39+Q33</f>
        <v>0.19100000000000003</v>
      </c>
      <c r="R56" s="243">
        <f t="shared" si="47"/>
        <v>0.19100000000000003</v>
      </c>
      <c r="S56" s="243">
        <f t="shared" si="47"/>
        <v>0.19100000000000003</v>
      </c>
      <c r="T56" s="243">
        <f t="shared" si="47"/>
        <v>0.19100000000000003</v>
      </c>
      <c r="U56" s="243">
        <f t="shared" si="47"/>
        <v>0.19100000000000003</v>
      </c>
      <c r="V56" s="243">
        <f t="shared" si="47"/>
        <v>0.19100000000000003</v>
      </c>
    </row>
    <row r="57" spans="1:22" s="202" customFormat="1"/>
    <row r="58" spans="1:22">
      <c r="A58" t="s">
        <v>35</v>
      </c>
      <c r="B58" s="166" t="s">
        <v>673</v>
      </c>
      <c r="C58" s="166"/>
      <c r="D58" s="166"/>
      <c r="E58" s="166"/>
      <c r="F58" s="166"/>
      <c r="G58" s="166"/>
      <c r="H58" s="166"/>
      <c r="I58" s="166"/>
      <c r="J58" s="166"/>
      <c r="K58" s="166"/>
      <c r="L58" s="166"/>
      <c r="M58" s="166"/>
      <c r="N58" s="166"/>
      <c r="O58" s="166"/>
      <c r="P58" s="166"/>
      <c r="Q58" s="166"/>
      <c r="R58" s="166"/>
      <c r="S58" s="166"/>
      <c r="T58" s="166"/>
      <c r="U58" s="166"/>
      <c r="V58" s="166"/>
    </row>
    <row r="59" spans="1:22" outlineLevel="1"/>
    <row r="60" spans="1:22" outlineLevel="1"/>
    <row r="61" spans="1:22" outlineLevel="1">
      <c r="B61" s="142" t="s">
        <v>547</v>
      </c>
    </row>
    <row r="62" spans="1:22" outlineLevel="1">
      <c r="B62" s="35" t="s">
        <v>36</v>
      </c>
      <c r="C62" s="36"/>
      <c r="D62" s="36"/>
      <c r="E62" s="36"/>
      <c r="F62" s="36"/>
      <c r="G62" s="36"/>
      <c r="H62" s="36"/>
      <c r="I62" s="40">
        <v>0</v>
      </c>
      <c r="J62" s="40">
        <v>0</v>
      </c>
      <c r="K62" s="40">
        <v>0</v>
      </c>
      <c r="L62" s="40">
        <v>0</v>
      </c>
      <c r="M62" s="40">
        <v>0</v>
      </c>
      <c r="N62" s="40">
        <v>0</v>
      </c>
      <c r="O62" s="40">
        <v>0</v>
      </c>
      <c r="P62" s="40">
        <v>0</v>
      </c>
      <c r="Q62" s="40">
        <v>0</v>
      </c>
      <c r="R62" s="40">
        <v>0</v>
      </c>
      <c r="S62" s="40">
        <v>0</v>
      </c>
      <c r="T62" s="40">
        <v>0</v>
      </c>
      <c r="U62" s="40">
        <v>0</v>
      </c>
      <c r="V62" s="40">
        <v>0</v>
      </c>
    </row>
    <row r="63" spans="1:22" outlineLevel="1">
      <c r="B63" s="35" t="s">
        <v>37</v>
      </c>
      <c r="C63" s="36"/>
      <c r="D63" s="36"/>
      <c r="E63" s="36"/>
      <c r="F63" s="36"/>
      <c r="G63" s="36"/>
      <c r="H63" s="36"/>
      <c r="I63" s="40">
        <v>0</v>
      </c>
      <c r="J63" s="40">
        <v>0</v>
      </c>
      <c r="K63" s="40">
        <v>0</v>
      </c>
      <c r="L63" s="40">
        <v>0</v>
      </c>
      <c r="M63" s="40">
        <v>0</v>
      </c>
      <c r="N63" s="40">
        <v>0</v>
      </c>
      <c r="O63" s="40">
        <v>0</v>
      </c>
      <c r="P63" s="40">
        <v>0</v>
      </c>
      <c r="Q63" s="40">
        <v>0</v>
      </c>
      <c r="R63" s="40">
        <v>0</v>
      </c>
      <c r="S63" s="40">
        <v>0</v>
      </c>
      <c r="T63" s="40">
        <v>0</v>
      </c>
      <c r="U63" s="40">
        <v>0</v>
      </c>
      <c r="V63" s="40">
        <v>0</v>
      </c>
    </row>
    <row r="64" spans="1:22" outlineLevel="1">
      <c r="B64" s="35" t="s">
        <v>38</v>
      </c>
      <c r="C64" s="36"/>
      <c r="D64" s="36"/>
      <c r="E64" s="36"/>
      <c r="F64" s="36"/>
      <c r="G64" s="36"/>
      <c r="H64" s="36"/>
      <c r="I64" s="40">
        <v>0</v>
      </c>
      <c r="J64" s="40">
        <v>0</v>
      </c>
      <c r="K64" s="40">
        <v>0</v>
      </c>
      <c r="L64" s="40">
        <v>0</v>
      </c>
      <c r="M64" s="40">
        <v>0</v>
      </c>
      <c r="N64" s="40">
        <v>0</v>
      </c>
      <c r="O64" s="40">
        <v>0</v>
      </c>
      <c r="P64" s="40">
        <v>0</v>
      </c>
      <c r="Q64" s="40">
        <v>0</v>
      </c>
      <c r="R64" s="40">
        <v>0</v>
      </c>
      <c r="S64" s="40">
        <v>0</v>
      </c>
      <c r="T64" s="40">
        <v>0</v>
      </c>
      <c r="U64" s="40">
        <v>0</v>
      </c>
      <c r="V64" s="40">
        <v>0</v>
      </c>
    </row>
    <row r="65" spans="2:22" outlineLevel="1">
      <c r="B65" s="51" t="str">
        <f>"Current Case - "&amp;CHOOSE($I$3,B62,B63,B64)</f>
        <v xml:space="preserve">Current Case - Management Case </v>
      </c>
      <c r="C65" s="52"/>
      <c r="D65" s="52"/>
      <c r="E65" s="52"/>
      <c r="F65" s="52"/>
      <c r="G65" s="52"/>
      <c r="H65" s="52"/>
      <c r="I65" s="56">
        <f t="shared" ref="I65:P65" si="48">CHOOSE($I$3,I62,I63,I64,)</f>
        <v>0</v>
      </c>
      <c r="J65" s="56">
        <f t="shared" si="48"/>
        <v>0</v>
      </c>
      <c r="K65" s="56">
        <f t="shared" si="48"/>
        <v>0</v>
      </c>
      <c r="L65" s="56">
        <f t="shared" si="48"/>
        <v>0</v>
      </c>
      <c r="M65" s="56">
        <f t="shared" si="48"/>
        <v>0</v>
      </c>
      <c r="N65" s="56">
        <f t="shared" si="48"/>
        <v>0</v>
      </c>
      <c r="O65" s="56">
        <f t="shared" si="48"/>
        <v>0</v>
      </c>
      <c r="P65" s="56">
        <f t="shared" si="48"/>
        <v>0</v>
      </c>
      <c r="Q65" s="56">
        <f t="shared" ref="Q65:V65" si="49">CHOOSE($I$3,Q62,Q63,Q64,)</f>
        <v>0</v>
      </c>
      <c r="R65" s="56">
        <f t="shared" si="49"/>
        <v>0</v>
      </c>
      <c r="S65" s="56">
        <f t="shared" si="49"/>
        <v>0</v>
      </c>
      <c r="T65" s="56">
        <f t="shared" si="49"/>
        <v>0</v>
      </c>
      <c r="U65" s="56">
        <f t="shared" si="49"/>
        <v>0</v>
      </c>
      <c r="V65" s="56">
        <f t="shared" si="49"/>
        <v>0</v>
      </c>
    </row>
    <row r="66" spans="2:22" outlineLevel="1">
      <c r="B66" s="39"/>
      <c r="I66" s="215"/>
      <c r="J66" s="215"/>
      <c r="K66" s="215"/>
      <c r="L66" s="215"/>
      <c r="M66" s="215"/>
      <c r="N66" s="215"/>
      <c r="O66" s="215"/>
      <c r="P66" s="215"/>
      <c r="Q66" s="215"/>
      <c r="R66" s="215"/>
      <c r="S66" s="215"/>
      <c r="T66" s="215"/>
      <c r="U66" s="215"/>
      <c r="V66" s="215"/>
    </row>
    <row r="67" spans="2:22" outlineLevel="1">
      <c r="B67" s="39" t="s">
        <v>557</v>
      </c>
    </row>
    <row r="68" spans="2:22" outlineLevel="1">
      <c r="B68" s="35" t="s">
        <v>36</v>
      </c>
      <c r="C68" s="36"/>
      <c r="D68" s="36"/>
      <c r="E68" s="36"/>
      <c r="F68" s="36"/>
      <c r="G68" s="36"/>
      <c r="H68" s="36"/>
      <c r="I68" s="40">
        <v>0</v>
      </c>
      <c r="J68" s="40">
        <v>0</v>
      </c>
      <c r="K68" s="40">
        <v>0</v>
      </c>
      <c r="L68" s="40">
        <v>0</v>
      </c>
      <c r="M68" s="40">
        <v>0</v>
      </c>
      <c r="N68" s="40">
        <v>0</v>
      </c>
      <c r="O68" s="40">
        <v>0</v>
      </c>
      <c r="P68" s="40">
        <v>0</v>
      </c>
      <c r="Q68" s="40">
        <v>0</v>
      </c>
      <c r="R68" s="40">
        <v>0</v>
      </c>
      <c r="S68" s="40">
        <v>0</v>
      </c>
      <c r="T68" s="40">
        <v>0</v>
      </c>
      <c r="U68" s="40">
        <v>0</v>
      </c>
      <c r="V68" s="40">
        <v>0</v>
      </c>
    </row>
    <row r="69" spans="2:22" outlineLevel="1">
      <c r="B69" s="35" t="s">
        <v>37</v>
      </c>
      <c r="C69" s="36"/>
      <c r="D69" s="36"/>
      <c r="E69" s="36"/>
      <c r="F69" s="36"/>
      <c r="G69" s="36"/>
      <c r="H69" s="36"/>
      <c r="I69" s="40">
        <v>0</v>
      </c>
      <c r="J69" s="40">
        <v>0</v>
      </c>
      <c r="K69" s="40">
        <v>0</v>
      </c>
      <c r="L69" s="40">
        <v>0</v>
      </c>
      <c r="M69" s="40">
        <v>0</v>
      </c>
      <c r="N69" s="40">
        <v>0</v>
      </c>
      <c r="O69" s="40">
        <v>0</v>
      </c>
      <c r="P69" s="40">
        <v>0</v>
      </c>
      <c r="Q69" s="40">
        <v>0</v>
      </c>
      <c r="R69" s="40">
        <v>0</v>
      </c>
      <c r="S69" s="40">
        <v>0</v>
      </c>
      <c r="T69" s="40">
        <v>0</v>
      </c>
      <c r="U69" s="40">
        <v>0</v>
      </c>
      <c r="V69" s="40">
        <v>0</v>
      </c>
    </row>
    <row r="70" spans="2:22" outlineLevel="1">
      <c r="B70" s="35" t="s">
        <v>38</v>
      </c>
      <c r="C70" s="36"/>
      <c r="D70" s="36"/>
      <c r="E70" s="36"/>
      <c r="F70" s="36"/>
      <c r="G70" s="36"/>
      <c r="H70" s="36"/>
      <c r="I70" s="40">
        <v>0</v>
      </c>
      <c r="J70" s="40">
        <v>0</v>
      </c>
      <c r="K70" s="40">
        <v>0</v>
      </c>
      <c r="L70" s="40">
        <v>0</v>
      </c>
      <c r="M70" s="40">
        <v>0</v>
      </c>
      <c r="N70" s="40">
        <v>0</v>
      </c>
      <c r="O70" s="40">
        <v>0</v>
      </c>
      <c r="P70" s="40">
        <v>0</v>
      </c>
      <c r="Q70" s="40">
        <v>0</v>
      </c>
      <c r="R70" s="40">
        <v>0</v>
      </c>
      <c r="S70" s="40">
        <v>0</v>
      </c>
      <c r="T70" s="40">
        <v>0</v>
      </c>
      <c r="U70" s="40">
        <v>0</v>
      </c>
      <c r="V70" s="40">
        <v>0</v>
      </c>
    </row>
    <row r="71" spans="2:22" outlineLevel="1">
      <c r="B71" s="51" t="str">
        <f>"Current Case - "&amp;CHOOSE($I$3,B68,B69,B70)</f>
        <v xml:space="preserve">Current Case - Management Case </v>
      </c>
      <c r="C71" s="52"/>
      <c r="D71" s="52"/>
      <c r="E71" s="52"/>
      <c r="F71" s="52"/>
      <c r="G71" s="52"/>
      <c r="H71" s="52"/>
      <c r="I71" s="56">
        <f>CHOOSE($I$3,I68,I69,I70,)</f>
        <v>0</v>
      </c>
      <c r="J71" s="56">
        <f t="shared" ref="J71:P71" si="50">CHOOSE($I$3,J68,J69,J70,)</f>
        <v>0</v>
      </c>
      <c r="K71" s="56">
        <f t="shared" si="50"/>
        <v>0</v>
      </c>
      <c r="L71" s="56">
        <f t="shared" si="50"/>
        <v>0</v>
      </c>
      <c r="M71" s="56">
        <f t="shared" si="50"/>
        <v>0</v>
      </c>
      <c r="N71" s="56">
        <f t="shared" si="50"/>
        <v>0</v>
      </c>
      <c r="O71" s="56">
        <f t="shared" si="50"/>
        <v>0</v>
      </c>
      <c r="P71" s="56">
        <f t="shared" si="50"/>
        <v>0</v>
      </c>
      <c r="Q71" s="56">
        <f t="shared" ref="Q71:V71" si="51">CHOOSE($I$3,Q68,Q69,Q70,)</f>
        <v>0</v>
      </c>
      <c r="R71" s="56">
        <f t="shared" si="51"/>
        <v>0</v>
      </c>
      <c r="S71" s="56">
        <f t="shared" si="51"/>
        <v>0</v>
      </c>
      <c r="T71" s="56">
        <f t="shared" si="51"/>
        <v>0</v>
      </c>
      <c r="U71" s="56">
        <f t="shared" si="51"/>
        <v>0</v>
      </c>
      <c r="V71" s="56">
        <f t="shared" si="51"/>
        <v>0</v>
      </c>
    </row>
    <row r="72" spans="2:22" outlineLevel="1"/>
    <row r="73" spans="2:22" outlineLevel="1">
      <c r="B73" s="33" t="s">
        <v>49</v>
      </c>
      <c r="C73" s="34"/>
      <c r="D73" s="34"/>
      <c r="E73" s="34"/>
      <c r="F73" s="34"/>
      <c r="G73" s="34"/>
      <c r="H73" s="34"/>
      <c r="I73" s="34"/>
      <c r="J73" s="34"/>
      <c r="K73" s="34"/>
      <c r="L73" s="34"/>
      <c r="M73" s="34"/>
      <c r="N73" s="34"/>
      <c r="O73" s="34"/>
      <c r="P73" s="34"/>
      <c r="Q73" s="34"/>
      <c r="R73" s="34"/>
      <c r="S73" s="34"/>
      <c r="T73" s="34"/>
      <c r="U73" s="34"/>
      <c r="V73" s="34"/>
    </row>
    <row r="74" spans="2:22" outlineLevel="1"/>
    <row r="75" spans="2:22" outlineLevel="1">
      <c r="B75" s="39" t="s">
        <v>541</v>
      </c>
    </row>
    <row r="76" spans="2:22" outlineLevel="1">
      <c r="B76" s="35" t="s">
        <v>36</v>
      </c>
      <c r="C76" s="36"/>
      <c r="D76" s="36"/>
      <c r="E76" s="36"/>
      <c r="F76" s="36"/>
      <c r="G76" s="36"/>
      <c r="H76" s="36"/>
      <c r="I76" s="40">
        <v>-0.15789473684210531</v>
      </c>
      <c r="J76" s="40">
        <v>-0.1875</v>
      </c>
      <c r="K76" s="40">
        <v>-0.23076923076923073</v>
      </c>
      <c r="L76" s="40">
        <v>-0.30000000000000004</v>
      </c>
      <c r="M76" s="40">
        <v>-0.4285714285714286</v>
      </c>
      <c r="N76" s="40">
        <v>-1</v>
      </c>
      <c r="O76" s="40">
        <v>0</v>
      </c>
      <c r="P76" s="40">
        <v>0</v>
      </c>
      <c r="Q76" s="40">
        <v>0</v>
      </c>
      <c r="R76" s="40">
        <v>0</v>
      </c>
      <c r="S76" s="40">
        <v>0</v>
      </c>
      <c r="T76" s="40">
        <v>0</v>
      </c>
      <c r="U76" s="40">
        <v>0</v>
      </c>
      <c r="V76" s="40">
        <v>0</v>
      </c>
    </row>
    <row r="77" spans="2:22" outlineLevel="1">
      <c r="B77" s="35" t="s">
        <v>37</v>
      </c>
      <c r="C77" s="36"/>
      <c r="D77" s="36"/>
      <c r="E77" s="36"/>
      <c r="F77" s="36"/>
      <c r="G77" s="36"/>
      <c r="H77" s="36"/>
      <c r="I77" s="40">
        <v>-0.15789473684210531</v>
      </c>
      <c r="J77" s="40">
        <v>-0.1875</v>
      </c>
      <c r="K77" s="40">
        <v>-0.23076923076923073</v>
      </c>
      <c r="L77" s="40">
        <v>-0.30000000000000004</v>
      </c>
      <c r="M77" s="40">
        <v>-0.4285714285714286</v>
      </c>
      <c r="N77" s="40">
        <v>-1</v>
      </c>
      <c r="O77" s="40">
        <v>0</v>
      </c>
      <c r="P77" s="40">
        <v>0</v>
      </c>
      <c r="Q77" s="40">
        <v>0</v>
      </c>
      <c r="R77" s="40">
        <v>0</v>
      </c>
      <c r="S77" s="40">
        <v>0</v>
      </c>
      <c r="T77" s="40">
        <v>0</v>
      </c>
      <c r="U77" s="40">
        <v>0</v>
      </c>
      <c r="V77" s="40">
        <v>0</v>
      </c>
    </row>
    <row r="78" spans="2:22" outlineLevel="1">
      <c r="B78" s="35" t="s">
        <v>38</v>
      </c>
      <c r="C78" s="36"/>
      <c r="D78" s="36"/>
      <c r="E78" s="36"/>
      <c r="F78" s="36"/>
      <c r="G78" s="36"/>
      <c r="H78" s="36"/>
      <c r="I78" s="40">
        <v>-0.15789473684210531</v>
      </c>
      <c r="J78" s="40">
        <v>-0.1875</v>
      </c>
      <c r="K78" s="40">
        <v>-0.23076923076923073</v>
      </c>
      <c r="L78" s="40">
        <v>-0.30000000000000004</v>
      </c>
      <c r="M78" s="40">
        <v>-0.4285714285714286</v>
      </c>
      <c r="N78" s="40">
        <v>-1</v>
      </c>
      <c r="O78" s="40">
        <v>0</v>
      </c>
      <c r="P78" s="40">
        <v>0</v>
      </c>
      <c r="Q78" s="40">
        <v>0</v>
      </c>
      <c r="R78" s="40">
        <v>0</v>
      </c>
      <c r="S78" s="40">
        <v>0</v>
      </c>
      <c r="T78" s="40">
        <v>0</v>
      </c>
      <c r="U78" s="40">
        <v>0</v>
      </c>
      <c r="V78" s="40">
        <v>0</v>
      </c>
    </row>
    <row r="79" spans="2:22" outlineLevel="1">
      <c r="B79" s="51" t="s">
        <v>540</v>
      </c>
      <c r="C79" s="52"/>
      <c r="D79" s="52"/>
      <c r="E79" s="52"/>
      <c r="F79" s="52"/>
      <c r="G79" s="52"/>
      <c r="H79" s="52"/>
      <c r="I79" s="56">
        <f>CHOOSE($I$3,I76,I77,I78,)</f>
        <v>-0.15789473684210531</v>
      </c>
      <c r="J79" s="56">
        <f t="shared" ref="J79:P79" si="52">CHOOSE($I$3,J76,J77,J78,)</f>
        <v>-0.1875</v>
      </c>
      <c r="K79" s="56">
        <f t="shared" si="52"/>
        <v>-0.23076923076923073</v>
      </c>
      <c r="L79" s="56">
        <f t="shared" si="52"/>
        <v>-0.30000000000000004</v>
      </c>
      <c r="M79" s="56">
        <f t="shared" si="52"/>
        <v>-0.4285714285714286</v>
      </c>
      <c r="N79" s="56">
        <f t="shared" si="52"/>
        <v>-1</v>
      </c>
      <c r="O79" s="56">
        <f t="shared" si="52"/>
        <v>0</v>
      </c>
      <c r="P79" s="56">
        <f t="shared" si="52"/>
        <v>0</v>
      </c>
      <c r="Q79" s="56">
        <f t="shared" ref="Q79:V79" si="53">CHOOSE($I$3,Q76,Q77,Q78,)</f>
        <v>0</v>
      </c>
      <c r="R79" s="56">
        <f t="shared" si="53"/>
        <v>0</v>
      </c>
      <c r="S79" s="56">
        <f t="shared" si="53"/>
        <v>0</v>
      </c>
      <c r="T79" s="56">
        <f t="shared" si="53"/>
        <v>0</v>
      </c>
      <c r="U79" s="56">
        <f t="shared" si="53"/>
        <v>0</v>
      </c>
      <c r="V79" s="56">
        <f t="shared" si="53"/>
        <v>0</v>
      </c>
    </row>
    <row r="81" spans="1:22">
      <c r="A81" t="s">
        <v>35</v>
      </c>
      <c r="B81" s="166" t="s">
        <v>675</v>
      </c>
      <c r="C81" s="166"/>
      <c r="D81" s="166"/>
      <c r="E81" s="166"/>
      <c r="F81" s="166"/>
      <c r="G81" s="166"/>
      <c r="H81" s="166"/>
      <c r="I81" s="166"/>
      <c r="J81" s="166"/>
      <c r="K81" s="166"/>
      <c r="L81" s="166"/>
      <c r="M81" s="166"/>
      <c r="N81" s="166"/>
      <c r="O81" s="166"/>
      <c r="P81" s="166"/>
      <c r="Q81" s="166"/>
      <c r="R81" s="166"/>
      <c r="S81" s="166"/>
      <c r="T81" s="166"/>
      <c r="U81" s="166"/>
      <c r="V81" s="166"/>
    </row>
    <row r="82" spans="1:22" outlineLevel="1"/>
    <row r="83" spans="1:22" outlineLevel="1">
      <c r="B83" s="39" t="s">
        <v>46</v>
      </c>
    </row>
    <row r="84" spans="1:22" outlineLevel="1">
      <c r="B84" s="35" t="s">
        <v>36</v>
      </c>
      <c r="C84" s="36"/>
      <c r="D84" s="36"/>
      <c r="E84" s="36"/>
      <c r="F84" s="36"/>
      <c r="G84" s="36"/>
      <c r="H84" s="36"/>
      <c r="I84" s="40">
        <v>0.25169999999999998</v>
      </c>
      <c r="J84" s="40">
        <v>0.25169999999999998</v>
      </c>
      <c r="K84" s="40">
        <v>0.25169999999999998</v>
      </c>
      <c r="L84" s="40">
        <v>0.25169999999999998</v>
      </c>
      <c r="M84" s="40">
        <v>0.25169999999999998</v>
      </c>
      <c r="N84" s="40">
        <v>0.25169999999999998</v>
      </c>
      <c r="O84" s="40">
        <v>0.25169999999999998</v>
      </c>
      <c r="P84" s="40">
        <v>0.25169999999999998</v>
      </c>
      <c r="Q84" s="40">
        <v>0.25169999999999998</v>
      </c>
      <c r="R84" s="40">
        <v>0.25169999999999998</v>
      </c>
      <c r="S84" s="40">
        <v>0.25169999999999998</v>
      </c>
      <c r="T84" s="40">
        <v>0.25169999999999998</v>
      </c>
      <c r="U84" s="40">
        <v>0.25169999999999998</v>
      </c>
      <c r="V84" s="40">
        <v>0.25169999999999998</v>
      </c>
    </row>
    <row r="85" spans="1:22" outlineLevel="1">
      <c r="B85" s="35" t="s">
        <v>37</v>
      </c>
      <c r="C85" s="36"/>
      <c r="D85" s="36"/>
      <c r="E85" s="36"/>
      <c r="F85" s="36"/>
      <c r="G85" s="36"/>
      <c r="H85" s="36"/>
      <c r="I85" s="40">
        <v>0.25169999999999998</v>
      </c>
      <c r="J85" s="40">
        <v>0.25169999999999998</v>
      </c>
      <c r="K85" s="40">
        <v>0.25169999999999998</v>
      </c>
      <c r="L85" s="40">
        <v>0.25169999999999998</v>
      </c>
      <c r="M85" s="40">
        <v>0.25169999999999998</v>
      </c>
      <c r="N85" s="40">
        <v>0.25169999999999998</v>
      </c>
      <c r="O85" s="40">
        <v>0.25169999999999998</v>
      </c>
      <c r="P85" s="40">
        <v>0.25169999999999998</v>
      </c>
      <c r="Q85" s="40">
        <v>0.25169999999999998</v>
      </c>
      <c r="R85" s="40">
        <v>0.25169999999999998</v>
      </c>
      <c r="S85" s="40">
        <v>0.25169999999999998</v>
      </c>
      <c r="T85" s="40">
        <v>0.25169999999999998</v>
      </c>
      <c r="U85" s="40">
        <v>0.25169999999999998</v>
      </c>
      <c r="V85" s="40">
        <v>0.25169999999999998</v>
      </c>
    </row>
    <row r="86" spans="1:22" outlineLevel="1">
      <c r="B86" s="35" t="s">
        <v>38</v>
      </c>
      <c r="C86" s="36"/>
      <c r="D86" s="36"/>
      <c r="E86" s="36"/>
      <c r="F86" s="36"/>
      <c r="G86" s="36"/>
      <c r="H86" s="36"/>
      <c r="I86" s="40">
        <v>0.25169999999999998</v>
      </c>
      <c r="J86" s="40">
        <v>0.25169999999999998</v>
      </c>
      <c r="K86" s="40">
        <v>0.25169999999999998</v>
      </c>
      <c r="L86" s="40">
        <v>0.25169999999999998</v>
      </c>
      <c r="M86" s="40">
        <v>0.25169999999999998</v>
      </c>
      <c r="N86" s="40">
        <v>0.25169999999999998</v>
      </c>
      <c r="O86" s="40">
        <v>0.25169999999999998</v>
      </c>
      <c r="P86" s="40">
        <v>0.25169999999999998</v>
      </c>
      <c r="Q86" s="40">
        <v>0.25169999999999998</v>
      </c>
      <c r="R86" s="40">
        <v>0.25169999999999998</v>
      </c>
      <c r="S86" s="40">
        <v>0.25169999999999998</v>
      </c>
      <c r="T86" s="40">
        <v>0.25169999999999998</v>
      </c>
      <c r="U86" s="40">
        <v>0.25169999999999998</v>
      </c>
      <c r="V86" s="40">
        <v>0.25169999999999998</v>
      </c>
    </row>
    <row r="87" spans="1:22" outlineLevel="1">
      <c r="B87" s="51" t="str">
        <f>"Current Case - "&amp;CHOOSE($I$3,B84,B85,B86)</f>
        <v xml:space="preserve">Current Case - Management Case </v>
      </c>
      <c r="C87" s="52"/>
      <c r="D87" s="52"/>
      <c r="E87" s="52"/>
      <c r="F87" s="52"/>
      <c r="G87" s="52"/>
      <c r="H87" s="52"/>
      <c r="I87" s="56">
        <f t="shared" ref="I87:P87" si="54">CHOOSE($I$3,I84,I85,I86,)</f>
        <v>0.25169999999999998</v>
      </c>
      <c r="J87" s="56">
        <f t="shared" si="54"/>
        <v>0.25169999999999998</v>
      </c>
      <c r="K87" s="56">
        <f t="shared" si="54"/>
        <v>0.25169999999999998</v>
      </c>
      <c r="L87" s="56">
        <f t="shared" si="54"/>
        <v>0.25169999999999998</v>
      </c>
      <c r="M87" s="56">
        <f t="shared" si="54"/>
        <v>0.25169999999999998</v>
      </c>
      <c r="N87" s="56">
        <f t="shared" si="54"/>
        <v>0.25169999999999998</v>
      </c>
      <c r="O87" s="56">
        <f t="shared" si="54"/>
        <v>0.25169999999999998</v>
      </c>
      <c r="P87" s="56">
        <f t="shared" si="54"/>
        <v>0.25169999999999998</v>
      </c>
      <c r="Q87" s="56">
        <f t="shared" ref="Q87:V87" si="55">CHOOSE($I$3,Q84,Q85,Q86,)</f>
        <v>0.25169999999999998</v>
      </c>
      <c r="R87" s="56">
        <f t="shared" si="55"/>
        <v>0.25169999999999998</v>
      </c>
      <c r="S87" s="56">
        <f t="shared" si="55"/>
        <v>0.25169999999999998</v>
      </c>
      <c r="T87" s="56">
        <f t="shared" si="55"/>
        <v>0.25169999999999998</v>
      </c>
      <c r="U87" s="56">
        <f t="shared" si="55"/>
        <v>0.25169999999999998</v>
      </c>
      <c r="V87" s="56">
        <f t="shared" si="55"/>
        <v>0.25169999999999998</v>
      </c>
    </row>
    <row r="89" spans="1:22">
      <c r="A89" t="s">
        <v>35</v>
      </c>
      <c r="B89" s="166" t="s">
        <v>676</v>
      </c>
      <c r="C89" s="166"/>
      <c r="D89" s="166"/>
      <c r="E89" s="166"/>
      <c r="F89" s="166"/>
      <c r="G89" s="166"/>
      <c r="H89" s="166"/>
      <c r="I89" s="166"/>
      <c r="J89" s="166"/>
      <c r="K89" s="166"/>
      <c r="L89" s="166"/>
      <c r="M89" s="166"/>
      <c r="N89" s="166"/>
      <c r="O89" s="166"/>
      <c r="P89" s="166"/>
      <c r="Q89" s="166"/>
      <c r="R89" s="166"/>
      <c r="S89" s="166"/>
      <c r="T89" s="166"/>
      <c r="U89" s="166"/>
      <c r="V89" s="166"/>
    </row>
    <row r="90" spans="1:22" outlineLevel="1"/>
    <row r="91" spans="1:22" outlineLevel="1">
      <c r="B91" s="39" t="s">
        <v>640</v>
      </c>
    </row>
    <row r="92" spans="1:22" outlineLevel="1">
      <c r="B92" s="35" t="s">
        <v>36</v>
      </c>
      <c r="C92" s="36"/>
      <c r="D92" s="36"/>
      <c r="E92" s="36"/>
      <c r="F92" s="36"/>
      <c r="G92" s="36"/>
      <c r="H92" s="36"/>
      <c r="I92" s="40">
        <v>0.03</v>
      </c>
      <c r="J92" s="40">
        <v>0.04</v>
      </c>
      <c r="K92" s="40">
        <v>0.04</v>
      </c>
      <c r="L92" s="40">
        <v>0.04</v>
      </c>
      <c r="M92" s="40">
        <v>0.04</v>
      </c>
      <c r="N92" s="40">
        <v>0.02</v>
      </c>
      <c r="O92" s="40">
        <v>0.01</v>
      </c>
      <c r="P92" s="40">
        <v>0.01</v>
      </c>
      <c r="Q92" s="40">
        <v>0</v>
      </c>
      <c r="R92" s="40">
        <v>0</v>
      </c>
      <c r="S92" s="40">
        <v>0</v>
      </c>
      <c r="T92" s="40">
        <v>0</v>
      </c>
      <c r="U92" s="40">
        <v>0</v>
      </c>
      <c r="V92" s="40">
        <v>0</v>
      </c>
    </row>
    <row r="93" spans="1:22" outlineLevel="1">
      <c r="B93" s="35" t="s">
        <v>37</v>
      </c>
      <c r="C93" s="36"/>
      <c r="D93" s="36"/>
      <c r="E93" s="36"/>
      <c r="F93" s="36"/>
      <c r="G93" s="36"/>
      <c r="H93" s="36"/>
      <c r="I93" s="40">
        <v>0.03</v>
      </c>
      <c r="J93" s="40">
        <v>0.04</v>
      </c>
      <c r="K93" s="40">
        <v>0.04</v>
      </c>
      <c r="L93" s="40">
        <v>0.04</v>
      </c>
      <c r="M93" s="40">
        <v>0.04</v>
      </c>
      <c r="N93" s="40">
        <v>0.02</v>
      </c>
      <c r="O93" s="40">
        <v>0.01</v>
      </c>
      <c r="P93" s="40">
        <v>0.01</v>
      </c>
      <c r="Q93" s="40">
        <v>0</v>
      </c>
      <c r="R93" s="40">
        <v>0</v>
      </c>
      <c r="S93" s="40">
        <v>0</v>
      </c>
      <c r="T93" s="40">
        <v>0</v>
      </c>
      <c r="U93" s="40">
        <v>0</v>
      </c>
      <c r="V93" s="40">
        <v>0</v>
      </c>
    </row>
    <row r="94" spans="1:22" outlineLevel="1">
      <c r="B94" s="35" t="s">
        <v>38</v>
      </c>
      <c r="C94" s="36"/>
      <c r="D94" s="36"/>
      <c r="E94" s="36"/>
      <c r="F94" s="36"/>
      <c r="G94" s="36"/>
      <c r="H94" s="36"/>
      <c r="I94" s="40">
        <v>0.03</v>
      </c>
      <c r="J94" s="40">
        <v>0.04</v>
      </c>
      <c r="K94" s="40">
        <v>0.04</v>
      </c>
      <c r="L94" s="40">
        <v>0.04</v>
      </c>
      <c r="M94" s="40">
        <v>0.04</v>
      </c>
      <c r="N94" s="40">
        <v>0.02</v>
      </c>
      <c r="O94" s="40">
        <v>0.01</v>
      </c>
      <c r="P94" s="40">
        <v>0.01</v>
      </c>
      <c r="Q94" s="40">
        <v>0</v>
      </c>
      <c r="R94" s="40">
        <v>0</v>
      </c>
      <c r="S94" s="40">
        <v>0</v>
      </c>
      <c r="T94" s="40">
        <v>0</v>
      </c>
      <c r="U94" s="40">
        <v>0</v>
      </c>
      <c r="V94" s="40">
        <v>0</v>
      </c>
    </row>
    <row r="95" spans="1:22" outlineLevel="1">
      <c r="B95" s="51" t="str">
        <f>"Current Case - "&amp;CHOOSE($I$3,B92,B93,B94)</f>
        <v xml:space="preserve">Current Case - Management Case </v>
      </c>
      <c r="C95" s="52"/>
      <c r="D95" s="52"/>
      <c r="E95" s="52"/>
      <c r="F95" s="52"/>
      <c r="G95" s="52"/>
      <c r="H95" s="52"/>
      <c r="I95" s="56">
        <f>CHOOSE($I$3,I92,I93,I94,)</f>
        <v>0.03</v>
      </c>
      <c r="J95" s="56">
        <f t="shared" ref="J95:P95" si="56">CHOOSE($I$3,J92,J93,J94,)</f>
        <v>0.04</v>
      </c>
      <c r="K95" s="56">
        <f t="shared" si="56"/>
        <v>0.04</v>
      </c>
      <c r="L95" s="56">
        <f t="shared" si="56"/>
        <v>0.04</v>
      </c>
      <c r="M95" s="56">
        <f t="shared" si="56"/>
        <v>0.04</v>
      </c>
      <c r="N95" s="56">
        <f t="shared" si="56"/>
        <v>0.02</v>
      </c>
      <c r="O95" s="56">
        <f t="shared" si="56"/>
        <v>0.01</v>
      </c>
      <c r="P95" s="56">
        <f t="shared" si="56"/>
        <v>0.01</v>
      </c>
      <c r="Q95" s="56">
        <f t="shared" ref="Q95:V95" si="57">CHOOSE($I$3,Q92,Q93,Q94,)</f>
        <v>0</v>
      </c>
      <c r="R95" s="56">
        <f t="shared" si="57"/>
        <v>0</v>
      </c>
      <c r="S95" s="56">
        <f t="shared" si="57"/>
        <v>0</v>
      </c>
      <c r="T95" s="56">
        <f t="shared" si="57"/>
        <v>0</v>
      </c>
      <c r="U95" s="56">
        <f t="shared" si="57"/>
        <v>0</v>
      </c>
      <c r="V95" s="56">
        <f t="shared" si="57"/>
        <v>0</v>
      </c>
    </row>
    <row r="96" spans="1:22" outlineLevel="1">
      <c r="B96" s="39"/>
      <c r="I96" s="215"/>
      <c r="J96" s="215"/>
      <c r="K96" s="215"/>
      <c r="L96" s="215"/>
      <c r="M96" s="215"/>
      <c r="N96" s="215"/>
      <c r="O96" s="215"/>
      <c r="P96" s="215"/>
      <c r="Q96" s="215"/>
      <c r="R96" s="215"/>
      <c r="S96" s="215"/>
      <c r="T96" s="215"/>
      <c r="U96" s="215"/>
      <c r="V96" s="215"/>
    </row>
    <row r="97" spans="1:22" outlineLevel="1">
      <c r="B97" s="166" t="s">
        <v>591</v>
      </c>
      <c r="C97" s="166"/>
      <c r="D97" s="166"/>
      <c r="E97" s="166"/>
      <c r="F97" s="166"/>
      <c r="G97" s="166"/>
      <c r="H97" s="166"/>
      <c r="I97" s="166"/>
      <c r="J97" s="166"/>
      <c r="K97" s="166"/>
      <c r="L97" s="166"/>
      <c r="M97" s="166"/>
      <c r="N97" s="166"/>
      <c r="O97" s="166"/>
      <c r="P97" s="166"/>
      <c r="Q97" s="166"/>
      <c r="R97" s="166"/>
      <c r="S97" s="166"/>
      <c r="T97" s="166"/>
      <c r="U97" s="166"/>
      <c r="V97" s="166"/>
    </row>
    <row r="98" spans="1:22" outlineLevel="1"/>
    <row r="99" spans="1:22" outlineLevel="1">
      <c r="B99" s="39" t="s">
        <v>641</v>
      </c>
    </row>
    <row r="100" spans="1:22" outlineLevel="1">
      <c r="B100" s="35" t="s">
        <v>36</v>
      </c>
      <c r="C100" s="36"/>
      <c r="D100" s="36"/>
      <c r="E100" s="36"/>
      <c r="F100" s="36"/>
      <c r="G100" s="36"/>
      <c r="H100" s="36"/>
      <c r="I100" s="40">
        <v>0.03</v>
      </c>
      <c r="J100" s="40">
        <v>0.03</v>
      </c>
      <c r="K100" s="40">
        <v>0.03</v>
      </c>
      <c r="L100" s="40">
        <v>0.03</v>
      </c>
      <c r="M100" s="40">
        <v>2.5000000000000001E-2</v>
      </c>
      <c r="N100" s="40">
        <v>1.4999999999999999E-2</v>
      </c>
      <c r="O100" s="40">
        <v>0.01</v>
      </c>
      <c r="P100" s="40">
        <v>0.01</v>
      </c>
      <c r="Q100" s="40">
        <v>0</v>
      </c>
      <c r="R100" s="40">
        <v>0</v>
      </c>
      <c r="S100" s="40">
        <v>0</v>
      </c>
      <c r="T100" s="40">
        <v>0</v>
      </c>
      <c r="U100" s="40">
        <v>0</v>
      </c>
      <c r="V100" s="40">
        <v>0</v>
      </c>
    </row>
    <row r="101" spans="1:22" outlineLevel="1">
      <c r="B101" s="35" t="s">
        <v>37</v>
      </c>
      <c r="C101" s="36"/>
      <c r="D101" s="36"/>
      <c r="E101" s="36"/>
      <c r="F101" s="36"/>
      <c r="G101" s="36"/>
      <c r="H101" s="36"/>
      <c r="I101" s="40">
        <v>0.03</v>
      </c>
      <c r="J101" s="40">
        <v>0.03</v>
      </c>
      <c r="K101" s="40">
        <v>0.03</v>
      </c>
      <c r="L101" s="40">
        <v>0.03</v>
      </c>
      <c r="M101" s="40">
        <v>2.5000000000000001E-2</v>
      </c>
      <c r="N101" s="40">
        <v>1.4999999999999999E-2</v>
      </c>
      <c r="O101" s="40">
        <v>0.01</v>
      </c>
      <c r="P101" s="40">
        <v>0.01</v>
      </c>
      <c r="Q101" s="40">
        <v>0</v>
      </c>
      <c r="R101" s="40">
        <v>0</v>
      </c>
      <c r="S101" s="40">
        <v>0</v>
      </c>
      <c r="T101" s="40">
        <v>0</v>
      </c>
      <c r="U101" s="40">
        <v>0</v>
      </c>
      <c r="V101" s="40">
        <v>0</v>
      </c>
    </row>
    <row r="102" spans="1:22" outlineLevel="1">
      <c r="B102" s="35" t="s">
        <v>38</v>
      </c>
      <c r="C102" s="36"/>
      <c r="D102" s="36"/>
      <c r="E102" s="36"/>
      <c r="F102" s="36"/>
      <c r="G102" s="36"/>
      <c r="H102" s="36"/>
      <c r="I102" s="40">
        <v>0.03</v>
      </c>
      <c r="J102" s="40">
        <v>0.03</v>
      </c>
      <c r="K102" s="40">
        <v>0.03</v>
      </c>
      <c r="L102" s="40">
        <v>0.03</v>
      </c>
      <c r="M102" s="40">
        <v>2.5000000000000001E-2</v>
      </c>
      <c r="N102" s="40">
        <v>1.4999999999999999E-2</v>
      </c>
      <c r="O102" s="40">
        <v>0.01</v>
      </c>
      <c r="P102" s="40">
        <v>0.01</v>
      </c>
      <c r="Q102" s="40">
        <v>0</v>
      </c>
      <c r="R102" s="40">
        <v>0</v>
      </c>
      <c r="S102" s="40">
        <v>0</v>
      </c>
      <c r="T102" s="40">
        <v>0</v>
      </c>
      <c r="U102" s="40">
        <v>0</v>
      </c>
      <c r="V102" s="40">
        <v>0</v>
      </c>
    </row>
    <row r="103" spans="1:22" outlineLevel="1">
      <c r="B103" s="51" t="str">
        <f>"Current Case - "&amp;CHOOSE($I$3,B100,B101,B102)</f>
        <v xml:space="preserve">Current Case - Management Case </v>
      </c>
      <c r="C103" s="52"/>
      <c r="D103" s="52"/>
      <c r="E103" s="52"/>
      <c r="F103" s="52"/>
      <c r="G103" s="52"/>
      <c r="H103" s="52"/>
      <c r="I103" s="56">
        <f>CHOOSE($I$3,I100,I101,I102,)</f>
        <v>0.03</v>
      </c>
      <c r="J103" s="56">
        <f t="shared" ref="J103:P103" si="58">CHOOSE($I$3,J100,J101,J102,)</f>
        <v>0.03</v>
      </c>
      <c r="K103" s="56">
        <f t="shared" si="58"/>
        <v>0.03</v>
      </c>
      <c r="L103" s="56">
        <f t="shared" si="58"/>
        <v>0.03</v>
      </c>
      <c r="M103" s="56">
        <f t="shared" si="58"/>
        <v>2.5000000000000001E-2</v>
      </c>
      <c r="N103" s="56">
        <f t="shared" si="58"/>
        <v>1.4999999999999999E-2</v>
      </c>
      <c r="O103" s="56">
        <f t="shared" si="58"/>
        <v>0.01</v>
      </c>
      <c r="P103" s="56">
        <f t="shared" si="58"/>
        <v>0.01</v>
      </c>
      <c r="Q103" s="56">
        <f t="shared" ref="Q103:V103" si="59">CHOOSE($I$3,Q100,Q101,Q102,)</f>
        <v>0</v>
      </c>
      <c r="R103" s="56">
        <f t="shared" si="59"/>
        <v>0</v>
      </c>
      <c r="S103" s="56">
        <f t="shared" si="59"/>
        <v>0</v>
      </c>
      <c r="T103" s="56">
        <f t="shared" si="59"/>
        <v>0</v>
      </c>
      <c r="U103" s="56">
        <f t="shared" si="59"/>
        <v>0</v>
      </c>
      <c r="V103" s="56">
        <f t="shared" si="59"/>
        <v>0</v>
      </c>
    </row>
    <row r="105" spans="1:22">
      <c r="A105" t="s">
        <v>35</v>
      </c>
      <c r="B105" s="166" t="s">
        <v>674</v>
      </c>
      <c r="C105" s="166"/>
      <c r="D105" s="166"/>
      <c r="E105" s="166"/>
      <c r="F105" s="166"/>
      <c r="G105" s="166"/>
      <c r="H105" s="166"/>
      <c r="I105" s="166"/>
      <c r="J105" s="166"/>
      <c r="K105" s="166"/>
      <c r="L105" s="166"/>
      <c r="M105" s="166"/>
      <c r="N105" s="166"/>
      <c r="O105" s="166"/>
      <c r="P105" s="166"/>
      <c r="Q105" s="166"/>
      <c r="R105" s="166"/>
      <c r="S105" s="166"/>
      <c r="T105" s="166"/>
      <c r="U105" s="166"/>
      <c r="V105" s="166"/>
    </row>
    <row r="106" spans="1:22" outlineLevel="1"/>
    <row r="107" spans="1:22" outlineLevel="1">
      <c r="B107" s="39" t="s">
        <v>650</v>
      </c>
    </row>
    <row r="108" spans="1:22" outlineLevel="1">
      <c r="B108" s="35" t="s">
        <v>36</v>
      </c>
      <c r="C108" s="36"/>
      <c r="D108" s="36"/>
      <c r="E108" s="36"/>
      <c r="F108" s="36"/>
      <c r="G108" s="36"/>
      <c r="H108" s="36"/>
      <c r="I108" s="40">
        <v>7.6999999999999999E-2</v>
      </c>
      <c r="J108" s="40">
        <v>7.6999999999999999E-2</v>
      </c>
      <c r="K108" s="40">
        <v>7.6999999999999999E-2</v>
      </c>
      <c r="L108" s="40">
        <v>7.6999999999999999E-2</v>
      </c>
      <c r="M108" s="40">
        <v>7.6999999999999999E-2</v>
      </c>
      <c r="N108" s="40">
        <v>7.6999999999999999E-2</v>
      </c>
      <c r="O108" s="40">
        <v>7.6999999999999999E-2</v>
      </c>
      <c r="P108" s="40">
        <v>7.6999999999999999E-2</v>
      </c>
      <c r="Q108" s="40">
        <v>7.6999999999999999E-2</v>
      </c>
      <c r="R108" s="40">
        <v>7.6999999999999999E-2</v>
      </c>
      <c r="S108" s="40">
        <v>7.6999999999999999E-2</v>
      </c>
      <c r="T108" s="40">
        <v>7.6999999999999999E-2</v>
      </c>
      <c r="U108" s="40">
        <v>7.6999999999999999E-2</v>
      </c>
      <c r="V108" s="40">
        <v>7.6999999999999999E-2</v>
      </c>
    </row>
    <row r="109" spans="1:22" outlineLevel="1">
      <c r="B109" s="35" t="s">
        <v>37</v>
      </c>
      <c r="C109" s="36"/>
      <c r="D109" s="36"/>
      <c r="E109" s="36"/>
      <c r="F109" s="36"/>
      <c r="G109" s="36"/>
      <c r="H109" s="36"/>
      <c r="I109" s="40">
        <v>7.6999999999999999E-2</v>
      </c>
      <c r="J109" s="40">
        <v>7.6999999999999999E-2</v>
      </c>
      <c r="K109" s="40">
        <v>7.6999999999999999E-2</v>
      </c>
      <c r="L109" s="40">
        <v>7.6999999999999999E-2</v>
      </c>
      <c r="M109" s="40">
        <v>7.6999999999999999E-2</v>
      </c>
      <c r="N109" s="40">
        <v>7.6999999999999999E-2</v>
      </c>
      <c r="O109" s="40">
        <v>7.6999999999999999E-2</v>
      </c>
      <c r="P109" s="40">
        <v>7.6999999999999999E-2</v>
      </c>
      <c r="Q109" s="40">
        <v>7.6999999999999999E-2</v>
      </c>
      <c r="R109" s="40">
        <v>7.6999999999999999E-2</v>
      </c>
      <c r="S109" s="40">
        <v>7.6999999999999999E-2</v>
      </c>
      <c r="T109" s="40">
        <v>7.6999999999999999E-2</v>
      </c>
      <c r="U109" s="40">
        <v>7.6999999999999999E-2</v>
      </c>
      <c r="V109" s="40">
        <v>7.6999999999999999E-2</v>
      </c>
    </row>
    <row r="110" spans="1:22" outlineLevel="1">
      <c r="B110" s="35" t="s">
        <v>38</v>
      </c>
      <c r="C110" s="36"/>
      <c r="D110" s="36"/>
      <c r="E110" s="36"/>
      <c r="F110" s="36"/>
      <c r="G110" s="36"/>
      <c r="H110" s="36"/>
      <c r="I110" s="40">
        <v>7.6999999999999999E-2</v>
      </c>
      <c r="J110" s="40">
        <v>7.6999999999999999E-2</v>
      </c>
      <c r="K110" s="40">
        <v>7.6999999999999999E-2</v>
      </c>
      <c r="L110" s="40">
        <v>7.6999999999999999E-2</v>
      </c>
      <c r="M110" s="40">
        <v>7.6999999999999999E-2</v>
      </c>
      <c r="N110" s="40">
        <v>7.6999999999999999E-2</v>
      </c>
      <c r="O110" s="40">
        <v>7.6999999999999999E-2</v>
      </c>
      <c r="P110" s="40">
        <v>7.6999999999999999E-2</v>
      </c>
      <c r="Q110" s="40">
        <v>7.6999999999999999E-2</v>
      </c>
      <c r="R110" s="40">
        <v>7.6999999999999999E-2</v>
      </c>
      <c r="S110" s="40">
        <v>7.6999999999999999E-2</v>
      </c>
      <c r="T110" s="40">
        <v>7.6999999999999999E-2</v>
      </c>
      <c r="U110" s="40">
        <v>7.6999999999999999E-2</v>
      </c>
      <c r="V110" s="40">
        <v>7.6999999999999999E-2</v>
      </c>
    </row>
    <row r="111" spans="1:22" outlineLevel="1">
      <c r="B111" s="51" t="str">
        <f>"Current Case - "&amp;CHOOSE($I$3,B108,B109,B110)</f>
        <v xml:space="preserve">Current Case - Management Case </v>
      </c>
      <c r="C111" s="52"/>
      <c r="D111" s="52"/>
      <c r="E111" s="52"/>
      <c r="F111" s="52"/>
      <c r="G111" s="52"/>
      <c r="H111" s="52"/>
      <c r="I111" s="56">
        <f t="shared" ref="I111:P111" si="60">CHOOSE($I$3,I108,I109,I110,)</f>
        <v>7.6999999999999999E-2</v>
      </c>
      <c r="J111" s="56">
        <f t="shared" si="60"/>
        <v>7.6999999999999999E-2</v>
      </c>
      <c r="K111" s="56">
        <f t="shared" si="60"/>
        <v>7.6999999999999999E-2</v>
      </c>
      <c r="L111" s="56">
        <f t="shared" si="60"/>
        <v>7.6999999999999999E-2</v>
      </c>
      <c r="M111" s="56">
        <f t="shared" si="60"/>
        <v>7.6999999999999999E-2</v>
      </c>
      <c r="N111" s="56">
        <f t="shared" si="60"/>
        <v>7.6999999999999999E-2</v>
      </c>
      <c r="O111" s="56">
        <f t="shared" si="60"/>
        <v>7.6999999999999999E-2</v>
      </c>
      <c r="P111" s="56">
        <f t="shared" si="60"/>
        <v>7.6999999999999999E-2</v>
      </c>
      <c r="Q111" s="56">
        <f t="shared" ref="Q111:V111" si="61">CHOOSE($I$3,Q108,Q109,Q110,)</f>
        <v>7.6999999999999999E-2</v>
      </c>
      <c r="R111" s="56">
        <f t="shared" si="61"/>
        <v>7.6999999999999999E-2</v>
      </c>
      <c r="S111" s="56">
        <f t="shared" si="61"/>
        <v>7.6999999999999999E-2</v>
      </c>
      <c r="T111" s="56">
        <f t="shared" si="61"/>
        <v>7.6999999999999999E-2</v>
      </c>
      <c r="U111" s="56">
        <f t="shared" si="61"/>
        <v>7.6999999999999999E-2</v>
      </c>
      <c r="V111" s="56">
        <f t="shared" si="61"/>
        <v>7.6999999999999999E-2</v>
      </c>
    </row>
    <row r="113" spans="1:22">
      <c r="A113" t="s">
        <v>35</v>
      </c>
      <c r="B113" s="166" t="s">
        <v>677</v>
      </c>
      <c r="C113" s="166"/>
      <c r="D113" s="166"/>
      <c r="E113" s="166"/>
      <c r="F113" s="166"/>
      <c r="G113" s="166"/>
      <c r="H113" s="166"/>
      <c r="I113" s="166"/>
      <c r="J113" s="166"/>
      <c r="K113" s="166"/>
      <c r="L113" s="166"/>
      <c r="M113" s="166"/>
      <c r="N113" s="166"/>
      <c r="O113" s="166"/>
      <c r="P113" s="166"/>
      <c r="Q113" s="166"/>
      <c r="R113" s="166"/>
      <c r="S113" s="166"/>
      <c r="T113" s="166"/>
      <c r="U113" s="166"/>
      <c r="V113" s="166"/>
    </row>
    <row r="114" spans="1:22" outlineLevel="1"/>
    <row r="115" spans="1:22" outlineLevel="1">
      <c r="B115" s="39" t="s">
        <v>47</v>
      </c>
    </row>
    <row r="116" spans="1:22" outlineLevel="1">
      <c r="B116" s="35" t="s">
        <v>36</v>
      </c>
      <c r="C116" s="36"/>
      <c r="D116" s="36"/>
      <c r="E116" s="36"/>
      <c r="F116" s="36"/>
      <c r="G116" s="36"/>
      <c r="H116" s="36"/>
      <c r="I116" s="40">
        <v>7.0000000000000007E-2</v>
      </c>
      <c r="J116" s="40">
        <v>0.08</v>
      </c>
      <c r="K116" s="40">
        <v>0.1</v>
      </c>
      <c r="L116" s="40">
        <v>0.12</v>
      </c>
      <c r="M116" s="40">
        <v>0.18</v>
      </c>
      <c r="N116" s="40">
        <v>0.22</v>
      </c>
      <c r="O116" s="40">
        <v>0.3</v>
      </c>
      <c r="P116" s="40">
        <v>0.4</v>
      </c>
      <c r="Q116" s="40">
        <v>0.5</v>
      </c>
      <c r="R116" s="40">
        <v>0.6</v>
      </c>
      <c r="S116" s="40">
        <v>0.65</v>
      </c>
      <c r="T116" s="40">
        <v>0.7</v>
      </c>
      <c r="U116" s="40">
        <v>0.75</v>
      </c>
      <c r="V116" s="40">
        <v>0.75</v>
      </c>
    </row>
    <row r="117" spans="1:22" outlineLevel="1">
      <c r="B117" s="35" t="s">
        <v>37</v>
      </c>
      <c r="C117" s="36"/>
      <c r="D117" s="36"/>
      <c r="E117" s="36"/>
      <c r="F117" s="36"/>
      <c r="G117" s="36"/>
      <c r="H117" s="36"/>
      <c r="I117" s="40">
        <v>7.0000000000000007E-2</v>
      </c>
      <c r="J117" s="40">
        <v>0.08</v>
      </c>
      <c r="K117" s="40">
        <v>0.1</v>
      </c>
      <c r="L117" s="40">
        <v>0.12</v>
      </c>
      <c r="M117" s="40">
        <v>0.18</v>
      </c>
      <c r="N117" s="40">
        <v>0.22</v>
      </c>
      <c r="O117" s="40">
        <v>0.3</v>
      </c>
      <c r="P117" s="40">
        <v>0.4</v>
      </c>
      <c r="Q117" s="40">
        <v>0.5</v>
      </c>
      <c r="R117" s="40">
        <v>0.6</v>
      </c>
      <c r="S117" s="40">
        <v>0.65</v>
      </c>
      <c r="T117" s="40">
        <v>0.7</v>
      </c>
      <c r="U117" s="40">
        <v>0.75</v>
      </c>
      <c r="V117" s="40">
        <v>0.75</v>
      </c>
    </row>
    <row r="118" spans="1:22" outlineLevel="1">
      <c r="B118" s="35" t="s">
        <v>38</v>
      </c>
      <c r="C118" s="36"/>
      <c r="D118" s="36"/>
      <c r="E118" s="36"/>
      <c r="F118" s="36"/>
      <c r="G118" s="36"/>
      <c r="H118" s="36"/>
      <c r="I118" s="40">
        <v>7.0000000000000007E-2</v>
      </c>
      <c r="J118" s="40">
        <v>0.08</v>
      </c>
      <c r="K118" s="40">
        <v>0.1</v>
      </c>
      <c r="L118" s="40">
        <v>0.12</v>
      </c>
      <c r="M118" s="40">
        <v>0.18</v>
      </c>
      <c r="N118" s="40">
        <v>0.22</v>
      </c>
      <c r="O118" s="40">
        <v>0.3</v>
      </c>
      <c r="P118" s="40">
        <v>0.4</v>
      </c>
      <c r="Q118" s="40">
        <v>0.5</v>
      </c>
      <c r="R118" s="40">
        <v>0.6</v>
      </c>
      <c r="S118" s="40">
        <v>0.65</v>
      </c>
      <c r="T118" s="40">
        <v>0.7</v>
      </c>
      <c r="U118" s="40">
        <v>0.75</v>
      </c>
      <c r="V118" s="40">
        <v>0.75</v>
      </c>
    </row>
    <row r="119" spans="1:22" outlineLevel="1">
      <c r="B119" s="51" t="str">
        <f>"Current Case - "&amp;CHOOSE($I$3,B116,B117,B118)</f>
        <v xml:space="preserve">Current Case - Management Case </v>
      </c>
      <c r="C119" s="52"/>
      <c r="D119" s="52"/>
      <c r="E119" s="52"/>
      <c r="F119" s="52"/>
      <c r="G119" s="52"/>
      <c r="H119" s="52"/>
      <c r="I119" s="56">
        <f t="shared" ref="I119:P119" si="62">CHOOSE($I$3,I116,I117,I118,)</f>
        <v>7.0000000000000007E-2</v>
      </c>
      <c r="J119" s="56">
        <f t="shared" si="62"/>
        <v>0.08</v>
      </c>
      <c r="K119" s="56">
        <f t="shared" si="62"/>
        <v>0.1</v>
      </c>
      <c r="L119" s="56">
        <f t="shared" si="62"/>
        <v>0.12</v>
      </c>
      <c r="M119" s="56">
        <f t="shared" si="62"/>
        <v>0.18</v>
      </c>
      <c r="N119" s="56">
        <f t="shared" si="62"/>
        <v>0.22</v>
      </c>
      <c r="O119" s="56">
        <f t="shared" si="62"/>
        <v>0.3</v>
      </c>
      <c r="P119" s="56">
        <f t="shared" si="62"/>
        <v>0.4</v>
      </c>
      <c r="Q119" s="56">
        <f t="shared" ref="Q119:V119" si="63">CHOOSE($I$3,Q116,Q117,Q118,)</f>
        <v>0.5</v>
      </c>
      <c r="R119" s="56">
        <f t="shared" si="63"/>
        <v>0.6</v>
      </c>
      <c r="S119" s="56">
        <f t="shared" si="63"/>
        <v>0.65</v>
      </c>
      <c r="T119" s="56">
        <f t="shared" si="63"/>
        <v>0.7</v>
      </c>
      <c r="U119" s="56">
        <f t="shared" si="63"/>
        <v>0.75</v>
      </c>
      <c r="V119" s="56">
        <f t="shared" si="63"/>
        <v>0.75</v>
      </c>
    </row>
    <row r="121" spans="1:22">
      <c r="A121" t="s">
        <v>35</v>
      </c>
      <c r="B121" s="166" t="s">
        <v>287</v>
      </c>
      <c r="C121" s="166"/>
      <c r="D121" s="166"/>
      <c r="E121" s="166"/>
      <c r="F121" s="166"/>
      <c r="G121" s="166"/>
      <c r="H121" s="166"/>
      <c r="I121" s="166"/>
      <c r="J121" s="166"/>
      <c r="K121" s="166"/>
      <c r="L121" s="166"/>
      <c r="M121" s="166"/>
      <c r="N121" s="166"/>
      <c r="O121" s="166"/>
      <c r="P121" s="166"/>
      <c r="Q121" s="166"/>
      <c r="R121" s="166"/>
      <c r="S121" s="166"/>
      <c r="T121" s="166"/>
      <c r="U121" s="166"/>
      <c r="V121" s="166"/>
    </row>
    <row r="122" spans="1:22" outlineLevel="1"/>
    <row r="123" spans="1:22" outlineLevel="1">
      <c r="B123" s="39" t="s">
        <v>548</v>
      </c>
    </row>
    <row r="124" spans="1:22" outlineLevel="1">
      <c r="B124" s="35" t="s">
        <v>36</v>
      </c>
      <c r="C124" s="36"/>
      <c r="D124" s="36"/>
      <c r="E124" s="36"/>
      <c r="F124" s="36"/>
      <c r="G124" s="36"/>
      <c r="H124" s="36"/>
      <c r="I124" s="40">
        <v>5.0000000000000001E-3</v>
      </c>
      <c r="J124" s="40">
        <v>5.0000000000000001E-3</v>
      </c>
      <c r="K124" s="40">
        <v>5.0000000000000001E-3</v>
      </c>
      <c r="L124" s="40">
        <v>5.0000000000000001E-3</v>
      </c>
      <c r="M124" s="40">
        <v>5.0000000000000001E-3</v>
      </c>
      <c r="N124" s="40">
        <v>5.0000000000000001E-3</v>
      </c>
      <c r="O124" s="40">
        <v>5.0000000000000001E-3</v>
      </c>
      <c r="P124" s="40">
        <v>5.0000000000000001E-3</v>
      </c>
      <c r="Q124" s="40">
        <v>5.0000000000000001E-3</v>
      </c>
      <c r="R124" s="40">
        <v>5.0000000000000001E-3</v>
      </c>
      <c r="S124" s="40">
        <v>5.0000000000000001E-3</v>
      </c>
      <c r="T124" s="40">
        <v>5.0000000000000001E-3</v>
      </c>
      <c r="U124" s="40">
        <v>5.0000000000000001E-3</v>
      </c>
      <c r="V124" s="40">
        <v>5.0000000000000001E-3</v>
      </c>
    </row>
    <row r="125" spans="1:22" outlineLevel="1">
      <c r="B125" s="35" t="s">
        <v>37</v>
      </c>
      <c r="C125" s="36"/>
      <c r="D125" s="36"/>
      <c r="E125" s="36"/>
      <c r="F125" s="36"/>
      <c r="G125" s="36"/>
      <c r="H125" s="36"/>
      <c r="I125" s="40">
        <v>5.0000000000000001E-3</v>
      </c>
      <c r="J125" s="40">
        <v>5.0000000000000001E-3</v>
      </c>
      <c r="K125" s="40">
        <v>5.0000000000000001E-3</v>
      </c>
      <c r="L125" s="40">
        <v>5.0000000000000001E-3</v>
      </c>
      <c r="M125" s="40">
        <v>5.0000000000000001E-3</v>
      </c>
      <c r="N125" s="40">
        <v>5.0000000000000001E-3</v>
      </c>
      <c r="O125" s="40">
        <v>5.0000000000000001E-3</v>
      </c>
      <c r="P125" s="40">
        <v>5.0000000000000001E-3</v>
      </c>
      <c r="Q125" s="40">
        <v>5.0000000000000001E-3</v>
      </c>
      <c r="R125" s="40">
        <v>5.0000000000000001E-3</v>
      </c>
      <c r="S125" s="40">
        <v>5.0000000000000001E-3</v>
      </c>
      <c r="T125" s="40">
        <v>5.0000000000000001E-3</v>
      </c>
      <c r="U125" s="40">
        <v>5.0000000000000001E-3</v>
      </c>
      <c r="V125" s="40">
        <v>5.0000000000000001E-3</v>
      </c>
    </row>
    <row r="126" spans="1:22" outlineLevel="1">
      <c r="B126" s="35" t="s">
        <v>38</v>
      </c>
      <c r="C126" s="36"/>
      <c r="D126" s="36"/>
      <c r="E126" s="36"/>
      <c r="F126" s="36"/>
      <c r="G126" s="36"/>
      <c r="H126" s="36"/>
      <c r="I126" s="40">
        <v>5.0000000000000001E-3</v>
      </c>
      <c r="J126" s="40">
        <v>5.0000000000000001E-3</v>
      </c>
      <c r="K126" s="40">
        <v>5.0000000000000001E-3</v>
      </c>
      <c r="L126" s="40">
        <v>5.0000000000000001E-3</v>
      </c>
      <c r="M126" s="40">
        <v>5.0000000000000001E-3</v>
      </c>
      <c r="N126" s="40">
        <v>5.0000000000000001E-3</v>
      </c>
      <c r="O126" s="40">
        <v>5.0000000000000001E-3</v>
      </c>
      <c r="P126" s="40">
        <v>5.0000000000000001E-3</v>
      </c>
      <c r="Q126" s="40">
        <v>5.0000000000000001E-3</v>
      </c>
      <c r="R126" s="40">
        <v>5.0000000000000001E-3</v>
      </c>
      <c r="S126" s="40">
        <v>5.0000000000000001E-3</v>
      </c>
      <c r="T126" s="40">
        <v>5.0000000000000001E-3</v>
      </c>
      <c r="U126" s="40">
        <v>5.0000000000000001E-3</v>
      </c>
      <c r="V126" s="40">
        <v>5.0000000000000001E-3</v>
      </c>
    </row>
    <row r="127" spans="1:22" outlineLevel="1">
      <c r="B127" s="51" t="str">
        <f>"Current Case - "&amp;CHOOSE($I$3,B124,B125,B126)</f>
        <v xml:space="preserve">Current Case - Management Case </v>
      </c>
      <c r="C127" s="52"/>
      <c r="D127" s="52"/>
      <c r="E127" s="52"/>
      <c r="F127" s="52"/>
      <c r="G127" s="52"/>
      <c r="H127" s="52"/>
      <c r="I127" s="56">
        <f t="shared" ref="I127:P127" si="64">CHOOSE($I$3,I124,I125,I126,)</f>
        <v>5.0000000000000001E-3</v>
      </c>
      <c r="J127" s="56">
        <f t="shared" si="64"/>
        <v>5.0000000000000001E-3</v>
      </c>
      <c r="K127" s="56">
        <f t="shared" si="64"/>
        <v>5.0000000000000001E-3</v>
      </c>
      <c r="L127" s="56">
        <f t="shared" si="64"/>
        <v>5.0000000000000001E-3</v>
      </c>
      <c r="M127" s="56">
        <f t="shared" si="64"/>
        <v>5.0000000000000001E-3</v>
      </c>
      <c r="N127" s="56">
        <f t="shared" si="64"/>
        <v>5.0000000000000001E-3</v>
      </c>
      <c r="O127" s="56">
        <f t="shared" si="64"/>
        <v>5.0000000000000001E-3</v>
      </c>
      <c r="P127" s="56">
        <f t="shared" si="64"/>
        <v>5.0000000000000001E-3</v>
      </c>
      <c r="Q127" s="56">
        <f t="shared" ref="Q127:V127" si="65">CHOOSE($I$3,Q124,Q125,Q126,)</f>
        <v>5.0000000000000001E-3</v>
      </c>
      <c r="R127" s="56">
        <f t="shared" si="65"/>
        <v>5.0000000000000001E-3</v>
      </c>
      <c r="S127" s="56">
        <f t="shared" si="65"/>
        <v>5.0000000000000001E-3</v>
      </c>
      <c r="T127" s="56">
        <f t="shared" si="65"/>
        <v>5.0000000000000001E-3</v>
      </c>
      <c r="U127" s="56">
        <f t="shared" si="65"/>
        <v>5.0000000000000001E-3</v>
      </c>
      <c r="V127" s="56">
        <f t="shared" si="65"/>
        <v>5.0000000000000001E-3</v>
      </c>
    </row>
  </sheetData>
  <sheetProtection algorithmName="SHA-512" hashValue="MVUTPNTqlypQQPua+Jtqk9l7iKQA9m/sWO0Si6n0ImmRTq8fgbvGmfhKbn5AiI1htubpdARn1xvY4wtEyGH0uQ==" saltValue="O7/OQ4CBZjht4GOJXofWOA==" spinCount="100000" sheet="1" objects="1" scenarios="1"/>
  <mergeCells count="3">
    <mergeCell ref="D7:H7"/>
    <mergeCell ref="I7:P7"/>
    <mergeCell ref="Q7:V7"/>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9" r:id="rId4" name="Drop Down 3">
              <controlPr defaultSize="0" autoLine="0" autoPict="0">
                <anchor moveWithCells="1">
                  <from>
                    <xdr:col>7</xdr:col>
                    <xdr:colOff>828675</xdr:colOff>
                    <xdr:row>2</xdr:row>
                    <xdr:rowOff>28575</xdr:rowOff>
                  </from>
                  <to>
                    <xdr:col>10</xdr:col>
                    <xdr:colOff>123825</xdr:colOff>
                    <xdr:row>3</xdr:row>
                    <xdr:rowOff>38100</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E547A-946F-4288-927A-D780226D91D9}">
  <sheetPr>
    <pageSetUpPr autoPageBreaks="0"/>
  </sheetPr>
  <dimension ref="A1:XFD984"/>
  <sheetViews>
    <sheetView showGridLines="0" zoomScale="90" zoomScaleNormal="78" workbookViewId="0"/>
  </sheetViews>
  <sheetFormatPr defaultRowHeight="12.75"/>
  <cols>
    <col min="1" max="1" width="2.140625" style="151" customWidth="1"/>
    <col min="2" max="2" width="39" style="151" bestFit="1" customWidth="1"/>
    <col min="3" max="3" width="1.7109375" style="151" customWidth="1"/>
    <col min="4" max="4" width="13.140625" style="151" bestFit="1" customWidth="1"/>
    <col min="5" max="6" width="9.42578125" style="151" bestFit="1" customWidth="1"/>
    <col min="7" max="8" width="9.7109375" style="151" bestFit="1" customWidth="1"/>
    <col min="9" max="9" width="0.28515625" style="151" customWidth="1"/>
    <col min="10" max="10" width="9.85546875" style="151" customWidth="1"/>
    <col min="11" max="17" width="9.140625" style="151"/>
    <col min="18" max="23" width="10" style="151" customWidth="1"/>
    <col min="24" max="24" width="12.28515625" style="151" bestFit="1" customWidth="1"/>
    <col min="25" max="25" width="14.28515625" style="151" bestFit="1" customWidth="1"/>
    <col min="26" max="16384" width="9.140625" style="151"/>
  </cols>
  <sheetData>
    <row r="1" spans="1:11" customFormat="1" ht="15"/>
    <row r="2" spans="1:11" customFormat="1" ht="15">
      <c r="A2" t="s">
        <v>289</v>
      </c>
      <c r="B2" s="39" t="s">
        <v>286</v>
      </c>
    </row>
    <row r="3" spans="1:11" customFormat="1" ht="15"/>
    <row r="4" spans="1:11" customFormat="1" ht="15">
      <c r="B4" s="39" t="s">
        <v>290</v>
      </c>
    </row>
    <row r="5" spans="1:11" customFormat="1" ht="15">
      <c r="J5" t="s">
        <v>294</v>
      </c>
    </row>
    <row r="6" spans="1:11" customFormat="1" ht="15">
      <c r="B6" s="166" t="str">
        <f>' Income Statement'!B6</f>
        <v xml:space="preserve">Particulars </v>
      </c>
      <c r="C6" s="166"/>
      <c r="D6" s="166">
        <f>' Income Statement'!D6</f>
        <v>2021</v>
      </c>
      <c r="E6" s="166">
        <f>' Income Statement'!E6</f>
        <v>2022</v>
      </c>
      <c r="F6" s="166">
        <f>' Income Statement'!F6</f>
        <v>2023</v>
      </c>
      <c r="G6" s="166">
        <f>' Income Statement'!G6</f>
        <v>2024</v>
      </c>
      <c r="H6" s="166">
        <f>' Income Statement'!H6</f>
        <v>2025</v>
      </c>
      <c r="J6" s="166" t="s">
        <v>99</v>
      </c>
      <c r="K6" s="166" t="s">
        <v>98</v>
      </c>
    </row>
    <row r="7" spans="1:11">
      <c r="B7" s="151" t="s">
        <v>292</v>
      </c>
      <c r="D7" s="151">
        <f>' Income Statement'!D8</f>
        <v>829</v>
      </c>
      <c r="E7" s="151">
        <f>' Income Statement'!E8</f>
        <v>1551</v>
      </c>
      <c r="F7" s="151">
        <f>' Income Statement'!F8</f>
        <v>2188</v>
      </c>
      <c r="G7" s="151">
        <f>' Income Statement'!G8</f>
        <v>1929</v>
      </c>
      <c r="H7" s="151">
        <f>' Income Statement'!H8</f>
        <v>2550</v>
      </c>
      <c r="J7" s="167">
        <f>_xlfn.RRI(3,F7,H7)</f>
        <v>5.2359891716064144E-2</v>
      </c>
      <c r="K7" s="167">
        <f>_xlfn.RRI(5,D7,H7)</f>
        <v>0.25197924692676454</v>
      </c>
    </row>
    <row r="8" spans="1:11">
      <c r="B8" s="151" t="s">
        <v>293</v>
      </c>
      <c r="E8" s="167">
        <f>E7/D7-1</f>
        <v>0.87092882991556086</v>
      </c>
      <c r="F8" s="167">
        <f>F7/E7-1</f>
        <v>0.41070277240490016</v>
      </c>
      <c r="G8" s="167">
        <f>G7/F7-1</f>
        <v>-0.11837294332723947</v>
      </c>
      <c r="H8" s="167">
        <f>H7/G7-1</f>
        <v>0.32192846034214617</v>
      </c>
    </row>
    <row r="11" spans="1:11" ht="15">
      <c r="B11" s="166" t="s">
        <v>1075</v>
      </c>
    </row>
    <row r="13" spans="1:11" ht="15">
      <c r="B13" s="151" t="s">
        <v>1076</v>
      </c>
      <c r="D13" s="140" t="s">
        <v>382</v>
      </c>
    </row>
    <row r="14" spans="1:11" ht="15">
      <c r="B14" t="s">
        <v>1077</v>
      </c>
    </row>
    <row r="15" spans="1:11" ht="15">
      <c r="B15" t="s">
        <v>1078</v>
      </c>
    </row>
    <row r="17" spans="2:4" ht="15">
      <c r="B17" s="151" t="s">
        <v>1080</v>
      </c>
      <c r="D17" s="140" t="s">
        <v>1079</v>
      </c>
    </row>
    <row r="18" spans="2:4">
      <c r="B18" s="151" t="s">
        <v>1081</v>
      </c>
    </row>
    <row r="21" spans="2:4" ht="15">
      <c r="B21" s="151" t="s">
        <v>1083</v>
      </c>
      <c r="D21" s="140" t="s">
        <v>1082</v>
      </c>
    </row>
    <row r="33" spans="2:10">
      <c r="H33" s="556"/>
      <c r="I33" s="556"/>
      <c r="J33" s="556"/>
    </row>
    <row r="43" spans="2:10" ht="15">
      <c r="B43" s="39" t="s">
        <v>356</v>
      </c>
    </row>
    <row r="45" spans="2:10" ht="15">
      <c r="B45" s="166" t="s">
        <v>295</v>
      </c>
      <c r="D45" s="140" t="s">
        <v>297</v>
      </c>
    </row>
    <row r="47" spans="2:10" ht="15">
      <c r="B47" s="151" t="s">
        <v>296</v>
      </c>
      <c r="D47" s="168">
        <v>4.1799999999999997E-2</v>
      </c>
    </row>
    <row r="66" spans="2:4" ht="15">
      <c r="B66" s="166" t="s">
        <v>299</v>
      </c>
      <c r="D66" s="140" t="s">
        <v>300</v>
      </c>
    </row>
    <row r="68" spans="2:4" ht="15.75">
      <c r="B68" s="151" t="s">
        <v>301</v>
      </c>
      <c r="D68" s="169" t="s">
        <v>298</v>
      </c>
    </row>
    <row r="69" spans="2:4" ht="15">
      <c r="B69" s="151" t="s">
        <v>302</v>
      </c>
      <c r="D69" s="168">
        <v>4.19E-2</v>
      </c>
    </row>
    <row r="72" spans="2:4" ht="15">
      <c r="B72" s="166" t="s">
        <v>304</v>
      </c>
      <c r="D72" s="140" t="s">
        <v>303</v>
      </c>
    </row>
    <row r="74" spans="2:4">
      <c r="B74" s="170">
        <v>6.5000000000000002E-2</v>
      </c>
    </row>
    <row r="76" spans="2:4" ht="15">
      <c r="D76" s="140" t="s">
        <v>306</v>
      </c>
    </row>
    <row r="77" spans="2:4">
      <c r="B77" s="151" t="s">
        <v>305</v>
      </c>
    </row>
    <row r="81" spans="2:25" ht="15">
      <c r="B81" s="166" t="s">
        <v>308</v>
      </c>
    </row>
    <row r="83" spans="2:25" ht="15">
      <c r="B83" t="s">
        <v>309</v>
      </c>
      <c r="D83" s="170">
        <v>2.9899999999999999E-2</v>
      </c>
    </row>
    <row r="84" spans="2:25" ht="15">
      <c r="B84" t="s">
        <v>310</v>
      </c>
    </row>
    <row r="85" spans="2:25" ht="15.75" thickBot="1">
      <c r="B85" t="s">
        <v>307</v>
      </c>
    </row>
    <row r="86" spans="2:25" ht="14.1" customHeight="1" thickBot="1">
      <c r="V86" s="171" t="s">
        <v>311</v>
      </c>
      <c r="W86" s="172" t="s">
        <v>312</v>
      </c>
      <c r="X86" s="172" t="s">
        <v>313</v>
      </c>
      <c r="Y86" s="173" t="s">
        <v>314</v>
      </c>
    </row>
    <row r="87" spans="2:25" ht="14.1" customHeight="1" thickBot="1">
      <c r="V87" s="174" t="s">
        <v>315</v>
      </c>
      <c r="W87" s="175" t="s">
        <v>316</v>
      </c>
      <c r="X87" s="175" t="s">
        <v>317</v>
      </c>
      <c r="Y87" s="176" t="s">
        <v>318</v>
      </c>
    </row>
    <row r="88" spans="2:25" ht="14.1" customHeight="1" thickBot="1">
      <c r="V88" s="177"/>
      <c r="W88" s="178" t="s">
        <v>319</v>
      </c>
      <c r="X88" s="178" t="s">
        <v>320</v>
      </c>
      <c r="Y88" s="179" t="s">
        <v>321</v>
      </c>
    </row>
    <row r="89" spans="2:25" ht="14.1" customHeight="1" thickBot="1">
      <c r="V89" s="180"/>
      <c r="W89" s="175" t="s">
        <v>322</v>
      </c>
      <c r="X89" s="175" t="s">
        <v>323</v>
      </c>
      <c r="Y89" s="176" t="s">
        <v>324</v>
      </c>
    </row>
    <row r="90" spans="2:25" ht="14.1" customHeight="1" thickBot="1">
      <c r="V90" s="181" t="s">
        <v>325</v>
      </c>
      <c r="W90" s="178" t="s">
        <v>326</v>
      </c>
      <c r="X90" s="178" t="s">
        <v>327</v>
      </c>
      <c r="Y90" s="179" t="s">
        <v>328</v>
      </c>
    </row>
    <row r="91" spans="2:25" ht="14.1" customHeight="1" thickBot="1">
      <c r="V91" s="180"/>
      <c r="W91" s="175" t="s">
        <v>329</v>
      </c>
      <c r="X91" s="175" t="s">
        <v>327</v>
      </c>
      <c r="Y91" s="176" t="s">
        <v>330</v>
      </c>
    </row>
    <row r="92" spans="2:25" ht="14.1" customHeight="1" thickBot="1">
      <c r="V92" s="177"/>
      <c r="W92" s="178" t="s">
        <v>331</v>
      </c>
      <c r="X92" s="178" t="s">
        <v>332</v>
      </c>
      <c r="Y92" s="179" t="s">
        <v>333</v>
      </c>
    </row>
    <row r="93" spans="2:25" ht="14.1" customHeight="1" thickBot="1">
      <c r="V93" s="174" t="s">
        <v>334</v>
      </c>
      <c r="W93" s="175" t="s">
        <v>335</v>
      </c>
      <c r="X93" s="175" t="s">
        <v>336</v>
      </c>
      <c r="Y93" s="176" t="s">
        <v>337</v>
      </c>
    </row>
    <row r="94" spans="2:25" ht="14.1" customHeight="1" thickBot="1">
      <c r="V94" s="181" t="s">
        <v>338</v>
      </c>
      <c r="W94" s="178" t="s">
        <v>339</v>
      </c>
      <c r="X94" s="178" t="s">
        <v>340</v>
      </c>
      <c r="Y94" s="179" t="s">
        <v>341</v>
      </c>
    </row>
    <row r="95" spans="2:25" ht="14.1" customHeight="1" thickBot="1">
      <c r="V95" s="180"/>
      <c r="W95" s="175" t="s">
        <v>342</v>
      </c>
      <c r="X95" s="175" t="s">
        <v>343</v>
      </c>
      <c r="Y95" s="176" t="s">
        <v>344</v>
      </c>
    </row>
    <row r="96" spans="2:25" ht="14.1" customHeight="1" thickBot="1">
      <c r="V96" s="181" t="s">
        <v>345</v>
      </c>
      <c r="W96" s="178" t="s">
        <v>346</v>
      </c>
      <c r="X96" s="178" t="s">
        <v>347</v>
      </c>
      <c r="Y96" s="179" t="s">
        <v>348</v>
      </c>
    </row>
    <row r="97" spans="22:25" ht="14.1" customHeight="1" thickBot="1">
      <c r="V97" s="180"/>
      <c r="W97" s="175" t="s">
        <v>349</v>
      </c>
      <c r="X97" s="175" t="s">
        <v>350</v>
      </c>
      <c r="Y97" s="176" t="s">
        <v>351</v>
      </c>
    </row>
    <row r="98" spans="22:25" ht="14.1" customHeight="1" thickBot="1">
      <c r="V98" s="182" t="s">
        <v>352</v>
      </c>
      <c r="W98" s="183" t="s">
        <v>353</v>
      </c>
      <c r="X98" s="183" t="s">
        <v>354</v>
      </c>
      <c r="Y98" s="184" t="s">
        <v>355</v>
      </c>
    </row>
    <row r="113" spans="2:6" ht="15">
      <c r="B113" s="39" t="s">
        <v>357</v>
      </c>
    </row>
    <row r="115" spans="2:6" ht="15">
      <c r="B115" s="166" t="s">
        <v>358</v>
      </c>
      <c r="D115" s="140" t="s">
        <v>361</v>
      </c>
    </row>
    <row r="117" spans="2:6">
      <c r="D117" s="185"/>
    </row>
    <row r="118" spans="2:6">
      <c r="B118" s="151" t="s">
        <v>360</v>
      </c>
      <c r="D118" s="170">
        <v>4.8000000000000001E-2</v>
      </c>
    </row>
    <row r="121" spans="2:6" ht="15">
      <c r="B121" s="166" t="s">
        <v>362</v>
      </c>
      <c r="D121" s="140" t="s">
        <v>364</v>
      </c>
    </row>
    <row r="123" spans="2:6">
      <c r="D123" s="185"/>
    </row>
    <row r="124" spans="2:6">
      <c r="B124" s="151" t="s">
        <v>360</v>
      </c>
      <c r="D124" s="185" t="s">
        <v>363</v>
      </c>
      <c r="E124" s="187">
        <v>0.12</v>
      </c>
      <c r="F124" s="187">
        <v>0.16</v>
      </c>
    </row>
    <row r="127" spans="2:6" ht="15">
      <c r="B127" s="166" t="s">
        <v>365</v>
      </c>
      <c r="D127" s="140" t="s">
        <v>366</v>
      </c>
    </row>
    <row r="129" spans="2:22">
      <c r="B129" s="151" t="s">
        <v>367</v>
      </c>
      <c r="D129" s="187">
        <v>0.11</v>
      </c>
    </row>
    <row r="131" spans="2:22" ht="15">
      <c r="B131" s="166" t="s">
        <v>369</v>
      </c>
      <c r="D131" s="140" t="s">
        <v>368</v>
      </c>
    </row>
    <row r="133" spans="2:22">
      <c r="B133" s="151" t="s">
        <v>370</v>
      </c>
      <c r="D133" s="170">
        <v>9.2999999999999999E-2</v>
      </c>
    </row>
    <row r="136" spans="2:22" ht="15">
      <c r="B136" s="166" t="s">
        <v>371</v>
      </c>
      <c r="D136" s="140" t="s">
        <v>372</v>
      </c>
    </row>
    <row r="138" spans="2:22">
      <c r="B138" s="151" t="s">
        <v>373</v>
      </c>
      <c r="D138" s="185" t="s">
        <v>374</v>
      </c>
    </row>
    <row r="139" spans="2:22">
      <c r="B139" s="151" t="s">
        <v>375</v>
      </c>
      <c r="D139" s="170">
        <v>8.6999999999999994E-2</v>
      </c>
      <c r="L139" s="158">
        <v>48.5</v>
      </c>
      <c r="M139" s="158">
        <f t="shared" ref="M139:R139" si="0">L139*(1+$D$139)</f>
        <v>52.719499999999996</v>
      </c>
      <c r="N139" s="158">
        <f t="shared" si="0"/>
        <v>57.306096499999995</v>
      </c>
      <c r="O139" s="158">
        <f t="shared" si="0"/>
        <v>62.291726895499991</v>
      </c>
      <c r="P139" s="158">
        <f t="shared" si="0"/>
        <v>67.711107135408483</v>
      </c>
      <c r="Q139" s="158">
        <f t="shared" si="0"/>
        <v>73.601973456189015</v>
      </c>
      <c r="R139" s="158">
        <f t="shared" si="0"/>
        <v>80.00534514687746</v>
      </c>
      <c r="S139" s="158">
        <f t="shared" ref="S139:V139" si="1">R139*(1+$D$139)</f>
        <v>86.9658101746558</v>
      </c>
      <c r="T139" s="158">
        <f t="shared" si="1"/>
        <v>94.531835659850856</v>
      </c>
      <c r="U139" s="158">
        <f t="shared" si="1"/>
        <v>102.75610536225788</v>
      </c>
      <c r="V139" s="158">
        <f t="shared" si="1"/>
        <v>111.69588652877431</v>
      </c>
    </row>
    <row r="140" spans="2:22">
      <c r="M140" s="151">
        <v>8.6999999999999993</v>
      </c>
      <c r="O140" s="186">
        <v>3.7999999999999999E-2</v>
      </c>
      <c r="P140" s="158">
        <f>O139*(1+$O$140)</f>
        <v>64.658812517528986</v>
      </c>
      <c r="Q140" s="158">
        <f>P139*(1+$O$140)</f>
        <v>70.284129206554013</v>
      </c>
      <c r="R140" s="158">
        <f>Q139*(1+$O$140)</f>
        <v>76.398848447524202</v>
      </c>
      <c r="S140" s="158">
        <f>R139*(1+$O$140)</f>
        <v>83.045548262458809</v>
      </c>
      <c r="T140" s="158">
        <f t="shared" ref="T140:V140" si="2">S139*(1+$O$140)</f>
        <v>90.270510961292729</v>
      </c>
      <c r="U140" s="158">
        <f t="shared" si="2"/>
        <v>98.124045414925192</v>
      </c>
      <c r="V140" s="158">
        <f t="shared" si="2"/>
        <v>106.66083736602369</v>
      </c>
    </row>
    <row r="141" spans="2:22" ht="15">
      <c r="D141" s="140" t="s">
        <v>1088</v>
      </c>
    </row>
    <row r="158" spans="2:4" ht="15">
      <c r="B158" s="166" t="s">
        <v>295</v>
      </c>
      <c r="D158" s="140" t="s">
        <v>376</v>
      </c>
    </row>
    <row r="160" spans="2:4">
      <c r="B160" s="151" t="s">
        <v>359</v>
      </c>
      <c r="D160" s="185" t="s">
        <v>377</v>
      </c>
    </row>
    <row r="161" spans="2:4">
      <c r="B161" s="151" t="s">
        <v>378</v>
      </c>
      <c r="D161" s="170">
        <v>3.7999999999999999E-2</v>
      </c>
    </row>
    <row r="181" spans="2:4">
      <c r="B181" s="185" t="s">
        <v>384</v>
      </c>
    </row>
    <row r="182" spans="2:4" ht="15">
      <c r="B182" s="166" t="s">
        <v>383</v>
      </c>
      <c r="D182" s="140" t="s">
        <v>382</v>
      </c>
    </row>
    <row r="185" spans="2:4">
      <c r="B185" s="151" t="s">
        <v>359</v>
      </c>
      <c r="D185" s="185" t="s">
        <v>380</v>
      </c>
    </row>
    <row r="186" spans="2:4">
      <c r="B186" s="151" t="s">
        <v>381</v>
      </c>
      <c r="D186" s="188">
        <v>0.05</v>
      </c>
    </row>
    <row r="188" spans="2:4" ht="15">
      <c r="B188" s="166" t="s">
        <v>385</v>
      </c>
      <c r="D188" s="140" t="s">
        <v>386</v>
      </c>
    </row>
    <row r="190" spans="2:4">
      <c r="B190" s="151" t="s">
        <v>294</v>
      </c>
      <c r="D190" s="187">
        <v>0.05</v>
      </c>
    </row>
    <row r="192" spans="2:4" ht="15">
      <c r="B192" s="166" t="s">
        <v>387</v>
      </c>
      <c r="D192" s="140" t="s">
        <v>388</v>
      </c>
    </row>
    <row r="194" spans="2:4">
      <c r="B194" s="151" t="s">
        <v>294</v>
      </c>
      <c r="D194" s="170">
        <v>6.7000000000000004E-2</v>
      </c>
    </row>
    <row r="197" spans="2:4" ht="15">
      <c r="B197" s="166" t="s">
        <v>390</v>
      </c>
      <c r="D197" s="140" t="s">
        <v>391</v>
      </c>
    </row>
    <row r="198" spans="2:4" ht="15">
      <c r="B198" s="189"/>
      <c r="D198" s="190"/>
    </row>
    <row r="199" spans="2:4">
      <c r="B199" s="151" t="s">
        <v>389</v>
      </c>
    </row>
    <row r="219" spans="2:4" ht="15">
      <c r="B219" s="166" t="s">
        <v>295</v>
      </c>
      <c r="D219" s="140" t="s">
        <v>393</v>
      </c>
    </row>
    <row r="221" spans="2:4" ht="15">
      <c r="B221" s="191" t="s">
        <v>392</v>
      </c>
    </row>
    <row r="224" spans="2:4" ht="15">
      <c r="B224" s="166" t="s">
        <v>394</v>
      </c>
    </row>
    <row r="226" spans="2:12">
      <c r="B226" s="193">
        <v>45778</v>
      </c>
    </row>
    <row r="227" spans="2:12">
      <c r="L227" s="193">
        <v>45870</v>
      </c>
    </row>
    <row r="246" spans="13:13">
      <c r="M246" s="193">
        <v>45962</v>
      </c>
    </row>
    <row r="260" spans="2:13">
      <c r="M260" s="151" t="s">
        <v>401</v>
      </c>
    </row>
    <row r="262" spans="2:13">
      <c r="F262" s="151">
        <f>E264*(1+$F$266)</f>
        <v>30601.199999999997</v>
      </c>
      <c r="G262" s="151">
        <f>F264*(1+$F$266)</f>
        <v>38400.800000000003</v>
      </c>
      <c r="H262" s="151">
        <f>G264*(1+$F$266)</f>
        <v>46200.4</v>
      </c>
    </row>
    <row r="263" spans="2:13">
      <c r="D263" s="185">
        <v>2024</v>
      </c>
      <c r="E263" s="185">
        <f>D263+1</f>
        <v>2025</v>
      </c>
      <c r="F263" s="185">
        <f>E263+1</f>
        <v>2026</v>
      </c>
      <c r="G263" s="185">
        <f>F263+1</f>
        <v>2027</v>
      </c>
      <c r="H263" s="185">
        <f>G263+1</f>
        <v>2028</v>
      </c>
    </row>
    <row r="264" spans="2:13">
      <c r="B264" s="151" t="s">
        <v>400</v>
      </c>
      <c r="D264" s="185">
        <v>19292</v>
      </c>
      <c r="E264" s="185">
        <v>25501</v>
      </c>
      <c r="F264" s="159">
        <f>E264-(($E$264-$H$264)/($H$263-$E$263))</f>
        <v>32000.666666666668</v>
      </c>
      <c r="G264" s="159">
        <f>F264-(($E$264-$H$264)/($H$263-$E$263))</f>
        <v>38500.333333333336</v>
      </c>
      <c r="H264" s="185">
        <v>45000</v>
      </c>
    </row>
    <row r="265" spans="2:13">
      <c r="D265" s="185"/>
      <c r="E265" s="192">
        <f>E264/D264-1</f>
        <v>0.32184325108853407</v>
      </c>
      <c r="F265" s="192">
        <f>F264/E264-1</f>
        <v>0.25487889363815808</v>
      </c>
      <c r="G265" s="192">
        <f>G264/F264-1</f>
        <v>0.20311035186766935</v>
      </c>
      <c r="H265" s="192">
        <f>H264/G264-1</f>
        <v>0.16882104916840546</v>
      </c>
    </row>
    <row r="266" spans="2:13">
      <c r="F266" s="187">
        <v>0.2</v>
      </c>
    </row>
    <row r="267" spans="2:13" ht="15">
      <c r="B267" s="166" t="s">
        <v>396</v>
      </c>
    </row>
    <row r="268" spans="2:13">
      <c r="D268" s="151" t="s">
        <v>397</v>
      </c>
    </row>
    <row r="269" spans="2:13" ht="15">
      <c r="B269" t="s">
        <v>395</v>
      </c>
    </row>
    <row r="270" spans="2:13" ht="15">
      <c r="B270"/>
    </row>
    <row r="271" spans="2:13">
      <c r="D271" s="185">
        <v>2024</v>
      </c>
      <c r="E271" s="185">
        <f>D271+1</f>
        <v>2025</v>
      </c>
      <c r="F271" s="185">
        <f>E271+1</f>
        <v>2026</v>
      </c>
      <c r="G271" s="185">
        <f>F271+1</f>
        <v>2027</v>
      </c>
      <c r="H271" s="185">
        <f>G271+1</f>
        <v>2028</v>
      </c>
    </row>
    <row r="272" spans="2:13">
      <c r="B272" s="151" t="s">
        <v>397</v>
      </c>
      <c r="D272" s="151">
        <v>19292</v>
      </c>
      <c r="E272" s="151">
        <v>25501</v>
      </c>
      <c r="F272" s="151">
        <v>31030</v>
      </c>
      <c r="G272" s="151">
        <v>37993</v>
      </c>
      <c r="H272" s="151">
        <v>46717</v>
      </c>
    </row>
    <row r="273" spans="2:10">
      <c r="E273" s="192">
        <f>E272/D272-1</f>
        <v>0.32184325108853407</v>
      </c>
      <c r="F273" s="192">
        <f>F272/E272-1</f>
        <v>0.21681502686169174</v>
      </c>
      <c r="G273" s="192">
        <f>G272/F272-1</f>
        <v>0.22439574605220747</v>
      </c>
      <c r="H273" s="192">
        <f>H272/G272-1</f>
        <v>0.22962124601900347</v>
      </c>
    </row>
    <row r="275" spans="2:10" ht="15">
      <c r="B275" s="151" t="s">
        <v>398</v>
      </c>
      <c r="D275" s="185">
        <v>2024</v>
      </c>
      <c r="E275" s="185">
        <f>D275+1</f>
        <v>2025</v>
      </c>
      <c r="F275" s="185">
        <f>E275+1</f>
        <v>2026</v>
      </c>
      <c r="G275" s="185">
        <f>F275+1</f>
        <v>2027</v>
      </c>
      <c r="H275" s="185">
        <f>G275+1</f>
        <v>2028</v>
      </c>
      <c r="J275" s="140" t="s">
        <v>399</v>
      </c>
    </row>
    <row r="276" spans="2:10">
      <c r="D276" s="151">
        <v>19292</v>
      </c>
      <c r="E276" s="151">
        <v>25501</v>
      </c>
      <c r="F276" s="151">
        <v>24749</v>
      </c>
      <c r="G276" s="151">
        <v>30283</v>
      </c>
      <c r="H276" s="151">
        <v>37949</v>
      </c>
    </row>
    <row r="277" spans="2:10">
      <c r="E277" s="192">
        <f>E276/D276-1</f>
        <v>0.32184325108853407</v>
      </c>
      <c r="F277" s="192">
        <f>F276/E276-1</f>
        <v>-2.9489039645504089E-2</v>
      </c>
      <c r="G277" s="192">
        <f>G276/F276-1</f>
        <v>0.22360499414117752</v>
      </c>
      <c r="H277" s="192">
        <f>H276/G276-1</f>
        <v>0.2531453290625103</v>
      </c>
    </row>
    <row r="291" spans="1:20" ht="15">
      <c r="T291" s="194" t="s">
        <v>402</v>
      </c>
    </row>
    <row r="301" spans="1:20" ht="15">
      <c r="A301" t="s">
        <v>289</v>
      </c>
      <c r="B301" s="39" t="s">
        <v>138</v>
      </c>
    </row>
    <row r="303" spans="1:20" ht="15">
      <c r="B303" s="39" t="s">
        <v>429</v>
      </c>
    </row>
    <row r="304" spans="1:20" ht="15">
      <c r="B304"/>
      <c r="C304"/>
      <c r="D304"/>
      <c r="E304"/>
      <c r="F304"/>
      <c r="G304"/>
      <c r="H304"/>
      <c r="I304"/>
      <c r="J304"/>
      <c r="K304"/>
    </row>
    <row r="305" spans="2:13" ht="15">
      <c r="C305" s="166"/>
      <c r="D305" s="166">
        <f>' Income Statement'!D6</f>
        <v>2021</v>
      </c>
      <c r="E305" s="166">
        <f>' Income Statement'!E6</f>
        <v>2022</v>
      </c>
      <c r="F305" s="166">
        <f>' Income Statement'!F6</f>
        <v>2023</v>
      </c>
      <c r="G305" s="166">
        <f>' Income Statement'!G6</f>
        <v>2024</v>
      </c>
      <c r="H305" s="166">
        <f>' Income Statement'!H6</f>
        <v>2025</v>
      </c>
      <c r="I305"/>
      <c r="J305" s="166" t="s">
        <v>432</v>
      </c>
      <c r="K305" s="166" t="s">
        <v>433</v>
      </c>
    </row>
    <row r="306" spans="2:13">
      <c r="B306" s="151" t="s">
        <v>138</v>
      </c>
      <c r="D306" s="187">
        <f>' Income Statement'!D14</f>
        <v>0.53558504221954162</v>
      </c>
      <c r="E306" s="187">
        <f>' Income Statement'!E14</f>
        <v>0.50934880722114761</v>
      </c>
      <c r="F306" s="187">
        <f>' Income Statement'!F14</f>
        <v>0.49040219378427785</v>
      </c>
      <c r="G306" s="187">
        <f>' Income Statement'!G14</f>
        <v>0.44997407983411097</v>
      </c>
      <c r="H306" s="187">
        <f>' Income Statement'!H14</f>
        <v>0.46941176470588231</v>
      </c>
      <c r="J306" s="167">
        <f>MEDIAN(D306:H306)</f>
        <v>0.49040219378427785</v>
      </c>
      <c r="K306" s="167">
        <f>AVERAGE(D306:H306)</f>
        <v>0.49094437755299208</v>
      </c>
      <c r="M306" s="151" t="s">
        <v>434</v>
      </c>
    </row>
    <row r="307" spans="2:13">
      <c r="E307" s="167"/>
      <c r="F307" s="167"/>
      <c r="G307" s="167"/>
      <c r="H307" s="167"/>
    </row>
    <row r="308" spans="2:13" ht="15">
      <c r="B308" s="39" t="s">
        <v>438</v>
      </c>
      <c r="E308" s="167"/>
      <c r="F308" s="167"/>
      <c r="G308" s="167"/>
      <c r="H308" s="167"/>
    </row>
    <row r="309" spans="2:13" ht="15">
      <c r="B309" s="39"/>
      <c r="E309" s="167"/>
      <c r="F309" s="167"/>
      <c r="G309" s="167"/>
      <c r="H309" s="167"/>
    </row>
    <row r="310" spans="2:13" ht="15">
      <c r="B310" s="166" t="s">
        <v>436</v>
      </c>
    </row>
    <row r="311" spans="2:13">
      <c r="B311" s="151" t="s">
        <v>435</v>
      </c>
      <c r="D311" s="186">
        <v>0.34420000000000001</v>
      </c>
    </row>
    <row r="312" spans="2:13">
      <c r="D312" s="186"/>
    </row>
    <row r="313" spans="2:13" ht="15">
      <c r="B313" s="166" t="s">
        <v>439</v>
      </c>
    </row>
    <row r="314" spans="2:13">
      <c r="B314" s="151" t="s">
        <v>435</v>
      </c>
      <c r="D314" s="186">
        <v>0.23050000000000001</v>
      </c>
    </row>
    <row r="316" spans="2:13" ht="15">
      <c r="B316" s="166" t="s">
        <v>437</v>
      </c>
      <c r="D316" s="186"/>
    </row>
    <row r="317" spans="2:13">
      <c r="B317" s="151" t="s">
        <v>435</v>
      </c>
      <c r="D317" s="186">
        <v>0.3024</v>
      </c>
    </row>
    <row r="321" spans="2:16" ht="15">
      <c r="B321" s="39" t="s">
        <v>450</v>
      </c>
    </row>
    <row r="323" spans="2:16" ht="15">
      <c r="B323" t="s">
        <v>440</v>
      </c>
    </row>
    <row r="324" spans="2:16" ht="15" customHeight="1">
      <c r="B324" s="580" t="s">
        <v>441</v>
      </c>
      <c r="C324" s="580"/>
      <c r="D324" s="580"/>
      <c r="E324" s="580"/>
      <c r="F324" s="580"/>
      <c r="G324" s="580"/>
      <c r="H324" s="580"/>
      <c r="I324" s="580"/>
      <c r="J324" s="580"/>
      <c r="K324" s="580"/>
      <c r="L324" s="580"/>
      <c r="M324" s="580"/>
      <c r="N324" s="580"/>
      <c r="O324" s="580"/>
      <c r="P324" s="580"/>
    </row>
    <row r="325" spans="2:16" ht="12.75" customHeight="1">
      <c r="B325" s="580"/>
      <c r="C325" s="580"/>
      <c r="D325" s="580"/>
      <c r="E325" s="580"/>
      <c r="F325" s="580"/>
      <c r="G325" s="580"/>
      <c r="H325" s="580"/>
      <c r="I325" s="580"/>
      <c r="J325" s="580"/>
      <c r="K325" s="580"/>
      <c r="L325" s="580"/>
      <c r="M325" s="580"/>
      <c r="N325" s="580"/>
      <c r="O325" s="580"/>
      <c r="P325" s="580"/>
    </row>
    <row r="326" spans="2:16" ht="12.75" customHeight="1">
      <c r="B326" s="580"/>
      <c r="C326" s="580"/>
      <c r="D326" s="580"/>
      <c r="E326" s="580"/>
      <c r="F326" s="580"/>
      <c r="G326" s="580"/>
      <c r="H326" s="580"/>
      <c r="I326" s="580"/>
      <c r="J326" s="580"/>
      <c r="K326" s="580"/>
      <c r="L326" s="580"/>
      <c r="M326" s="580"/>
      <c r="N326" s="580"/>
      <c r="O326" s="580"/>
      <c r="P326" s="580"/>
    </row>
    <row r="327" spans="2:16" ht="12.75" customHeight="1">
      <c r="B327" s="580"/>
      <c r="C327" s="580"/>
      <c r="D327" s="580"/>
      <c r="E327" s="580"/>
      <c r="F327" s="580"/>
      <c r="G327" s="580"/>
      <c r="H327" s="580"/>
      <c r="I327" s="580"/>
      <c r="J327" s="580"/>
      <c r="K327" s="580"/>
      <c r="L327" s="580"/>
      <c r="M327" s="580"/>
      <c r="N327" s="580"/>
      <c r="O327" s="580"/>
      <c r="P327" s="580"/>
    </row>
    <row r="328" spans="2:16" ht="12.75" customHeight="1">
      <c r="B328" s="580"/>
      <c r="C328" s="580"/>
      <c r="D328" s="580"/>
      <c r="E328" s="580"/>
      <c r="F328" s="580"/>
      <c r="G328" s="580"/>
      <c r="H328" s="580"/>
      <c r="I328" s="580"/>
      <c r="J328" s="580"/>
      <c r="K328" s="580"/>
      <c r="L328" s="580"/>
      <c r="M328" s="580"/>
      <c r="N328" s="580"/>
      <c r="O328" s="580"/>
      <c r="P328" s="580"/>
    </row>
    <row r="329" spans="2:16" ht="12.75" customHeight="1">
      <c r="B329" s="580"/>
      <c r="C329" s="580"/>
      <c r="D329" s="580"/>
      <c r="E329" s="580"/>
      <c r="F329" s="580"/>
      <c r="G329" s="580"/>
      <c r="H329" s="580"/>
      <c r="I329" s="580"/>
      <c r="J329" s="580"/>
      <c r="K329" s="580"/>
      <c r="L329" s="580"/>
      <c r="M329" s="580"/>
      <c r="N329" s="580"/>
      <c r="O329" s="580"/>
      <c r="P329" s="580"/>
    </row>
    <row r="330" spans="2:16" ht="12.75" customHeight="1">
      <c r="B330" s="209"/>
      <c r="C330" s="209"/>
      <c r="D330" s="209"/>
      <c r="E330" s="209"/>
      <c r="F330" s="209"/>
      <c r="G330" s="209"/>
      <c r="H330" s="209"/>
    </row>
    <row r="331" spans="2:16" ht="15" customHeight="1">
      <c r="B331" s="580" t="s">
        <v>442</v>
      </c>
      <c r="C331" s="580"/>
      <c r="D331" s="580"/>
      <c r="E331" s="580"/>
      <c r="F331" s="580"/>
      <c r="G331" s="580"/>
      <c r="H331" s="580"/>
      <c r="I331" s="580"/>
      <c r="J331" s="580"/>
      <c r="K331" s="580"/>
      <c r="L331" s="580"/>
      <c r="M331" s="580"/>
      <c r="N331" s="580"/>
      <c r="O331" s="580"/>
      <c r="P331" s="580"/>
    </row>
    <row r="332" spans="2:16" ht="12.75" customHeight="1">
      <c r="B332" s="580"/>
      <c r="C332" s="580"/>
      <c r="D332" s="580"/>
      <c r="E332" s="580"/>
      <c r="F332" s="580"/>
      <c r="G332" s="580"/>
      <c r="H332" s="580"/>
      <c r="I332" s="580"/>
      <c r="J332" s="580"/>
      <c r="K332" s="580"/>
      <c r="L332" s="580"/>
      <c r="M332" s="580"/>
      <c r="N332" s="580"/>
      <c r="O332" s="580"/>
      <c r="P332" s="580"/>
    </row>
    <row r="333" spans="2:16" ht="12.75" customHeight="1">
      <c r="B333" s="580"/>
      <c r="C333" s="580"/>
      <c r="D333" s="580"/>
      <c r="E333" s="580"/>
      <c r="F333" s="580"/>
      <c r="G333" s="580"/>
      <c r="H333" s="580"/>
      <c r="I333" s="580"/>
      <c r="J333" s="580"/>
      <c r="K333" s="580"/>
      <c r="L333" s="580"/>
      <c r="M333" s="580"/>
      <c r="N333" s="580"/>
      <c r="O333" s="580"/>
      <c r="P333" s="580"/>
    </row>
    <row r="335" spans="2:16" ht="15" customHeight="1">
      <c r="B335" s="580" t="s">
        <v>443</v>
      </c>
      <c r="C335" s="580"/>
      <c r="D335" s="580"/>
      <c r="E335" s="580"/>
      <c r="F335" s="580"/>
      <c r="G335" s="580"/>
      <c r="H335" s="580"/>
    </row>
    <row r="336" spans="2:16" ht="12.75" customHeight="1">
      <c r="B336" s="580"/>
      <c r="C336" s="580"/>
      <c r="D336" s="580"/>
      <c r="E336" s="580"/>
      <c r="F336" s="580"/>
      <c r="G336" s="580"/>
      <c r="H336" s="580"/>
    </row>
    <row r="337" spans="2:8">
      <c r="B337" s="580"/>
      <c r="C337" s="580"/>
      <c r="D337" s="580"/>
      <c r="E337" s="580"/>
      <c r="F337" s="580"/>
      <c r="G337" s="580"/>
      <c r="H337" s="580"/>
    </row>
    <row r="339" spans="2:8">
      <c r="B339" s="151" t="s">
        <v>444</v>
      </c>
    </row>
    <row r="340" spans="2:8">
      <c r="B340" s="151" t="s">
        <v>445</v>
      </c>
    </row>
    <row r="341" spans="2:8">
      <c r="B341" s="151" t="s">
        <v>446</v>
      </c>
    </row>
    <row r="342" spans="2:8">
      <c r="B342" s="151" t="s">
        <v>447</v>
      </c>
    </row>
    <row r="343" spans="2:8">
      <c r="B343" s="151" t="s">
        <v>448</v>
      </c>
    </row>
    <row r="344" spans="2:8">
      <c r="B344" s="151" t="s">
        <v>449</v>
      </c>
    </row>
    <row r="348" spans="2:8" ht="15">
      <c r="B348" s="39"/>
    </row>
    <row r="365" spans="1:11" ht="15">
      <c r="A365" t="s">
        <v>289</v>
      </c>
      <c r="B365" s="39" t="s">
        <v>454</v>
      </c>
    </row>
    <row r="368" spans="1:11" ht="15">
      <c r="B368"/>
      <c r="C368"/>
      <c r="D368"/>
      <c r="E368"/>
      <c r="F368"/>
      <c r="G368"/>
      <c r="H368"/>
      <c r="I368"/>
      <c r="J368" t="s">
        <v>294</v>
      </c>
      <c r="K368"/>
    </row>
    <row r="369" spans="2:11" ht="15">
      <c r="B369" s="166" t="str">
        <f>B6</f>
        <v xml:space="preserve">Particulars </v>
      </c>
      <c r="C369" s="166"/>
      <c r="D369" s="166">
        <f t="shared" ref="D369:H370" si="3">D6</f>
        <v>2021</v>
      </c>
      <c r="E369" s="166">
        <f t="shared" si="3"/>
        <v>2022</v>
      </c>
      <c r="F369" s="166">
        <f t="shared" si="3"/>
        <v>2023</v>
      </c>
      <c r="G369" s="166">
        <f t="shared" si="3"/>
        <v>2024</v>
      </c>
      <c r="H369" s="166">
        <f t="shared" si="3"/>
        <v>2025</v>
      </c>
      <c r="I369"/>
      <c r="J369" s="166" t="s">
        <v>99</v>
      </c>
      <c r="K369" s="166" t="s">
        <v>98</v>
      </c>
    </row>
    <row r="370" spans="2:11">
      <c r="B370" s="151" t="s">
        <v>292</v>
      </c>
      <c r="D370" s="151">
        <f t="shared" si="3"/>
        <v>829</v>
      </c>
      <c r="E370" s="151">
        <f t="shared" si="3"/>
        <v>1551</v>
      </c>
      <c r="F370" s="151">
        <f t="shared" si="3"/>
        <v>2188</v>
      </c>
      <c r="G370" s="151">
        <f t="shared" si="3"/>
        <v>1929</v>
      </c>
      <c r="H370" s="151">
        <f t="shared" si="3"/>
        <v>2550</v>
      </c>
      <c r="J370" s="167">
        <f>_xlfn.RRI(3,F370,H370)</f>
        <v>5.2359891716064144E-2</v>
      </c>
      <c r="K370" s="167">
        <f>_xlfn.RRI(5,D370,H370)</f>
        <v>0.25197924692676454</v>
      </c>
    </row>
    <row r="371" spans="2:11">
      <c r="B371" s="151" t="s">
        <v>293</v>
      </c>
      <c r="E371" s="167">
        <f>E370/D370-1</f>
        <v>0.87092882991556086</v>
      </c>
      <c r="F371" s="167">
        <f>F370/E370-1</f>
        <v>0.41070277240490016</v>
      </c>
      <c r="G371" s="167">
        <f>G370/F370-1</f>
        <v>-0.11837294332723947</v>
      </c>
      <c r="H371" s="167">
        <f>H370/G370-1</f>
        <v>0.32192846034214617</v>
      </c>
    </row>
    <row r="373" spans="2:11">
      <c r="B373" s="151" t="s">
        <v>455</v>
      </c>
      <c r="D373" s="158">
        <f>' Income Statement'!D24*-1</f>
        <v>182.2</v>
      </c>
      <c r="E373" s="158">
        <f>' Income Statement'!E24*-1</f>
        <v>279.8</v>
      </c>
      <c r="F373" s="158">
        <f>' Income Statement'!F24*-1</f>
        <v>383.6</v>
      </c>
      <c r="G373" s="158">
        <f>' Income Statement'!G24*-1</f>
        <v>387.3</v>
      </c>
      <c r="H373" s="158">
        <f>' Income Statement'!H24*-1</f>
        <v>485.6</v>
      </c>
      <c r="J373" s="167">
        <f>_xlfn.RRI(3,F373,H373)</f>
        <v>8.1766080826348064E-2</v>
      </c>
      <c r="K373" s="167">
        <f>_xlfn.RRI(5,D373,H373)</f>
        <v>0.21659509477530903</v>
      </c>
    </row>
    <row r="374" spans="2:11">
      <c r="E374" s="167">
        <f>E373/D373-1</f>
        <v>0.53567508232711325</v>
      </c>
      <c r="F374" s="167">
        <f t="shared" ref="F374:H374" si="4">F373/E373-1</f>
        <v>0.37097927090779126</v>
      </c>
      <c r="G374" s="167">
        <f t="shared" si="4"/>
        <v>9.6454640250260848E-3</v>
      </c>
      <c r="H374" s="167">
        <f t="shared" si="4"/>
        <v>0.25380841724761161</v>
      </c>
    </row>
    <row r="377" spans="2:11" ht="12" customHeight="1">
      <c r="B377" s="221" t="s">
        <v>291</v>
      </c>
      <c r="C377" s="221"/>
      <c r="D377" s="221">
        <v>2021</v>
      </c>
      <c r="E377" s="221">
        <v>2022</v>
      </c>
      <c r="F377" s="221">
        <v>2023</v>
      </c>
      <c r="G377" s="221">
        <v>2024</v>
      </c>
      <c r="H377" s="221">
        <v>2025</v>
      </c>
    </row>
    <row r="378" spans="2:11" s="222" customFormat="1" hidden="1">
      <c r="B378" s="223"/>
      <c r="C378" s="223"/>
      <c r="D378" s="223" t="s">
        <v>451</v>
      </c>
      <c r="E378" s="223"/>
      <c r="F378" s="223"/>
      <c r="G378" s="223"/>
      <c r="H378" s="223"/>
    </row>
    <row r="379" spans="2:11" s="232" customFormat="1">
      <c r="B379" s="232" t="s">
        <v>285</v>
      </c>
      <c r="D379" s="233">
        <v>829</v>
      </c>
      <c r="E379" s="233">
        <v>1551</v>
      </c>
      <c r="F379" s="233">
        <v>2188</v>
      </c>
      <c r="G379" s="233">
        <v>1929</v>
      </c>
      <c r="H379" s="233">
        <v>2550</v>
      </c>
    </row>
    <row r="380" spans="2:11" s="232" customFormat="1" ht="1.1499999999999999" customHeight="1">
      <c r="D380" s="233"/>
      <c r="E380" s="233"/>
      <c r="F380" s="233"/>
      <c r="G380" s="233"/>
      <c r="H380" s="233"/>
    </row>
    <row r="381" spans="2:11" ht="15">
      <c r="B381" s="226" t="s">
        <v>200</v>
      </c>
      <c r="C381" s="205"/>
      <c r="D381" s="234">
        <v>41</v>
      </c>
      <c r="E381" s="234">
        <v>52</v>
      </c>
      <c r="F381" s="234">
        <v>69</v>
      </c>
      <c r="G381" s="234">
        <v>81</v>
      </c>
      <c r="H381" s="234">
        <v>98</v>
      </c>
    </row>
    <row r="382" spans="2:11" ht="15">
      <c r="B382" s="226" t="s">
        <v>202</v>
      </c>
      <c r="C382" s="205"/>
      <c r="D382" s="234">
        <v>26</v>
      </c>
      <c r="E382" s="234">
        <v>100</v>
      </c>
      <c r="F382" s="234">
        <v>154</v>
      </c>
      <c r="G382" s="234">
        <v>141</v>
      </c>
      <c r="H382" s="234">
        <v>180</v>
      </c>
    </row>
    <row r="383" spans="2:11" ht="15">
      <c r="B383" s="57" t="s">
        <v>203</v>
      </c>
      <c r="C383" s="4"/>
      <c r="D383" s="23">
        <v>24</v>
      </c>
      <c r="E383" s="23">
        <v>1.3</v>
      </c>
      <c r="F383" s="23">
        <v>3.6</v>
      </c>
      <c r="G383" s="23">
        <v>13</v>
      </c>
      <c r="H383" s="23">
        <v>16</v>
      </c>
    </row>
    <row r="384" spans="2:11" ht="15">
      <c r="B384" s="57" t="s">
        <v>204</v>
      </c>
      <c r="C384" s="4"/>
      <c r="D384" s="23">
        <v>21</v>
      </c>
      <c r="E384" s="23">
        <v>25</v>
      </c>
      <c r="F384" s="23">
        <v>18</v>
      </c>
      <c r="G384" s="23">
        <v>8.6</v>
      </c>
      <c r="H384" s="23">
        <v>17</v>
      </c>
    </row>
    <row r="385" spans="2:11" ht="15">
      <c r="B385" s="57" t="s">
        <v>205</v>
      </c>
      <c r="C385" s="4"/>
      <c r="D385" s="23">
        <v>4.5</v>
      </c>
      <c r="E385" s="23">
        <v>17</v>
      </c>
      <c r="F385" s="23">
        <v>29</v>
      </c>
      <c r="G385" s="23">
        <v>26</v>
      </c>
      <c r="H385" s="23">
        <v>45</v>
      </c>
    </row>
    <row r="386" spans="2:11" ht="15">
      <c r="B386" s="57" t="s">
        <v>206</v>
      </c>
      <c r="C386" s="4"/>
      <c r="D386" s="23">
        <v>21.7</v>
      </c>
      <c r="E386" s="23">
        <f>(-17-4.5)*-1</f>
        <v>21.5</v>
      </c>
      <c r="F386" s="23">
        <v>30</v>
      </c>
      <c r="G386" s="23">
        <v>31.7</v>
      </c>
      <c r="H386" s="23">
        <v>35.6</v>
      </c>
    </row>
    <row r="387" spans="2:11" ht="15">
      <c r="B387" s="226" t="s">
        <v>464</v>
      </c>
      <c r="C387" s="205"/>
      <c r="D387" s="234">
        <v>44</v>
      </c>
      <c r="E387" s="234">
        <v>63</v>
      </c>
      <c r="F387" s="234">
        <v>80</v>
      </c>
      <c r="G387" s="234">
        <v>86</v>
      </c>
      <c r="H387" s="234">
        <v>94</v>
      </c>
    </row>
    <row r="388" spans="2:11">
      <c r="B388" s="224" t="s">
        <v>456</v>
      </c>
      <c r="C388" s="224"/>
      <c r="D388" s="225">
        <f>SUM(D381:D387)</f>
        <v>182.2</v>
      </c>
      <c r="E388" s="225">
        <f t="shared" ref="E388:H388" si="5">SUM(E381:E387)</f>
        <v>279.8</v>
      </c>
      <c r="F388" s="225">
        <f t="shared" si="5"/>
        <v>383.6</v>
      </c>
      <c r="G388" s="225">
        <f t="shared" si="5"/>
        <v>387.3</v>
      </c>
      <c r="H388" s="225">
        <f t="shared" si="5"/>
        <v>485.6</v>
      </c>
    </row>
    <row r="389" spans="2:11">
      <c r="B389" s="185"/>
      <c r="C389" s="185"/>
      <c r="D389" s="157"/>
      <c r="E389" s="157"/>
      <c r="F389" s="157"/>
      <c r="G389" s="157"/>
      <c r="H389" s="157"/>
    </row>
    <row r="390" spans="2:11">
      <c r="B390" s="151" t="s">
        <v>458</v>
      </c>
      <c r="D390" s="167">
        <f>D388/D379</f>
        <v>0.21978287092882989</v>
      </c>
      <c r="E390" s="167">
        <f t="shared" ref="E390:H390" si="6">E388/E379</f>
        <v>0.18039974210186976</v>
      </c>
      <c r="F390" s="167">
        <f t="shared" si="6"/>
        <v>0.17531992687385742</v>
      </c>
      <c r="G390" s="167">
        <f t="shared" si="6"/>
        <v>0.20077760497667185</v>
      </c>
      <c r="H390" s="167">
        <f t="shared" si="6"/>
        <v>0.19043137254901962</v>
      </c>
      <c r="J390" s="231">
        <f>MEDIAN(D390:H390)</f>
        <v>0.19043137254901962</v>
      </c>
      <c r="K390" s="231">
        <f>AVERAGE(D390:H390)</f>
        <v>0.19334230348604972</v>
      </c>
    </row>
    <row r="392" spans="2:11">
      <c r="B392" s="151" t="s">
        <v>457</v>
      </c>
    </row>
    <row r="393" spans="2:11">
      <c r="B393" s="221" t="s">
        <v>291</v>
      </c>
      <c r="C393" s="221"/>
      <c r="D393" s="221">
        <v>2021</v>
      </c>
      <c r="E393" s="221">
        <v>2022</v>
      </c>
      <c r="F393" s="221">
        <v>2023</v>
      </c>
      <c r="G393" s="221">
        <v>2024</v>
      </c>
      <c r="H393" s="221">
        <v>2025</v>
      </c>
      <c r="J393" s="221" t="s">
        <v>432</v>
      </c>
      <c r="K393" s="221" t="s">
        <v>433</v>
      </c>
    </row>
    <row r="394" spans="2:11" ht="0.75" customHeight="1">
      <c r="B394" s="223"/>
      <c r="C394" s="223"/>
      <c r="D394" s="223" t="s">
        <v>451</v>
      </c>
      <c r="E394" s="223"/>
      <c r="F394" s="223"/>
      <c r="G394" s="223"/>
      <c r="H394" s="223"/>
    </row>
    <row r="395" spans="2:11" ht="15">
      <c r="B395" s="226" t="s">
        <v>200</v>
      </c>
      <c r="C395" s="205"/>
      <c r="D395" s="227">
        <f t="shared" ref="D395:H402" si="7">D381/D$388</f>
        <v>0.22502744237102087</v>
      </c>
      <c r="E395" s="227">
        <f t="shared" si="7"/>
        <v>0.18584703359542529</v>
      </c>
      <c r="F395" s="227">
        <f t="shared" si="7"/>
        <v>0.17987486965589156</v>
      </c>
      <c r="G395" s="227">
        <f t="shared" si="7"/>
        <v>0.209140201394268</v>
      </c>
      <c r="H395" s="227">
        <f t="shared" si="7"/>
        <v>0.20181219110378912</v>
      </c>
      <c r="I395" s="228"/>
      <c r="J395" s="231">
        <f t="shared" ref="J395:J401" si="8">MEDIAN(D395:H395)</f>
        <v>0.20181219110378912</v>
      </c>
      <c r="K395" s="231">
        <f t="shared" ref="K395:K401" si="9">AVERAGE(D395:H395)</f>
        <v>0.20034034762407896</v>
      </c>
    </row>
    <row r="396" spans="2:11" ht="15">
      <c r="B396" s="226" t="s">
        <v>202</v>
      </c>
      <c r="C396" s="205"/>
      <c r="D396" s="227">
        <f t="shared" si="7"/>
        <v>0.14270032930845225</v>
      </c>
      <c r="E396" s="227">
        <f t="shared" si="7"/>
        <v>0.35739814152966404</v>
      </c>
      <c r="F396" s="227">
        <f t="shared" si="7"/>
        <v>0.40145985401459849</v>
      </c>
      <c r="G396" s="227">
        <f t="shared" si="7"/>
        <v>0.36405886909372576</v>
      </c>
      <c r="H396" s="227">
        <f t="shared" si="7"/>
        <v>0.37067545304777594</v>
      </c>
      <c r="I396" s="228"/>
      <c r="J396" s="231">
        <f t="shared" si="8"/>
        <v>0.36405886909372576</v>
      </c>
      <c r="K396" s="231">
        <f t="shared" si="9"/>
        <v>0.32725852939884331</v>
      </c>
    </row>
    <row r="397" spans="2:11" ht="15">
      <c r="B397" s="57" t="s">
        <v>203</v>
      </c>
      <c r="C397" s="4"/>
      <c r="D397" s="229">
        <f t="shared" si="7"/>
        <v>0.13172338090010977</v>
      </c>
      <c r="E397" s="229">
        <f t="shared" si="7"/>
        <v>4.6461758398856322E-3</v>
      </c>
      <c r="F397" s="229">
        <f t="shared" si="7"/>
        <v>9.3847758081334713E-3</v>
      </c>
      <c r="G397" s="229">
        <f t="shared" si="7"/>
        <v>3.3565711334882516E-2</v>
      </c>
      <c r="H397" s="229">
        <f t="shared" si="7"/>
        <v>3.2948929159802305E-2</v>
      </c>
      <c r="I397" s="228"/>
      <c r="J397" s="228">
        <f t="shared" si="8"/>
        <v>3.2948929159802305E-2</v>
      </c>
      <c r="K397" s="228">
        <f t="shared" si="9"/>
        <v>4.2453794608562731E-2</v>
      </c>
    </row>
    <row r="398" spans="2:11" ht="15">
      <c r="B398" s="57" t="s">
        <v>204</v>
      </c>
      <c r="C398" s="4"/>
      <c r="D398" s="229">
        <f t="shared" si="7"/>
        <v>0.11525795828759605</v>
      </c>
      <c r="E398" s="229">
        <f t="shared" si="7"/>
        <v>8.9349535382416009E-2</v>
      </c>
      <c r="F398" s="229">
        <f t="shared" si="7"/>
        <v>4.692387904066736E-2</v>
      </c>
      <c r="G398" s="229">
        <f t="shared" si="7"/>
        <v>2.2205009036922282E-2</v>
      </c>
      <c r="H398" s="229">
        <f t="shared" si="7"/>
        <v>3.5008237232289949E-2</v>
      </c>
      <c r="I398" s="228"/>
      <c r="J398" s="228">
        <f t="shared" si="8"/>
        <v>4.692387904066736E-2</v>
      </c>
      <c r="K398" s="228">
        <f t="shared" si="9"/>
        <v>6.1748923795978336E-2</v>
      </c>
    </row>
    <row r="399" spans="2:11" ht="15">
      <c r="B399" s="57" t="s">
        <v>205</v>
      </c>
      <c r="C399" s="4"/>
      <c r="D399" s="229">
        <f t="shared" si="7"/>
        <v>2.4698133918770585E-2</v>
      </c>
      <c r="E399" s="229">
        <f t="shared" si="7"/>
        <v>6.0757684060042887E-2</v>
      </c>
      <c r="F399" s="229">
        <f t="shared" si="7"/>
        <v>7.5599582898852963E-2</v>
      </c>
      <c r="G399" s="229">
        <f t="shared" si="7"/>
        <v>6.7131422669765031E-2</v>
      </c>
      <c r="H399" s="229">
        <f t="shared" si="7"/>
        <v>9.2668863261943984E-2</v>
      </c>
      <c r="I399" s="228"/>
      <c r="J399" s="228">
        <f t="shared" si="8"/>
        <v>6.7131422669765031E-2</v>
      </c>
      <c r="K399" s="228">
        <f t="shared" si="9"/>
        <v>6.4171137361875102E-2</v>
      </c>
    </row>
    <row r="400" spans="2:11" ht="15">
      <c r="B400" s="57" t="s">
        <v>206</v>
      </c>
      <c r="C400" s="4"/>
      <c r="D400" s="229">
        <f t="shared" si="7"/>
        <v>0.11909989023051593</v>
      </c>
      <c r="E400" s="229">
        <f t="shared" si="7"/>
        <v>7.6840600428877762E-2</v>
      </c>
      <c r="F400" s="229">
        <f t="shared" si="7"/>
        <v>7.8206465067778938E-2</v>
      </c>
      <c r="G400" s="229">
        <f t="shared" si="7"/>
        <v>8.1848696101213522E-2</v>
      </c>
      <c r="H400" s="229">
        <f t="shared" si="7"/>
        <v>7.3311367380560127E-2</v>
      </c>
      <c r="I400" s="228"/>
      <c r="J400" s="228">
        <f t="shared" si="8"/>
        <v>7.8206465067778938E-2</v>
      </c>
      <c r="K400" s="228">
        <f t="shared" si="9"/>
        <v>8.5861403841789266E-2</v>
      </c>
    </row>
    <row r="401" spans="2:11" ht="15">
      <c r="B401" s="226" t="s">
        <v>464</v>
      </c>
      <c r="C401" s="205"/>
      <c r="D401" s="227">
        <f t="shared" si="7"/>
        <v>0.24149286498353459</v>
      </c>
      <c r="E401" s="227">
        <f t="shared" si="7"/>
        <v>0.22516082916368835</v>
      </c>
      <c r="F401" s="227">
        <f t="shared" si="7"/>
        <v>0.20855057351407716</v>
      </c>
      <c r="G401" s="227">
        <f t="shared" si="7"/>
        <v>0.22205009036922282</v>
      </c>
      <c r="H401" s="227">
        <f t="shared" si="7"/>
        <v>0.19357495881383854</v>
      </c>
      <c r="I401" s="228"/>
      <c r="J401" s="231">
        <f t="shared" si="8"/>
        <v>0.22205009036922282</v>
      </c>
      <c r="K401" s="231">
        <f t="shared" si="9"/>
        <v>0.21816586336887228</v>
      </c>
    </row>
    <row r="402" spans="2:11">
      <c r="B402" s="224" t="s">
        <v>456</v>
      </c>
      <c r="C402" s="224"/>
      <c r="D402" s="230">
        <f t="shared" si="7"/>
        <v>1</v>
      </c>
      <c r="E402" s="230">
        <f t="shared" si="7"/>
        <v>1</v>
      </c>
      <c r="F402" s="230">
        <f t="shared" si="7"/>
        <v>1</v>
      </c>
      <c r="G402" s="230">
        <f t="shared" si="7"/>
        <v>1</v>
      </c>
      <c r="H402" s="230">
        <f t="shared" si="7"/>
        <v>1</v>
      </c>
      <c r="I402" s="228"/>
      <c r="J402" s="228"/>
      <c r="K402" s="228"/>
    </row>
    <row r="404" spans="2:11">
      <c r="B404" s="221" t="s">
        <v>291</v>
      </c>
      <c r="C404" s="221"/>
      <c r="D404" s="221">
        <v>2021</v>
      </c>
      <c r="E404" s="221">
        <v>2022</v>
      </c>
      <c r="F404" s="221">
        <v>2023</v>
      </c>
      <c r="G404" s="221">
        <v>2024</v>
      </c>
      <c r="H404" s="221">
        <v>2025</v>
      </c>
      <c r="J404" s="221" t="s">
        <v>432</v>
      </c>
      <c r="K404" s="221" t="s">
        <v>433</v>
      </c>
    </row>
    <row r="405" spans="2:11" ht="1.1499999999999999" customHeight="1">
      <c r="B405" s="223"/>
      <c r="C405" s="223"/>
      <c r="D405" s="223" t="s">
        <v>451</v>
      </c>
      <c r="E405" s="223"/>
      <c r="F405" s="223"/>
      <c r="G405" s="223"/>
      <c r="H405" s="223"/>
    </row>
    <row r="406" spans="2:11" ht="15">
      <c r="B406" s="232" t="s">
        <v>285</v>
      </c>
      <c r="C406" s="232"/>
      <c r="D406" s="233">
        <v>829</v>
      </c>
      <c r="E406" s="233">
        <v>1551</v>
      </c>
      <c r="F406" s="233">
        <v>2188</v>
      </c>
      <c r="G406" s="233">
        <v>1929</v>
      </c>
      <c r="H406" s="233">
        <v>2550</v>
      </c>
      <c r="J406"/>
      <c r="K406"/>
    </row>
    <row r="407" spans="2:11" ht="2.25" customHeight="1">
      <c r="B407" s="232"/>
      <c r="C407" s="232"/>
      <c r="D407" s="233"/>
      <c r="E407" s="233"/>
      <c r="F407" s="233"/>
      <c r="G407" s="233"/>
      <c r="H407" s="233"/>
      <c r="J407"/>
      <c r="K407"/>
    </row>
    <row r="408" spans="2:11" ht="15">
      <c r="B408" s="103" t="s">
        <v>200</v>
      </c>
      <c r="C408" s="4"/>
      <c r="D408" s="23">
        <v>41</v>
      </c>
      <c r="E408" s="23">
        <v>52</v>
      </c>
      <c r="F408" s="23">
        <v>69</v>
      </c>
      <c r="G408" s="23">
        <v>81</v>
      </c>
      <c r="H408" s="23">
        <v>98</v>
      </c>
      <c r="J408" s="23">
        <f>MEDIAN(D408:H408)</f>
        <v>69</v>
      </c>
      <c r="K408" s="23">
        <f>AVERAGE(D408:H408)</f>
        <v>68.2</v>
      </c>
    </row>
    <row r="409" spans="2:11" ht="15">
      <c r="B409" s="235" t="s">
        <v>459</v>
      </c>
      <c r="C409" s="236"/>
      <c r="D409" s="237">
        <f>D408/D406</f>
        <v>4.9457177322074788E-2</v>
      </c>
      <c r="E409" s="237">
        <f t="shared" ref="E409:H409" si="10">E408/E406</f>
        <v>3.3526756931012251E-2</v>
      </c>
      <c r="F409" s="237">
        <f t="shared" si="10"/>
        <v>3.1535648994515539E-2</v>
      </c>
      <c r="G409" s="237">
        <f t="shared" si="10"/>
        <v>4.1990668740279936E-2</v>
      </c>
      <c r="H409" s="237">
        <f t="shared" si="10"/>
        <v>3.8431372549019606E-2</v>
      </c>
      <c r="J409" s="237">
        <f>MEDIAN(D409:H409)</f>
        <v>3.8431372549019606E-2</v>
      </c>
      <c r="K409" s="237">
        <f>AVERAGE(D409:H409)</f>
        <v>3.8988324907380426E-2</v>
      </c>
    </row>
    <row r="410" spans="2:11" ht="15">
      <c r="B410" s="103"/>
      <c r="C410" s="4"/>
      <c r="D410" s="23"/>
      <c r="E410" s="23"/>
      <c r="F410" s="23"/>
      <c r="G410" s="23"/>
      <c r="H410" s="23"/>
      <c r="J410" s="23"/>
      <c r="K410" s="23"/>
    </row>
    <row r="411" spans="2:11" ht="15">
      <c r="B411" s="103" t="s">
        <v>202</v>
      </c>
      <c r="C411" s="4"/>
      <c r="D411" s="23">
        <v>26</v>
      </c>
      <c r="E411" s="23">
        <v>100</v>
      </c>
      <c r="F411" s="23">
        <v>154</v>
      </c>
      <c r="G411" s="23">
        <v>141</v>
      </c>
      <c r="H411" s="23">
        <v>180</v>
      </c>
      <c r="J411" s="23">
        <f>MEDIAN(D411:H411)</f>
        <v>141</v>
      </c>
      <c r="K411" s="23">
        <f>AVERAGE(D411:H411)</f>
        <v>120.2</v>
      </c>
    </row>
    <row r="412" spans="2:11" ht="15">
      <c r="B412" s="235" t="s">
        <v>460</v>
      </c>
      <c r="C412" s="236"/>
      <c r="D412" s="237">
        <f>D411/D406</f>
        <v>3.1363088057901084E-2</v>
      </c>
      <c r="E412" s="237">
        <f t="shared" ref="E412:H412" si="11">E411/E406</f>
        <v>6.4474532559638947E-2</v>
      </c>
      <c r="F412" s="237">
        <f t="shared" si="11"/>
        <v>7.0383912248628888E-2</v>
      </c>
      <c r="G412" s="237">
        <f t="shared" si="11"/>
        <v>7.3094867807153963E-2</v>
      </c>
      <c r="H412" s="237">
        <f t="shared" si="11"/>
        <v>7.0588235294117646E-2</v>
      </c>
      <c r="J412" s="237">
        <f>MEDIAN(D412:H412)</f>
        <v>7.0383912248628888E-2</v>
      </c>
      <c r="K412" s="237">
        <f>AVERAGE(D412:H412)</f>
        <v>6.1980927193488113E-2</v>
      </c>
    </row>
    <row r="413" spans="2:11" s="239" customFormat="1" ht="15">
      <c r="B413" s="240"/>
      <c r="C413" s="238"/>
      <c r="D413" s="241"/>
      <c r="E413" s="241"/>
      <c r="F413" s="241"/>
      <c r="G413" s="241"/>
      <c r="H413" s="241"/>
      <c r="J413" s="241"/>
      <c r="K413" s="241"/>
    </row>
    <row r="414" spans="2:11" ht="15">
      <c r="B414" s="103" t="s">
        <v>464</v>
      </c>
      <c r="C414" s="4"/>
      <c r="D414" s="23">
        <v>44</v>
      </c>
      <c r="E414" s="23">
        <v>63</v>
      </c>
      <c r="F414" s="23">
        <v>80</v>
      </c>
      <c r="G414" s="23">
        <v>86</v>
      </c>
      <c r="H414" s="23">
        <v>94</v>
      </c>
      <c r="J414" s="23">
        <f>MEDIAN(D414:H414)</f>
        <v>80</v>
      </c>
      <c r="K414" s="23">
        <f>AVERAGE(D414:H414)</f>
        <v>73.400000000000006</v>
      </c>
    </row>
    <row r="415" spans="2:11" ht="15">
      <c r="B415" s="235" t="s">
        <v>470</v>
      </c>
      <c r="C415" s="236"/>
      <c r="D415" s="237">
        <f>D414/D406</f>
        <v>5.3075995174909532E-2</v>
      </c>
      <c r="E415" s="237">
        <f t="shared" ref="E415:H415" si="12">E414/E406</f>
        <v>4.0618955512572531E-2</v>
      </c>
      <c r="F415" s="237">
        <f t="shared" si="12"/>
        <v>3.6563071297989032E-2</v>
      </c>
      <c r="G415" s="237">
        <f t="shared" si="12"/>
        <v>4.4582685329186106E-2</v>
      </c>
      <c r="H415" s="237">
        <f t="shared" si="12"/>
        <v>3.6862745098039218E-2</v>
      </c>
      <c r="J415" s="237">
        <f>MEDIAN(D415:H415)</f>
        <v>4.0618955512572531E-2</v>
      </c>
      <c r="K415" s="237">
        <f>AVERAGE(D415:H415)</f>
        <v>4.2340690482539287E-2</v>
      </c>
    </row>
    <row r="416" spans="2:11" s="239" customFormat="1" ht="15">
      <c r="B416" s="240"/>
      <c r="C416" s="238"/>
      <c r="D416" s="241"/>
      <c r="E416" s="241"/>
      <c r="F416" s="241"/>
      <c r="G416" s="241"/>
      <c r="H416" s="241"/>
      <c r="J416" s="241"/>
      <c r="K416" s="241"/>
    </row>
    <row r="417" spans="2:23" s="239" customFormat="1" ht="15">
      <c r="B417" s="240" t="s">
        <v>462</v>
      </c>
      <c r="C417" s="238"/>
      <c r="D417" s="23">
        <v>71.2</v>
      </c>
      <c r="E417" s="23">
        <v>64.8</v>
      </c>
      <c r="F417" s="23">
        <v>80.599999999999994</v>
      </c>
      <c r="G417" s="23">
        <v>79.3</v>
      </c>
      <c r="H417" s="23">
        <v>113.6</v>
      </c>
      <c r="J417" s="23">
        <f>MEDIAN(D417:H417)</f>
        <v>79.3</v>
      </c>
      <c r="K417" s="23">
        <f>AVERAGE(D417:H417)</f>
        <v>81.900000000000006</v>
      </c>
    </row>
    <row r="418" spans="2:23" s="239" customFormat="1" ht="15">
      <c r="B418" s="235" t="s">
        <v>463</v>
      </c>
      <c r="C418" s="236"/>
      <c r="D418" s="237">
        <f>D417/D406</f>
        <v>8.5886610373944516E-2</v>
      </c>
      <c r="E418" s="237">
        <f t="shared" ref="E418:H418" si="13">E417/E406</f>
        <v>4.1779497098646035E-2</v>
      </c>
      <c r="F418" s="237">
        <f t="shared" si="13"/>
        <v>3.6837294332723945E-2</v>
      </c>
      <c r="G418" s="237">
        <f t="shared" si="13"/>
        <v>4.1109383100051841E-2</v>
      </c>
      <c r="H418" s="237">
        <f t="shared" si="13"/>
        <v>4.4549019607843132E-2</v>
      </c>
      <c r="J418" s="237">
        <f>MEDIAN(D418:H418)</f>
        <v>4.1779497098646035E-2</v>
      </c>
      <c r="K418" s="237">
        <f>AVERAGE(D418:H418)</f>
        <v>5.003236090264189E-2</v>
      </c>
    </row>
    <row r="420" spans="2:23">
      <c r="B420" s="151" t="s">
        <v>465</v>
      </c>
      <c r="D420" s="167">
        <f>SUM(D417,D414,D411,D408)/D406</f>
        <v>0.21978287092882989</v>
      </c>
      <c r="E420" s="167">
        <f t="shared" ref="E420:H420" si="14">SUM(E417,E414,E411,E408)/E406</f>
        <v>0.18039974210186976</v>
      </c>
      <c r="F420" s="167">
        <f t="shared" si="14"/>
        <v>0.17531992687385742</v>
      </c>
      <c r="G420" s="167">
        <f t="shared" si="14"/>
        <v>0.20077760497667185</v>
      </c>
      <c r="H420" s="167">
        <f t="shared" si="14"/>
        <v>0.19043137254901962</v>
      </c>
      <c r="J420" s="231">
        <f>MEDIAN(D420:H420)</f>
        <v>0.19043137254901962</v>
      </c>
      <c r="K420" s="231">
        <f>AVERAGE(D420:H420)</f>
        <v>0.19334230348604972</v>
      </c>
    </row>
    <row r="421" spans="2:23">
      <c r="B421" s="224" t="s">
        <v>456</v>
      </c>
      <c r="C421" s="224"/>
      <c r="D421" s="225">
        <f>D417+D414+D411+D408</f>
        <v>182.2</v>
      </c>
      <c r="E421" s="225">
        <f>E417+E414+E411+E408</f>
        <v>279.8</v>
      </c>
      <c r="F421" s="225">
        <f>F417+F414+F411+F408</f>
        <v>383.6</v>
      </c>
      <c r="G421" s="225">
        <f>G417+G414+G411+G408</f>
        <v>387.3</v>
      </c>
      <c r="H421" s="225">
        <f>H417+H414+H411+H408</f>
        <v>485.6</v>
      </c>
    </row>
    <row r="428" spans="2:23" ht="15">
      <c r="Q428" s="143" t="s">
        <v>213</v>
      </c>
      <c r="R428"/>
      <c r="S428" s="158">
        <v>54</v>
      </c>
      <c r="T428" s="158">
        <v>154</v>
      </c>
      <c r="U428" s="158">
        <v>212</v>
      </c>
      <c r="V428" s="158">
        <v>263</v>
      </c>
      <c r="W428" s="158">
        <v>388</v>
      </c>
    </row>
    <row r="429" spans="2:23" ht="15">
      <c r="Q429" s="144" t="s">
        <v>214</v>
      </c>
      <c r="R429"/>
      <c r="S429" s="158">
        <v>119</v>
      </c>
      <c r="T429" s="158">
        <v>256</v>
      </c>
      <c r="U429" s="158">
        <v>166</v>
      </c>
      <c r="V429" s="158">
        <v>179</v>
      </c>
      <c r="W429" s="158">
        <v>232</v>
      </c>
    </row>
    <row r="430" spans="2:23" ht="15">
      <c r="Q430" s="115" t="s">
        <v>16</v>
      </c>
      <c r="R430" s="39"/>
      <c r="S430" s="159">
        <f>SUM(S431:S436)</f>
        <v>8.8000000000000007</v>
      </c>
      <c r="T430" s="159">
        <f>SUM(T431:T436)</f>
        <v>37.200000000000003</v>
      </c>
      <c r="U430" s="159">
        <f>SUM(U431:U436)</f>
        <v>41</v>
      </c>
      <c r="V430" s="159">
        <f>SUM(V431:V436)</f>
        <v>58.8</v>
      </c>
      <c r="W430" s="159">
        <f>SUM(W431:W436)</f>
        <v>154</v>
      </c>
    </row>
    <row r="431" spans="2:23" ht="15">
      <c r="Q431" s="143" t="s">
        <v>224</v>
      </c>
      <c r="R431"/>
      <c r="S431" s="158">
        <v>0</v>
      </c>
      <c r="T431" s="158">
        <v>0</v>
      </c>
      <c r="U431" s="158">
        <v>0</v>
      </c>
      <c r="V431" s="158">
        <v>0</v>
      </c>
      <c r="W431" s="158">
        <v>77</v>
      </c>
    </row>
    <row r="432" spans="2:23" ht="15">
      <c r="Q432" s="144" t="s">
        <v>215</v>
      </c>
      <c r="R432"/>
      <c r="S432" s="158">
        <v>0.7</v>
      </c>
      <c r="T432" s="158">
        <v>25</v>
      </c>
      <c r="U432" s="158">
        <v>15</v>
      </c>
      <c r="V432" s="158">
        <v>6.8</v>
      </c>
      <c r="W432" s="158">
        <v>22</v>
      </c>
    </row>
    <row r="433" spans="1:23 16384:16384" ht="15">
      <c r="Q433" s="144" t="s">
        <v>225</v>
      </c>
      <c r="R433"/>
      <c r="S433" s="158">
        <v>2.7</v>
      </c>
      <c r="T433" s="158">
        <v>5.6</v>
      </c>
      <c r="U433" s="158">
        <v>5.5</v>
      </c>
      <c r="V433" s="158">
        <v>9.1</v>
      </c>
      <c r="W433" s="158">
        <v>12</v>
      </c>
    </row>
    <row r="434" spans="1:23 16384:16384" ht="15">
      <c r="Q434" s="143" t="s">
        <v>226</v>
      </c>
      <c r="R434"/>
      <c r="S434" s="158">
        <v>1.9</v>
      </c>
      <c r="T434" s="158">
        <v>1.9</v>
      </c>
      <c r="U434" s="158">
        <v>2.2000000000000002</v>
      </c>
      <c r="V434" s="158">
        <v>3.3</v>
      </c>
      <c r="W434" s="158">
        <v>6.1</v>
      </c>
    </row>
    <row r="435" spans="1:23 16384:16384" ht="15">
      <c r="Q435" s="143" t="s">
        <v>15</v>
      </c>
      <c r="R435"/>
      <c r="S435" s="158">
        <v>1.3</v>
      </c>
      <c r="T435" s="158">
        <v>1</v>
      </c>
      <c r="U435" s="158">
        <v>1.9</v>
      </c>
      <c r="V435" s="158">
        <v>2.4</v>
      </c>
      <c r="W435" s="158">
        <v>1.5</v>
      </c>
    </row>
    <row r="436" spans="1:23 16384:16384" ht="15">
      <c r="Q436" s="143" t="s">
        <v>227</v>
      </c>
      <c r="R436"/>
      <c r="S436" s="158">
        <v>2.2000000000000002</v>
      </c>
      <c r="T436" s="158">
        <v>3.7</v>
      </c>
      <c r="U436" s="158">
        <v>16.399999999999999</v>
      </c>
      <c r="V436" s="158">
        <v>37.200000000000003</v>
      </c>
      <c r="W436" s="158">
        <v>35.4</v>
      </c>
    </row>
    <row r="438" spans="1:23 16384:16384" ht="15">
      <c r="A438" t="s">
        <v>289</v>
      </c>
      <c r="B438" s="39" t="s">
        <v>125</v>
      </c>
    </row>
    <row r="439" spans="1:23 16384:16384" ht="15">
      <c r="A439"/>
      <c r="B439" s="39"/>
    </row>
    <row r="440" spans="1:23 16384:16384" ht="15">
      <c r="B440" s="185" t="s">
        <v>475</v>
      </c>
      <c r="J440" t="s">
        <v>294</v>
      </c>
      <c r="K440"/>
    </row>
    <row r="441" spans="1:23 16384:16384" ht="15">
      <c r="B441" s="165" t="s">
        <v>291</v>
      </c>
      <c r="C441" s="9"/>
      <c r="D441" s="9">
        <v>2021</v>
      </c>
      <c r="E441" s="9">
        <f>D441+1</f>
        <v>2022</v>
      </c>
      <c r="F441" s="9">
        <f>E441+1</f>
        <v>2023</v>
      </c>
      <c r="G441" s="9">
        <f>F441+1</f>
        <v>2024</v>
      </c>
      <c r="H441" s="9">
        <f>G441+1</f>
        <v>2025</v>
      </c>
      <c r="J441" s="166" t="s">
        <v>99</v>
      </c>
      <c r="K441" s="166" t="s">
        <v>98</v>
      </c>
    </row>
    <row r="442" spans="1:23 16384:16384" s="254" customFormat="1" ht="15" hidden="1">
      <c r="B442" s="255"/>
      <c r="C442" s="256"/>
      <c r="D442" s="256"/>
      <c r="E442" s="256"/>
      <c r="F442" s="256"/>
      <c r="G442" s="256"/>
      <c r="H442" s="256"/>
      <c r="J442" s="199"/>
      <c r="K442" s="199"/>
    </row>
    <row r="443" spans="1:23 16384:16384" ht="15">
      <c r="B443" s="250" t="s">
        <v>213</v>
      </c>
      <c r="C443"/>
      <c r="D443" s="158">
        <v>54</v>
      </c>
      <c r="E443" s="158">
        <v>154</v>
      </c>
      <c r="F443" s="158">
        <v>212</v>
      </c>
      <c r="G443" s="158">
        <v>263</v>
      </c>
      <c r="H443" s="158">
        <v>388</v>
      </c>
      <c r="J443" s="253">
        <f>_xlfn.RRI(3,F443,H443)</f>
        <v>0.22320323661313868</v>
      </c>
      <c r="K443" s="253">
        <f>_xlfn.RRI(5,D443,H443)</f>
        <v>0.48350014517985729</v>
      </c>
    </row>
    <row r="444" spans="1:23 16384:16384" ht="15">
      <c r="B444" s="251" t="s">
        <v>214</v>
      </c>
      <c r="C444"/>
      <c r="D444" s="158">
        <v>119</v>
      </c>
      <c r="E444" s="158">
        <v>256</v>
      </c>
      <c r="F444" s="158">
        <v>166</v>
      </c>
      <c r="G444" s="158">
        <v>179</v>
      </c>
      <c r="H444" s="158">
        <v>232</v>
      </c>
      <c r="J444" s="253">
        <f>_xlfn.RRI(3,F444,H444)</f>
        <v>0.11804675540635778</v>
      </c>
      <c r="K444" s="253">
        <f>_xlfn.RRI(5,D444,H444)</f>
        <v>0.14284729499835302</v>
      </c>
    </row>
    <row r="445" spans="1:23 16384:16384" ht="15">
      <c r="B445" s="251" t="s">
        <v>215</v>
      </c>
      <c r="C445"/>
      <c r="D445" s="158">
        <v>0.7</v>
      </c>
      <c r="E445" s="158">
        <v>25</v>
      </c>
      <c r="F445" s="158">
        <v>15</v>
      </c>
      <c r="G445" s="158">
        <v>6.8</v>
      </c>
      <c r="H445" s="158">
        <v>22</v>
      </c>
      <c r="J445" s="253">
        <f>_xlfn.RRI(3,F445,H445)</f>
        <v>0.13617128057248995</v>
      </c>
      <c r="K445" s="253">
        <f>_xlfn.RRI(5,D445,H445)</f>
        <v>0.9928055688745796</v>
      </c>
    </row>
    <row r="446" spans="1:23 16384:16384" ht="15">
      <c r="B446" s="250" t="s">
        <v>227</v>
      </c>
      <c r="C446"/>
      <c r="D446" s="158">
        <v>8.1</v>
      </c>
      <c r="E446" s="158">
        <v>12.2</v>
      </c>
      <c r="F446" s="158">
        <v>26</v>
      </c>
      <c r="G446" s="158">
        <v>52</v>
      </c>
      <c r="H446" s="158">
        <v>132</v>
      </c>
      <c r="I446" s="249"/>
      <c r="J446" s="253">
        <f>_xlfn.RRI(3,F446,H446)</f>
        <v>0.71870046477284988</v>
      </c>
      <c r="K446" s="253">
        <f>_xlfn.RRI(5,D446,H446)</f>
        <v>0.74750240640661025</v>
      </c>
      <c r="L446" s="249"/>
      <c r="M446" s="249"/>
    </row>
    <row r="447" spans="1:23 16384:16384" ht="13.5" thickBot="1">
      <c r="B447" s="152" t="s">
        <v>17</v>
      </c>
      <c r="C447" s="152"/>
      <c r="D447" s="252">
        <f>SUM(D443:D446)</f>
        <v>181.79999999999998</v>
      </c>
      <c r="E447" s="252">
        <f>SUM(E443:E446)</f>
        <v>447.2</v>
      </c>
      <c r="F447" s="252">
        <f>SUM(F443:F446)</f>
        <v>419</v>
      </c>
      <c r="G447" s="252">
        <f>SUM(G443:G446)</f>
        <v>500.8</v>
      </c>
      <c r="H447" s="252">
        <f>SUM(H443:H446)</f>
        <v>774</v>
      </c>
      <c r="J447" s="253">
        <f>_xlfn.RRI(3,F447,H447)</f>
        <v>0.22699364271730693</v>
      </c>
      <c r="K447" s="253">
        <f>_xlfn.RRI(5,D447,H447)</f>
        <v>0.33607062717520853</v>
      </c>
      <c r="XFD447" s="228">
        <f>SUM(K447)</f>
        <v>0.33607062717520853</v>
      </c>
    </row>
    <row r="449" spans="1:11">
      <c r="B449" s="151" t="s">
        <v>473</v>
      </c>
      <c r="D449" s="151">
        <v>1449</v>
      </c>
      <c r="E449" s="151">
        <v>2124</v>
      </c>
      <c r="F449" s="151">
        <v>2432</v>
      </c>
      <c r="G449" s="151">
        <v>2794</v>
      </c>
      <c r="H449" s="151">
        <v>3152</v>
      </c>
      <c r="J449" s="253">
        <f>_xlfn.RRI(3,F449,H449)</f>
        <v>9.0287114438685645E-2</v>
      </c>
      <c r="K449" s="253">
        <f>_xlfn.RRI(5,D449,H449)</f>
        <v>0.16816331805312701</v>
      </c>
    </row>
    <row r="451" spans="1:11">
      <c r="B451" s="151" t="s">
        <v>474</v>
      </c>
      <c r="D451" s="192">
        <f>D447/D449</f>
        <v>0.12546583850931675</v>
      </c>
      <c r="E451" s="192">
        <f t="shared" ref="E451:H451" si="15">E447/E449</f>
        <v>0.21054613935969868</v>
      </c>
      <c r="F451" s="192">
        <f t="shared" si="15"/>
        <v>0.17228618421052633</v>
      </c>
      <c r="G451" s="192">
        <f t="shared" si="15"/>
        <v>0.17924123120973515</v>
      </c>
      <c r="H451" s="192">
        <f t="shared" si="15"/>
        <v>0.24555837563451777</v>
      </c>
      <c r="J451" s="253">
        <f>_xlfn.RRI(3,F451,H451)</f>
        <v>0.12538580569119384</v>
      </c>
      <c r="K451" s="253">
        <f>_xlfn.RRI(5,D451,H451)</f>
        <v>0.14373615959959918</v>
      </c>
    </row>
    <row r="453" spans="1:11">
      <c r="B453" s="185" t="s">
        <v>476</v>
      </c>
    </row>
    <row r="454" spans="1:11" ht="15">
      <c r="B454" s="165" t="s">
        <v>291</v>
      </c>
      <c r="C454" s="9"/>
      <c r="D454" s="9">
        <v>2021</v>
      </c>
      <c r="E454" s="9">
        <f>D454+1</f>
        <v>2022</v>
      </c>
      <c r="F454" s="9">
        <f>E454+1</f>
        <v>2023</v>
      </c>
      <c r="G454" s="9">
        <f>F454+1</f>
        <v>2024</v>
      </c>
      <c r="H454" s="9">
        <f>G454+1</f>
        <v>2025</v>
      </c>
    </row>
    <row r="455" spans="1:11" ht="1.1499999999999999" customHeight="1">
      <c r="B455" s="255"/>
      <c r="C455" s="256"/>
      <c r="D455" s="256"/>
      <c r="E455" s="256"/>
      <c r="F455" s="256"/>
      <c r="G455" s="256"/>
      <c r="H455" s="256"/>
    </row>
    <row r="456" spans="1:11" ht="15">
      <c r="B456" s="250" t="s">
        <v>213</v>
      </c>
      <c r="C456"/>
      <c r="D456" s="167">
        <f>D443/D$447</f>
        <v>0.29702970297029707</v>
      </c>
      <c r="E456" s="167">
        <f t="shared" ref="E456:H456" si="16">E443/E$447</f>
        <v>0.34436493738819324</v>
      </c>
      <c r="F456" s="167">
        <f t="shared" si="16"/>
        <v>0.5059665871121718</v>
      </c>
      <c r="G456" s="167">
        <f t="shared" si="16"/>
        <v>0.52515974440894564</v>
      </c>
      <c r="H456" s="167">
        <f t="shared" si="16"/>
        <v>0.50129198966408273</v>
      </c>
    </row>
    <row r="457" spans="1:11" ht="15">
      <c r="B457" s="251" t="s">
        <v>214</v>
      </c>
      <c r="C457"/>
      <c r="D457" s="167">
        <f t="shared" ref="D457:H457" si="17">D444/D$447</f>
        <v>0.65456545654565468</v>
      </c>
      <c r="E457" s="167">
        <f t="shared" si="17"/>
        <v>0.57245080500894452</v>
      </c>
      <c r="F457" s="167">
        <f t="shared" si="17"/>
        <v>0.39618138424821003</v>
      </c>
      <c r="G457" s="167">
        <f t="shared" si="17"/>
        <v>0.35742811501597443</v>
      </c>
      <c r="H457" s="167">
        <f t="shared" si="17"/>
        <v>0.29974160206718348</v>
      </c>
    </row>
    <row r="458" spans="1:11" ht="15">
      <c r="B458" s="251" t="s">
        <v>215</v>
      </c>
      <c r="C458"/>
      <c r="D458" s="167">
        <f t="shared" ref="D458:H458" si="18">D445/D$447</f>
        <v>3.8503850385038503E-3</v>
      </c>
      <c r="E458" s="167">
        <f t="shared" si="18"/>
        <v>5.5903398926654739E-2</v>
      </c>
      <c r="F458" s="167">
        <f t="shared" si="18"/>
        <v>3.5799522673031027E-2</v>
      </c>
      <c r="G458" s="167">
        <f t="shared" si="18"/>
        <v>1.3578274760383386E-2</v>
      </c>
      <c r="H458" s="167">
        <f t="shared" si="18"/>
        <v>2.8423772609819122E-2</v>
      </c>
    </row>
    <row r="459" spans="1:11" ht="15">
      <c r="B459" s="250" t="s">
        <v>227</v>
      </c>
      <c r="C459"/>
      <c r="D459" s="167">
        <f t="shared" ref="D459:H459" si="19">D446/D$447</f>
        <v>4.4554455445544559E-2</v>
      </c>
      <c r="E459" s="167">
        <f t="shared" si="19"/>
        <v>2.7280858676207512E-2</v>
      </c>
      <c r="F459" s="167">
        <f t="shared" si="19"/>
        <v>6.205250596658711E-2</v>
      </c>
      <c r="G459" s="167">
        <f t="shared" si="19"/>
        <v>0.10383386581469649</v>
      </c>
      <c r="H459" s="167">
        <f t="shared" si="19"/>
        <v>0.17054263565891473</v>
      </c>
    </row>
    <row r="460" spans="1:11" ht="13.5" thickBot="1">
      <c r="B460" s="152" t="s">
        <v>17</v>
      </c>
      <c r="C460" s="152"/>
      <c r="D460" s="257">
        <f t="shared" ref="D460:H460" si="20">D447/D$447</f>
        <v>1</v>
      </c>
      <c r="E460" s="257">
        <f t="shared" si="20"/>
        <v>1</v>
      </c>
      <c r="F460" s="257">
        <f t="shared" si="20"/>
        <v>1</v>
      </c>
      <c r="G460" s="257">
        <f t="shared" si="20"/>
        <v>1</v>
      </c>
      <c r="H460" s="257">
        <f t="shared" si="20"/>
        <v>1</v>
      </c>
    </row>
    <row r="463" spans="1:11">
      <c r="A463" s="151" t="s">
        <v>35</v>
      </c>
      <c r="B463" s="185" t="s">
        <v>477</v>
      </c>
    </row>
    <row r="465" spans="2:11">
      <c r="B465" s="221" t="s">
        <v>291</v>
      </c>
      <c r="C465" s="221"/>
      <c r="D465" s="221">
        <v>2021</v>
      </c>
      <c r="E465" s="221">
        <v>2022</v>
      </c>
      <c r="F465" s="221">
        <v>2023</v>
      </c>
      <c r="G465" s="221">
        <v>2024</v>
      </c>
      <c r="H465" s="221">
        <v>2025</v>
      </c>
      <c r="J465" s="221" t="s">
        <v>432</v>
      </c>
      <c r="K465" s="221" t="s">
        <v>433</v>
      </c>
    </row>
    <row r="466" spans="2:11">
      <c r="B466" s="232" t="s">
        <v>285</v>
      </c>
      <c r="C466" s="232"/>
      <c r="D466" s="233">
        <v>829</v>
      </c>
      <c r="E466" s="233">
        <v>1551</v>
      </c>
      <c r="F466" s="233">
        <v>2188</v>
      </c>
      <c r="G466" s="233">
        <v>1929</v>
      </c>
      <c r="H466" s="233">
        <v>2550</v>
      </c>
    </row>
    <row r="467" spans="2:11">
      <c r="B467" s="151" t="s">
        <v>479</v>
      </c>
      <c r="E467" s="167">
        <f>E466/D466-1</f>
        <v>0.87092882991556086</v>
      </c>
      <c r="F467" s="167">
        <f t="shared" ref="F467:H467" si="21">F466/E466-1</f>
        <v>0.41070277240490016</v>
      </c>
      <c r="G467" s="167">
        <f t="shared" si="21"/>
        <v>-0.11837294332723947</v>
      </c>
      <c r="H467" s="167">
        <f t="shared" si="21"/>
        <v>0.32192846034214617</v>
      </c>
      <c r="J467" s="167">
        <f>MEDIAN(D467:H467)</f>
        <v>0.36631561637352317</v>
      </c>
      <c r="K467" s="167">
        <f>AVERAGE(D467:H467)</f>
        <v>0.37129677983384196</v>
      </c>
    </row>
    <row r="468" spans="2:11">
      <c r="J468" s="167"/>
      <c r="K468" s="167"/>
    </row>
    <row r="469" spans="2:11">
      <c r="B469" s="151" t="str">
        <f>B443</f>
        <v>Inventories</v>
      </c>
      <c r="D469" s="151">
        <f>D443</f>
        <v>54</v>
      </c>
      <c r="E469" s="151">
        <f>E443</f>
        <v>154</v>
      </c>
      <c r="F469" s="151">
        <f>F443</f>
        <v>212</v>
      </c>
      <c r="G469" s="151">
        <f>G443</f>
        <v>263</v>
      </c>
      <c r="H469" s="151">
        <f>H443</f>
        <v>388</v>
      </c>
      <c r="J469" s="167"/>
      <c r="K469" s="167"/>
    </row>
    <row r="470" spans="2:11">
      <c r="B470" s="151" t="s">
        <v>480</v>
      </c>
      <c r="E470" s="167">
        <f>E469/D469-1</f>
        <v>1.8518518518518516</v>
      </c>
      <c r="F470" s="167">
        <f t="shared" ref="F470" si="22">F469/E469-1</f>
        <v>0.37662337662337664</v>
      </c>
      <c r="G470" s="167">
        <f t="shared" ref="G470" si="23">G469/F469-1</f>
        <v>0.24056603773584895</v>
      </c>
      <c r="H470" s="167">
        <f t="shared" ref="H470" si="24">H469/G469-1</f>
        <v>0.47528517110266155</v>
      </c>
      <c r="J470" s="167">
        <f>MEDIAN(D470:H470)</f>
        <v>0.4259542738630191</v>
      </c>
      <c r="K470" s="167">
        <f>AVERAGE(D470:H470)</f>
        <v>0.7360816093284348</v>
      </c>
    </row>
    <row r="471" spans="2:11">
      <c r="E471" s="167"/>
      <c r="F471" s="167"/>
      <c r="G471" s="167"/>
      <c r="H471" s="167"/>
    </row>
    <row r="472" spans="2:11">
      <c r="B472" s="265" t="s">
        <v>481</v>
      </c>
      <c r="E472" s="151">
        <f>AVERAGE(D469:E469)</f>
        <v>104</v>
      </c>
      <c r="F472" s="151">
        <f t="shared" ref="F472:H472" si="25">AVERAGE(E469:F469)</f>
        <v>183</v>
      </c>
      <c r="G472" s="151">
        <f t="shared" si="25"/>
        <v>237.5</v>
      </c>
      <c r="H472" s="151">
        <f t="shared" si="25"/>
        <v>325.5</v>
      </c>
    </row>
    <row r="473" spans="2:11">
      <c r="B473" s="265" t="s">
        <v>481</v>
      </c>
      <c r="E473" s="222">
        <f t="shared" ref="E473:H473" si="26">E469/E466</f>
        <v>9.9290780141843976E-2</v>
      </c>
      <c r="F473" s="222">
        <f t="shared" si="26"/>
        <v>9.6892138939670927E-2</v>
      </c>
      <c r="G473" s="222">
        <f t="shared" si="26"/>
        <v>0.13634007257646449</v>
      </c>
      <c r="H473" s="222">
        <f t="shared" si="26"/>
        <v>0.15215686274509804</v>
      </c>
    </row>
    <row r="475" spans="2:11">
      <c r="B475" s="185" t="s">
        <v>492</v>
      </c>
      <c r="D475" s="167">
        <f>D469/D466</f>
        <v>6.513872135102533E-2</v>
      </c>
      <c r="E475" s="167">
        <f>E469/E466</f>
        <v>9.9290780141843976E-2</v>
      </c>
      <c r="F475" s="167">
        <f t="shared" ref="F475:H475" si="27">F469/F466</f>
        <v>9.6892138939670927E-2</v>
      </c>
      <c r="G475" s="167">
        <f t="shared" si="27"/>
        <v>0.13634007257646449</v>
      </c>
      <c r="H475" s="167">
        <f t="shared" si="27"/>
        <v>0.15215686274509804</v>
      </c>
      <c r="J475" s="229">
        <f>MEDIAN(D475:H475)</f>
        <v>9.9290780141843976E-2</v>
      </c>
      <c r="K475" s="229">
        <f>AVERAGE(D475:H475)</f>
        <v>0.10996371515082055</v>
      </c>
    </row>
    <row r="477" spans="2:11">
      <c r="B477" s="151" t="s">
        <v>78</v>
      </c>
      <c r="D477" s="151">
        <f>' Income Statement'!D9*-1</f>
        <v>385</v>
      </c>
      <c r="E477" s="151">
        <f>' Income Statement'!E9*-1</f>
        <v>761</v>
      </c>
      <c r="F477" s="151">
        <f>' Income Statement'!F9*-1</f>
        <v>1115</v>
      </c>
      <c r="G477" s="151">
        <f>' Income Statement'!G9*-1</f>
        <v>1061</v>
      </c>
      <c r="H477" s="151">
        <f>' Income Statement'!H9*-1</f>
        <v>1353</v>
      </c>
    </row>
    <row r="479" spans="2:11">
      <c r="B479" s="260" t="s">
        <v>482</v>
      </c>
      <c r="D479" s="258">
        <f>D477/D469</f>
        <v>7.1296296296296298</v>
      </c>
      <c r="E479" s="258">
        <f>E477/E469</f>
        <v>4.9415584415584419</v>
      </c>
      <c r="F479" s="258">
        <f>F477/F469</f>
        <v>5.2594339622641506</v>
      </c>
      <c r="G479" s="258">
        <f>G477/G469</f>
        <v>4.0342205323193916</v>
      </c>
      <c r="H479" s="258">
        <f>H477/H469</f>
        <v>3.4871134020618557</v>
      </c>
      <c r="J479" s="258">
        <f>MEDIAN(D479:H479)</f>
        <v>4.9415584415584419</v>
      </c>
      <c r="K479" s="258">
        <f>AVERAGE(D479:H479)</f>
        <v>4.9703911935666936</v>
      </c>
    </row>
    <row r="480" spans="2:11">
      <c r="B480" s="260" t="s">
        <v>483</v>
      </c>
      <c r="D480" s="258">
        <f>D466/D469</f>
        <v>15.351851851851851</v>
      </c>
      <c r="E480" s="258">
        <f>E466/E469</f>
        <v>10.071428571428571</v>
      </c>
      <c r="F480" s="258">
        <f>F466/F469</f>
        <v>10.320754716981131</v>
      </c>
      <c r="G480" s="258">
        <f>G466/G469</f>
        <v>7.334600760456274</v>
      </c>
      <c r="H480" s="258">
        <f>H466/H469</f>
        <v>6.572164948453608</v>
      </c>
      <c r="J480" s="258">
        <f>MEDIAN(D480:H480)</f>
        <v>10.071428571428571</v>
      </c>
      <c r="K480" s="258">
        <f>AVERAGE(D480:H480)</f>
        <v>9.9301601698342896</v>
      </c>
    </row>
    <row r="482" spans="2:11">
      <c r="B482" s="260" t="s">
        <v>484</v>
      </c>
      <c r="D482" s="259">
        <f t="shared" ref="D482" si="28">$B$484/D479</f>
        <v>51.194805194805191</v>
      </c>
      <c r="E482" s="259">
        <f>$B$484/E479</f>
        <v>73.863337713534818</v>
      </c>
      <c r="F482" s="259">
        <f>$B$484/F479</f>
        <v>69.399103139013462</v>
      </c>
      <c r="G482" s="259">
        <f t="shared" ref="E482:H483" si="29">$B$484/G479</f>
        <v>90.475966069745525</v>
      </c>
      <c r="H482" s="259">
        <f t="shared" si="29"/>
        <v>104.67110125646711</v>
      </c>
      <c r="J482" s="259">
        <f>MEDIAN(D482:H482)</f>
        <v>73.863337713534818</v>
      </c>
      <c r="K482" s="259">
        <f>AVERAGE(D482:H482)</f>
        <v>77.92086267471322</v>
      </c>
    </row>
    <row r="483" spans="2:11">
      <c r="B483" s="260" t="s">
        <v>485</v>
      </c>
      <c r="D483" s="259">
        <f>$B$484/D480</f>
        <v>23.775633293124248</v>
      </c>
      <c r="E483" s="259">
        <f t="shared" si="29"/>
        <v>36.241134751773053</v>
      </c>
      <c r="F483" s="259">
        <f t="shared" si="29"/>
        <v>35.365630712979893</v>
      </c>
      <c r="G483" s="259">
        <f t="shared" si="29"/>
        <v>49.764126490409538</v>
      </c>
      <c r="H483" s="259">
        <f t="shared" si="29"/>
        <v>55.537254901960786</v>
      </c>
      <c r="J483" s="259">
        <f>MEDIAN(D483:H483)</f>
        <v>36.241134751773053</v>
      </c>
      <c r="K483" s="259">
        <f>AVERAGE(D483:H483)</f>
        <v>40.136756030049504</v>
      </c>
    </row>
    <row r="484" spans="2:11">
      <c r="B484" s="250">
        <v>365</v>
      </c>
    </row>
    <row r="486" spans="2:11">
      <c r="B486" s="221" t="s">
        <v>486</v>
      </c>
      <c r="C486" s="221"/>
      <c r="D486" s="221">
        <v>2021</v>
      </c>
      <c r="E486" s="221">
        <v>2022</v>
      </c>
      <c r="F486" s="221">
        <v>2023</v>
      </c>
      <c r="G486" s="221">
        <v>2024</v>
      </c>
      <c r="H486" s="221">
        <v>2025</v>
      </c>
    </row>
    <row r="487" spans="2:11">
      <c r="B487" s="261" t="s">
        <v>210</v>
      </c>
      <c r="C487" s="261"/>
      <c r="D487" s="262">
        <f>D483</f>
        <v>23.775633293124248</v>
      </c>
      <c r="E487" s="262">
        <f>E483</f>
        <v>36.241134751773053</v>
      </c>
      <c r="F487" s="262">
        <f>F483</f>
        <v>35.365630712979893</v>
      </c>
      <c r="G487" s="262">
        <f>G483</f>
        <v>49.764126490409538</v>
      </c>
      <c r="H487" s="262">
        <f>H483</f>
        <v>55.537254901960786</v>
      </c>
    </row>
    <row r="488" spans="2:11">
      <c r="B488" s="261" t="s">
        <v>488</v>
      </c>
      <c r="C488" s="261"/>
      <c r="D488" s="262">
        <v>33.909999999999997</v>
      </c>
      <c r="E488" s="262">
        <v>34.29</v>
      </c>
      <c r="F488" s="262">
        <v>37.229999999999997</v>
      </c>
      <c r="G488" s="262">
        <v>39.049999999999997</v>
      </c>
      <c r="H488" s="262">
        <v>43.56</v>
      </c>
    </row>
    <row r="489" spans="2:11">
      <c r="B489" s="261" t="s">
        <v>487</v>
      </c>
      <c r="C489" s="261"/>
      <c r="D489" s="262">
        <v>57.88</v>
      </c>
      <c r="E489" s="262">
        <v>41.26</v>
      </c>
      <c r="F489" s="262">
        <v>40.08</v>
      </c>
      <c r="G489" s="262">
        <v>51.51</v>
      </c>
      <c r="H489" s="262">
        <v>58.14</v>
      </c>
    </row>
    <row r="490" spans="2:11" ht="15">
      <c r="B490" s="36" t="s">
        <v>489</v>
      </c>
      <c r="C490" s="261"/>
      <c r="D490" s="262">
        <v>60.35</v>
      </c>
      <c r="E490" s="262">
        <v>66.34</v>
      </c>
      <c r="F490" s="262">
        <v>55.05</v>
      </c>
      <c r="G490" s="262">
        <v>59.74</v>
      </c>
      <c r="H490" s="262">
        <v>62.72</v>
      </c>
    </row>
    <row r="491" spans="2:11">
      <c r="B491" s="261" t="s">
        <v>490</v>
      </c>
      <c r="C491" s="261"/>
      <c r="D491" s="262">
        <v>29.6</v>
      </c>
      <c r="E491" s="262">
        <v>36.369999999999997</v>
      </c>
      <c r="F491" s="262">
        <v>34.630000000000003</v>
      </c>
      <c r="G491" s="262">
        <v>37.75</v>
      </c>
      <c r="H491" s="262">
        <v>38.380000000000003</v>
      </c>
    </row>
    <row r="492" spans="2:11">
      <c r="B492" s="261" t="s">
        <v>491</v>
      </c>
      <c r="C492" s="261"/>
      <c r="D492" s="262"/>
      <c r="E492" s="262">
        <v>44.05</v>
      </c>
      <c r="F492" s="262">
        <v>47.51</v>
      </c>
      <c r="G492" s="262">
        <v>52.91</v>
      </c>
      <c r="H492" s="262">
        <v>55.2</v>
      </c>
    </row>
    <row r="495" spans="2:11">
      <c r="B495" s="263" t="s">
        <v>432</v>
      </c>
      <c r="C495" s="263"/>
      <c r="D495" s="264">
        <f>MEDIAN(D488:D492)</f>
        <v>45.894999999999996</v>
      </c>
      <c r="E495" s="264">
        <f>MEDIAN(E488:E492)</f>
        <v>41.26</v>
      </c>
      <c r="F495" s="264">
        <f>MEDIAN(F488:F492)</f>
        <v>40.08</v>
      </c>
      <c r="G495" s="264">
        <f>MEDIAN(G488:G492)</f>
        <v>51.51</v>
      </c>
      <c r="H495" s="264">
        <f>MEDIAN(H488:H492)</f>
        <v>55.2</v>
      </c>
      <c r="J495" s="259">
        <f>MEDIAN(D495:H495)</f>
        <v>45.894999999999996</v>
      </c>
      <c r="K495" s="259">
        <f>AVERAGE(D495:H495)</f>
        <v>46.789000000000001</v>
      </c>
    </row>
    <row r="496" spans="2:11">
      <c r="B496" s="263" t="s">
        <v>433</v>
      </c>
      <c r="C496" s="263"/>
      <c r="D496" s="264">
        <f>AVERAGE(D488:D492)</f>
        <v>45.434999999999995</v>
      </c>
      <c r="E496" s="264">
        <f t="shared" ref="E496:H496" si="30">AVERAGE(E488:E492)</f>
        <v>44.462000000000003</v>
      </c>
      <c r="F496" s="264">
        <f t="shared" si="30"/>
        <v>42.9</v>
      </c>
      <c r="G496" s="264">
        <f t="shared" si="30"/>
        <v>48.192</v>
      </c>
      <c r="H496" s="264">
        <f t="shared" si="30"/>
        <v>51.6</v>
      </c>
      <c r="J496" s="259">
        <f>MEDIAN(D496:H496)</f>
        <v>45.434999999999995</v>
      </c>
      <c r="K496" s="259">
        <f>AVERAGE(D496:H496)</f>
        <v>46.517800000000001</v>
      </c>
    </row>
    <row r="513" spans="1:11">
      <c r="A513" s="151" t="s">
        <v>35</v>
      </c>
      <c r="B513" s="185" t="s">
        <v>14</v>
      </c>
    </row>
    <row r="515" spans="1:11">
      <c r="B515" s="221" t="s">
        <v>291</v>
      </c>
      <c r="C515" s="221"/>
      <c r="D515" s="221">
        <v>2021</v>
      </c>
      <c r="E515" s="221">
        <v>2022</v>
      </c>
      <c r="F515" s="221">
        <v>2023</v>
      </c>
      <c r="G515" s="221">
        <v>2024</v>
      </c>
      <c r="H515" s="221">
        <v>2025</v>
      </c>
      <c r="J515" s="221" t="s">
        <v>432</v>
      </c>
      <c r="K515" s="221" t="s">
        <v>433</v>
      </c>
    </row>
    <row r="516" spans="1:11">
      <c r="B516" s="232" t="s">
        <v>285</v>
      </c>
      <c r="C516" s="232"/>
      <c r="D516" s="233">
        <v>829</v>
      </c>
      <c r="E516" s="233">
        <v>1551</v>
      </c>
      <c r="F516" s="233">
        <v>2188</v>
      </c>
      <c r="G516" s="233">
        <v>1929</v>
      </c>
      <c r="H516" s="233">
        <v>2550</v>
      </c>
    </row>
    <row r="517" spans="1:11">
      <c r="B517" s="151" t="s">
        <v>479</v>
      </c>
      <c r="E517" s="167">
        <f>E516/D516-1</f>
        <v>0.87092882991556086</v>
      </c>
      <c r="F517" s="167">
        <f t="shared" ref="F517" si="31">F516/E516-1</f>
        <v>0.41070277240490016</v>
      </c>
      <c r="G517" s="167">
        <f t="shared" ref="G517" si="32">G516/F516-1</f>
        <v>-0.11837294332723947</v>
      </c>
      <c r="H517" s="167">
        <f t="shared" ref="H517" si="33">H516/G516-1</f>
        <v>0.32192846034214617</v>
      </c>
      <c r="J517" s="167">
        <f>MEDIAN(D517:H517)</f>
        <v>0.36631561637352317</v>
      </c>
      <c r="K517" s="167">
        <f>AVERAGE(D517:H517)</f>
        <v>0.37129677983384196</v>
      </c>
    </row>
    <row r="519" spans="1:11">
      <c r="B519" s="151" t="s">
        <v>494</v>
      </c>
      <c r="D519" s="158">
        <f>' Balance Sheet'!D10</f>
        <v>119</v>
      </c>
      <c r="E519" s="158">
        <f>' Balance Sheet'!E10</f>
        <v>256</v>
      </c>
      <c r="F519" s="158">
        <f>' Balance Sheet'!F10</f>
        <v>166</v>
      </c>
      <c r="G519" s="158">
        <f>' Balance Sheet'!G10</f>
        <v>179</v>
      </c>
      <c r="H519" s="158">
        <f>' Balance Sheet'!H10</f>
        <v>232</v>
      </c>
    </row>
    <row r="520" spans="1:11">
      <c r="B520" s="151" t="s">
        <v>495</v>
      </c>
      <c r="E520" s="167">
        <f>E519/D519-1</f>
        <v>1.1512605042016806</v>
      </c>
      <c r="F520" s="167">
        <f t="shared" ref="F520" si="34">F519/E519-1</f>
        <v>-0.3515625</v>
      </c>
      <c r="G520" s="167">
        <f t="shared" ref="G520" si="35">G519/F519-1</f>
        <v>7.8313253012048278E-2</v>
      </c>
      <c r="H520" s="167">
        <f t="shared" ref="H520" si="36">H519/G519-1</f>
        <v>0.2960893854748603</v>
      </c>
      <c r="I520" s="167"/>
      <c r="J520" s="167">
        <f>MEDIAN(D520:H520)</f>
        <v>0.18720131924345429</v>
      </c>
      <c r="K520" s="167">
        <f>AVERAGE(D520:H520)</f>
        <v>0.29352516067214729</v>
      </c>
    </row>
    <row r="522" spans="1:11">
      <c r="B522" s="151" t="s">
        <v>496</v>
      </c>
      <c r="E522" s="158">
        <f>AVERAGE(D519:E519)</f>
        <v>187.5</v>
      </c>
      <c r="F522" s="158">
        <f t="shared" ref="F522:H522" si="37">AVERAGE(E519:F519)</f>
        <v>211</v>
      </c>
      <c r="G522" s="158">
        <f t="shared" si="37"/>
        <v>172.5</v>
      </c>
      <c r="H522" s="158">
        <f t="shared" si="37"/>
        <v>205.5</v>
      </c>
    </row>
    <row r="524" spans="1:11">
      <c r="B524" s="185" t="s">
        <v>497</v>
      </c>
      <c r="C524" s="185"/>
      <c r="D524" s="273">
        <f>D522/D516</f>
        <v>0</v>
      </c>
      <c r="E524" s="273">
        <f>E522/E516</f>
        <v>0.12088974854932302</v>
      </c>
      <c r="F524" s="273">
        <f t="shared" ref="F524:H524" si="38">F522/F516</f>
        <v>9.6435100548446076E-2</v>
      </c>
      <c r="G524" s="273">
        <f t="shared" si="38"/>
        <v>8.9424572317262835E-2</v>
      </c>
      <c r="H524" s="273">
        <f t="shared" si="38"/>
        <v>8.0588235294117641E-2</v>
      </c>
      <c r="I524" s="185"/>
      <c r="J524" s="273">
        <f>MEDIAN(D524:H524)</f>
        <v>8.9424572317262835E-2</v>
      </c>
      <c r="K524" s="273">
        <f>AVERAGE(D524:H524)</f>
        <v>7.7467531341829904E-2</v>
      </c>
    </row>
    <row r="526" spans="1:11">
      <c r="B526" s="151" t="s">
        <v>502</v>
      </c>
      <c r="D526" s="258">
        <f>D516/D519</f>
        <v>6.9663865546218489</v>
      </c>
      <c r="E526" s="258">
        <f>E516/E522</f>
        <v>8.2720000000000002</v>
      </c>
      <c r="F526" s="258">
        <f t="shared" ref="F526:H526" si="39">F516/F522</f>
        <v>10.369668246445498</v>
      </c>
      <c r="G526" s="258">
        <f t="shared" si="39"/>
        <v>11.182608695652174</v>
      </c>
      <c r="H526" s="258">
        <f t="shared" si="39"/>
        <v>12.408759124087592</v>
      </c>
      <c r="J526" s="258">
        <f>MEDIAN(D526:H526)</f>
        <v>10.369668246445498</v>
      </c>
      <c r="K526" s="258">
        <f>AVERAGE(D526:H526)</f>
        <v>9.8398845241614232</v>
      </c>
    </row>
    <row r="528" spans="1:11">
      <c r="B528" s="185" t="s">
        <v>498</v>
      </c>
      <c r="C528" s="185"/>
      <c r="D528" s="274">
        <f>$B$529/D526</f>
        <v>52.394451145958989</v>
      </c>
      <c r="E528" s="274">
        <f>$B$529/E526</f>
        <v>44.124758220502898</v>
      </c>
      <c r="F528" s="274">
        <f t="shared" ref="F528:H528" si="40">$B$529/F526</f>
        <v>35.198811700182816</v>
      </c>
      <c r="G528" s="274">
        <f t="shared" si="40"/>
        <v>32.639968895800934</v>
      </c>
      <c r="H528" s="274">
        <f t="shared" si="40"/>
        <v>29.414705882352941</v>
      </c>
      <c r="I528" s="185"/>
      <c r="J528" s="274">
        <f>MEDIAN(D528:H528)</f>
        <v>35.198811700182816</v>
      </c>
      <c r="K528" s="274">
        <f>AVERAGE(D528:H528)</f>
        <v>38.754539168959717</v>
      </c>
    </row>
    <row r="529" spans="2:11">
      <c r="B529" s="250">
        <v>365</v>
      </c>
    </row>
    <row r="531" spans="2:11">
      <c r="B531" s="221" t="s">
        <v>486</v>
      </c>
      <c r="C531" s="221"/>
      <c r="D531" s="221">
        <v>2021</v>
      </c>
      <c r="E531" s="221">
        <v>2022</v>
      </c>
      <c r="F531" s="221">
        <v>2023</v>
      </c>
      <c r="G531" s="221">
        <v>2024</v>
      </c>
      <c r="H531" s="221">
        <v>2025</v>
      </c>
    </row>
    <row r="532" spans="2:11">
      <c r="B532" s="261" t="s">
        <v>210</v>
      </c>
      <c r="C532" s="261"/>
      <c r="D532" s="261"/>
      <c r="E532" s="262">
        <f>E528</f>
        <v>44.124758220502898</v>
      </c>
      <c r="F532" s="262">
        <f>F528</f>
        <v>35.198811700182816</v>
      </c>
      <c r="G532" s="262">
        <f>G528</f>
        <v>32.639968895800934</v>
      </c>
      <c r="H532" s="262">
        <f>H528</f>
        <v>29.414705882352941</v>
      </c>
      <c r="J532" s="259">
        <f>MEDIAN(D532:H532)</f>
        <v>33.919390297991875</v>
      </c>
      <c r="K532" s="259">
        <f>AVERAGE(D532:H532)</f>
        <v>35.344561174709895</v>
      </c>
    </row>
    <row r="533" spans="2:11">
      <c r="B533" s="261" t="s">
        <v>488</v>
      </c>
      <c r="C533" s="261"/>
      <c r="D533" s="262">
        <v>43.41</v>
      </c>
      <c r="E533" s="262">
        <v>29.39</v>
      </c>
      <c r="F533" s="262">
        <v>23</v>
      </c>
      <c r="G533" s="262">
        <v>17.03</v>
      </c>
      <c r="H533" s="262">
        <v>23.57</v>
      </c>
      <c r="J533" s="259">
        <f>MEDIAN(D533:H533)</f>
        <v>23.57</v>
      </c>
      <c r="K533" s="259">
        <f>AVERAGE(D533:H533)</f>
        <v>27.28</v>
      </c>
    </row>
    <row r="534" spans="2:11">
      <c r="B534" s="261" t="s">
        <v>487</v>
      </c>
      <c r="C534" s="261"/>
      <c r="D534" s="262">
        <v>36.26</v>
      </c>
      <c r="E534" s="262">
        <v>26.4</v>
      </c>
      <c r="F534" s="262">
        <v>13.13</v>
      </c>
      <c r="G534" s="262">
        <v>28.81</v>
      </c>
      <c r="H534" s="262">
        <v>19.559999999999999</v>
      </c>
      <c r="J534" s="259">
        <f>MEDIAN(D534:H534)</f>
        <v>26.4</v>
      </c>
      <c r="K534" s="259">
        <f>AVERAGE(D534:H534)</f>
        <v>24.832000000000001</v>
      </c>
    </row>
    <row r="535" spans="2:11">
      <c r="B535" s="261" t="s">
        <v>490</v>
      </c>
      <c r="C535" s="261"/>
      <c r="D535" s="262">
        <v>20.74</v>
      </c>
      <c r="E535" s="262">
        <v>20.71</v>
      </c>
      <c r="F535" s="262">
        <v>18.350000000000001</v>
      </c>
      <c r="G535" s="262">
        <v>19.45</v>
      </c>
      <c r="H535" s="262">
        <v>22.51</v>
      </c>
      <c r="J535" s="259">
        <f>MEDIAN(D535:H535)</f>
        <v>20.71</v>
      </c>
      <c r="K535" s="259">
        <f>AVERAGE(D535:H535)</f>
        <v>20.352</v>
      </c>
    </row>
    <row r="536" spans="2:11">
      <c r="B536" s="261" t="s">
        <v>491</v>
      </c>
      <c r="C536" s="261"/>
      <c r="D536" s="262"/>
      <c r="E536" s="262">
        <v>11.76</v>
      </c>
      <c r="F536" s="262">
        <v>10.54</v>
      </c>
      <c r="G536" s="262">
        <v>17.68</v>
      </c>
      <c r="H536" s="262">
        <v>13.05</v>
      </c>
      <c r="J536" s="259">
        <f>MEDIAN(D536:H536)</f>
        <v>12.405000000000001</v>
      </c>
      <c r="K536" s="259">
        <f>AVERAGE(D536:H536)</f>
        <v>13.2575</v>
      </c>
    </row>
    <row r="537" spans="2:11">
      <c r="B537" s="262" t="s">
        <v>615</v>
      </c>
      <c r="C537" s="262"/>
      <c r="D537" s="262">
        <v>55.38</v>
      </c>
      <c r="E537" s="262">
        <v>52.62</v>
      </c>
      <c r="F537" s="262">
        <v>43.83</v>
      </c>
      <c r="G537" s="262">
        <v>53.97</v>
      </c>
      <c r="H537" s="262">
        <v>53.89</v>
      </c>
      <c r="J537" s="259">
        <f t="shared" ref="J537:J540" si="41">MEDIAN(D537:H537)</f>
        <v>53.89</v>
      </c>
      <c r="K537" s="259">
        <f t="shared" ref="K537:K540" si="42">AVERAGE(D537:H537)</f>
        <v>51.938000000000002</v>
      </c>
    </row>
    <row r="538" spans="2:11">
      <c r="B538" s="262" t="s">
        <v>616</v>
      </c>
      <c r="C538" s="262"/>
      <c r="D538" s="262">
        <v>35.89</v>
      </c>
      <c r="E538" s="262">
        <v>55.57</v>
      </c>
      <c r="F538" s="262">
        <v>35.57</v>
      </c>
      <c r="G538" s="262">
        <v>44.39</v>
      </c>
      <c r="H538" s="262">
        <v>52.29</v>
      </c>
      <c r="J538" s="259">
        <f t="shared" si="41"/>
        <v>44.39</v>
      </c>
      <c r="K538" s="259">
        <f t="shared" si="42"/>
        <v>44.742000000000004</v>
      </c>
    </row>
    <row r="539" spans="2:11">
      <c r="B539" s="262" t="s">
        <v>617</v>
      </c>
      <c r="C539" s="262"/>
      <c r="D539" s="262"/>
      <c r="E539" s="262">
        <v>26.16</v>
      </c>
      <c r="F539" s="262">
        <v>26.64</v>
      </c>
      <c r="G539" s="262">
        <v>32.18</v>
      </c>
      <c r="H539" s="262">
        <v>28.1</v>
      </c>
      <c r="J539" s="259">
        <f t="shared" si="41"/>
        <v>27.37</v>
      </c>
      <c r="K539" s="259">
        <f t="shared" si="42"/>
        <v>28.269999999999996</v>
      </c>
    </row>
    <row r="540" spans="2:11">
      <c r="B540" s="262" t="s">
        <v>618</v>
      </c>
      <c r="C540" s="262"/>
      <c r="D540" s="262">
        <v>63.32</v>
      </c>
      <c r="E540" s="262">
        <v>60.58</v>
      </c>
      <c r="F540" s="262">
        <v>59.96</v>
      </c>
      <c r="G540" s="262">
        <v>61.69</v>
      </c>
      <c r="H540" s="262">
        <v>56.14</v>
      </c>
      <c r="J540" s="259">
        <f t="shared" si="41"/>
        <v>60.58</v>
      </c>
      <c r="K540" s="259">
        <f t="shared" si="42"/>
        <v>60.338000000000001</v>
      </c>
    </row>
    <row r="544" spans="2:11">
      <c r="B544" s="263" t="s">
        <v>432</v>
      </c>
      <c r="C544" s="263"/>
      <c r="D544" s="264">
        <f>MEDIAN(D533:D540)</f>
        <v>39.834999999999994</v>
      </c>
      <c r="E544" s="264">
        <f t="shared" ref="E544:H544" si="43">MEDIAN(E533:E540)</f>
        <v>27.895</v>
      </c>
      <c r="F544" s="264">
        <f t="shared" si="43"/>
        <v>24.82</v>
      </c>
      <c r="G544" s="264">
        <f t="shared" si="43"/>
        <v>30.494999999999997</v>
      </c>
      <c r="H544" s="264">
        <f t="shared" si="43"/>
        <v>25.835000000000001</v>
      </c>
      <c r="J544" s="259">
        <f>MEDIAN(D544:H544)</f>
        <v>27.895</v>
      </c>
      <c r="K544" s="259">
        <f>AVERAGE(D544:H544)</f>
        <v>29.776</v>
      </c>
    </row>
    <row r="545" spans="2:11">
      <c r="B545" s="263" t="s">
        <v>433</v>
      </c>
      <c r="C545" s="263"/>
      <c r="D545" s="264">
        <f>AVERAGE(D533:D540)</f>
        <v>42.5</v>
      </c>
      <c r="E545" s="264">
        <f t="shared" ref="E545:H545" si="44">AVERAGE(E533:E540)</f>
        <v>35.39875</v>
      </c>
      <c r="F545" s="264">
        <f t="shared" si="44"/>
        <v>28.877500000000001</v>
      </c>
      <c r="G545" s="264">
        <f t="shared" si="44"/>
        <v>34.4</v>
      </c>
      <c r="H545" s="264">
        <f t="shared" si="44"/>
        <v>33.638749999999995</v>
      </c>
      <c r="J545" s="259">
        <f>MEDIAN(D545:H545)</f>
        <v>34.4</v>
      </c>
      <c r="K545" s="259">
        <f>AVERAGE(D545:H545)</f>
        <v>34.963000000000001</v>
      </c>
    </row>
    <row r="548" spans="2:11">
      <c r="B548" s="221" t="s">
        <v>499</v>
      </c>
    </row>
    <row r="552" spans="2:11">
      <c r="B552" s="221" t="s">
        <v>500</v>
      </c>
    </row>
    <row r="572" spans="2:8">
      <c r="B572" s="151">
        <v>176.29</v>
      </c>
      <c r="D572" s="151">
        <v>52.85</v>
      </c>
      <c r="E572" s="151">
        <v>2.94</v>
      </c>
      <c r="F572" s="151">
        <v>0.24</v>
      </c>
      <c r="G572" s="151">
        <v>0</v>
      </c>
      <c r="H572" s="151">
        <v>232.32</v>
      </c>
    </row>
    <row r="573" spans="2:8">
      <c r="B573" s="149">
        <f>B572/$H$572</f>
        <v>0.75882403581267222</v>
      </c>
      <c r="C573" s="185"/>
      <c r="D573" s="149">
        <f>D572/$H$572</f>
        <v>0.22748794765840222</v>
      </c>
      <c r="E573" s="149">
        <f t="shared" ref="E573:F573" si="45">E572/$H$572</f>
        <v>1.265495867768595E-2</v>
      </c>
      <c r="F573" s="149">
        <f t="shared" si="45"/>
        <v>1.0330578512396695E-3</v>
      </c>
      <c r="G573" s="149">
        <f t="shared" ref="G573" si="46">G572/$H$572</f>
        <v>0</v>
      </c>
      <c r="H573" s="149">
        <f t="shared" ref="H573" si="47">H572/$H$572</f>
        <v>1</v>
      </c>
    </row>
    <row r="622" spans="1:11">
      <c r="A622" s="151" t="s">
        <v>35</v>
      </c>
      <c r="B622" s="185" t="s">
        <v>16</v>
      </c>
    </row>
    <row r="624" spans="1:11" ht="15">
      <c r="B624" s="165" t="s">
        <v>125</v>
      </c>
      <c r="C624" s="9"/>
      <c r="D624" s="9">
        <v>2021</v>
      </c>
      <c r="E624" s="9">
        <v>2022</v>
      </c>
      <c r="F624" s="9">
        <v>2023</v>
      </c>
      <c r="G624" s="9">
        <v>2024</v>
      </c>
      <c r="H624" s="9">
        <v>2025</v>
      </c>
      <c r="J624" s="221" t="s">
        <v>432</v>
      </c>
      <c r="K624" s="221" t="s">
        <v>433</v>
      </c>
    </row>
    <row r="625" spans="1:20" customFormat="1" ht="15">
      <c r="A625" s="239"/>
      <c r="B625" s="279" t="s">
        <v>285</v>
      </c>
      <c r="C625" s="280"/>
      <c r="D625" s="275">
        <f>D516</f>
        <v>829</v>
      </c>
      <c r="E625" s="275">
        <f t="shared" ref="E625:H625" si="48">E516</f>
        <v>1551</v>
      </c>
      <c r="F625" s="275">
        <f t="shared" si="48"/>
        <v>2188</v>
      </c>
      <c r="G625" s="275">
        <f t="shared" si="48"/>
        <v>1929</v>
      </c>
      <c r="H625" s="275">
        <f t="shared" si="48"/>
        <v>2550</v>
      </c>
      <c r="J625" s="167"/>
      <c r="K625" s="167"/>
    </row>
    <row r="626" spans="1:20" ht="15">
      <c r="B626" s="250" t="s">
        <v>227</v>
      </c>
      <c r="C626"/>
      <c r="D626" s="158">
        <v>8.1</v>
      </c>
      <c r="E626" s="158">
        <v>12.2</v>
      </c>
      <c r="F626" s="158">
        <v>26</v>
      </c>
      <c r="G626" s="158">
        <v>52</v>
      </c>
      <c r="H626" s="158">
        <v>132</v>
      </c>
    </row>
    <row r="628" spans="1:20">
      <c r="B628" s="282" t="s">
        <v>504</v>
      </c>
      <c r="C628" s="282"/>
      <c r="D628" s="283">
        <f>D626/D625</f>
        <v>9.7708082026537989E-3</v>
      </c>
      <c r="E628" s="283">
        <f t="shared" ref="E628:H628" si="49">E626/E625</f>
        <v>7.8658929722759501E-3</v>
      </c>
      <c r="F628" s="283">
        <f t="shared" si="49"/>
        <v>1.1882998171846435E-2</v>
      </c>
      <c r="G628" s="283">
        <f t="shared" si="49"/>
        <v>2.6956972524624159E-2</v>
      </c>
      <c r="H628" s="283">
        <f t="shared" si="49"/>
        <v>5.1764705882352942E-2</v>
      </c>
      <c r="J628" s="281">
        <f>MEDIAN(D628:H628)</f>
        <v>1.1882998171846435E-2</v>
      </c>
      <c r="K628" s="281">
        <f>AVERAGE(D628:H628)</f>
        <v>2.1648275550750655E-2</v>
      </c>
    </row>
    <row r="630" spans="1:20">
      <c r="B630" s="151" t="s">
        <v>637</v>
      </c>
    </row>
    <row r="634" spans="1:20">
      <c r="A634" s="151" t="s">
        <v>35</v>
      </c>
      <c r="B634" s="185" t="s">
        <v>505</v>
      </c>
    </row>
    <row r="636" spans="1:20" ht="15">
      <c r="B636" s="165" t="s">
        <v>519</v>
      </c>
      <c r="C636" s="9"/>
      <c r="D636" s="9">
        <v>2021</v>
      </c>
      <c r="E636" s="9">
        <v>2022</v>
      </c>
      <c r="F636" s="9">
        <v>2023</v>
      </c>
      <c r="G636" s="9">
        <v>2024</v>
      </c>
      <c r="H636" s="9">
        <v>2025</v>
      </c>
      <c r="J636" s="221" t="s">
        <v>432</v>
      </c>
      <c r="K636" s="221" t="s">
        <v>433</v>
      </c>
    </row>
    <row r="637" spans="1:20">
      <c r="B637" s="151" t="s">
        <v>506</v>
      </c>
      <c r="D637" s="151">
        <v>1424</v>
      </c>
      <c r="E637" s="151">
        <v>1475</v>
      </c>
      <c r="F637" s="151">
        <v>2320</v>
      </c>
      <c r="G637" s="151">
        <v>2406</v>
      </c>
      <c r="H637" s="151">
        <v>2953</v>
      </c>
      <c r="J637" s="167"/>
      <c r="K637" s="167"/>
    </row>
    <row r="638" spans="1:20">
      <c r="B638" s="151" t="s">
        <v>507</v>
      </c>
      <c r="D638" s="151">
        <v>321</v>
      </c>
      <c r="E638" s="151">
        <v>407</v>
      </c>
      <c r="F638" s="151">
        <v>516</v>
      </c>
      <c r="G638" s="151">
        <v>639</v>
      </c>
      <c r="H638" s="151">
        <v>715</v>
      </c>
      <c r="J638" s="167"/>
      <c r="K638" s="167"/>
      <c r="N638" s="151" t="s">
        <v>522</v>
      </c>
      <c r="P638" s="151">
        <f>D659</f>
        <v>11.37</v>
      </c>
      <c r="Q638" s="151">
        <f>E659</f>
        <v>32.22</v>
      </c>
      <c r="R638" s="151">
        <f>F659</f>
        <v>199.4</v>
      </c>
      <c r="S638" s="151">
        <f>G659</f>
        <v>212.69</v>
      </c>
      <c r="T638" s="151">
        <f>H659</f>
        <v>212.69</v>
      </c>
    </row>
    <row r="639" spans="1:20" ht="13.5" thickBot="1">
      <c r="B639" s="152" t="s">
        <v>549</v>
      </c>
      <c r="C639" s="152"/>
      <c r="D639" s="152">
        <f>D637-D638</f>
        <v>1103</v>
      </c>
      <c r="E639" s="152">
        <f t="shared" ref="E639:G639" si="50">E637-E638</f>
        <v>1068</v>
      </c>
      <c r="F639" s="152">
        <f t="shared" si="50"/>
        <v>1804</v>
      </c>
      <c r="G639" s="152">
        <f t="shared" si="50"/>
        <v>1767</v>
      </c>
      <c r="H639" s="152">
        <f>H637-H638</f>
        <v>2238</v>
      </c>
      <c r="J639" s="167"/>
      <c r="K639" s="167"/>
    </row>
    <row r="641" spans="2:11">
      <c r="B641" s="185" t="s">
        <v>473</v>
      </c>
      <c r="C641" s="185"/>
      <c r="D641" s="185">
        <v>1449</v>
      </c>
      <c r="E641" s="185">
        <v>2124</v>
      </c>
      <c r="F641" s="185">
        <v>2432</v>
      </c>
      <c r="G641" s="185">
        <v>2794</v>
      </c>
      <c r="H641" s="185">
        <v>3152</v>
      </c>
    </row>
    <row r="642" spans="2:11">
      <c r="B642" s="185"/>
      <c r="C642" s="185"/>
      <c r="D642" s="185"/>
      <c r="E642" s="185"/>
      <c r="F642" s="185"/>
      <c r="G642" s="185"/>
      <c r="H642" s="185"/>
      <c r="J642" s="281"/>
      <c r="K642" s="281"/>
    </row>
    <row r="643" spans="2:11">
      <c r="B643" s="291" t="s">
        <v>508</v>
      </c>
      <c r="C643" s="291"/>
      <c r="D643" s="292">
        <f>D639/D641</f>
        <v>0.76121463077984819</v>
      </c>
      <c r="E643" s="292">
        <f>E639/E641</f>
        <v>0.50282485875706218</v>
      </c>
      <c r="F643" s="292">
        <f>F639/F641</f>
        <v>0.74177631578947367</v>
      </c>
      <c r="G643" s="292">
        <f>G639/G641</f>
        <v>0.63242662848962061</v>
      </c>
      <c r="H643" s="292">
        <f>H639/H641</f>
        <v>0.7100253807106599</v>
      </c>
      <c r="J643" s="292">
        <f>MEDIAN(D643:H643)</f>
        <v>0.7100253807106599</v>
      </c>
      <c r="K643" s="292">
        <f>AVERAGE(D643:H643)</f>
        <v>0.66965356290533296</v>
      </c>
    </row>
    <row r="645" spans="2:11">
      <c r="B645" s="185" t="s">
        <v>285</v>
      </c>
      <c r="C645" s="185"/>
      <c r="D645" s="287">
        <v>829</v>
      </c>
      <c r="E645" s="287">
        <v>1551</v>
      </c>
      <c r="F645" s="287">
        <v>2188</v>
      </c>
      <c r="G645" s="287">
        <v>1929</v>
      </c>
      <c r="H645" s="287">
        <v>2550</v>
      </c>
      <c r="I645" s="289"/>
    </row>
    <row r="647" spans="2:11">
      <c r="B647" s="291" t="s">
        <v>509</v>
      </c>
      <c r="C647" s="291"/>
      <c r="D647" s="292">
        <f>D639/D645</f>
        <v>1.3305186972255729</v>
      </c>
      <c r="E647" s="292">
        <f>E639/E645</f>
        <v>0.68858800773694395</v>
      </c>
      <c r="F647" s="292">
        <f>F639/F645</f>
        <v>0.82449725776965266</v>
      </c>
      <c r="G647" s="292">
        <f>G639/G645</f>
        <v>0.91601866251944009</v>
      </c>
      <c r="H647" s="292">
        <f>H639/H645</f>
        <v>0.87764705882352945</v>
      </c>
      <c r="J647" s="292">
        <f>MEDIAN(D647:H647)</f>
        <v>0.87764705882352945</v>
      </c>
      <c r="K647" s="292">
        <f>AVERAGE(D647:H647)</f>
        <v>0.92745393681502775</v>
      </c>
    </row>
    <row r="648" spans="2:11">
      <c r="D648" s="288"/>
      <c r="E648" s="288"/>
      <c r="F648" s="288"/>
      <c r="G648" s="288"/>
      <c r="H648" s="288"/>
    </row>
    <row r="649" spans="2:11">
      <c r="B649" s="291" t="s">
        <v>530</v>
      </c>
      <c r="C649" s="291"/>
      <c r="D649" s="292"/>
      <c r="E649" s="292">
        <f>E637/D637-1</f>
        <v>3.5814606741572996E-2</v>
      </c>
      <c r="F649" s="292">
        <f t="shared" ref="F649:H649" si="51">F637/E637-1</f>
        <v>0.57288135593220346</v>
      </c>
      <c r="G649" s="292">
        <f t="shared" si="51"/>
        <v>3.706896551724137E-2</v>
      </c>
      <c r="H649" s="292">
        <f t="shared" si="51"/>
        <v>0.22734829592684958</v>
      </c>
      <c r="J649" s="292" t="s">
        <v>42</v>
      </c>
      <c r="K649" s="292">
        <f>AVERAGE(D649:H649)</f>
        <v>0.21827830602946685</v>
      </c>
    </row>
    <row r="650" spans="2:11">
      <c r="D650" s="288"/>
      <c r="E650" s="288"/>
      <c r="F650" s="288"/>
      <c r="G650" s="288"/>
      <c r="H650" s="288"/>
      <c r="J650" s="297"/>
      <c r="K650" s="297"/>
    </row>
    <row r="651" spans="2:11">
      <c r="B651" s="151" t="s">
        <v>525</v>
      </c>
      <c r="E651" s="151">
        <f>E637-D637</f>
        <v>51</v>
      </c>
      <c r="F651" s="151">
        <f>F637-E637</f>
        <v>845</v>
      </c>
      <c r="G651" s="151">
        <f>G637-F637</f>
        <v>86</v>
      </c>
      <c r="H651" s="151">
        <f>H637-G637</f>
        <v>547</v>
      </c>
      <c r="I651" s="289"/>
    </row>
    <row r="652" spans="2:11">
      <c r="B652" s="151" t="s">
        <v>146</v>
      </c>
      <c r="D652" s="233"/>
      <c r="E652" s="233">
        <f>E645-D645</f>
        <v>722</v>
      </c>
      <c r="F652" s="233">
        <f>F645-E645</f>
        <v>637</v>
      </c>
      <c r="G652" s="233">
        <f>G645-F645</f>
        <v>-259</v>
      </c>
      <c r="H652" s="233">
        <f>H645-G645</f>
        <v>621</v>
      </c>
      <c r="J652" s="288"/>
      <c r="K652" s="288"/>
    </row>
    <row r="653" spans="2:11">
      <c r="D653" s="233"/>
      <c r="E653" s="233"/>
      <c r="F653" s="233"/>
      <c r="G653" s="233"/>
      <c r="H653" s="233"/>
      <c r="J653" s="288"/>
      <c r="K653" s="288"/>
    </row>
    <row r="654" spans="2:11">
      <c r="B654" s="291" t="s">
        <v>526</v>
      </c>
      <c r="C654" s="291"/>
      <c r="D654" s="293"/>
      <c r="E654" s="290">
        <f>E652/E651</f>
        <v>14.156862745098039</v>
      </c>
      <c r="F654" s="290">
        <f t="shared" ref="F654:H654" si="52">F652/F651</f>
        <v>0.75384615384615383</v>
      </c>
      <c r="G654" s="290">
        <f t="shared" si="52"/>
        <v>-3.0116279069767442</v>
      </c>
      <c r="H654" s="290">
        <f t="shared" si="52"/>
        <v>1.1352833638025595</v>
      </c>
      <c r="J654" s="290">
        <f>MEDIAN(D654:H654)</f>
        <v>0.94456475882435664</v>
      </c>
      <c r="K654" s="290">
        <f>AVERAGE(D654:H654)</f>
        <v>3.2585910889425018</v>
      </c>
    </row>
    <row r="655" spans="2:11">
      <c r="B655" s="291" t="s">
        <v>150</v>
      </c>
      <c r="C655" s="291"/>
      <c r="D655" s="298">
        <f>D645/D641</f>
        <v>0.57211870255348518</v>
      </c>
      <c r="E655" s="298">
        <f t="shared" ref="E655:H655" si="53">E645/E641</f>
        <v>0.73022598870056499</v>
      </c>
      <c r="F655" s="298">
        <f t="shared" si="53"/>
        <v>0.89967105263157898</v>
      </c>
      <c r="G655" s="298">
        <f t="shared" si="53"/>
        <v>0.69040801717967071</v>
      </c>
      <c r="H655" s="298">
        <f t="shared" si="53"/>
        <v>0.80901015228426398</v>
      </c>
      <c r="J655" s="298">
        <f>MEDIAN(D655:H655)</f>
        <v>0.73022598870056499</v>
      </c>
      <c r="K655" s="298">
        <f>AVERAGE(D655:H655)</f>
        <v>0.74028678266991277</v>
      </c>
    </row>
    <row r="656" spans="2:11">
      <c r="D656" s="233"/>
      <c r="E656" s="233"/>
      <c r="F656" s="233"/>
      <c r="G656" s="233"/>
      <c r="H656" s="233"/>
    </row>
    <row r="657" spans="2:9" ht="15">
      <c r="B657" s="165" t="s">
        <v>523</v>
      </c>
      <c r="C657" s="9"/>
      <c r="D657" s="9">
        <v>2021</v>
      </c>
      <c r="E657" s="9">
        <v>2022</v>
      </c>
      <c r="F657" s="9">
        <v>2023</v>
      </c>
      <c r="G657" s="9">
        <v>2024</v>
      </c>
      <c r="H657" s="9">
        <v>2025</v>
      </c>
      <c r="I657" s="289"/>
    </row>
    <row r="658" spans="2:9" ht="1.5" customHeight="1">
      <c r="B658" s="277"/>
      <c r="C658" s="278"/>
      <c r="D658" s="278"/>
      <c r="E658" s="278"/>
      <c r="F658" s="278"/>
      <c r="G658" s="278"/>
      <c r="H658" s="278"/>
    </row>
    <row r="659" spans="2:9">
      <c r="B659" s="151" t="s">
        <v>510</v>
      </c>
      <c r="D659" s="151">
        <v>11.37</v>
      </c>
      <c r="E659" s="151">
        <v>32.22</v>
      </c>
      <c r="F659" s="151">
        <v>199.4</v>
      </c>
      <c r="G659" s="151">
        <v>212.69</v>
      </c>
      <c r="H659" s="151">
        <v>212.69</v>
      </c>
    </row>
    <row r="660" spans="2:9" ht="1.1499999999999999" customHeight="1">
      <c r="B660" s="282" t="s">
        <v>511</v>
      </c>
      <c r="C660" s="282"/>
      <c r="D660" s="282">
        <v>159.86000000000001</v>
      </c>
      <c r="E660" s="282">
        <v>161.6</v>
      </c>
      <c r="F660" s="282">
        <v>219.61</v>
      </c>
      <c r="G660" s="282">
        <v>239.47</v>
      </c>
      <c r="H660" s="282">
        <v>271.70999999999998</v>
      </c>
    </row>
    <row r="661" spans="2:9">
      <c r="B661" s="282" t="s">
        <v>512</v>
      </c>
      <c r="C661" s="282"/>
      <c r="D661" s="282">
        <v>1210</v>
      </c>
      <c r="E661" s="282">
        <v>1238.03</v>
      </c>
      <c r="F661" s="282">
        <v>1855.61</v>
      </c>
      <c r="G661" s="282">
        <v>1902.05</v>
      </c>
      <c r="H661" s="282">
        <v>2415.89</v>
      </c>
    </row>
    <row r="662" spans="2:9">
      <c r="B662" s="282" t="s">
        <v>513</v>
      </c>
      <c r="C662" s="282"/>
      <c r="D662" s="282">
        <v>1.1000000000000001</v>
      </c>
      <c r="E662" s="282">
        <v>1.32</v>
      </c>
      <c r="F662" s="282">
        <v>2.93</v>
      </c>
      <c r="G662" s="282">
        <v>5.87</v>
      </c>
      <c r="H662" s="282">
        <v>6.63</v>
      </c>
    </row>
    <row r="663" spans="2:9">
      <c r="B663" s="151" t="s">
        <v>514</v>
      </c>
      <c r="D663" s="151">
        <v>0.56000000000000005</v>
      </c>
      <c r="E663" s="151">
        <v>0.75</v>
      </c>
      <c r="F663" s="151">
        <v>0.95</v>
      </c>
      <c r="G663" s="151">
        <v>1.35</v>
      </c>
      <c r="H663" s="151">
        <v>1.73</v>
      </c>
    </row>
    <row r="664" spans="2:9">
      <c r="B664" s="282" t="s">
        <v>515</v>
      </c>
      <c r="C664" s="282"/>
      <c r="D664" s="282">
        <v>4.55</v>
      </c>
      <c r="E664" s="282">
        <v>4.4400000000000004</v>
      </c>
      <c r="F664" s="282">
        <v>4.76</v>
      </c>
      <c r="G664" s="282">
        <v>7.71</v>
      </c>
      <c r="H664" s="282">
        <v>7.92</v>
      </c>
    </row>
    <row r="665" spans="2:9">
      <c r="B665" s="151" t="s">
        <v>516</v>
      </c>
      <c r="D665" s="151">
        <v>2.0099999999999998</v>
      </c>
      <c r="E665" s="151">
        <v>1.94</v>
      </c>
      <c r="F665" s="151">
        <v>2.2000000000000002</v>
      </c>
      <c r="G665" s="151">
        <v>2.4300000000000002</v>
      </c>
      <c r="H665" s="151">
        <v>2.2799999999999998</v>
      </c>
    </row>
    <row r="666" spans="2:9">
      <c r="B666" s="151" t="s">
        <v>517</v>
      </c>
      <c r="D666" s="151">
        <v>8.0299999999999994</v>
      </c>
      <c r="E666" s="151">
        <v>8.0299999999999994</v>
      </c>
      <c r="F666" s="151">
        <v>8.0299999999999994</v>
      </c>
      <c r="G666" s="151">
        <v>8.0299999999999994</v>
      </c>
      <c r="H666" s="151">
        <v>8.0299999999999994</v>
      </c>
    </row>
    <row r="667" spans="2:9">
      <c r="B667" s="151" t="s">
        <v>518</v>
      </c>
      <c r="D667" s="151">
        <v>26.21</v>
      </c>
      <c r="E667" s="151">
        <v>26.21</v>
      </c>
      <c r="F667" s="151">
        <v>26.21</v>
      </c>
      <c r="G667" s="151">
        <v>26.21</v>
      </c>
      <c r="H667" s="151">
        <v>26.21</v>
      </c>
    </row>
    <row r="668" spans="2:9" ht="13.5" thickBot="1">
      <c r="B668" s="152" t="s">
        <v>521</v>
      </c>
      <c r="C668" s="152"/>
      <c r="D668" s="152">
        <f>SUM(D659:D667)</f>
        <v>1423.6899999999998</v>
      </c>
      <c r="E668" s="152">
        <f>SUM(E659:E667)</f>
        <v>1474.54</v>
      </c>
      <c r="F668" s="152">
        <f>SUM(F659:F667)</f>
        <v>2319.6999999999998</v>
      </c>
      <c r="G668" s="152">
        <f>SUM(G659:G667)</f>
        <v>2405.81</v>
      </c>
      <c r="H668" s="152">
        <f>SUM(H659:H667)</f>
        <v>2953.0900000000006</v>
      </c>
    </row>
    <row r="670" spans="2:9">
      <c r="B670" s="151" t="s">
        <v>476</v>
      </c>
    </row>
    <row r="671" spans="2:9" ht="15">
      <c r="B671" s="165" t="s">
        <v>520</v>
      </c>
      <c r="C671" s="9"/>
      <c r="D671" s="9">
        <v>2021</v>
      </c>
      <c r="E671" s="9">
        <v>2022</v>
      </c>
      <c r="F671" s="9">
        <v>2023</v>
      </c>
      <c r="G671" s="9">
        <v>2024</v>
      </c>
      <c r="H671" s="9">
        <v>2025</v>
      </c>
    </row>
    <row r="672" spans="2:9" ht="15">
      <c r="B672" s="277"/>
      <c r="C672" s="278"/>
      <c r="D672" s="278"/>
      <c r="E672" s="278"/>
      <c r="F672" s="278"/>
      <c r="G672" s="278"/>
      <c r="H672" s="278"/>
    </row>
    <row r="673" spans="2:10">
      <c r="B673" s="151" t="s">
        <v>510</v>
      </c>
      <c r="D673" s="281">
        <f>D659/D$668</f>
        <v>7.9862891500256383E-3</v>
      </c>
      <c r="E673" s="281">
        <f>E659/E$668</f>
        <v>2.1850882309059096E-2</v>
      </c>
      <c r="F673" s="281">
        <f>F659/F$668</f>
        <v>8.5959391300599222E-2</v>
      </c>
      <c r="G673" s="281">
        <f>G659/G$668</f>
        <v>8.8406815168280126E-2</v>
      </c>
      <c r="H673" s="281">
        <f>H659/H$668</f>
        <v>7.2022864186326849E-2</v>
      </c>
    </row>
    <row r="674" spans="2:10" ht="1.1499999999999999" customHeight="1">
      <c r="B674" s="151" t="s">
        <v>511</v>
      </c>
      <c r="D674" s="281">
        <f t="shared" ref="D674:H674" si="54">D660/D$668</f>
        <v>0.11228568016913797</v>
      </c>
      <c r="E674" s="281">
        <f t="shared" si="54"/>
        <v>0.10959350034587058</v>
      </c>
      <c r="F674" s="281">
        <f t="shared" si="54"/>
        <v>9.4671724791998979E-2</v>
      </c>
      <c r="G674" s="281">
        <f t="shared" si="54"/>
        <v>9.9538201271089574E-2</v>
      </c>
      <c r="H674" s="281">
        <f t="shared" si="54"/>
        <v>9.2008709521213344E-2</v>
      </c>
    </row>
    <row r="675" spans="2:10">
      <c r="B675" s="151" t="s">
        <v>512</v>
      </c>
      <c r="D675" s="281">
        <f t="shared" ref="D675:H675" si="55">D661/D$668</f>
        <v>0.84990412238619373</v>
      </c>
      <c r="E675" s="281">
        <f t="shared" si="55"/>
        <v>0.83960421555196874</v>
      </c>
      <c r="F675" s="281">
        <f t="shared" si="55"/>
        <v>0.7999353364659223</v>
      </c>
      <c r="G675" s="281">
        <f t="shared" si="55"/>
        <v>0.79060690578225212</v>
      </c>
      <c r="H675" s="281">
        <f t="shared" si="55"/>
        <v>0.81808884930699688</v>
      </c>
      <c r="J675" s="151" t="s">
        <v>524</v>
      </c>
    </row>
    <row r="676" spans="2:10">
      <c r="B676" s="151" t="s">
        <v>513</v>
      </c>
      <c r="D676" s="281">
        <f t="shared" ref="D676:H676" si="56">D662/D$668</f>
        <v>7.726401112601762E-4</v>
      </c>
      <c r="E676" s="281">
        <f t="shared" si="56"/>
        <v>8.9519443351824982E-4</v>
      </c>
      <c r="F676" s="281">
        <f t="shared" si="56"/>
        <v>1.2630943656507308E-3</v>
      </c>
      <c r="G676" s="281">
        <f t="shared" si="56"/>
        <v>2.4399266775015486E-3</v>
      </c>
      <c r="H676" s="281">
        <f t="shared" si="56"/>
        <v>2.2451059737427573E-3</v>
      </c>
    </row>
    <row r="677" spans="2:10">
      <c r="B677" s="151" t="s">
        <v>514</v>
      </c>
      <c r="D677" s="281">
        <f t="shared" ref="D677:H677" si="57">D663/D$668</f>
        <v>3.9334405664154422E-4</v>
      </c>
      <c r="E677" s="281">
        <f t="shared" si="57"/>
        <v>5.0863320086264193E-4</v>
      </c>
      <c r="F677" s="281">
        <f t="shared" si="57"/>
        <v>4.0953571582532224E-4</v>
      </c>
      <c r="G677" s="281">
        <f t="shared" si="57"/>
        <v>5.6114156978315005E-4</v>
      </c>
      <c r="H677" s="281">
        <f t="shared" si="57"/>
        <v>5.8582704895550071E-4</v>
      </c>
    </row>
    <row r="678" spans="2:10">
      <c r="B678" s="151" t="s">
        <v>515</v>
      </c>
      <c r="D678" s="281">
        <f t="shared" ref="D678:H678" si="58">D664/D$668</f>
        <v>3.1959204602125466E-3</v>
      </c>
      <c r="E678" s="281">
        <f t="shared" si="58"/>
        <v>3.0111085491068405E-3</v>
      </c>
      <c r="F678" s="281">
        <f t="shared" si="58"/>
        <v>2.0519894813984568E-3</v>
      </c>
      <c r="G678" s="281">
        <f t="shared" si="58"/>
        <v>3.2047418540948787E-3</v>
      </c>
      <c r="H678" s="281">
        <f t="shared" si="58"/>
        <v>2.681936547819402E-3</v>
      </c>
    </row>
    <row r="679" spans="2:10">
      <c r="B679" s="151" t="s">
        <v>516</v>
      </c>
      <c r="D679" s="281">
        <f t="shared" ref="D679:H679" si="59">D665/D$668</f>
        <v>1.4118242033026853E-3</v>
      </c>
      <c r="E679" s="281">
        <f t="shared" si="59"/>
        <v>1.315664546231367E-3</v>
      </c>
      <c r="F679" s="281">
        <f t="shared" si="59"/>
        <v>9.4839849980600955E-4</v>
      </c>
      <c r="G679" s="281">
        <f t="shared" si="59"/>
        <v>1.0100548256096701E-3</v>
      </c>
      <c r="H679" s="281">
        <f t="shared" si="59"/>
        <v>7.7207264255407023E-4</v>
      </c>
    </row>
    <row r="680" spans="2:10">
      <c r="B680" s="151" t="s">
        <v>517</v>
      </c>
      <c r="D680" s="281">
        <f t="shared" ref="D680:H680" si="60">D666/D$668</f>
        <v>5.6402728121992853E-3</v>
      </c>
      <c r="E680" s="281">
        <f t="shared" si="60"/>
        <v>5.4457661372360189E-3</v>
      </c>
      <c r="F680" s="281">
        <f t="shared" si="60"/>
        <v>3.4616545242919343E-3</v>
      </c>
      <c r="G680" s="281">
        <f t="shared" si="60"/>
        <v>3.337753189154588E-3</v>
      </c>
      <c r="H680" s="281">
        <f t="shared" si="60"/>
        <v>2.7191856665391158E-3</v>
      </c>
    </row>
    <row r="681" spans="2:10">
      <c r="B681" s="151" t="s">
        <v>518</v>
      </c>
      <c r="D681" s="281">
        <f t="shared" ref="D681:H681" si="61">D667/D$668</f>
        <v>1.8409906651026559E-2</v>
      </c>
      <c r="E681" s="281">
        <f t="shared" si="61"/>
        <v>1.777503492614646E-2</v>
      </c>
      <c r="F681" s="281">
        <f t="shared" si="61"/>
        <v>1.1298874854507049E-2</v>
      </c>
      <c r="G681" s="281">
        <f t="shared" si="61"/>
        <v>1.0894459662234342E-2</v>
      </c>
      <c r="H681" s="281">
        <f t="shared" si="61"/>
        <v>8.8754491058518348E-3</v>
      </c>
    </row>
    <row r="682" spans="2:10" ht="13.5" thickBot="1">
      <c r="B682" s="152" t="s">
        <v>521</v>
      </c>
      <c r="C682" s="285"/>
      <c r="D682" s="285">
        <f t="shared" ref="D682:H682" si="62">D668/D$668</f>
        <v>1</v>
      </c>
      <c r="E682" s="285">
        <f t="shared" si="62"/>
        <v>1</v>
      </c>
      <c r="F682" s="285">
        <f t="shared" si="62"/>
        <v>1</v>
      </c>
      <c r="G682" s="285">
        <f t="shared" si="62"/>
        <v>1</v>
      </c>
      <c r="H682" s="285">
        <f t="shared" si="62"/>
        <v>1</v>
      </c>
    </row>
    <row r="685" spans="2:10" ht="15">
      <c r="B685" s="165" t="s">
        <v>519</v>
      </c>
      <c r="C685" s="9"/>
      <c r="D685" s="9">
        <v>2021</v>
      </c>
      <c r="E685" s="9">
        <v>2022</v>
      </c>
      <c r="F685" s="9">
        <v>2023</v>
      </c>
      <c r="G685" s="9">
        <v>2024</v>
      </c>
      <c r="H685" s="9">
        <v>2025</v>
      </c>
    </row>
    <row r="686" spans="2:10">
      <c r="B686" s="151" t="str">
        <f>B651</f>
        <v>Change in Gross Block</v>
      </c>
      <c r="D686" s="151">
        <f t="shared" ref="D686:H686" si="63">D651</f>
        <v>0</v>
      </c>
      <c r="E686" s="151">
        <f t="shared" si="63"/>
        <v>51</v>
      </c>
      <c r="F686" s="151">
        <f t="shared" si="63"/>
        <v>845</v>
      </c>
      <c r="G686" s="151">
        <f>G651</f>
        <v>86</v>
      </c>
      <c r="H686" s="151">
        <f t="shared" si="63"/>
        <v>547</v>
      </c>
    </row>
    <row r="687" spans="2:10">
      <c r="B687" s="151" t="s">
        <v>6</v>
      </c>
      <c r="D687" s="158">
        <f>' Income Statement'!D26*-1</f>
        <v>70.77</v>
      </c>
      <c r="E687" s="158">
        <f>' Income Statement'!E26*-1</f>
        <v>82.67</v>
      </c>
      <c r="F687" s="158">
        <f>' Income Statement'!F26*-1</f>
        <v>105.72</v>
      </c>
      <c r="G687" s="158">
        <f>' Income Statement'!G26*-1</f>
        <v>120.33</v>
      </c>
      <c r="H687" s="158">
        <f>' Income Statement'!H26*-1</f>
        <v>129.33000000000001</v>
      </c>
    </row>
    <row r="688" spans="2:10">
      <c r="B688" s="151" t="s">
        <v>7</v>
      </c>
      <c r="D688" s="158">
        <f>' Income Statement'!D27*-1</f>
        <v>3.23</v>
      </c>
      <c r="E688" s="158">
        <f>' Income Statement'!E27*-1</f>
        <v>3.23</v>
      </c>
      <c r="F688" s="158">
        <f>' Income Statement'!F27*-1</f>
        <v>3.23</v>
      </c>
      <c r="G688" s="158">
        <f>' Income Statement'!G27*-1</f>
        <v>3.23</v>
      </c>
      <c r="H688" s="158">
        <f>' Income Statement'!H27*-1</f>
        <v>3.23</v>
      </c>
    </row>
    <row r="689" spans="2:12">
      <c r="B689" s="295" t="s">
        <v>529</v>
      </c>
      <c r="C689" s="295"/>
      <c r="D689" s="296">
        <f>SUM(D687:D688)</f>
        <v>74</v>
      </c>
      <c r="E689" s="296">
        <f t="shared" ref="E689:H689" si="64">SUM(E687:E688)</f>
        <v>85.9</v>
      </c>
      <c r="F689" s="296">
        <f t="shared" si="64"/>
        <v>108.95</v>
      </c>
      <c r="G689" s="296">
        <f t="shared" si="64"/>
        <v>123.56</v>
      </c>
      <c r="H689" s="296">
        <f t="shared" si="64"/>
        <v>132.56</v>
      </c>
    </row>
    <row r="691" spans="2:12">
      <c r="B691" s="286" t="s">
        <v>527</v>
      </c>
      <c r="C691" s="286"/>
      <c r="D691" s="160">
        <f>D689</f>
        <v>74</v>
      </c>
      <c r="E691" s="160">
        <f t="shared" ref="E691:H691" si="65">E689</f>
        <v>85.9</v>
      </c>
      <c r="F691" s="160">
        <f t="shared" si="65"/>
        <v>108.95</v>
      </c>
      <c r="G691" s="160">
        <f t="shared" si="65"/>
        <v>123.56</v>
      </c>
      <c r="H691" s="160">
        <f t="shared" si="65"/>
        <v>132.56</v>
      </c>
    </row>
    <row r="692" spans="2:12">
      <c r="B692" s="151" t="s">
        <v>528</v>
      </c>
      <c r="D692" s="151">
        <f>IF(D689&gt;D686,0,D686-D689)</f>
        <v>0</v>
      </c>
      <c r="E692" s="151">
        <f t="shared" ref="E692:H692" si="66">IF(E689&gt;E686,0,E686-E689)</f>
        <v>0</v>
      </c>
      <c r="F692" s="151">
        <f>IF(F689&gt;F686,0,F686-F689)</f>
        <v>736.05</v>
      </c>
      <c r="G692" s="151">
        <f t="shared" si="66"/>
        <v>0</v>
      </c>
      <c r="H692" s="151">
        <f t="shared" si="66"/>
        <v>414.44</v>
      </c>
    </row>
    <row r="695" spans="2:12" ht="15">
      <c r="B695" s="165" t="s">
        <v>450</v>
      </c>
    </row>
    <row r="696" spans="2:12">
      <c r="J696" s="185" t="s">
        <v>534</v>
      </c>
    </row>
    <row r="697" spans="2:12">
      <c r="I697" s="151" t="s">
        <v>531</v>
      </c>
      <c r="L697" s="151" t="s">
        <v>532</v>
      </c>
    </row>
    <row r="698" spans="2:12">
      <c r="I698" s="151" t="s">
        <v>533</v>
      </c>
    </row>
    <row r="699" spans="2:12">
      <c r="I699" s="151" t="s">
        <v>535</v>
      </c>
    </row>
    <row r="706" spans="2:2" ht="15">
      <c r="B706" s="165" t="s">
        <v>536</v>
      </c>
    </row>
    <row r="721" spans="1:18" ht="15">
      <c r="B721" s="165" t="s">
        <v>519</v>
      </c>
      <c r="C721" s="9"/>
      <c r="D721" s="9">
        <v>2021</v>
      </c>
      <c r="E721" s="9">
        <v>2022</v>
      </c>
      <c r="F721" s="9">
        <v>2023</v>
      </c>
      <c r="G721" s="9">
        <v>2024</v>
      </c>
      <c r="H721" s="9">
        <v>2025</v>
      </c>
      <c r="J721" s="9" t="s">
        <v>539</v>
      </c>
    </row>
    <row r="722" spans="1:18" ht="1.1499999999999999" customHeight="1">
      <c r="B722" s="277"/>
      <c r="C722" s="278"/>
      <c r="D722" s="278"/>
      <c r="E722" s="278"/>
      <c r="F722" s="278"/>
      <c r="G722" s="278"/>
      <c r="H722" s="278"/>
    </row>
    <row r="723" spans="1:18" ht="15">
      <c r="B723" s="143" t="s">
        <v>537</v>
      </c>
      <c r="C723"/>
      <c r="D723" s="158">
        <v>1070.6500000000001</v>
      </c>
      <c r="E723" s="158">
        <v>1039.4000000000001</v>
      </c>
      <c r="F723" s="158">
        <v>1778.85</v>
      </c>
      <c r="G723" s="158">
        <v>1744.68</v>
      </c>
      <c r="H723" s="158">
        <v>2219.39</v>
      </c>
      <c r="J723" s="158">
        <f>H723+450</f>
        <v>2669.39</v>
      </c>
    </row>
    <row r="724" spans="1:18" ht="15">
      <c r="B724" s="143" t="s">
        <v>538</v>
      </c>
      <c r="C724"/>
      <c r="D724" s="158">
        <v>31.35</v>
      </c>
      <c r="E724" s="158">
        <v>28.6</v>
      </c>
      <c r="F724" s="158">
        <v>25.15</v>
      </c>
      <c r="G724" s="158">
        <v>22.32</v>
      </c>
      <c r="H724" s="158">
        <v>18.62</v>
      </c>
    </row>
    <row r="725" spans="1:18">
      <c r="B725" s="224" t="s">
        <v>20</v>
      </c>
      <c r="C725" s="224"/>
      <c r="D725" s="299">
        <f>SUM(D723:D724)</f>
        <v>1102</v>
      </c>
      <c r="E725" s="299">
        <f t="shared" ref="E725:H725" si="67">SUM(E723:E724)</f>
        <v>1068</v>
      </c>
      <c r="F725" s="299">
        <f t="shared" si="67"/>
        <v>1804</v>
      </c>
      <c r="G725" s="299">
        <f t="shared" si="67"/>
        <v>1767</v>
      </c>
      <c r="H725" s="299">
        <f t="shared" si="67"/>
        <v>2238.0099999999998</v>
      </c>
      <c r="J725" s="158"/>
    </row>
    <row r="726" spans="1:18">
      <c r="D726" s="167"/>
      <c r="E726" s="167">
        <f>E723/D723-1</f>
        <v>-2.9187876523607104E-2</v>
      </c>
      <c r="F726" s="167">
        <f>F723/E723-1</f>
        <v>0.71142005002886255</v>
      </c>
      <c r="G726" s="167">
        <f>G723/F723-1</f>
        <v>-1.9209039548022555E-2</v>
      </c>
      <c r="H726" s="167">
        <f>H723/G723-1</f>
        <v>0.27209001077561479</v>
      </c>
      <c r="J726" s="281">
        <f>J723/H723-1</f>
        <v>0.20275841560068297</v>
      </c>
    </row>
    <row r="727" spans="1:18" ht="15">
      <c r="E727" s="248">
        <f>E724/D724-1</f>
        <v>-8.7719298245614086E-2</v>
      </c>
      <c r="F727" s="248">
        <f t="shared" ref="F727:H727" si="68">F724/E724-1</f>
        <v>-0.12062937062937074</v>
      </c>
      <c r="G727" s="248">
        <f t="shared" si="68"/>
        <v>-0.11252485089463216</v>
      </c>
      <c r="H727" s="248">
        <f t="shared" si="68"/>
        <v>-0.16577060931899634</v>
      </c>
      <c r="I727" s="222"/>
      <c r="J727" s="222"/>
      <c r="K727" s="222"/>
      <c r="L727" s="222"/>
      <c r="M727" s="222"/>
    </row>
    <row r="728" spans="1:18" ht="15">
      <c r="B728" s="165" t="s">
        <v>579</v>
      </c>
      <c r="E728" s="248"/>
      <c r="F728" s="248"/>
      <c r="G728" s="248"/>
      <c r="H728" s="248"/>
      <c r="I728" s="222"/>
      <c r="J728" s="222"/>
      <c r="K728" s="222"/>
      <c r="L728" s="222"/>
      <c r="M728" s="222"/>
    </row>
    <row r="729" spans="1:18" ht="15">
      <c r="B729" s="277"/>
      <c r="E729" s="326"/>
      <c r="F729" s="326"/>
      <c r="G729" s="326"/>
      <c r="H729" s="326"/>
      <c r="I729" s="222"/>
      <c r="J729" s="222"/>
      <c r="K729" s="222"/>
      <c r="L729" s="222"/>
      <c r="M729" s="222"/>
    </row>
    <row r="730" spans="1:18" ht="15">
      <c r="B730" s="165" t="s">
        <v>519</v>
      </c>
      <c r="C730" s="9"/>
      <c r="D730" s="9">
        <v>2025</v>
      </c>
      <c r="E730" s="9">
        <v>2026</v>
      </c>
      <c r="F730" s="9">
        <v>2027</v>
      </c>
      <c r="G730" s="9">
        <v>2028</v>
      </c>
      <c r="H730" s="9">
        <v>2029</v>
      </c>
      <c r="I730" s="9">
        <f>H730+1</f>
        <v>2030</v>
      </c>
      <c r="J730" s="9">
        <f t="shared" ref="J730:L730" si="69">I730+1</f>
        <v>2031</v>
      </c>
      <c r="K730" s="9">
        <f t="shared" si="69"/>
        <v>2032</v>
      </c>
      <c r="L730" s="9">
        <f t="shared" si="69"/>
        <v>2033</v>
      </c>
      <c r="M730" s="9">
        <f t="shared" ref="M730" si="70">L730+1</f>
        <v>2034</v>
      </c>
      <c r="N730" s="9">
        <f t="shared" ref="N730" si="71">M730+1</f>
        <v>2035</v>
      </c>
      <c r="O730" s="9">
        <f t="shared" ref="O730" si="72">N730+1</f>
        <v>2036</v>
      </c>
      <c r="P730" s="9">
        <f t="shared" ref="P730" si="73">O730+1</f>
        <v>2037</v>
      </c>
      <c r="Q730" s="9">
        <f t="shared" ref="Q730" si="74">P730+1</f>
        <v>2038</v>
      </c>
      <c r="R730" s="9">
        <f t="shared" ref="R730" si="75">Q730+1</f>
        <v>2039</v>
      </c>
    </row>
    <row r="731" spans="1:18" ht="15">
      <c r="B731" s="185" t="s">
        <v>577</v>
      </c>
      <c r="C731" s="185"/>
      <c r="D731" s="185">
        <v>195</v>
      </c>
      <c r="E731" s="185">
        <v>450</v>
      </c>
      <c r="F731" s="325">
        <f>E731+($L$731-$E$731)/($L$730-$E$730)</f>
        <v>600</v>
      </c>
      <c r="G731" s="325">
        <f>F731+($L$731-$E$731)/($L$730-$E$730)</f>
        <v>750</v>
      </c>
      <c r="H731" s="325">
        <f t="shared" ref="H731:K731" si="76">G731+($L$731-$E$731)/($L$730-$E$730)</f>
        <v>900</v>
      </c>
      <c r="I731" s="325">
        <f t="shared" si="76"/>
        <v>1050</v>
      </c>
      <c r="J731" s="325">
        <f t="shared" si="76"/>
        <v>1200</v>
      </c>
      <c r="K731" s="325">
        <f t="shared" si="76"/>
        <v>1350</v>
      </c>
      <c r="L731" s="185">
        <v>1500</v>
      </c>
      <c r="M731" s="158">
        <f>L731*(1+M732)</f>
        <v>1560</v>
      </c>
      <c r="N731" s="158">
        <f t="shared" ref="N731:R731" si="77">M731*(1+N732)</f>
        <v>1622.4</v>
      </c>
      <c r="O731" s="158">
        <f t="shared" si="77"/>
        <v>1687.296</v>
      </c>
      <c r="P731" s="158">
        <f t="shared" si="77"/>
        <v>1754.7878400000002</v>
      </c>
      <c r="Q731" s="158">
        <f t="shared" si="77"/>
        <v>1824.9793536000002</v>
      </c>
      <c r="R731" s="158">
        <f t="shared" si="77"/>
        <v>1897.9785277440003</v>
      </c>
    </row>
    <row r="732" spans="1:18" ht="15">
      <c r="B732" s="327" t="s">
        <v>578</v>
      </c>
      <c r="C732" s="327"/>
      <c r="D732" s="327"/>
      <c r="E732" s="328">
        <f>E731/D731-1</f>
        <v>1.3076923076923075</v>
      </c>
      <c r="F732" s="328">
        <f t="shared" ref="F732:J732" si="78">F731/E731-1</f>
        <v>0.33333333333333326</v>
      </c>
      <c r="G732" s="328">
        <f t="shared" si="78"/>
        <v>0.25</v>
      </c>
      <c r="H732" s="328">
        <f t="shared" si="78"/>
        <v>0.19999999999999996</v>
      </c>
      <c r="I732" s="328">
        <f t="shared" si="78"/>
        <v>0.16666666666666674</v>
      </c>
      <c r="J732" s="328">
        <f t="shared" si="78"/>
        <v>0.14285714285714279</v>
      </c>
      <c r="K732" s="328">
        <f>K731/J731-1</f>
        <v>0.125</v>
      </c>
      <c r="L732" s="328">
        <f>L731/K731-1</f>
        <v>0.11111111111111116</v>
      </c>
      <c r="M732" s="328">
        <v>0.04</v>
      </c>
      <c r="N732" s="328">
        <v>0.04</v>
      </c>
      <c r="O732" s="328">
        <v>0.04</v>
      </c>
      <c r="P732" s="328">
        <v>0.04</v>
      </c>
      <c r="Q732" s="328">
        <v>0.04</v>
      </c>
      <c r="R732" s="328">
        <v>0.04</v>
      </c>
    </row>
    <row r="733" spans="1:18" ht="15">
      <c r="E733" s="275"/>
      <c r="F733" s="275"/>
      <c r="G733" s="275"/>
      <c r="H733" s="275"/>
      <c r="I733" s="275"/>
    </row>
    <row r="734" spans="1:18">
      <c r="A734" s="151" t="s">
        <v>35</v>
      </c>
      <c r="B734" s="185" t="s">
        <v>545</v>
      </c>
      <c r="E734" s="158"/>
      <c r="F734" s="158"/>
      <c r="G734" s="158"/>
      <c r="H734" s="158"/>
    </row>
    <row r="735" spans="1:18">
      <c r="B735" s="185"/>
      <c r="E735" s="158"/>
      <c r="F735" s="158"/>
      <c r="G735" s="158"/>
      <c r="H735" s="158"/>
    </row>
    <row r="736" spans="1:18" ht="15">
      <c r="B736" s="165" t="s">
        <v>519</v>
      </c>
      <c r="C736" s="9"/>
      <c r="D736" s="9">
        <v>2021</v>
      </c>
      <c r="E736" s="9">
        <v>2022</v>
      </c>
      <c r="F736" s="9">
        <v>2023</v>
      </c>
      <c r="G736" s="9">
        <v>2024</v>
      </c>
      <c r="H736" s="9">
        <v>2025</v>
      </c>
      <c r="J736" s="221" t="s">
        <v>432</v>
      </c>
      <c r="K736" s="221" t="s">
        <v>433</v>
      </c>
    </row>
    <row r="737" spans="1:15">
      <c r="B737" s="151" t="s">
        <v>285</v>
      </c>
      <c r="D737" s="151">
        <v>829</v>
      </c>
      <c r="E737" s="151">
        <v>1551</v>
      </c>
      <c r="F737" s="151">
        <v>2188</v>
      </c>
      <c r="G737" s="151">
        <v>1929</v>
      </c>
      <c r="H737" s="151">
        <v>2550</v>
      </c>
      <c r="J737" s="167"/>
      <c r="K737" s="167"/>
    </row>
    <row r="738" spans="1:15">
      <c r="B738" s="151" t="s">
        <v>217</v>
      </c>
      <c r="D738" s="151">
        <v>39.200000000000003</v>
      </c>
      <c r="E738" s="151">
        <v>19.8</v>
      </c>
      <c r="F738" s="151">
        <v>51</v>
      </c>
      <c r="G738" s="151">
        <v>43.2</v>
      </c>
      <c r="H738" s="151">
        <v>76</v>
      </c>
    </row>
    <row r="740" spans="1:15">
      <c r="B740" s="151" t="s">
        <v>546</v>
      </c>
      <c r="D740" s="167">
        <f>D738/D737</f>
        <v>4.7285886610373945E-2</v>
      </c>
      <c r="E740" s="167">
        <f t="shared" ref="E740:H740" si="79">E738/E737</f>
        <v>1.2765957446808512E-2</v>
      </c>
      <c r="F740" s="167">
        <f t="shared" si="79"/>
        <v>2.3308957952468009E-2</v>
      </c>
      <c r="G740" s="167">
        <f t="shared" si="79"/>
        <v>2.2395023328149303E-2</v>
      </c>
      <c r="H740" s="167">
        <f t="shared" si="79"/>
        <v>2.9803921568627451E-2</v>
      </c>
      <c r="J740" s="281">
        <f>MEDIAN(D740:H740)</f>
        <v>2.3308957952468009E-2</v>
      </c>
      <c r="K740" s="281">
        <f>AVERAGE(D740:H740)</f>
        <v>2.7111949381285444E-2</v>
      </c>
    </row>
    <row r="741" spans="1:15">
      <c r="D741" s="167"/>
      <c r="E741" s="167"/>
      <c r="F741" s="167"/>
      <c r="G741" s="167"/>
      <c r="H741" s="167"/>
      <c r="J741" s="281"/>
      <c r="K741" s="281"/>
    </row>
    <row r="742" spans="1:15">
      <c r="B742" s="185" t="s">
        <v>586</v>
      </c>
      <c r="D742" s="167"/>
      <c r="E742" s="167"/>
      <c r="F742" s="167"/>
      <c r="G742" s="167"/>
      <c r="H742" s="167"/>
      <c r="J742" s="281"/>
      <c r="K742" s="281"/>
    </row>
    <row r="743" spans="1:15">
      <c r="F743" s="151" t="s">
        <v>580</v>
      </c>
    </row>
    <row r="744" spans="1:15">
      <c r="A744" s="151" t="s">
        <v>35</v>
      </c>
      <c r="B744" s="185" t="s">
        <v>542</v>
      </c>
    </row>
    <row r="745" spans="1:15" customFormat="1" ht="15">
      <c r="A745" s="151"/>
      <c r="B745" s="151"/>
      <c r="C745" s="151"/>
      <c r="D745" s="151"/>
      <c r="E745" s="151"/>
      <c r="F745" s="151"/>
      <c r="G745" s="151"/>
      <c r="H745" s="151"/>
      <c r="I745" s="151"/>
      <c r="J745" s="151"/>
      <c r="K745" s="151"/>
      <c r="L745" s="151"/>
      <c r="M745" s="151"/>
      <c r="N745" s="151"/>
      <c r="O745" s="151"/>
    </row>
    <row r="746" spans="1:15" customFormat="1" ht="15">
      <c r="A746" s="151"/>
      <c r="B746" s="165" t="s">
        <v>519</v>
      </c>
      <c r="C746" s="9"/>
      <c r="D746" s="9">
        <v>2021</v>
      </c>
      <c r="E746" s="9">
        <v>2022</v>
      </c>
      <c r="F746" s="9">
        <v>2023</v>
      </c>
      <c r="G746" s="9">
        <v>2024</v>
      </c>
      <c r="H746" s="9">
        <v>2025</v>
      </c>
      <c r="I746" s="151"/>
      <c r="J746" s="221" t="s">
        <v>432</v>
      </c>
      <c r="K746" s="221" t="s">
        <v>433</v>
      </c>
      <c r="L746" s="151"/>
      <c r="M746" s="151"/>
      <c r="N746" s="151"/>
      <c r="O746" s="151"/>
    </row>
    <row r="747" spans="1:15" customFormat="1" ht="15">
      <c r="A747" s="151"/>
      <c r="B747" s="151" t="s">
        <v>549</v>
      </c>
      <c r="C747" s="151"/>
      <c r="D747" s="151">
        <v>1103</v>
      </c>
      <c r="E747" s="151">
        <v>1068</v>
      </c>
      <c r="F747" s="151">
        <v>1804</v>
      </c>
      <c r="G747" s="151">
        <v>1767</v>
      </c>
      <c r="H747" s="151">
        <v>2238</v>
      </c>
      <c r="I747" s="151"/>
      <c r="J747" s="167"/>
      <c r="K747" s="167"/>
      <c r="L747" s="151"/>
      <c r="M747" s="151"/>
      <c r="N747" s="151"/>
      <c r="O747" s="151"/>
    </row>
    <row r="748" spans="1:15" customFormat="1" ht="15">
      <c r="A748" s="151"/>
      <c r="B748" s="151" t="s">
        <v>542</v>
      </c>
      <c r="C748" s="151"/>
      <c r="D748" s="158">
        <f>' Balance Sheet'!D19</f>
        <v>126</v>
      </c>
      <c r="E748" s="158">
        <f>' Balance Sheet'!E19</f>
        <v>589</v>
      </c>
      <c r="F748" s="158">
        <f>' Balance Sheet'!F19</f>
        <v>158</v>
      </c>
      <c r="G748" s="158">
        <f>' Balance Sheet'!G19</f>
        <v>483</v>
      </c>
      <c r="H748" s="158">
        <f>' Balance Sheet'!H19</f>
        <v>64</v>
      </c>
      <c r="I748" s="151"/>
      <c r="J748" s="151"/>
      <c r="K748" s="151"/>
      <c r="L748" s="151"/>
      <c r="M748" s="151"/>
      <c r="N748" s="151"/>
      <c r="O748" s="151"/>
    </row>
    <row r="749" spans="1:15" customFormat="1" ht="15">
      <c r="A749" s="151"/>
      <c r="B749" s="307" t="s">
        <v>550</v>
      </c>
      <c r="C749" s="308"/>
      <c r="D749" s="308">
        <f>D748/D$747</f>
        <v>0.11423390752493201</v>
      </c>
      <c r="E749" s="308">
        <f>E748/E$747</f>
        <v>0.55149812734082393</v>
      </c>
      <c r="F749" s="308">
        <f>F748/F$747</f>
        <v>8.7583148558758317E-2</v>
      </c>
      <c r="G749" s="308">
        <f>G748/G$747</f>
        <v>0.27334465195246183</v>
      </c>
      <c r="H749" s="308">
        <f>H748/H$747</f>
        <v>2.8596961572832886E-2</v>
      </c>
      <c r="I749" s="308"/>
      <c r="J749" s="281">
        <f>MEDIAN(D749:H749)</f>
        <v>0.11423390752493201</v>
      </c>
      <c r="K749" s="281">
        <f>AVERAGE(D749:H749)</f>
        <v>0.21105135938996181</v>
      </c>
      <c r="L749" s="151"/>
      <c r="M749" s="151"/>
      <c r="N749" s="151"/>
      <c r="O749" s="151"/>
    </row>
    <row r="750" spans="1:15">
      <c r="B750" s="185"/>
      <c r="C750" s="185"/>
      <c r="D750" s="309"/>
      <c r="E750" s="309"/>
      <c r="F750" s="309"/>
      <c r="G750" s="309"/>
      <c r="H750" s="309"/>
      <c r="J750" s="281"/>
      <c r="K750" s="281"/>
    </row>
    <row r="751" spans="1:15">
      <c r="B751" s="185" t="s">
        <v>554</v>
      </c>
      <c r="C751" s="185"/>
      <c r="D751" s="310">
        <f>MEDIAN(,D749,H749,F749)</f>
        <v>5.8090055065795607E-2</v>
      </c>
      <c r="E751" s="309"/>
      <c r="F751" s="309"/>
      <c r="G751" s="309"/>
      <c r="H751" s="309"/>
      <c r="J751" s="281"/>
      <c r="K751" s="281"/>
    </row>
    <row r="752" spans="1:15">
      <c r="B752" s="185" t="s">
        <v>555</v>
      </c>
      <c r="C752" s="185"/>
      <c r="D752" s="310">
        <f>MEDIAN(,E749,G749)</f>
        <v>0.27334465195246183</v>
      </c>
      <c r="E752" s="309"/>
      <c r="F752" s="309"/>
      <c r="G752" s="309"/>
      <c r="H752" s="309"/>
      <c r="J752" s="281"/>
      <c r="K752" s="281"/>
    </row>
    <row r="754" spans="1:15" ht="15">
      <c r="B754" s="165" t="s">
        <v>551</v>
      </c>
      <c r="C754" s="165"/>
      <c r="D754" s="9"/>
      <c r="E754" s="9"/>
      <c r="F754" s="9"/>
      <c r="G754" s="9"/>
      <c r="H754" s="9"/>
    </row>
    <row r="756" spans="1:15">
      <c r="B756" s="151" t="s">
        <v>552</v>
      </c>
    </row>
    <row r="757" spans="1:15" ht="15">
      <c r="K757"/>
      <c r="L757"/>
      <c r="M757"/>
      <c r="N757"/>
      <c r="O757"/>
    </row>
    <row r="758" spans="1:15" ht="15">
      <c r="B758" s="165" t="s">
        <v>396</v>
      </c>
      <c r="C758" s="165"/>
      <c r="D758" s="9"/>
      <c r="E758" s="9"/>
      <c r="F758" s="9"/>
      <c r="G758" s="9"/>
      <c r="H758" s="9"/>
      <c r="K758"/>
      <c r="L758"/>
      <c r="M758"/>
      <c r="N758"/>
      <c r="O758"/>
    </row>
    <row r="759" spans="1:15" ht="15">
      <c r="K759"/>
      <c r="L759"/>
      <c r="M759"/>
      <c r="N759"/>
      <c r="O759"/>
    </row>
    <row r="760" spans="1:15" ht="15">
      <c r="B760" s="185" t="s">
        <v>553</v>
      </c>
      <c r="C760" s="185"/>
      <c r="D760" s="185">
        <v>64</v>
      </c>
      <c r="E760" s="185">
        <v>400</v>
      </c>
      <c r="F760" s="185">
        <v>300</v>
      </c>
      <c r="G760" s="185">
        <v>200</v>
      </c>
      <c r="K760"/>
      <c r="L760"/>
      <c r="M760"/>
      <c r="N760"/>
      <c r="O760"/>
    </row>
    <row r="761" spans="1:15" ht="15">
      <c r="B761" s="151" t="s">
        <v>556</v>
      </c>
      <c r="E761"/>
      <c r="F761"/>
      <c r="G761"/>
    </row>
    <row r="768" spans="1:15">
      <c r="A768" s="151" t="s">
        <v>35</v>
      </c>
      <c r="B768" s="185" t="s">
        <v>6</v>
      </c>
    </row>
    <row r="770" spans="2:11">
      <c r="B770" s="151" t="s">
        <v>285</v>
      </c>
      <c r="D770" s="151">
        <v>829</v>
      </c>
      <c r="E770" s="151">
        <v>1551</v>
      </c>
      <c r="F770" s="151">
        <v>2188</v>
      </c>
      <c r="G770" s="151">
        <v>1929</v>
      </c>
      <c r="H770" s="151">
        <v>2550</v>
      </c>
    </row>
    <row r="772" spans="2:11" ht="15">
      <c r="B772" s="165" t="s">
        <v>519</v>
      </c>
      <c r="C772" s="9"/>
      <c r="D772" s="9">
        <v>2021</v>
      </c>
      <c r="E772" s="9">
        <v>2022</v>
      </c>
      <c r="F772" s="9">
        <v>2023</v>
      </c>
      <c r="G772" s="9">
        <v>2024</v>
      </c>
      <c r="H772" s="9">
        <v>2025</v>
      </c>
      <c r="J772" s="221" t="s">
        <v>432</v>
      </c>
      <c r="K772" s="221" t="s">
        <v>433</v>
      </c>
    </row>
    <row r="773" spans="2:11">
      <c r="B773" s="151" t="s">
        <v>506</v>
      </c>
      <c r="D773" s="151">
        <v>1424</v>
      </c>
      <c r="E773" s="151">
        <v>1475</v>
      </c>
      <c r="F773" s="151">
        <v>2320</v>
      </c>
      <c r="G773" s="151">
        <v>2406</v>
      </c>
      <c r="H773" s="151">
        <v>2953</v>
      </c>
      <c r="J773" s="167"/>
      <c r="K773" s="167"/>
    </row>
    <row r="774" spans="2:11">
      <c r="B774" s="151" t="s">
        <v>522</v>
      </c>
      <c r="D774" s="151">
        <f>D659</f>
        <v>11.37</v>
      </c>
      <c r="E774" s="151">
        <f>E659</f>
        <v>32.22</v>
      </c>
      <c r="F774" s="151">
        <f>F659</f>
        <v>199.4</v>
      </c>
      <c r="G774" s="151">
        <f>G659</f>
        <v>212.69</v>
      </c>
      <c r="H774" s="151">
        <f>H659</f>
        <v>212.69</v>
      </c>
    </row>
    <row r="775" spans="2:11">
      <c r="B775" s="307" t="s">
        <v>558</v>
      </c>
      <c r="C775" s="307"/>
      <c r="D775" s="307">
        <f>D773-D774</f>
        <v>1412.63</v>
      </c>
      <c r="E775" s="307">
        <f t="shared" ref="E775:H775" si="80">E773-E774</f>
        <v>1442.78</v>
      </c>
      <c r="F775" s="307">
        <f t="shared" si="80"/>
        <v>2120.6</v>
      </c>
      <c r="G775" s="307">
        <f t="shared" si="80"/>
        <v>2193.31</v>
      </c>
      <c r="H775" s="307">
        <f t="shared" si="80"/>
        <v>2740.31</v>
      </c>
    </row>
    <row r="776" spans="2:11">
      <c r="B776" s="151" t="s">
        <v>507</v>
      </c>
      <c r="D776" s="151">
        <v>321</v>
      </c>
      <c r="E776" s="151">
        <v>407</v>
      </c>
      <c r="F776" s="151">
        <v>516</v>
      </c>
      <c r="G776" s="151">
        <v>639</v>
      </c>
      <c r="H776" s="151">
        <v>715</v>
      </c>
    </row>
    <row r="777" spans="2:11">
      <c r="B777" s="224" t="s">
        <v>559</v>
      </c>
      <c r="C777" s="224"/>
      <c r="D777" s="224">
        <f>D775-D776</f>
        <v>1091.6300000000001</v>
      </c>
      <c r="E777" s="224">
        <f t="shared" ref="E777:H777" si="81">E775-E776</f>
        <v>1035.78</v>
      </c>
      <c r="F777" s="224">
        <f t="shared" si="81"/>
        <v>1604.6</v>
      </c>
      <c r="G777" s="224">
        <f t="shared" si="81"/>
        <v>1554.31</v>
      </c>
      <c r="H777" s="224">
        <f t="shared" si="81"/>
        <v>2025.31</v>
      </c>
    </row>
    <row r="779" spans="2:11">
      <c r="B779" s="151" t="s">
        <v>560</v>
      </c>
      <c r="D779" s="151">
        <f>' Income Statement'!D26*-1</f>
        <v>70.77</v>
      </c>
      <c r="E779" s="151">
        <f>' Income Statement'!E26*-1</f>
        <v>82.67</v>
      </c>
      <c r="F779" s="151">
        <f>' Income Statement'!F26*-1</f>
        <v>105.72</v>
      </c>
      <c r="G779" s="151">
        <f>' Income Statement'!G26*-1</f>
        <v>120.33</v>
      </c>
      <c r="H779" s="151">
        <f>' Income Statement'!H26*-1</f>
        <v>129.33000000000001</v>
      </c>
    </row>
    <row r="780" spans="2:11">
      <c r="B780" s="151" t="s">
        <v>561</v>
      </c>
      <c r="D780" s="151">
        <f>' Income Statement'!D27*-1</f>
        <v>3.23</v>
      </c>
      <c r="E780" s="151">
        <f>' Income Statement'!E27*-1</f>
        <v>3.23</v>
      </c>
      <c r="F780" s="151">
        <f>' Income Statement'!F27*-1</f>
        <v>3.23</v>
      </c>
      <c r="G780" s="151">
        <f>' Income Statement'!G27*-1</f>
        <v>3.23</v>
      </c>
      <c r="H780" s="151">
        <f>' Income Statement'!H27*-1</f>
        <v>3.23</v>
      </c>
    </row>
    <row r="781" spans="2:11">
      <c r="B781" s="311" t="s">
        <v>563</v>
      </c>
      <c r="C781" s="311"/>
      <c r="D781" s="311">
        <f>SUM(D779:D780)</f>
        <v>74</v>
      </c>
      <c r="E781" s="311">
        <f t="shared" ref="E781:H781" si="82">SUM(E779:E780)</f>
        <v>85.9</v>
      </c>
      <c r="F781" s="311">
        <f t="shared" si="82"/>
        <v>108.95</v>
      </c>
      <c r="G781" s="311">
        <f t="shared" si="82"/>
        <v>123.56</v>
      </c>
      <c r="H781" s="311">
        <f t="shared" si="82"/>
        <v>132.56</v>
      </c>
    </row>
    <row r="783" spans="2:11">
      <c r="B783" s="151" t="s">
        <v>566</v>
      </c>
    </row>
    <row r="784" spans="2:11" ht="15">
      <c r="B784" s="312" t="s">
        <v>562</v>
      </c>
      <c r="C784" s="312"/>
      <c r="D784" s="313">
        <f>D775/D781</f>
        <v>19.089594594594598</v>
      </c>
      <c r="E784" s="313">
        <f t="shared" ref="E784:H784" si="83">E775/E781</f>
        <v>16.796041909196738</v>
      </c>
      <c r="F784" s="313">
        <f t="shared" si="83"/>
        <v>19.463974300137675</v>
      </c>
      <c r="G784" s="313">
        <f t="shared" si="83"/>
        <v>17.750971188086758</v>
      </c>
      <c r="H784" s="313">
        <f t="shared" si="83"/>
        <v>20.67222389861195</v>
      </c>
      <c r="I784" s="312"/>
      <c r="J784" s="314">
        <f>MEDIAN(D784:H784)</f>
        <v>19.089594594594598</v>
      </c>
      <c r="K784" s="314">
        <f>AVERAGE(D784:H784)</f>
        <v>18.754561178125545</v>
      </c>
    </row>
    <row r="785" spans="1:11" ht="15">
      <c r="B785" s="312" t="s">
        <v>564</v>
      </c>
      <c r="C785" s="312"/>
      <c r="D785" s="313">
        <f>D776/D781</f>
        <v>4.3378378378378377</v>
      </c>
      <c r="E785" s="313">
        <f t="shared" ref="E785:H785" si="84">E776/E781</f>
        <v>4.7380675203725255</v>
      </c>
      <c r="F785" s="313">
        <f t="shared" si="84"/>
        <v>4.7361174850849013</v>
      </c>
      <c r="G785" s="313">
        <f t="shared" si="84"/>
        <v>5.1715765619941729</v>
      </c>
      <c r="H785" s="313">
        <f t="shared" si="84"/>
        <v>5.3937839468919737</v>
      </c>
      <c r="I785" s="312"/>
      <c r="J785" s="314">
        <f>MEDIAN(D785:H785)</f>
        <v>4.7380675203725255</v>
      </c>
      <c r="K785" s="314">
        <f t="shared" ref="K785" si="85">AVERAGE(D785:H785)</f>
        <v>4.8754766704362824</v>
      </c>
    </row>
    <row r="786" spans="1:11">
      <c r="B786" s="312" t="s">
        <v>565</v>
      </c>
      <c r="C786" s="312"/>
      <c r="D786" s="315">
        <f>D776/D775</f>
        <v>0.22723572343784287</v>
      </c>
      <c r="E786" s="315">
        <f t="shared" ref="E786:H786" si="86">E776/E775</f>
        <v>0.2820942901897725</v>
      </c>
      <c r="F786" s="315">
        <f t="shared" si="86"/>
        <v>0.24332736018108084</v>
      </c>
      <c r="G786" s="315">
        <f t="shared" si="86"/>
        <v>0.29134048538510288</v>
      </c>
      <c r="H786" s="315">
        <f t="shared" si="86"/>
        <v>0.26091938503308021</v>
      </c>
      <c r="I786" s="312"/>
      <c r="J786" s="312"/>
      <c r="K786" s="312"/>
    </row>
    <row r="788" spans="1:11">
      <c r="B788" s="151" t="s">
        <v>567</v>
      </c>
    </row>
    <row r="789" spans="1:11">
      <c r="B789" s="316" t="s">
        <v>568</v>
      </c>
      <c r="C789" s="316"/>
      <c r="D789" s="317">
        <f>D781/D773</f>
        <v>5.1966292134831463E-2</v>
      </c>
      <c r="E789" s="317">
        <f t="shared" ref="E789:H789" si="87">E781/E773</f>
        <v>5.8237288135593222E-2</v>
      </c>
      <c r="F789" s="317">
        <f t="shared" si="87"/>
        <v>4.6961206896551727E-2</v>
      </c>
      <c r="G789" s="317">
        <f t="shared" si="87"/>
        <v>5.1354945968412301E-2</v>
      </c>
      <c r="H789" s="317">
        <f t="shared" si="87"/>
        <v>4.4889942431425668E-2</v>
      </c>
      <c r="I789" s="316"/>
      <c r="J789" s="317">
        <f>MEDIAN(D789:H789)</f>
        <v>5.1354945968412301E-2</v>
      </c>
      <c r="K789" s="317">
        <f t="shared" ref="K789" si="88">AVERAGE(D789:H789)</f>
        <v>5.0681935113362872E-2</v>
      </c>
    </row>
    <row r="791" spans="1:11">
      <c r="B791" s="151" t="s">
        <v>571</v>
      </c>
    </row>
    <row r="792" spans="1:11">
      <c r="B792" s="316" t="s">
        <v>569</v>
      </c>
      <c r="C792" s="316"/>
      <c r="D792" s="317">
        <f>D781/D773</f>
        <v>5.1966292134831463E-2</v>
      </c>
      <c r="E792" s="317">
        <f>E781/E773</f>
        <v>5.8237288135593222E-2</v>
      </c>
      <c r="F792" s="317">
        <f>F781/F773</f>
        <v>4.6961206896551727E-2</v>
      </c>
      <c r="G792" s="317">
        <f>G781/G773</f>
        <v>5.1354945968412301E-2</v>
      </c>
      <c r="H792" s="317">
        <f>H781/H773</f>
        <v>4.4889942431425668E-2</v>
      </c>
      <c r="I792" s="316"/>
      <c r="J792" s="317">
        <f>MEDIAN(D792:H792)</f>
        <v>5.1354945968412301E-2</v>
      </c>
      <c r="K792" s="317">
        <f t="shared" ref="K792" si="89">AVERAGE(D792:H792)</f>
        <v>5.0681935113362872E-2</v>
      </c>
    </row>
    <row r="793" spans="1:11">
      <c r="D793" s="318"/>
      <c r="E793" s="318"/>
      <c r="F793" s="318"/>
      <c r="G793" s="318"/>
      <c r="H793" s="318"/>
      <c r="J793" s="318"/>
      <c r="K793" s="318"/>
    </row>
    <row r="794" spans="1:11">
      <c r="B794" s="151" t="s">
        <v>572</v>
      </c>
    </row>
    <row r="795" spans="1:11">
      <c r="B795" s="316" t="s">
        <v>570</v>
      </c>
      <c r="C795" s="316"/>
      <c r="D795" s="317">
        <f>D781/D770</f>
        <v>8.9264173703256941E-2</v>
      </c>
      <c r="E795" s="317">
        <f t="shared" ref="E795:H795" si="90">E781/E770</f>
        <v>5.5383623468729853E-2</v>
      </c>
      <c r="F795" s="317">
        <f t="shared" si="90"/>
        <v>4.9794332723948814E-2</v>
      </c>
      <c r="G795" s="317">
        <f t="shared" si="90"/>
        <v>6.4053913945049251E-2</v>
      </c>
      <c r="H795" s="317">
        <f t="shared" si="90"/>
        <v>5.19843137254902E-2</v>
      </c>
      <c r="I795" s="316"/>
      <c r="J795" s="317">
        <f>MEDIAN(D795:H795)</f>
        <v>5.5383623468729853E-2</v>
      </c>
      <c r="K795" s="317">
        <f t="shared" ref="K795" si="91">AVERAGE(D795:H795)</f>
        <v>6.2096071513295013E-2</v>
      </c>
    </row>
    <row r="798" spans="1:11">
      <c r="A798" s="151" t="s">
        <v>35</v>
      </c>
      <c r="B798" s="185" t="s">
        <v>606</v>
      </c>
    </row>
    <row r="800" spans="1:11" ht="15">
      <c r="B800" s="165" t="s">
        <v>519</v>
      </c>
      <c r="C800" s="9"/>
      <c r="D800" s="9">
        <v>2021</v>
      </c>
      <c r="E800" s="9">
        <v>2022</v>
      </c>
      <c r="F800" s="9">
        <v>2023</v>
      </c>
      <c r="G800" s="9">
        <v>2024</v>
      </c>
      <c r="H800" s="9">
        <v>2025</v>
      </c>
    </row>
    <row r="801" spans="2:11">
      <c r="B801" s="151" t="s">
        <v>607</v>
      </c>
      <c r="D801" s="158">
        <f>' Balance Sheet'!D30</f>
        <v>73</v>
      </c>
      <c r="E801" s="158">
        <f>' Balance Sheet'!E30</f>
        <v>88</v>
      </c>
      <c r="F801" s="158">
        <f>' Balance Sheet'!F30</f>
        <v>110</v>
      </c>
      <c r="G801" s="158">
        <f>' Balance Sheet'!G30</f>
        <v>184</v>
      </c>
      <c r="H801" s="158">
        <f>' Balance Sheet'!H30</f>
        <v>186</v>
      </c>
    </row>
    <row r="802" spans="2:11">
      <c r="B802" s="151" t="s">
        <v>608</v>
      </c>
      <c r="E802" s="150">
        <f>E801/D801-1</f>
        <v>0.20547945205479445</v>
      </c>
      <c r="F802" s="150">
        <f t="shared" ref="F802:H802" si="92">F801/E801-1</f>
        <v>0.25</v>
      </c>
      <c r="G802" s="150">
        <f t="shared" si="92"/>
        <v>0.67272727272727262</v>
      </c>
      <c r="H802" s="150">
        <f t="shared" si="92"/>
        <v>1.0869565217391353E-2</v>
      </c>
    </row>
    <row r="804" spans="2:11">
      <c r="B804" s="185" t="s">
        <v>78</v>
      </c>
      <c r="C804" s="185"/>
      <c r="D804" s="185">
        <f>D477</f>
        <v>385</v>
      </c>
      <c r="E804" s="185">
        <f t="shared" ref="E804:H804" si="93">E477</f>
        <v>761</v>
      </c>
      <c r="F804" s="185">
        <f t="shared" si="93"/>
        <v>1115</v>
      </c>
      <c r="G804" s="185">
        <f t="shared" si="93"/>
        <v>1061</v>
      </c>
      <c r="H804" s="185">
        <f t="shared" si="93"/>
        <v>1353</v>
      </c>
    </row>
    <row r="806" spans="2:11">
      <c r="B806" s="316" t="s">
        <v>609</v>
      </c>
      <c r="C806" s="316"/>
      <c r="D806" s="317">
        <f>D801/D804</f>
        <v>0.18961038961038962</v>
      </c>
      <c r="E806" s="317">
        <f t="shared" ref="E806:H806" si="94">E801/E804</f>
        <v>0.11563731931668857</v>
      </c>
      <c r="F806" s="317">
        <f t="shared" si="94"/>
        <v>9.8654708520179366E-2</v>
      </c>
      <c r="G806" s="317">
        <f t="shared" si="94"/>
        <v>0.17342130065975495</v>
      </c>
      <c r="H806" s="317">
        <f t="shared" si="94"/>
        <v>0.13747228381374724</v>
      </c>
      <c r="J806" s="317">
        <f>MEDIAN(D806:H806)</f>
        <v>0.13747228381374724</v>
      </c>
      <c r="K806" s="317">
        <f>AVERAGE(D806:H806)</f>
        <v>0.14295920038415194</v>
      </c>
    </row>
    <row r="808" spans="2:11">
      <c r="B808" s="151" t="s">
        <v>610</v>
      </c>
      <c r="D808" s="350">
        <f>D806*$B$809</f>
        <v>69.20779220779221</v>
      </c>
      <c r="E808" s="350">
        <f t="shared" ref="E808:H808" si="95">E806*$B$809</f>
        <v>42.207621550591327</v>
      </c>
      <c r="F808" s="350">
        <f t="shared" si="95"/>
        <v>36.00896860986547</v>
      </c>
      <c r="G808" s="350">
        <f t="shared" si="95"/>
        <v>63.298774740810558</v>
      </c>
      <c r="H808" s="350">
        <f t="shared" si="95"/>
        <v>50.17738359201774</v>
      </c>
      <c r="J808" s="350">
        <f>MEDIAN(D808:H808)</f>
        <v>50.17738359201774</v>
      </c>
      <c r="K808" s="350">
        <f>AVERAGE(D808:H808)</f>
        <v>52.180108140215467</v>
      </c>
    </row>
    <row r="809" spans="2:11">
      <c r="B809" s="250">
        <v>365</v>
      </c>
    </row>
    <row r="811" spans="2:11">
      <c r="B811" s="151" t="s">
        <v>285</v>
      </c>
      <c r="D811" s="151">
        <f>D737</f>
        <v>829</v>
      </c>
      <c r="E811" s="151">
        <f t="shared" ref="E811:H811" si="96">E737</f>
        <v>1551</v>
      </c>
      <c r="F811" s="151">
        <f t="shared" si="96"/>
        <v>2188</v>
      </c>
      <c r="G811" s="151">
        <f t="shared" si="96"/>
        <v>1929</v>
      </c>
      <c r="H811" s="151">
        <f t="shared" si="96"/>
        <v>2550</v>
      </c>
    </row>
    <row r="813" spans="2:11">
      <c r="B813" s="316" t="s">
        <v>611</v>
      </c>
      <c r="C813" s="316"/>
      <c r="D813" s="317">
        <f>D801/D811</f>
        <v>8.805790108564536E-2</v>
      </c>
      <c r="E813" s="317">
        <f t="shared" ref="E813:H813" si="97">E801/E811</f>
        <v>5.6737588652482268E-2</v>
      </c>
      <c r="F813" s="317">
        <f t="shared" si="97"/>
        <v>5.0274223034734916E-2</v>
      </c>
      <c r="G813" s="317">
        <f t="shared" si="97"/>
        <v>9.5386210471747016E-2</v>
      </c>
      <c r="H813" s="317">
        <f t="shared" si="97"/>
        <v>7.2941176470588232E-2</v>
      </c>
      <c r="J813" s="317">
        <f>MEDIAN(D813:H813)</f>
        <v>7.2941176470588232E-2</v>
      </c>
      <c r="K813" s="317">
        <f>AVERAGE(D813:H813)</f>
        <v>7.2679419943039558E-2</v>
      </c>
    </row>
    <row r="814" spans="2:11">
      <c r="B814" s="316" t="s">
        <v>612</v>
      </c>
      <c r="C814" s="317"/>
      <c r="D814" s="317">
        <f>D519/D516</f>
        <v>0.14354644149577805</v>
      </c>
      <c r="E814" s="317">
        <f t="shared" ref="E814:H814" si="98">E519/E516</f>
        <v>0.16505480335267569</v>
      </c>
      <c r="F814" s="317">
        <f t="shared" si="98"/>
        <v>7.5868372943327239E-2</v>
      </c>
      <c r="G814" s="317">
        <f t="shared" si="98"/>
        <v>9.2794193882840853E-2</v>
      </c>
      <c r="H814" s="317">
        <f t="shared" si="98"/>
        <v>9.0980392156862738E-2</v>
      </c>
      <c r="J814" s="317">
        <f>MEDIAN(D814:H814)</f>
        <v>9.2794193882840853E-2</v>
      </c>
      <c r="K814" s="317">
        <f>AVERAGE(D814:H814)</f>
        <v>0.11364884076629692</v>
      </c>
    </row>
    <row r="816" spans="2:11">
      <c r="B816" s="151" t="s">
        <v>610</v>
      </c>
      <c r="D816" s="350">
        <f>D813*$B$809</f>
        <v>32.141133896260556</v>
      </c>
      <c r="E816" s="350">
        <f t="shared" ref="E816:H816" si="99">E813*$B$809</f>
        <v>20.709219858156029</v>
      </c>
      <c r="F816" s="350">
        <f t="shared" si="99"/>
        <v>18.350091407678246</v>
      </c>
      <c r="G816" s="350">
        <f t="shared" si="99"/>
        <v>34.815966822187661</v>
      </c>
      <c r="H816" s="350">
        <f t="shared" si="99"/>
        <v>26.623529411764704</v>
      </c>
      <c r="J816" s="350">
        <f>MEDIAN(D816:H816)</f>
        <v>26.623529411764704</v>
      </c>
      <c r="K816" s="350">
        <f>AVERAGE(D816:H816)</f>
        <v>26.527988279209438</v>
      </c>
    </row>
    <row r="818" spans="2:11" ht="15">
      <c r="B818" s="221" t="s">
        <v>613</v>
      </c>
      <c r="D818" s="351"/>
      <c r="E818" s="351"/>
      <c r="F818" s="351"/>
    </row>
    <row r="819" spans="2:11" ht="15">
      <c r="D819" s="351"/>
      <c r="E819" s="351"/>
      <c r="F819" s="351"/>
    </row>
    <row r="820" spans="2:11">
      <c r="B820" s="221" t="s">
        <v>486</v>
      </c>
      <c r="C820" s="221"/>
      <c r="D820" s="221">
        <v>2021</v>
      </c>
      <c r="E820" s="221">
        <v>2022</v>
      </c>
      <c r="F820" s="221">
        <v>2023</v>
      </c>
      <c r="G820" s="221">
        <v>2024</v>
      </c>
      <c r="H820" s="221">
        <v>2025</v>
      </c>
    </row>
    <row r="821" spans="2:11">
      <c r="B821" s="261" t="s">
        <v>210</v>
      </c>
      <c r="C821" s="261"/>
      <c r="D821" s="352">
        <f>D816</f>
        <v>32.141133896260556</v>
      </c>
      <c r="E821" s="352">
        <f t="shared" ref="E821:H821" si="100">E816</f>
        <v>20.709219858156029</v>
      </c>
      <c r="F821" s="352">
        <f t="shared" si="100"/>
        <v>18.350091407678246</v>
      </c>
      <c r="G821" s="352">
        <f t="shared" si="100"/>
        <v>34.815966822187661</v>
      </c>
      <c r="H821" s="352">
        <f t="shared" si="100"/>
        <v>26.623529411764704</v>
      </c>
      <c r="J821" s="259">
        <f>MEDIAN(D821:H821)</f>
        <v>26.623529411764704</v>
      </c>
      <c r="K821" s="259">
        <f>AVERAGE(D821:H821)</f>
        <v>26.527988279209438</v>
      </c>
    </row>
    <row r="822" spans="2:11">
      <c r="B822" s="261" t="s">
        <v>488</v>
      </c>
      <c r="C822" s="261"/>
      <c r="D822" s="262">
        <v>42.57</v>
      </c>
      <c r="E822" s="262">
        <v>34.26</v>
      </c>
      <c r="F822" s="262">
        <v>39.909999999999997</v>
      </c>
      <c r="G822" s="262">
        <v>35.92</v>
      </c>
      <c r="H822" s="262">
        <v>45.49</v>
      </c>
      <c r="J822" s="259">
        <f>MEDIAN(D822:H822)</f>
        <v>39.909999999999997</v>
      </c>
      <c r="K822" s="259">
        <f>AVERAGE(D822:H822)</f>
        <v>39.630000000000003</v>
      </c>
    </row>
    <row r="823" spans="2:11">
      <c r="B823" s="261" t="s">
        <v>487</v>
      </c>
      <c r="C823" s="261"/>
      <c r="D823" s="262">
        <v>28.43</v>
      </c>
      <c r="E823" s="262">
        <v>27.33</v>
      </c>
      <c r="F823" s="262">
        <v>20.63</v>
      </c>
      <c r="G823" s="262">
        <v>24.03</v>
      </c>
      <c r="H823" s="262">
        <v>22.89</v>
      </c>
      <c r="J823" s="259">
        <f>MEDIAN(D823:H823)</f>
        <v>24.03</v>
      </c>
      <c r="K823" s="259">
        <f>AVERAGE(D823:H823)</f>
        <v>24.661999999999999</v>
      </c>
    </row>
    <row r="824" spans="2:11">
      <c r="B824" s="261" t="s">
        <v>490</v>
      </c>
      <c r="C824" s="261"/>
      <c r="D824" s="262">
        <v>37.82</v>
      </c>
      <c r="E824" s="262">
        <v>43.45</v>
      </c>
      <c r="F824" s="262">
        <v>41.44</v>
      </c>
      <c r="G824" s="262">
        <v>42.8</v>
      </c>
      <c r="H824" s="262">
        <v>37.950000000000003</v>
      </c>
      <c r="J824" s="259">
        <f>MEDIAN(D824:H824)</f>
        <v>41.44</v>
      </c>
      <c r="K824" s="259">
        <f>AVERAGE(D824:H824)</f>
        <v>40.691999999999993</v>
      </c>
    </row>
    <row r="825" spans="2:11">
      <c r="B825" s="261" t="s">
        <v>491</v>
      </c>
      <c r="C825" s="261"/>
      <c r="D825" s="262"/>
      <c r="E825" s="262">
        <v>119.46</v>
      </c>
      <c r="F825" s="262">
        <v>137.51</v>
      </c>
      <c r="G825" s="262">
        <v>162.43</v>
      </c>
      <c r="H825" s="262">
        <v>139.99</v>
      </c>
      <c r="J825" s="259">
        <f>MEDIAN(D825:H825)</f>
        <v>138.75</v>
      </c>
      <c r="K825" s="259">
        <f>AVERAGE(D825:H825)</f>
        <v>139.8475</v>
      </c>
    </row>
    <row r="826" spans="2:11">
      <c r="B826" s="151" t="s">
        <v>614</v>
      </c>
      <c r="D826" s="262">
        <v>68.88</v>
      </c>
      <c r="E826" s="262">
        <v>61.54</v>
      </c>
      <c r="F826" s="262">
        <v>54.77</v>
      </c>
      <c r="G826" s="262">
        <v>61.06</v>
      </c>
      <c r="H826" s="262">
        <v>57.92</v>
      </c>
      <c r="J826" s="259">
        <f t="shared" ref="J826:J829" si="101">MEDIAN(D826:H826)</f>
        <v>61.06</v>
      </c>
      <c r="K826" s="259">
        <f t="shared" ref="K826:K829" si="102">AVERAGE(D826:H826)</f>
        <v>60.834000000000003</v>
      </c>
    </row>
    <row r="827" spans="2:11">
      <c r="B827" s="262" t="s">
        <v>616</v>
      </c>
      <c r="C827" s="262"/>
      <c r="D827" s="262">
        <v>26.85</v>
      </c>
      <c r="E827" s="262">
        <v>17.22</v>
      </c>
      <c r="F827" s="262">
        <v>10.17</v>
      </c>
      <c r="G827" s="262">
        <v>11.23</v>
      </c>
      <c r="H827" s="262">
        <v>20.37</v>
      </c>
      <c r="J827" s="259">
        <f t="shared" si="101"/>
        <v>17.22</v>
      </c>
      <c r="K827" s="259">
        <f t="shared" si="102"/>
        <v>17.167999999999999</v>
      </c>
    </row>
    <row r="828" spans="2:11">
      <c r="B828" s="262" t="s">
        <v>617</v>
      </c>
      <c r="C828" s="262"/>
      <c r="D828" s="262"/>
      <c r="E828" s="262">
        <v>35.380000000000003</v>
      </c>
      <c r="F828" s="262">
        <v>22.32</v>
      </c>
      <c r="G828" s="262">
        <v>28.28</v>
      </c>
      <c r="H828" s="262">
        <v>41.88</v>
      </c>
      <c r="J828" s="259">
        <f t="shared" si="101"/>
        <v>31.830000000000002</v>
      </c>
      <c r="K828" s="259">
        <f t="shared" si="102"/>
        <v>31.965000000000003</v>
      </c>
    </row>
    <row r="829" spans="2:11">
      <c r="B829" s="262" t="s">
        <v>618</v>
      </c>
      <c r="C829" s="262"/>
      <c r="D829" s="262">
        <v>36.56</v>
      </c>
      <c r="E829" s="262">
        <v>27.46</v>
      </c>
      <c r="F829" s="262">
        <v>30.3</v>
      </c>
      <c r="G829" s="262">
        <v>25.55</v>
      </c>
      <c r="H829" s="262">
        <v>23</v>
      </c>
      <c r="J829" s="259">
        <f t="shared" si="101"/>
        <v>27.46</v>
      </c>
      <c r="K829" s="259">
        <f t="shared" si="102"/>
        <v>28.574000000000002</v>
      </c>
    </row>
    <row r="830" spans="2:11">
      <c r="D830" s="259"/>
      <c r="E830" s="259"/>
      <c r="F830" s="259"/>
      <c r="G830" s="259"/>
      <c r="H830" s="259"/>
    </row>
    <row r="832" spans="2:11">
      <c r="B832" s="263" t="s">
        <v>432</v>
      </c>
      <c r="C832" s="263"/>
      <c r="D832" s="264">
        <f>MEDIAN(D822:D829)</f>
        <v>37.19</v>
      </c>
      <c r="E832" s="264">
        <f t="shared" ref="E832:H832" si="103">MEDIAN(E822:E829)</f>
        <v>34.82</v>
      </c>
      <c r="F832" s="264">
        <f t="shared" si="103"/>
        <v>35.104999999999997</v>
      </c>
      <c r="G832" s="264">
        <f t="shared" si="103"/>
        <v>32.1</v>
      </c>
      <c r="H832" s="264">
        <f t="shared" si="103"/>
        <v>39.915000000000006</v>
      </c>
    </row>
    <row r="833" spans="2:11">
      <c r="B833" s="263" t="s">
        <v>433</v>
      </c>
      <c r="C833" s="263"/>
      <c r="D833" s="264">
        <f>AVERAGE(D822:D829)</f>
        <v>40.184999999999995</v>
      </c>
      <c r="E833" s="264">
        <f t="shared" ref="E833:H833" si="104">AVERAGE(E822:E829)</f>
        <v>45.762499999999996</v>
      </c>
      <c r="F833" s="264">
        <f t="shared" si="104"/>
        <v>44.631250000000001</v>
      </c>
      <c r="G833" s="264">
        <f t="shared" si="104"/>
        <v>48.912500000000001</v>
      </c>
      <c r="H833" s="264">
        <f t="shared" si="104"/>
        <v>48.686250000000001</v>
      </c>
      <c r="J833" s="259">
        <f>MEDIAN(D833:H833)</f>
        <v>45.762499999999996</v>
      </c>
      <c r="K833" s="259">
        <f>AVERAGE(D833:H833)</f>
        <v>45.635499999999993</v>
      </c>
    </row>
    <row r="836" spans="2:11">
      <c r="B836" s="221" t="s">
        <v>450</v>
      </c>
    </row>
    <row r="838" spans="2:11">
      <c r="B838" s="151" t="s">
        <v>619</v>
      </c>
    </row>
    <row r="840" spans="2:11">
      <c r="B840" s="221" t="s">
        <v>536</v>
      </c>
    </row>
    <row r="842" spans="2:11">
      <c r="B842" s="151" t="s">
        <v>620</v>
      </c>
    </row>
    <row r="859" spans="1:2">
      <c r="A859" s="151" t="s">
        <v>35</v>
      </c>
      <c r="B859" s="185" t="s">
        <v>621</v>
      </c>
    </row>
    <row r="861" spans="1:2">
      <c r="B861" s="151" t="s">
        <v>622</v>
      </c>
    </row>
    <row r="864" spans="1:2">
      <c r="A864" s="151" t="s">
        <v>35</v>
      </c>
      <c r="B864" s="185" t="s">
        <v>623</v>
      </c>
    </row>
    <row r="866" spans="2:11" ht="15">
      <c r="B866" s="165" t="s">
        <v>519</v>
      </c>
      <c r="C866" s="9"/>
      <c r="D866" s="9">
        <v>2021</v>
      </c>
      <c r="E866" s="9">
        <v>2022</v>
      </c>
      <c r="F866" s="9">
        <v>2023</v>
      </c>
      <c r="G866" s="9">
        <v>2024</v>
      </c>
      <c r="H866" s="9">
        <v>2025</v>
      </c>
    </row>
    <row r="867" spans="2:11" ht="15">
      <c r="B867" s="277"/>
      <c r="C867" s="278"/>
      <c r="D867" s="278"/>
      <c r="E867" s="278"/>
      <c r="F867" s="278"/>
      <c r="G867" s="278"/>
      <c r="H867" s="278"/>
    </row>
    <row r="868" spans="2:11">
      <c r="B868" s="151" t="str">
        <f>' Balance Sheet'!B40</f>
        <v>Long-Term Borrowings</v>
      </c>
      <c r="D868" s="151">
        <f>' Balance Sheet'!D40</f>
        <v>340</v>
      </c>
      <c r="E868" s="151">
        <f>' Balance Sheet'!E40</f>
        <v>768</v>
      </c>
      <c r="F868" s="151">
        <f>' Balance Sheet'!F40</f>
        <v>545</v>
      </c>
      <c r="G868" s="151">
        <f>' Balance Sheet'!G40</f>
        <v>547</v>
      </c>
      <c r="H868" s="151">
        <f>' Balance Sheet'!H40</f>
        <v>449</v>
      </c>
    </row>
    <row r="869" spans="2:11">
      <c r="B869" s="356" t="s">
        <v>543</v>
      </c>
      <c r="C869" s="356"/>
      <c r="D869" s="356"/>
      <c r="E869" s="357">
        <f>E868/D868-1</f>
        <v>1.2588235294117647</v>
      </c>
      <c r="F869" s="357">
        <f t="shared" ref="F869:H869" si="105">F868/E868-1</f>
        <v>-0.29036458333333337</v>
      </c>
      <c r="G869" s="357">
        <f t="shared" si="105"/>
        <v>3.669724770642091E-3</v>
      </c>
      <c r="H869" s="357">
        <f t="shared" si="105"/>
        <v>-0.17915904936014626</v>
      </c>
      <c r="J869" s="318">
        <f>MEDIAN(D869:H869)</f>
        <v>-8.7744662294752085E-2</v>
      </c>
      <c r="K869" s="318">
        <f>AVERAGE(D869:H869)</f>
        <v>0.19824240537223178</v>
      </c>
    </row>
    <row r="870" spans="2:11">
      <c r="B870" s="151" t="str">
        <f>' Balance Sheet'!B36</f>
        <v>Short-Term Borrowings</v>
      </c>
      <c r="D870" s="151">
        <f>' Balance Sheet'!D36</f>
        <v>75</v>
      </c>
      <c r="E870" s="151">
        <f>' Balance Sheet'!E36</f>
        <v>80</v>
      </c>
      <c r="F870" s="151">
        <f>' Balance Sheet'!F36</f>
        <v>92</v>
      </c>
      <c r="G870" s="151">
        <f>' Balance Sheet'!G36</f>
        <v>221</v>
      </c>
      <c r="H870" s="151">
        <f>' Balance Sheet'!H36</f>
        <v>50</v>
      </c>
    </row>
    <row r="871" spans="2:11">
      <c r="B871" s="356" t="s">
        <v>543</v>
      </c>
      <c r="C871" s="356"/>
      <c r="D871" s="356"/>
      <c r="E871" s="357">
        <f>E870/D870-1</f>
        <v>6.6666666666666652E-2</v>
      </c>
      <c r="F871" s="357">
        <f>F870/E870-1</f>
        <v>0.14999999999999991</v>
      </c>
      <c r="G871" s="357">
        <f>G870/F870-1</f>
        <v>1.402173913043478</v>
      </c>
      <c r="H871" s="357">
        <f>H870/G870-1</f>
        <v>-0.77375565610859731</v>
      </c>
      <c r="J871" s="318">
        <f>MEDIAN(D871:H871)</f>
        <v>0.10833333333333328</v>
      </c>
      <c r="K871" s="318">
        <f>AVERAGE(D871:H871)</f>
        <v>0.21127123090038682</v>
      </c>
    </row>
    <row r="872" spans="2:11">
      <c r="B872" s="307" t="s">
        <v>624</v>
      </c>
      <c r="C872" s="307"/>
      <c r="D872" s="307">
        <f>SUM(D870,D868)</f>
        <v>415</v>
      </c>
      <c r="E872" s="307">
        <f t="shared" ref="E872:H872" si="106">SUM(E870,E868)</f>
        <v>848</v>
      </c>
      <c r="F872" s="307">
        <f t="shared" si="106"/>
        <v>637</v>
      </c>
      <c r="G872" s="307">
        <f t="shared" si="106"/>
        <v>768</v>
      </c>
      <c r="H872" s="307">
        <f t="shared" si="106"/>
        <v>499</v>
      </c>
    </row>
    <row r="873" spans="2:11">
      <c r="B873" s="356" t="s">
        <v>543</v>
      </c>
      <c r="C873" s="356"/>
      <c r="D873" s="356"/>
      <c r="E873" s="357">
        <f>E872/D872-1</f>
        <v>1.0433734939759036</v>
      </c>
      <c r="F873" s="357">
        <f>F872/E872-1</f>
        <v>-0.24882075471698117</v>
      </c>
      <c r="G873" s="357">
        <f>G872/F872-1</f>
        <v>0.20565149136577698</v>
      </c>
      <c r="H873" s="357">
        <f>H872/G872-1</f>
        <v>-0.35026041666666663</v>
      </c>
      <c r="J873" s="318">
        <f>MEDIAN(D873:H873)</f>
        <v>-2.1584631675602095E-2</v>
      </c>
      <c r="K873" s="318">
        <f>AVERAGE(D873:H873)</f>
        <v>0.1624859534895082</v>
      </c>
    </row>
    <row r="874" spans="2:11">
      <c r="B874" s="353"/>
      <c r="C874" s="353"/>
      <c r="D874" s="353"/>
      <c r="E874" s="354"/>
      <c r="F874" s="354"/>
      <c r="G874" s="354"/>
      <c r="H874" s="354"/>
    </row>
    <row r="875" spans="2:11">
      <c r="B875" s="151" t="s">
        <v>630</v>
      </c>
      <c r="D875" s="158">
        <f>' Balance Sheet'!D50</f>
        <v>684</v>
      </c>
      <c r="E875" s="158">
        <f>' Balance Sheet'!E50</f>
        <v>726</v>
      </c>
      <c r="F875" s="158">
        <f>' Balance Sheet'!F50</f>
        <v>1070</v>
      </c>
      <c r="G875" s="158">
        <f>' Balance Sheet'!G50</f>
        <v>1255</v>
      </c>
      <c r="H875" s="158">
        <f>' Balance Sheet'!H50</f>
        <v>1904</v>
      </c>
    </row>
    <row r="877" spans="2:11">
      <c r="B877" s="316" t="s">
        <v>625</v>
      </c>
      <c r="C877" s="316"/>
      <c r="D877" s="317">
        <f>D868/D872</f>
        <v>0.81927710843373491</v>
      </c>
      <c r="E877" s="317">
        <f t="shared" ref="E877:F877" si="107">E868/E872</f>
        <v>0.90566037735849059</v>
      </c>
      <c r="F877" s="317">
        <f t="shared" si="107"/>
        <v>0.85557299843014134</v>
      </c>
      <c r="G877" s="317">
        <f>G868/G872</f>
        <v>0.71223958333333337</v>
      </c>
      <c r="H877" s="317">
        <f>H868/H872</f>
        <v>0.8997995991983968</v>
      </c>
      <c r="J877" s="317">
        <f>MEDIAN(D877:H877)</f>
        <v>0.85557299843014134</v>
      </c>
      <c r="K877" s="317">
        <f>AVERAGE(D877:H877)</f>
        <v>0.83850993335081936</v>
      </c>
    </row>
    <row r="878" spans="2:11">
      <c r="B878" s="316" t="s">
        <v>626</v>
      </c>
      <c r="C878" s="316"/>
      <c r="D878" s="317">
        <f>D870/D872</f>
        <v>0.18072289156626506</v>
      </c>
      <c r="E878" s="317">
        <f t="shared" ref="E878:H878" si="108">E870/E872</f>
        <v>9.4339622641509441E-2</v>
      </c>
      <c r="F878" s="317">
        <f t="shared" si="108"/>
        <v>0.14442700156985872</v>
      </c>
      <c r="G878" s="317">
        <f t="shared" si="108"/>
        <v>0.28776041666666669</v>
      </c>
      <c r="H878" s="317">
        <f t="shared" si="108"/>
        <v>0.10020040080160321</v>
      </c>
      <c r="J878" s="317">
        <f t="shared" ref="J878" si="109">MEDIAN(D878:H878)</f>
        <v>0.14442700156985872</v>
      </c>
      <c r="K878" s="317">
        <f>AVERAGE(D878:H878)</f>
        <v>0.16149006664918061</v>
      </c>
    </row>
    <row r="880" spans="2:11">
      <c r="B880" s="151" t="s">
        <v>285</v>
      </c>
      <c r="D880" s="151">
        <f>D737</f>
        <v>829</v>
      </c>
      <c r="E880" s="151">
        <f t="shared" ref="E880:H880" si="110">E737</f>
        <v>1551</v>
      </c>
      <c r="F880" s="151">
        <f t="shared" si="110"/>
        <v>2188</v>
      </c>
      <c r="G880" s="151">
        <f t="shared" si="110"/>
        <v>1929</v>
      </c>
      <c r="H880" s="151">
        <f t="shared" si="110"/>
        <v>2550</v>
      </c>
    </row>
    <row r="882" spans="2:11">
      <c r="B882" s="316" t="s">
        <v>627</v>
      </c>
      <c r="C882" s="316"/>
      <c r="D882" s="317">
        <f>D868/D880</f>
        <v>0.41013268998793728</v>
      </c>
      <c r="E882" s="317">
        <f t="shared" ref="E882:H882" si="111">E868/E880</f>
        <v>0.49516441005802708</v>
      </c>
      <c r="F882" s="317">
        <f t="shared" si="111"/>
        <v>0.24908592321755027</v>
      </c>
      <c r="G882" s="317">
        <f t="shared" si="111"/>
        <v>0.28356661482633488</v>
      </c>
      <c r="H882" s="317">
        <f t="shared" si="111"/>
        <v>0.17607843137254903</v>
      </c>
      <c r="J882" s="317">
        <f>MEDIAN(D882:H882)</f>
        <v>0.28356661482633488</v>
      </c>
      <c r="K882" s="317">
        <f>AVERAGE(D882:H882)</f>
        <v>0.32280561389247969</v>
      </c>
    </row>
    <row r="883" spans="2:11">
      <c r="B883" s="316" t="s">
        <v>628</v>
      </c>
      <c r="C883" s="316"/>
      <c r="D883" s="317">
        <f>D870/D880</f>
        <v>9.0470446320868522E-2</v>
      </c>
      <c r="E883" s="317">
        <f t="shared" ref="E883:H883" si="112">E870/E880</f>
        <v>5.1579626047711151E-2</v>
      </c>
      <c r="F883" s="317">
        <f t="shared" si="112"/>
        <v>4.2047531992687383E-2</v>
      </c>
      <c r="G883" s="317">
        <f t="shared" si="112"/>
        <v>0.11456713322965267</v>
      </c>
      <c r="H883" s="317">
        <f t="shared" si="112"/>
        <v>1.9607843137254902E-2</v>
      </c>
      <c r="J883" s="317">
        <f t="shared" ref="J883" si="113">MEDIAN(D883:H883)</f>
        <v>5.1579626047711151E-2</v>
      </c>
      <c r="K883" s="317">
        <f>AVERAGE(D883:H883)</f>
        <v>6.3654516145634915E-2</v>
      </c>
    </row>
    <row r="885" spans="2:11">
      <c r="B885" s="316" t="s">
        <v>631</v>
      </c>
      <c r="C885" s="316"/>
      <c r="D885" s="355">
        <f>D872/D875</f>
        <v>0.60672514619883045</v>
      </c>
      <c r="E885" s="355">
        <f t="shared" ref="E885:H885" si="114">E872/E875</f>
        <v>1.1680440771349863</v>
      </c>
      <c r="F885" s="355">
        <f t="shared" si="114"/>
        <v>0.59532710280373835</v>
      </c>
      <c r="G885" s="355">
        <f t="shared" si="114"/>
        <v>0.61195219123505973</v>
      </c>
      <c r="H885" s="355">
        <f t="shared" si="114"/>
        <v>0.26207983193277312</v>
      </c>
      <c r="J885" s="355">
        <f>MEDIAN(D885:H885)</f>
        <v>0.60672514619883045</v>
      </c>
      <c r="K885" s="355">
        <f>AVERAGE(D885:H885)</f>
        <v>0.6488256698610777</v>
      </c>
    </row>
    <row r="886" spans="2:11">
      <c r="B886" s="316" t="s">
        <v>629</v>
      </c>
      <c r="C886" s="316"/>
      <c r="D886" s="355">
        <f>D872/SUM(D872,D875)</f>
        <v>0.37761601455868971</v>
      </c>
      <c r="E886" s="355">
        <f t="shared" ref="E886:H886" si="115">E872/SUM(E872,E875)</f>
        <v>0.53875476493011432</v>
      </c>
      <c r="F886" s="355">
        <f t="shared" si="115"/>
        <v>0.37316930287053313</v>
      </c>
      <c r="G886" s="355">
        <f t="shared" si="115"/>
        <v>0.37963420662382602</v>
      </c>
      <c r="H886" s="355">
        <f t="shared" si="115"/>
        <v>0.20765709529754472</v>
      </c>
      <c r="J886" s="355">
        <f>MEDIAN(D886:H886)</f>
        <v>0.37761601455868971</v>
      </c>
      <c r="K886" s="355">
        <f>AVERAGE(D886:H886)</f>
        <v>0.3753662768561416</v>
      </c>
    </row>
    <row r="887" spans="2:11">
      <c r="B887" s="316" t="s">
        <v>632</v>
      </c>
      <c r="C887" s="316"/>
      <c r="D887" s="355">
        <f>D872/' Balance Sheet'!D26</f>
        <v>0.28640441683919943</v>
      </c>
      <c r="E887" s="355">
        <f>E872/' Balance Sheet'!E26</f>
        <v>0.3992467043314501</v>
      </c>
      <c r="F887" s="355">
        <f>F872/' Balance Sheet'!F26</f>
        <v>0.26192434210526316</v>
      </c>
      <c r="G887" s="355">
        <f>G872/' Balance Sheet'!G26</f>
        <v>0.27487473156764497</v>
      </c>
      <c r="H887" s="355">
        <f>H872/' Balance Sheet'!H26</f>
        <v>0.15831218274111675</v>
      </c>
      <c r="J887" s="355">
        <f t="shared" ref="J887" si="116">MEDIAN(D887:H887)</f>
        <v>0.27487473156764497</v>
      </c>
      <c r="K887" s="355">
        <f>AVERAGE(D887:H887)</f>
        <v>0.27615247551693484</v>
      </c>
    </row>
    <row r="888" spans="2:11">
      <c r="B888" s="316" t="s">
        <v>633</v>
      </c>
      <c r="C888" s="316"/>
      <c r="D888" s="355">
        <f>D872/' Income Statement'!D25</f>
        <v>1.5851795263559969</v>
      </c>
      <c r="E888" s="355">
        <f>E872/' Income Statement'!E25</f>
        <v>1.662093296746374</v>
      </c>
      <c r="F888" s="355">
        <f>F872/' Income Statement'!F25</f>
        <v>0.92399187699448804</v>
      </c>
      <c r="G888" s="355">
        <f>G872/' Income Statement'!G25</f>
        <v>1.5976700644892865</v>
      </c>
      <c r="H888" s="355">
        <f>H872/' Income Statement'!H25</f>
        <v>0.70143379252178806</v>
      </c>
      <c r="J888" s="355">
        <f>MEDIAN(D888:H888)</f>
        <v>1.5851795263559969</v>
      </c>
      <c r="K888" s="355">
        <f>AVERAGE(D888:H888)</f>
        <v>1.2940737114215868</v>
      </c>
    </row>
    <row r="889" spans="2:11">
      <c r="D889" s="222"/>
      <c r="E889" s="222"/>
      <c r="F889" s="222"/>
      <c r="G889" s="222"/>
      <c r="H889" s="222"/>
    </row>
    <row r="891" spans="2:11" ht="15">
      <c r="B891" s="165" t="s">
        <v>450</v>
      </c>
      <c r="C891" s="9"/>
      <c r="D891" s="9"/>
      <c r="E891" s="9"/>
      <c r="F891" s="9"/>
      <c r="G891" s="9"/>
      <c r="H891" s="9"/>
    </row>
    <row r="903" spans="10:10">
      <c r="J903" s="193">
        <v>45778</v>
      </c>
    </row>
    <row r="914" spans="10:10">
      <c r="J914" s="193">
        <v>45231</v>
      </c>
    </row>
    <row r="933" spans="1:11">
      <c r="A933" s="151" t="s">
        <v>35</v>
      </c>
      <c r="B933" s="185" t="s">
        <v>623</v>
      </c>
    </row>
    <row r="935" spans="1:11" ht="15">
      <c r="B935" s="165" t="s">
        <v>519</v>
      </c>
      <c r="C935" s="9"/>
      <c r="D935" s="9">
        <v>2021</v>
      </c>
      <c r="E935" s="9">
        <v>2022</v>
      </c>
      <c r="F935" s="9">
        <v>2023</v>
      </c>
      <c r="G935" s="9">
        <v>2024</v>
      </c>
      <c r="H935" s="9">
        <v>2025</v>
      </c>
    </row>
    <row r="936" spans="1:11">
      <c r="B936" s="307" t="s">
        <v>624</v>
      </c>
      <c r="C936" s="307"/>
      <c r="D936" s="307">
        <v>415</v>
      </c>
      <c r="E936" s="307">
        <v>848</v>
      </c>
      <c r="F936" s="307">
        <v>637</v>
      </c>
      <c r="G936" s="307">
        <v>768</v>
      </c>
      <c r="H936" s="307">
        <v>499</v>
      </c>
    </row>
    <row r="937" spans="1:11">
      <c r="B937" s="151" t="s">
        <v>643</v>
      </c>
      <c r="D937" s="151">
        <f>'3 Statement Model'!D35</f>
        <v>34</v>
      </c>
      <c r="E937" s="151">
        <f>'3 Statement Model'!E35</f>
        <v>48</v>
      </c>
      <c r="F937" s="151">
        <f>'3 Statement Model'!F35</f>
        <v>67</v>
      </c>
      <c r="G937" s="151">
        <f>'3 Statement Model'!G35</f>
        <v>73</v>
      </c>
      <c r="H937" s="151">
        <f>'3 Statement Model'!H35</f>
        <v>53</v>
      </c>
    </row>
    <row r="938" spans="1:11">
      <c r="B938" s="151" t="s">
        <v>644</v>
      </c>
      <c r="D938" s="150">
        <f>D937/D936</f>
        <v>8.1927710843373497E-2</v>
      </c>
      <c r="E938" s="150">
        <f t="shared" ref="E938:H938" si="117">E937/E936</f>
        <v>5.6603773584905662E-2</v>
      </c>
      <c r="F938" s="150">
        <f t="shared" si="117"/>
        <v>0.10518053375196232</v>
      </c>
      <c r="G938" s="150">
        <f t="shared" si="117"/>
        <v>9.5052083333333329E-2</v>
      </c>
      <c r="H938" s="150">
        <f t="shared" si="117"/>
        <v>0.10621242484969939</v>
      </c>
      <c r="J938" s="317">
        <f>MEDIAN(D938:H938)</f>
        <v>9.5052083333333329E-2</v>
      </c>
      <c r="K938" s="317">
        <f>AVERAGE(D938:H938)</f>
        <v>8.899530527265484E-2</v>
      </c>
    </row>
    <row r="940" spans="1:11" ht="15">
      <c r="B940" s="165" t="s">
        <v>519</v>
      </c>
      <c r="C940" s="9"/>
      <c r="D940" s="9" t="s">
        <v>645</v>
      </c>
      <c r="E940" s="9" t="s">
        <v>646</v>
      </c>
    </row>
    <row r="941" spans="1:11">
      <c r="B941" s="151" t="s">
        <v>648</v>
      </c>
      <c r="D941" s="186">
        <v>8.4500000000000006E-2</v>
      </c>
      <c r="E941" s="151">
        <v>547</v>
      </c>
    </row>
    <row r="942" spans="1:11">
      <c r="B942" s="151" t="s">
        <v>647</v>
      </c>
      <c r="D942" s="186">
        <v>7.0099999999999996E-2</v>
      </c>
      <c r="E942" s="151">
        <v>449</v>
      </c>
    </row>
    <row r="943" spans="1:11">
      <c r="D943" s="366" cm="1">
        <f t="array" ref="D943">SUMPRODUCT(D941:D942,E941:E942/SUM(E941:E942))</f>
        <v>7.800843373493975E-2</v>
      </c>
    </row>
    <row r="945" spans="1:11">
      <c r="B945" s="151" t="s">
        <v>649</v>
      </c>
      <c r="D945" s="366">
        <v>5.5E-2</v>
      </c>
    </row>
    <row r="948" spans="1:11">
      <c r="A948" s="151" t="s">
        <v>35</v>
      </c>
      <c r="B948" s="185" t="s">
        <v>287</v>
      </c>
    </row>
    <row r="950" spans="1:11" ht="15">
      <c r="B950" s="165" t="s">
        <v>519</v>
      </c>
      <c r="C950" s="9"/>
      <c r="D950" s="9">
        <v>2021</v>
      </c>
      <c r="E950" s="9">
        <v>2022</v>
      </c>
      <c r="F950" s="9">
        <v>2023</v>
      </c>
      <c r="G950" s="9">
        <v>2024</v>
      </c>
      <c r="H950" s="9">
        <v>2025</v>
      </c>
    </row>
    <row r="951" spans="1:11">
      <c r="B951" s="151" t="s">
        <v>285</v>
      </c>
      <c r="D951" s="151">
        <v>829</v>
      </c>
      <c r="E951" s="151">
        <v>1551</v>
      </c>
      <c r="F951" s="151">
        <v>2188</v>
      </c>
      <c r="G951" s="151">
        <v>1929</v>
      </c>
      <c r="H951" s="151">
        <v>2550</v>
      </c>
    </row>
    <row r="952" spans="1:11">
      <c r="B952" s="151" t="s">
        <v>287</v>
      </c>
      <c r="D952" s="151">
        <f>' Income Statement'!D30</f>
        <v>7.5</v>
      </c>
      <c r="E952" s="151">
        <f>' Income Statement'!E30</f>
        <v>8.3000000000000007</v>
      </c>
      <c r="F952" s="151">
        <f>' Income Statement'!F30</f>
        <v>9.3000000000000007</v>
      </c>
      <c r="G952" s="151">
        <f>' Income Statement'!G30</f>
        <v>6.6</v>
      </c>
      <c r="H952" s="151">
        <f>' Income Statement'!H30</f>
        <v>15</v>
      </c>
    </row>
    <row r="953" spans="1:11">
      <c r="B953" s="286" t="s">
        <v>589</v>
      </c>
      <c r="C953" s="286"/>
      <c r="D953" s="370">
        <f>D952/D951</f>
        <v>9.0470446320868522E-3</v>
      </c>
      <c r="E953" s="370">
        <f t="shared" ref="E953:H953" si="118">E952/E951</f>
        <v>5.3513862024500329E-3</v>
      </c>
      <c r="F953" s="370">
        <f t="shared" si="118"/>
        <v>4.2504570383912251E-3</v>
      </c>
      <c r="G953" s="370">
        <f t="shared" si="118"/>
        <v>3.4214618973561427E-3</v>
      </c>
      <c r="H953" s="370">
        <f t="shared" si="118"/>
        <v>5.8823529411764705E-3</v>
      </c>
      <c r="J953" s="369">
        <f>MEDIAN(D953:H953)</f>
        <v>5.3513862024500329E-3</v>
      </c>
      <c r="K953" s="369">
        <f>AVERAGE(D953:H953)</f>
        <v>5.5905405422921441E-3</v>
      </c>
    </row>
    <row r="955" spans="1:11">
      <c r="B955" s="151" t="s">
        <v>652</v>
      </c>
    </row>
    <row r="958" spans="1:11">
      <c r="A958" s="151" t="s">
        <v>35</v>
      </c>
      <c r="B958" s="185" t="s">
        <v>653</v>
      </c>
    </row>
    <row r="960" spans="1:11" ht="15">
      <c r="B960" s="165" t="s">
        <v>519</v>
      </c>
      <c r="C960" s="9"/>
      <c r="D960" s="9">
        <v>2021</v>
      </c>
      <c r="E960" s="9">
        <v>2022</v>
      </c>
      <c r="F960" s="9">
        <v>2023</v>
      </c>
      <c r="G960" s="9">
        <v>2024</v>
      </c>
      <c r="H960" s="9">
        <v>2025</v>
      </c>
    </row>
    <row r="961" spans="1:23">
      <c r="B961" s="151" t="s">
        <v>630</v>
      </c>
      <c r="D961" s="158">
        <f>'3 Statement Model'!D118*-1</f>
        <v>0</v>
      </c>
      <c r="E961" s="158">
        <f>'3 Statement Model'!E118*-1</f>
        <v>0</v>
      </c>
      <c r="F961" s="158">
        <f>'3 Statement Model'!F118*-1</f>
        <v>10.37</v>
      </c>
      <c r="G961" s="158">
        <f>'3 Statement Model'!G118*-1</f>
        <v>10.37</v>
      </c>
      <c r="H961" s="158">
        <f>'3 Statement Model'!H118*-1</f>
        <v>31.54</v>
      </c>
    </row>
    <row r="962" spans="1:23">
      <c r="B962" s="151" t="s">
        <v>654</v>
      </c>
      <c r="D962" s="158">
        <f>'3 Statement Model'!D39</f>
        <v>101.30000000000001</v>
      </c>
      <c r="E962" s="158">
        <f>'3 Statement Model'!E39</f>
        <v>253.59999999999997</v>
      </c>
      <c r="F962" s="158">
        <f>'3 Statement Model'!F39</f>
        <v>353.74999999999989</v>
      </c>
      <c r="G962" s="158">
        <f>'3 Statement Model'!G39</f>
        <v>195.74</v>
      </c>
      <c r="H962" s="158">
        <f>'3 Statement Model'!H39</f>
        <v>357.83999999999992</v>
      </c>
    </row>
    <row r="963" spans="1:23">
      <c r="B963" s="286" t="s">
        <v>655</v>
      </c>
      <c r="C963" s="286"/>
      <c r="D963" s="370">
        <f>D961/D962</f>
        <v>0</v>
      </c>
      <c r="E963" s="370">
        <f>E961/E962</f>
        <v>0</v>
      </c>
      <c r="F963" s="370">
        <f>F961/F962</f>
        <v>2.9314487632508841E-2</v>
      </c>
      <c r="G963" s="370">
        <f>G961/G962</f>
        <v>5.2978440788801463E-2</v>
      </c>
      <c r="H963" s="370">
        <f>H961/H962</f>
        <v>8.8139950816007173E-2</v>
      </c>
      <c r="I963" s="370" t="e">
        <f t="shared" ref="I963" si="119">I961/I962</f>
        <v>#DIV/0!</v>
      </c>
    </row>
    <row r="965" spans="1:23">
      <c r="B965" s="151" t="s">
        <v>656</v>
      </c>
    </row>
    <row r="969" spans="1:23" ht="15">
      <c r="A969" s="151" t="s">
        <v>35</v>
      </c>
      <c r="B969" s="185" t="s">
        <v>12</v>
      </c>
      <c r="R969"/>
    </row>
    <row r="970" spans="1:23" ht="15">
      <c r="R970"/>
    </row>
    <row r="971" spans="1:23" ht="15">
      <c r="B971" s="165" t="s">
        <v>519</v>
      </c>
      <c r="C971" s="9"/>
      <c r="D971" s="9">
        <v>2021</v>
      </c>
      <c r="E971" s="9">
        <v>2022</v>
      </c>
      <c r="F971" s="9">
        <v>2023</v>
      </c>
      <c r="G971" s="9">
        <v>2024</v>
      </c>
      <c r="H971" s="9">
        <v>2025</v>
      </c>
      <c r="I971" s="151">
        <v>2026</v>
      </c>
      <c r="J971" s="9">
        <f>H971+1</f>
        <v>2026</v>
      </c>
      <c r="K971" s="9">
        <f>J971+1</f>
        <v>2027</v>
      </c>
      <c r="L971" s="9">
        <f t="shared" ref="L971:Q971" si="120">K971+1</f>
        <v>2028</v>
      </c>
      <c r="M971" s="9">
        <f t="shared" si="120"/>
        <v>2029</v>
      </c>
      <c r="N971" s="9">
        <f t="shared" si="120"/>
        <v>2030</v>
      </c>
      <c r="O971" s="9">
        <f t="shared" si="120"/>
        <v>2031</v>
      </c>
      <c r="P971" s="9">
        <f t="shared" si="120"/>
        <v>2032</v>
      </c>
      <c r="Q971" s="9">
        <f t="shared" si="120"/>
        <v>2033</v>
      </c>
      <c r="R971" s="9">
        <f t="shared" ref="R971" si="121">Q971+1</f>
        <v>2034</v>
      </c>
      <c r="S971" s="9">
        <f t="shared" ref="S971" si="122">R971+1</f>
        <v>2035</v>
      </c>
      <c r="T971" s="9">
        <f t="shared" ref="T971" si="123">S971+1</f>
        <v>2036</v>
      </c>
      <c r="U971" s="9">
        <f t="shared" ref="U971" si="124">T971+1</f>
        <v>2037</v>
      </c>
      <c r="V971" s="9">
        <f t="shared" ref="V971" si="125">U971+1</f>
        <v>2038</v>
      </c>
      <c r="W971" s="9">
        <f t="shared" ref="W971" si="126">V971+1</f>
        <v>2039</v>
      </c>
    </row>
    <row r="972" spans="1:23">
      <c r="B972" s="151" t="s">
        <v>663</v>
      </c>
      <c r="D972" s="158">
        <f>' Balance Sheet'!D12</f>
        <v>0.7</v>
      </c>
      <c r="E972" s="158">
        <f>' Balance Sheet'!E12</f>
        <v>25</v>
      </c>
      <c r="F972" s="158">
        <f>' Balance Sheet'!F12</f>
        <v>14</v>
      </c>
      <c r="G972" s="158">
        <f>' Balance Sheet'!G12</f>
        <v>3.1799999999999979</v>
      </c>
      <c r="H972" s="158">
        <f>' Balance Sheet'!H12</f>
        <v>18.639999999999979</v>
      </c>
      <c r="J972" s="394">
        <f>'3 Statement Model'!I51</f>
        <v>148.02369217192006</v>
      </c>
      <c r="K972" s="394">
        <f>'3 Statement Model'!J51</f>
        <v>157.4506502836125</v>
      </c>
      <c r="L972" s="394">
        <f>'3 Statement Model'!K51</f>
        <v>120.26836802160858</v>
      </c>
      <c r="M972" s="394">
        <f>'3 Statement Model'!L51</f>
        <v>102.98493413991423</v>
      </c>
      <c r="N972" s="394">
        <f>'3 Statement Model'!M51</f>
        <v>126.11325569442261</v>
      </c>
      <c r="O972" s="394">
        <f>'3 Statement Model'!N51</f>
        <v>163.55114207954443</v>
      </c>
      <c r="P972" s="394">
        <f>'3 Statement Model'!O51</f>
        <v>272.84587852326013</v>
      </c>
      <c r="Q972" s="394">
        <f>'3 Statement Model'!P51</f>
        <v>327.20903005105538</v>
      </c>
      <c r="R972" s="394">
        <f>'3 Statement Model'!Q51</f>
        <v>485.5994900958176</v>
      </c>
      <c r="S972" s="394">
        <f>'3 Statement Model'!R51</f>
        <v>600.57053422208492</v>
      </c>
      <c r="T972" s="394">
        <f>'3 Statement Model'!S51</f>
        <v>754.62374552586198</v>
      </c>
      <c r="U972" s="394">
        <f>'3 Statement Model'!T51</f>
        <v>937.30668761356674</v>
      </c>
      <c r="V972" s="394">
        <f>'3 Statement Model'!U51</f>
        <v>1125.210034389052</v>
      </c>
      <c r="W972" s="394">
        <f>'3 Statement Model'!V51</f>
        <v>1522.9581968304515</v>
      </c>
    </row>
    <row r="973" spans="1:23">
      <c r="B973" s="151" t="s">
        <v>285</v>
      </c>
      <c r="D973" s="151">
        <f>' Income Statement'!D8</f>
        <v>829</v>
      </c>
      <c r="E973" s="151">
        <f>' Income Statement'!E8</f>
        <v>1551</v>
      </c>
      <c r="F973" s="151">
        <f>' Income Statement'!F8</f>
        <v>2188</v>
      </c>
      <c r="G973" s="151">
        <f>' Income Statement'!G8</f>
        <v>1929</v>
      </c>
      <c r="H973" s="151">
        <f>' Income Statement'!H8</f>
        <v>2550</v>
      </c>
      <c r="J973" s="394">
        <f>'3 Statement Model'!I12</f>
        <v>2958</v>
      </c>
      <c r="K973" s="394">
        <f>'3 Statement Model'!J12</f>
        <v>3608.7599999999998</v>
      </c>
      <c r="L973" s="394">
        <f>'3 Statement Model'!K12</f>
        <v>4510.95</v>
      </c>
      <c r="M973" s="394">
        <f>'3 Statement Model'!L12</f>
        <v>5638.6875</v>
      </c>
      <c r="N973" s="394">
        <f>'3 Statement Model'!M12</f>
        <v>6949.6823437499997</v>
      </c>
      <c r="O973" s="394">
        <f>'3 Statement Model'!N12</f>
        <v>8443.8640476562487</v>
      </c>
      <c r="P973" s="394">
        <f>'3 Statement Model'!O12</f>
        <v>10111.527197068357</v>
      </c>
      <c r="Q973" s="394">
        <f>'3 Statement Model'!P12</f>
        <v>11931.602092540661</v>
      </c>
      <c r="R973" s="394">
        <f>'3 Statement Model'!Q12</f>
        <v>13721.34240642176</v>
      </c>
      <c r="S973" s="394">
        <f>'3 Statement Model'!R12</f>
        <v>15642.330343320808</v>
      </c>
      <c r="T973" s="394">
        <f>'3 Statement Model'!S12</f>
        <v>17519.409984519305</v>
      </c>
      <c r="U973" s="394">
        <f>'3 Statement Model'!T12</f>
        <v>19271.350982971238</v>
      </c>
      <c r="V973" s="394">
        <f>'3 Statement Model'!U12</f>
        <v>20813.059061608939</v>
      </c>
      <c r="W973" s="394">
        <f>'3 Statement Model'!V12</f>
        <v>21853.712014689387</v>
      </c>
    </row>
    <row r="974" spans="1:23">
      <c r="J974" s="316"/>
      <c r="K974" s="316"/>
      <c r="L974" s="316"/>
      <c r="M974" s="316"/>
      <c r="N974" s="316"/>
      <c r="O974" s="316"/>
      <c r="P974" s="316"/>
      <c r="Q974" s="316"/>
      <c r="R974" s="316"/>
      <c r="S974" s="316"/>
      <c r="T974" s="316"/>
      <c r="U974" s="316"/>
      <c r="V974" s="316"/>
      <c r="W974" s="316"/>
    </row>
    <row r="975" spans="1:23">
      <c r="B975" s="151" t="s">
        <v>664</v>
      </c>
      <c r="D975" s="150">
        <f>D972/D973</f>
        <v>8.4439083232810605E-4</v>
      </c>
      <c r="E975" s="150">
        <f t="shared" ref="E975:Q975" si="127">E972/E973</f>
        <v>1.6118633139909737E-2</v>
      </c>
      <c r="F975" s="150">
        <f t="shared" si="127"/>
        <v>6.3985374771480807E-3</v>
      </c>
      <c r="G975" s="150">
        <f t="shared" si="127"/>
        <v>1.6485225505443225E-3</v>
      </c>
      <c r="H975" s="150">
        <f t="shared" si="127"/>
        <v>7.3098039215686193E-3</v>
      </c>
      <c r="I975" s="150" t="e">
        <f t="shared" si="127"/>
        <v>#DIV/0!</v>
      </c>
      <c r="J975" s="317">
        <f t="shared" si="127"/>
        <v>5.0041816150074393E-2</v>
      </c>
      <c r="K975" s="317">
        <f t="shared" si="127"/>
        <v>4.3630125107685887E-2</v>
      </c>
      <c r="L975" s="317">
        <f t="shared" si="127"/>
        <v>2.6661427863666983E-2</v>
      </c>
      <c r="M975" s="317">
        <f t="shared" si="127"/>
        <v>1.8263990359443441E-2</v>
      </c>
      <c r="N975" s="317">
        <f t="shared" si="127"/>
        <v>1.8146621594559497E-2</v>
      </c>
      <c r="O975" s="317">
        <f t="shared" si="127"/>
        <v>1.9369229674528109E-2</v>
      </c>
      <c r="P975" s="317">
        <f t="shared" si="127"/>
        <v>2.6983646802865403E-2</v>
      </c>
      <c r="Q975" s="317">
        <f t="shared" si="127"/>
        <v>2.7423729647808006E-2</v>
      </c>
      <c r="R975" s="317">
        <f t="shared" ref="R975:V975" si="128">R972/R973</f>
        <v>3.5390086167411065E-2</v>
      </c>
      <c r="S975" s="317">
        <f t="shared" si="128"/>
        <v>3.8393929871102954E-2</v>
      </c>
      <c r="T975" s="317">
        <f t="shared" si="128"/>
        <v>4.307358216930085E-2</v>
      </c>
      <c r="U975" s="317">
        <f t="shared" si="128"/>
        <v>4.8637310816548353E-2</v>
      </c>
      <c r="V975" s="317">
        <f t="shared" si="128"/>
        <v>5.4062693574178922E-2</v>
      </c>
      <c r="W975" s="317">
        <f>W972/W973</f>
        <v>6.9688764810608206E-2</v>
      </c>
    </row>
    <row r="976" spans="1:23">
      <c r="J976" s="316"/>
      <c r="K976" s="316"/>
      <c r="L976" s="316"/>
      <c r="M976" s="316"/>
      <c r="N976" s="316"/>
      <c r="O976" s="316"/>
      <c r="P976" s="316"/>
      <c r="Q976" s="316"/>
      <c r="R976" s="316"/>
      <c r="S976" s="316"/>
      <c r="T976" s="316"/>
      <c r="U976" s="316"/>
      <c r="V976" s="316"/>
      <c r="W976" s="316"/>
    </row>
    <row r="977" spans="2:23">
      <c r="B977" s="151" t="s">
        <v>20</v>
      </c>
      <c r="D977" s="158">
        <f>' Balance Sheet'!D26</f>
        <v>1449</v>
      </c>
      <c r="E977" s="158">
        <f>' Balance Sheet'!E26</f>
        <v>2124</v>
      </c>
      <c r="F977" s="158">
        <f>' Balance Sheet'!F26</f>
        <v>2432</v>
      </c>
      <c r="G977" s="158">
        <f>' Balance Sheet'!G26</f>
        <v>2794</v>
      </c>
      <c r="H977" s="158">
        <f>' Balance Sheet'!H26</f>
        <v>3152</v>
      </c>
      <c r="J977" s="394">
        <f>'3 Statement Model'!I64</f>
        <v>3643.5560405085148</v>
      </c>
      <c r="K977" s="394">
        <f>'3 Statement Model'!J64</f>
        <v>4227.9549438256872</v>
      </c>
      <c r="L977" s="394">
        <f>'3 Statement Model'!K64</f>
        <v>4957.3255549100622</v>
      </c>
      <c r="M977" s="394">
        <f>'3 Statement Model'!L64</f>
        <v>5867.8522641301288</v>
      </c>
      <c r="N977" s="394">
        <f>'3 Statement Model'!M64</f>
        <v>6903.3784285937618</v>
      </c>
      <c r="O977" s="394">
        <f>'3 Statement Model'!N64</f>
        <v>8062.4075173347883</v>
      </c>
      <c r="P977" s="394">
        <f>'3 Statement Model'!O64</f>
        <v>9362.5086344143274</v>
      </c>
      <c r="Q977" s="394">
        <f>'3 Statement Model'!P64</f>
        <v>10740.269224859658</v>
      </c>
      <c r="R977" s="394">
        <f>'3 Statement Model'!Q64</f>
        <v>12162.130714125709</v>
      </c>
      <c r="S977" s="394">
        <f>'3 Statement Model'!R64</f>
        <v>13523.85438675902</v>
      </c>
      <c r="T977" s="394">
        <f>'3 Statement Model'!S64</f>
        <v>14856.734746081514</v>
      </c>
      <c r="U977" s="394">
        <f>'3 Statement Model'!T64</f>
        <v>16125.338725367645</v>
      </c>
      <c r="V977" s="394">
        <f>'3 Statement Model'!U64</f>
        <v>17280.104938249169</v>
      </c>
      <c r="W977" s="394">
        <f>'3 Statement Model'!V64</f>
        <v>18441.781173257292</v>
      </c>
    </row>
    <row r="978" spans="2:23">
      <c r="B978" s="151" t="s">
        <v>665</v>
      </c>
      <c r="D978" s="150">
        <f>D972/D977</f>
        <v>4.8309178743961351E-4</v>
      </c>
      <c r="E978" s="150">
        <f t="shared" ref="E978:H978" si="129">E972/E977</f>
        <v>1.1770244821092278E-2</v>
      </c>
      <c r="F978" s="150">
        <f t="shared" si="129"/>
        <v>5.7565789473684207E-3</v>
      </c>
      <c r="G978" s="150">
        <f t="shared" si="129"/>
        <v>1.1381531853972792E-3</v>
      </c>
      <c r="H978" s="150">
        <f t="shared" si="129"/>
        <v>5.9137055837563384E-3</v>
      </c>
      <c r="J978" s="317">
        <f>J972/J977</f>
        <v>4.0626160412030071E-2</v>
      </c>
      <c r="K978" s="317">
        <f t="shared" ref="K978:Q978" si="130">K972/K977</f>
        <v>3.7240380367237889E-2</v>
      </c>
      <c r="L978" s="317">
        <f t="shared" si="130"/>
        <v>2.4260736296103622E-2</v>
      </c>
      <c r="M978" s="317">
        <f t="shared" si="130"/>
        <v>1.7550703307487085E-2</v>
      </c>
      <c r="N978" s="317">
        <f t="shared" si="130"/>
        <v>1.8268338756001277E-2</v>
      </c>
      <c r="O978" s="317">
        <f t="shared" si="130"/>
        <v>2.0285645662030487E-2</v>
      </c>
      <c r="P978" s="317">
        <f t="shared" si="130"/>
        <v>2.9142390055625089E-2</v>
      </c>
      <c r="Q978" s="317">
        <f t="shared" si="130"/>
        <v>3.0465626438273104E-2</v>
      </c>
      <c r="R978" s="317">
        <f t="shared" ref="R978:V978" si="131">R972/R977</f>
        <v>3.9927172426441525E-2</v>
      </c>
      <c r="S978" s="317">
        <f t="shared" si="131"/>
        <v>4.4408237255947794E-2</v>
      </c>
      <c r="T978" s="317">
        <f t="shared" si="131"/>
        <v>5.0793378115934602E-2</v>
      </c>
      <c r="U978" s="317">
        <f t="shared" si="131"/>
        <v>5.8126325504036624E-2</v>
      </c>
      <c r="V978" s="317">
        <f t="shared" si="131"/>
        <v>6.5115925997556987E-2</v>
      </c>
      <c r="W978" s="317">
        <f>W972/W977</f>
        <v>8.2581947075639109E-2</v>
      </c>
    </row>
    <row r="979" spans="2:23">
      <c r="J979" s="316"/>
      <c r="K979" s="316"/>
      <c r="L979" s="316"/>
      <c r="M979" s="316"/>
      <c r="N979" s="316"/>
      <c r="O979" s="316"/>
      <c r="P979" s="316"/>
      <c r="Q979" s="316"/>
      <c r="R979" s="316"/>
      <c r="S979" s="316"/>
      <c r="T979" s="316"/>
      <c r="U979" s="316"/>
      <c r="V979" s="316"/>
      <c r="W979" s="316"/>
    </row>
    <row r="980" spans="2:23">
      <c r="B980" s="151" t="s">
        <v>681</v>
      </c>
      <c r="D980" s="187">
        <f>D975</f>
        <v>8.4439083232810605E-4</v>
      </c>
      <c r="E980" s="187">
        <f t="shared" ref="E980:H980" si="132">E975</f>
        <v>1.6118633139909737E-2</v>
      </c>
      <c r="F980" s="187">
        <f t="shared" si="132"/>
        <v>6.3985374771480807E-3</v>
      </c>
      <c r="G980" s="187">
        <f t="shared" si="132"/>
        <v>1.6485225505443225E-3</v>
      </c>
      <c r="H980" s="187">
        <f t="shared" si="132"/>
        <v>7.3098039215686193E-3</v>
      </c>
      <c r="J980" s="410">
        <v>0.02</v>
      </c>
      <c r="K980" s="410">
        <f>J980</f>
        <v>0.02</v>
      </c>
      <c r="L980" s="410">
        <f t="shared" ref="L980:Q980" si="133">K980</f>
        <v>0.02</v>
      </c>
      <c r="M980" s="410">
        <f t="shared" si="133"/>
        <v>0.02</v>
      </c>
      <c r="N980" s="410">
        <f t="shared" si="133"/>
        <v>0.02</v>
      </c>
      <c r="O980" s="410">
        <f t="shared" si="133"/>
        <v>0.02</v>
      </c>
      <c r="P980" s="410">
        <f t="shared" si="133"/>
        <v>0.02</v>
      </c>
      <c r="Q980" s="410">
        <f t="shared" si="133"/>
        <v>0.02</v>
      </c>
      <c r="R980" s="410">
        <f t="shared" ref="R980" si="134">Q980</f>
        <v>0.02</v>
      </c>
      <c r="S980" s="410">
        <f t="shared" ref="S980" si="135">R980</f>
        <v>0.02</v>
      </c>
      <c r="T980" s="410">
        <f t="shared" ref="T980" si="136">S980</f>
        <v>0.02</v>
      </c>
      <c r="U980" s="410">
        <f t="shared" ref="U980" si="137">T980</f>
        <v>0.02</v>
      </c>
      <c r="V980" s="410">
        <f t="shared" ref="V980" si="138">U980</f>
        <v>0.02</v>
      </c>
      <c r="W980" s="410">
        <f>V980</f>
        <v>0.02</v>
      </c>
    </row>
    <row r="981" spans="2:23">
      <c r="J981" s="316"/>
      <c r="K981" s="316"/>
      <c r="L981" s="316"/>
      <c r="M981" s="316"/>
      <c r="N981" s="316"/>
      <c r="O981" s="316"/>
      <c r="P981" s="316"/>
      <c r="Q981" s="316"/>
      <c r="R981" s="316"/>
      <c r="S981" s="316"/>
      <c r="T981" s="316"/>
      <c r="U981" s="316"/>
      <c r="V981" s="316"/>
      <c r="W981" s="316"/>
    </row>
    <row r="982" spans="2:23">
      <c r="B982" s="151" t="s">
        <v>682</v>
      </c>
      <c r="D982" s="158">
        <f>D973*D980</f>
        <v>0.7</v>
      </c>
      <c r="E982" s="158">
        <f t="shared" ref="E982:H982" si="139">E973*E980</f>
        <v>25.000000000000004</v>
      </c>
      <c r="F982" s="158">
        <f t="shared" si="139"/>
        <v>14</v>
      </c>
      <c r="G982" s="158">
        <f t="shared" si="139"/>
        <v>3.1799999999999979</v>
      </c>
      <c r="H982" s="158">
        <f t="shared" si="139"/>
        <v>18.639999999999979</v>
      </c>
      <c r="J982" s="394">
        <f>J973*J980</f>
        <v>59.160000000000004</v>
      </c>
      <c r="K982" s="394">
        <f t="shared" ref="K982:Q982" si="140">K973*K980</f>
        <v>72.175200000000004</v>
      </c>
      <c r="L982" s="394">
        <f t="shared" si="140"/>
        <v>90.218999999999994</v>
      </c>
      <c r="M982" s="394">
        <f t="shared" si="140"/>
        <v>112.77375000000001</v>
      </c>
      <c r="N982" s="394">
        <f t="shared" si="140"/>
        <v>138.993646875</v>
      </c>
      <c r="O982" s="394">
        <f t="shared" si="140"/>
        <v>168.87728095312497</v>
      </c>
      <c r="P982" s="394">
        <f t="shared" si="140"/>
        <v>202.23054394136716</v>
      </c>
      <c r="Q982" s="394">
        <f t="shared" si="140"/>
        <v>238.63204185081324</v>
      </c>
      <c r="R982" s="394">
        <f t="shared" ref="R982:W982" si="141">R973*R980</f>
        <v>274.42684812843521</v>
      </c>
      <c r="S982" s="394">
        <f t="shared" si="141"/>
        <v>312.84660686641615</v>
      </c>
      <c r="T982" s="394">
        <f t="shared" si="141"/>
        <v>350.3881996903861</v>
      </c>
      <c r="U982" s="394">
        <f t="shared" si="141"/>
        <v>385.42701965942479</v>
      </c>
      <c r="V982" s="394">
        <f t="shared" si="141"/>
        <v>416.26118123217879</v>
      </c>
      <c r="W982" s="394">
        <f t="shared" si="141"/>
        <v>437.07424029378774</v>
      </c>
    </row>
    <row r="983" spans="2:23">
      <c r="J983" s="316"/>
      <c r="K983" s="316"/>
      <c r="L983" s="316"/>
      <c r="M983" s="316"/>
      <c r="N983" s="316"/>
      <c r="O983" s="316"/>
      <c r="P983" s="316"/>
      <c r="Q983" s="316"/>
      <c r="R983" s="316"/>
      <c r="S983" s="316"/>
      <c r="T983" s="316"/>
      <c r="U983" s="316"/>
      <c r="V983" s="316"/>
      <c r="W983" s="316"/>
    </row>
    <row r="984" spans="2:23" ht="15">
      <c r="B984" s="151" t="s">
        <v>683</v>
      </c>
      <c r="D984" s="383">
        <f>D972-D982</f>
        <v>0</v>
      </c>
      <c r="E984" s="383">
        <f t="shared" ref="E984:F984" si="142">E972-E982</f>
        <v>0</v>
      </c>
      <c r="F984" s="383">
        <f t="shared" si="142"/>
        <v>0</v>
      </c>
      <c r="G984" s="383">
        <f>G972-G982</f>
        <v>0</v>
      </c>
      <c r="H984" s="383">
        <f>H972-H982</f>
        <v>0</v>
      </c>
      <c r="I984" s="383">
        <f t="shared" ref="I984" si="143">I982-I972</f>
        <v>0</v>
      </c>
      <c r="J984" s="394">
        <f t="shared" ref="J984:W984" si="144">J972-J982</f>
        <v>88.863692171920064</v>
      </c>
      <c r="K984" s="394">
        <f t="shared" si="144"/>
        <v>85.2754502836125</v>
      </c>
      <c r="L984" s="394">
        <f t="shared" si="144"/>
        <v>30.049368021608586</v>
      </c>
      <c r="M984" s="394">
        <f t="shared" si="144"/>
        <v>-9.7888158600857764</v>
      </c>
      <c r="N984" s="394">
        <f t="shared" si="144"/>
        <v>-12.880391180577391</v>
      </c>
      <c r="O984" s="394">
        <f t="shared" si="144"/>
        <v>-5.3261388735805326</v>
      </c>
      <c r="P984" s="394">
        <f t="shared" si="144"/>
        <v>70.615334581892967</v>
      </c>
      <c r="Q984" s="394">
        <f t="shared" si="144"/>
        <v>88.576988200242141</v>
      </c>
      <c r="R984" s="394">
        <f t="shared" si="144"/>
        <v>211.17264196738239</v>
      </c>
      <c r="S984" s="394">
        <f t="shared" si="144"/>
        <v>287.72392735566876</v>
      </c>
      <c r="T984" s="394">
        <f t="shared" si="144"/>
        <v>404.23554583547588</v>
      </c>
      <c r="U984" s="394">
        <f t="shared" si="144"/>
        <v>551.87966795414195</v>
      </c>
      <c r="V984" s="394">
        <f t="shared" si="144"/>
        <v>708.94885315687316</v>
      </c>
      <c r="W984" s="394">
        <f t="shared" si="144"/>
        <v>1085.8839565366638</v>
      </c>
    </row>
  </sheetData>
  <sheetProtection algorithmName="SHA-512" hashValue="es6X4BxpnxZUpnu1ldxwEFKItb+eitblZfP7e7CpdNkgCkF+nuYM+A9Ln1cl3Y98pRI829AXDFA3stD/z4+3AQ==" saltValue="MxET29S/0zRnSUqdrNLFsg==" spinCount="100000" sheet="1" objects="1" scenarios="1"/>
  <mergeCells count="3">
    <mergeCell ref="B331:P333"/>
    <mergeCell ref="B335:H337"/>
    <mergeCell ref="B324:P329"/>
  </mergeCells>
  <hyperlinks>
    <hyperlink ref="J275" r:id="rId1" xr:uid="{C1061B2F-FAB0-41A4-AB67-CF1E30EDDEE8}"/>
    <hyperlink ref="D219" r:id="rId2" xr:uid="{E2DF3B02-A643-49AB-8EAC-5DDCF9837C57}"/>
    <hyperlink ref="D197" r:id="rId3" display="https://finance.yahoo.com/news/specialty-chemicals-market-size-worth-141100310.html?guccounter=1&amp;guce_referrer=aHR0cHM6Ly93d3cuZ29vZ2xlLmNvbS8&amp;guce_referrer_sig=AQAAABTKsS5upkv_yVJRWc-whpYBkaK8tPzSFLvJRgyYNQsq8OmK1o6YRDCTAHJrKhztbv-bdpKvhoa03gc70WWc9MqFzNkGfCrOkwSnvakYwF4P1LdyWYIlFZkvyjLA-qX8MK9p2c38taj7w_Les_YAlceXEJhbq1GukzETpZbNlktz" xr:uid="{96991804-4ED1-4775-A1EA-DA47B7C3A118}"/>
    <hyperlink ref="D192" r:id="rId4" xr:uid="{CC0DDBAE-CD15-4483-A790-0F7790D25CF2}"/>
    <hyperlink ref="D188" r:id="rId5" xr:uid="{AD00BBCE-DAD9-41BC-B949-BB097A33A6B2}"/>
    <hyperlink ref="D182" r:id="rId6" xr:uid="{9CCDF326-9753-494F-9125-7EDF9309F088}"/>
    <hyperlink ref="D158" r:id="rId7" xr:uid="{722B1D3D-9637-4CB5-84BA-881313606DF4}"/>
    <hyperlink ref="D136" r:id="rId8" xr:uid="{4B2823BE-02A7-4CE2-B736-C3C0F56157E8}"/>
    <hyperlink ref="D131" r:id="rId9" xr:uid="{A5F084A3-C784-4067-B2F8-E149560942B9}"/>
    <hyperlink ref="D127" r:id="rId10" xr:uid="{5C2D4E0C-563E-45E7-B577-C989C17F9833}"/>
    <hyperlink ref="D121" r:id="rId11" xr:uid="{6500FCB1-5FE0-4F75-8F34-C90908F6E5F4}"/>
    <hyperlink ref="D115" r:id="rId12" xr:uid="{1D4919F2-7389-4DA5-B881-05A0C2465C45}"/>
    <hyperlink ref="D76" r:id="rId13" location=":~:text=The%20global%20chlor%20alkali%20market,the%20share%20in%20production%20technologies." xr:uid="{5C553EE3-C704-424C-B86F-3BE88318CFEB}"/>
    <hyperlink ref="D72" r:id="rId14" location=":~:text=Indian%20chlor%20alkali%20market%20is,friendly%20ones%20like%20membrane%20cells." xr:uid="{75C44F23-9719-4CCA-9A5C-31E057824ED8}"/>
    <hyperlink ref="D66" r:id="rId15" location=":~:text=India%20Chlor%2DAlkali%20Market%20Size%20and%20Forecast,expansion%20across%20the%20forecast%20horizon." xr:uid="{7CDC1795-AAA8-4069-9464-824A57D3BD82}"/>
    <hyperlink ref="D45" r:id="rId16" xr:uid="{0008EEDA-8FE1-4B3A-A3A5-4B340F67B757}"/>
    <hyperlink ref="D13" r:id="rId17" xr:uid="{5EC201B2-AB64-497D-A9CC-7F4E2DF6BE77}"/>
    <hyperlink ref="D17" r:id="rId18" xr:uid="{EECC1A0C-2C61-4C28-B24F-B31FF023A1A4}"/>
    <hyperlink ref="D21" r:id="rId19" xr:uid="{E6791B5E-3462-446A-A151-3AF313A0AECA}"/>
    <hyperlink ref="D141" r:id="rId20" xr:uid="{50236F6D-6372-4394-9174-0D29F74ABF84}"/>
  </hyperlinks>
  <pageMargins left="0.7" right="0.7" top="0.75" bottom="0.75" header="0.3" footer="0.3"/>
  <pageSetup orientation="portrait" r:id="rId21"/>
  <drawing r:id="rId22"/>
  <legacyDrawing r:id="rId2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6702A-66FE-4105-8528-B6790839E6F5}">
  <sheetPr>
    <pageSetUpPr autoPageBreaks="0"/>
  </sheetPr>
  <dimension ref="A2:V198"/>
  <sheetViews>
    <sheetView showGridLines="0" zoomScale="90" zoomScaleNormal="100" workbookViewId="0">
      <pane xSplit="3" ySplit="8" topLeftCell="D10" activePane="bottomRight" state="frozen"/>
      <selection activeCell="I6" sqref="I6"/>
      <selection pane="topRight" activeCell="I6" sqref="I6"/>
      <selection pane="bottomLeft" activeCell="I6" sqref="I6"/>
      <selection pane="bottomRight"/>
    </sheetView>
  </sheetViews>
  <sheetFormatPr defaultRowHeight="15" outlineLevelRow="1"/>
  <cols>
    <col min="1" max="1" width="1.85546875" customWidth="1"/>
    <col min="2" max="2" width="42.85546875" customWidth="1"/>
    <col min="3" max="3" width="19.7109375" bestFit="1" customWidth="1"/>
    <col min="4" max="16" width="10" customWidth="1"/>
    <col min="22" max="22" width="10" bestFit="1" customWidth="1"/>
  </cols>
  <sheetData>
    <row r="2" spans="1:22" ht="21">
      <c r="B2" s="29" t="str">
        <f>'Input Sheet'!C5</f>
        <v>Epigral Ltd.</v>
      </c>
      <c r="C2" s="29"/>
    </row>
    <row r="3" spans="1:22">
      <c r="B3" s="39" t="s">
        <v>478</v>
      </c>
      <c r="E3" t="s">
        <v>39</v>
      </c>
      <c r="F3">
        <v>2</v>
      </c>
    </row>
    <row r="7" spans="1:22">
      <c r="D7" s="577" t="s">
        <v>33</v>
      </c>
      <c r="E7" s="577"/>
      <c r="F7" s="577"/>
      <c r="G7" s="577"/>
      <c r="H7" s="577"/>
      <c r="I7" s="578" t="s">
        <v>1123</v>
      </c>
      <c r="J7" s="578"/>
      <c r="K7" s="578"/>
      <c r="L7" s="578"/>
      <c r="M7" s="578"/>
      <c r="N7" s="578"/>
      <c r="O7" s="578"/>
      <c r="P7" s="578"/>
      <c r="Q7" s="581" t="s">
        <v>183</v>
      </c>
      <c r="R7" s="581"/>
      <c r="S7" s="581"/>
      <c r="T7" s="581"/>
      <c r="U7" s="581"/>
      <c r="V7" s="581"/>
    </row>
    <row r="8" spans="1:22">
      <c r="B8" s="30" t="s">
        <v>34</v>
      </c>
      <c r="C8" s="30"/>
      <c r="D8" s="32">
        <f>' Income Statement'!D6</f>
        <v>2021</v>
      </c>
      <c r="E8" s="32">
        <f>' Income Statement'!E6</f>
        <v>2022</v>
      </c>
      <c r="F8" s="32">
        <f>' Income Statement'!F6</f>
        <v>2023</v>
      </c>
      <c r="G8" s="32">
        <f>' Income Statement'!G6</f>
        <v>2024</v>
      </c>
      <c r="H8" s="32">
        <f>' Income Statement'!H6</f>
        <v>2025</v>
      </c>
      <c r="I8" s="32">
        <f>H8+1</f>
        <v>2026</v>
      </c>
      <c r="J8" s="32">
        <f t="shared" ref="J8:P8" si="0">I8+1</f>
        <v>2027</v>
      </c>
      <c r="K8" s="32">
        <f t="shared" si="0"/>
        <v>2028</v>
      </c>
      <c r="L8" s="32">
        <f t="shared" si="0"/>
        <v>2029</v>
      </c>
      <c r="M8" s="32">
        <f t="shared" si="0"/>
        <v>2030</v>
      </c>
      <c r="N8" s="32">
        <f t="shared" si="0"/>
        <v>2031</v>
      </c>
      <c r="O8" s="32">
        <f t="shared" si="0"/>
        <v>2032</v>
      </c>
      <c r="P8" s="32">
        <f t="shared" si="0"/>
        <v>2033</v>
      </c>
      <c r="Q8" s="32">
        <f t="shared" ref="Q8" si="1">P8+1</f>
        <v>2034</v>
      </c>
      <c r="R8" s="32">
        <f t="shared" ref="R8" si="2">Q8+1</f>
        <v>2035</v>
      </c>
      <c r="S8" s="32">
        <f t="shared" ref="S8" si="3">R8+1</f>
        <v>2036</v>
      </c>
      <c r="T8" s="32">
        <f t="shared" ref="T8" si="4">S8+1</f>
        <v>2037</v>
      </c>
      <c r="U8" s="32">
        <f t="shared" ref="U8" si="5">T8+1</f>
        <v>2038</v>
      </c>
      <c r="V8" s="32">
        <f t="shared" ref="V8" si="6">U8+1</f>
        <v>2039</v>
      </c>
    </row>
    <row r="10" spans="1:22" s="400" customFormat="1" ht="15.75">
      <c r="A10" s="400" t="s">
        <v>35</v>
      </c>
      <c r="B10" s="402" t="s">
        <v>428</v>
      </c>
      <c r="C10" s="402"/>
      <c r="D10" s="402"/>
      <c r="E10" s="402"/>
      <c r="F10" s="402"/>
      <c r="G10" s="402"/>
      <c r="H10" s="402"/>
      <c r="I10" s="402"/>
      <c r="J10" s="402"/>
      <c r="K10" s="402"/>
      <c r="L10" s="402"/>
      <c r="M10" s="402"/>
      <c r="N10" s="403"/>
      <c r="O10" s="403"/>
      <c r="P10" s="403"/>
      <c r="Q10" s="403"/>
      <c r="R10" s="403"/>
      <c r="S10" s="403"/>
      <c r="T10" s="403"/>
      <c r="U10" s="403"/>
      <c r="V10" s="403"/>
    </row>
    <row r="11" spans="1:22" outlineLevel="1">
      <c r="B11" s="189"/>
      <c r="C11" s="189"/>
      <c r="D11" s="189"/>
      <c r="E11" s="189"/>
      <c r="F11" s="189"/>
      <c r="G11" s="189"/>
      <c r="H11" s="189"/>
      <c r="I11" s="189"/>
      <c r="J11" s="189"/>
    </row>
    <row r="12" spans="1:22" s="202" customFormat="1" outlineLevel="1">
      <c r="B12" s="203" t="s">
        <v>285</v>
      </c>
      <c r="C12" s="203"/>
      <c r="D12" s="266">
        <f>' Income Statement'!D8</f>
        <v>829</v>
      </c>
      <c r="E12" s="266">
        <f>' Income Statement'!E8</f>
        <v>1551</v>
      </c>
      <c r="F12" s="266">
        <f>' Income Statement'!F8</f>
        <v>2188</v>
      </c>
      <c r="G12" s="266">
        <f>' Income Statement'!G8</f>
        <v>1929</v>
      </c>
      <c r="H12" s="266">
        <f>' Income Statement'!H8</f>
        <v>2550</v>
      </c>
      <c r="I12" s="267">
        <f>H12*(1+I14)</f>
        <v>2958</v>
      </c>
      <c r="J12" s="267">
        <f t="shared" ref="J12:P12" si="7">I12*(1+J14)</f>
        <v>3608.7599999999998</v>
      </c>
      <c r="K12" s="267">
        <f t="shared" si="7"/>
        <v>4510.95</v>
      </c>
      <c r="L12" s="267">
        <f t="shared" si="7"/>
        <v>5638.6875</v>
      </c>
      <c r="M12" s="267">
        <f t="shared" si="7"/>
        <v>6949.6823437499997</v>
      </c>
      <c r="N12" s="267">
        <f t="shared" si="7"/>
        <v>8443.8640476562487</v>
      </c>
      <c r="O12" s="267">
        <f t="shared" si="7"/>
        <v>10111.527197068357</v>
      </c>
      <c r="P12" s="267">
        <f t="shared" si="7"/>
        <v>11931.602092540661</v>
      </c>
      <c r="Q12" s="267">
        <f t="shared" ref="Q12" si="8">P12*(1+Q14)</f>
        <v>13721.34240642176</v>
      </c>
      <c r="R12" s="267">
        <f t="shared" ref="R12" si="9">Q12*(1+R14)</f>
        <v>15642.330343320808</v>
      </c>
      <c r="S12" s="267">
        <f t="shared" ref="S12" si="10">R12*(1+S14)</f>
        <v>17519.409984519305</v>
      </c>
      <c r="T12" s="267">
        <f t="shared" ref="T12" si="11">S12*(1+T14)</f>
        <v>19271.350982971238</v>
      </c>
      <c r="U12" s="267">
        <f t="shared" ref="U12" si="12">T12*(1+U14)</f>
        <v>20813.059061608939</v>
      </c>
      <c r="V12" s="267">
        <f t="shared" ref="V12" si="13">U12*(1+V14)</f>
        <v>21853.712014689387</v>
      </c>
    </row>
    <row r="13" spans="1:22" s="202" customFormat="1" outlineLevel="1">
      <c r="D13" s="304"/>
      <c r="E13" s="304"/>
      <c r="F13" s="304"/>
      <c r="G13" s="304"/>
      <c r="H13" s="304"/>
      <c r="I13" s="305"/>
      <c r="J13" s="305"/>
      <c r="K13" s="305"/>
      <c r="L13" s="305"/>
      <c r="M13" s="305"/>
      <c r="N13" s="305"/>
      <c r="O13" s="305"/>
      <c r="P13" s="305"/>
      <c r="Q13" s="305"/>
      <c r="R13" s="305"/>
      <c r="S13" s="305"/>
      <c r="T13" s="305"/>
      <c r="U13" s="305"/>
      <c r="V13" s="305"/>
    </row>
    <row r="14" spans="1:22" s="202" customFormat="1" outlineLevel="1">
      <c r="B14" s="202" t="s">
        <v>678</v>
      </c>
      <c r="D14" s="304"/>
      <c r="E14" s="397">
        <f>E12/D12-1</f>
        <v>0.87092882991556086</v>
      </c>
      <c r="F14" s="397">
        <f t="shared" ref="F14:H14" si="14">F12/E12-1</f>
        <v>0.41070277240490016</v>
      </c>
      <c r="G14" s="397">
        <f t="shared" si="14"/>
        <v>-0.11837294332723947</v>
      </c>
      <c r="H14" s="397">
        <f t="shared" si="14"/>
        <v>0.32192846034214617</v>
      </c>
      <c r="I14" s="396">
        <f>'Control Sheet'!I18</f>
        <v>0.16</v>
      </c>
      <c r="J14" s="396">
        <f>'Control Sheet'!J18</f>
        <v>0.22</v>
      </c>
      <c r="K14" s="396">
        <f>'Control Sheet'!K18</f>
        <v>0.25</v>
      </c>
      <c r="L14" s="396">
        <f>'Control Sheet'!L18</f>
        <v>0.25</v>
      </c>
      <c r="M14" s="396">
        <f>'Control Sheet'!M18</f>
        <v>0.23249999999999998</v>
      </c>
      <c r="N14" s="396">
        <f>'Control Sheet'!N18</f>
        <v>0.21499999999999997</v>
      </c>
      <c r="O14" s="396">
        <f>'Control Sheet'!O18</f>
        <v>0.19749999999999995</v>
      </c>
      <c r="P14" s="396">
        <f>'Control Sheet'!P18</f>
        <v>0.18</v>
      </c>
      <c r="Q14" s="396">
        <f>'Control Sheet'!Q18</f>
        <v>0.15</v>
      </c>
      <c r="R14" s="396">
        <f>'Control Sheet'!R18</f>
        <v>0.14000000000000001</v>
      </c>
      <c r="S14" s="396">
        <f>'Control Sheet'!S18</f>
        <v>0.12</v>
      </c>
      <c r="T14" s="396">
        <f>'Control Sheet'!T18</f>
        <v>0.1</v>
      </c>
      <c r="U14" s="396">
        <f>'Control Sheet'!U18</f>
        <v>0.08</v>
      </c>
      <c r="V14" s="396">
        <f>'Control Sheet'!V18</f>
        <v>0.05</v>
      </c>
    </row>
    <row r="15" spans="1:22" s="202" customFormat="1"/>
    <row r="16" spans="1:22" s="400" customFormat="1" ht="15.75">
      <c r="A16" s="400" t="s">
        <v>35</v>
      </c>
      <c r="B16" s="402" t="s">
        <v>41</v>
      </c>
      <c r="C16" s="402"/>
      <c r="D16" s="402"/>
      <c r="E16" s="402"/>
      <c r="F16" s="402"/>
      <c r="G16" s="402"/>
      <c r="H16" s="402"/>
      <c r="I16" s="402"/>
      <c r="J16" s="402"/>
      <c r="K16" s="402"/>
      <c r="L16" s="402"/>
      <c r="M16" s="402"/>
      <c r="N16" s="403"/>
      <c r="O16" s="403"/>
      <c r="P16" s="403"/>
      <c r="Q16" s="403"/>
      <c r="R16" s="403"/>
      <c r="S16" s="403"/>
      <c r="T16" s="403"/>
      <c r="U16" s="403"/>
      <c r="V16" s="403"/>
    </row>
    <row r="17" spans="1:22" outlineLevel="1"/>
    <row r="18" spans="1:22" outlineLevel="1">
      <c r="B18" s="203" t="s">
        <v>75</v>
      </c>
      <c r="C18" s="203"/>
      <c r="D18" s="266">
        <f>' Income Statement'!D9*-1</f>
        <v>385</v>
      </c>
      <c r="E18" s="266">
        <f>' Income Statement'!E9*-1</f>
        <v>761</v>
      </c>
      <c r="F18" s="266">
        <f>' Income Statement'!F9*-1</f>
        <v>1115</v>
      </c>
      <c r="G18" s="266">
        <f>' Income Statement'!G9*-1</f>
        <v>1061</v>
      </c>
      <c r="H18" s="266">
        <f>' Income Statement'!H9*-1</f>
        <v>1353</v>
      </c>
      <c r="I18" s="267">
        <f t="shared" ref="I18:P18" si="15">I12*I20</f>
        <v>1626.9</v>
      </c>
      <c r="J18" s="267">
        <f t="shared" si="15"/>
        <v>1963.16544</v>
      </c>
      <c r="K18" s="267">
        <f t="shared" si="15"/>
        <v>2453.9567999999999</v>
      </c>
      <c r="L18" s="267">
        <f t="shared" si="15"/>
        <v>3040.3803000000003</v>
      </c>
      <c r="M18" s="267">
        <f t="shared" si="15"/>
        <v>3713.9102444999999</v>
      </c>
      <c r="N18" s="267">
        <f t="shared" si="15"/>
        <v>4471.8703996387503</v>
      </c>
      <c r="O18" s="267">
        <f t="shared" si="15"/>
        <v>5306.5294730214755</v>
      </c>
      <c r="P18" s="267">
        <f t="shared" si="15"/>
        <v>6204.4330881211436</v>
      </c>
      <c r="Q18" s="267">
        <f t="shared" ref="Q18:V18" si="16">Q12*Q20</f>
        <v>6723.4577791466618</v>
      </c>
      <c r="R18" s="267">
        <f t="shared" si="16"/>
        <v>7664.7418682271955</v>
      </c>
      <c r="S18" s="267">
        <f t="shared" si="16"/>
        <v>8584.5108924144588</v>
      </c>
      <c r="T18" s="267">
        <f t="shared" si="16"/>
        <v>9250.2484718261949</v>
      </c>
      <c r="U18" s="267">
        <f t="shared" si="16"/>
        <v>9990.2683495722904</v>
      </c>
      <c r="V18" s="267">
        <f t="shared" si="16"/>
        <v>10489.781767050905</v>
      </c>
    </row>
    <row r="19" spans="1:22" outlineLevel="1">
      <c r="B19" s="202"/>
      <c r="C19" s="202"/>
      <c r="D19" s="304"/>
      <c r="E19" s="304"/>
      <c r="F19" s="304"/>
      <c r="G19" s="304"/>
      <c r="H19" s="304"/>
      <c r="I19" s="305"/>
      <c r="J19" s="305"/>
      <c r="K19" s="305"/>
      <c r="L19" s="305"/>
      <c r="M19" s="305"/>
      <c r="N19" s="305"/>
      <c r="O19" s="305"/>
      <c r="P19" s="305"/>
      <c r="Q19" s="305"/>
      <c r="R19" s="305"/>
      <c r="S19" s="305"/>
      <c r="T19" s="305"/>
      <c r="U19" s="305"/>
      <c r="V19" s="305"/>
    </row>
    <row r="20" spans="1:22" outlineLevel="1">
      <c r="B20" t="s">
        <v>430</v>
      </c>
      <c r="I20" s="110">
        <f>'Control Sheet'!I28</f>
        <v>0.55000000000000004</v>
      </c>
      <c r="J20" s="110">
        <f>'Control Sheet'!J28</f>
        <v>0.54400000000000004</v>
      </c>
      <c r="K20" s="110">
        <f>'Control Sheet'!K28</f>
        <v>0.54400000000000004</v>
      </c>
      <c r="L20" s="110">
        <f>'Control Sheet'!L28</f>
        <v>0.53920000000000001</v>
      </c>
      <c r="M20" s="110">
        <f>'Control Sheet'!M28</f>
        <v>0.53439999999999999</v>
      </c>
      <c r="N20" s="110">
        <f>'Control Sheet'!N28</f>
        <v>0.52960000000000007</v>
      </c>
      <c r="O20" s="110">
        <f>'Control Sheet'!O28</f>
        <v>0.52480000000000016</v>
      </c>
      <c r="P20" s="110">
        <f>'Control Sheet'!P28</f>
        <v>0.52</v>
      </c>
      <c r="Q20" s="110">
        <f>'Control Sheet'!Q28</f>
        <v>0.49</v>
      </c>
      <c r="R20" s="110">
        <f>'Control Sheet'!R28</f>
        <v>0.49</v>
      </c>
      <c r="S20" s="110">
        <f>'Control Sheet'!S28</f>
        <v>0.49</v>
      </c>
      <c r="T20" s="110">
        <f>'Control Sheet'!T28</f>
        <v>0.48</v>
      </c>
      <c r="U20" s="110">
        <f>'Control Sheet'!U28</f>
        <v>0.48</v>
      </c>
      <c r="V20" s="110">
        <f>'Control Sheet'!V28</f>
        <v>0.48</v>
      </c>
    </row>
    <row r="22" spans="1:22" s="400" customFormat="1" ht="15.75">
      <c r="A22" s="400" t="s">
        <v>35</v>
      </c>
      <c r="B22" s="402" t="s">
        <v>43</v>
      </c>
      <c r="C22" s="402"/>
      <c r="D22" s="402"/>
      <c r="E22" s="402"/>
      <c r="F22" s="402"/>
      <c r="G22" s="402"/>
      <c r="H22" s="402"/>
      <c r="I22" s="402"/>
      <c r="J22" s="402"/>
      <c r="K22" s="402"/>
      <c r="L22" s="402"/>
      <c r="M22" s="402"/>
      <c r="N22" s="403"/>
      <c r="O22" s="403"/>
      <c r="P22" s="403"/>
      <c r="Q22" s="403"/>
      <c r="R22" s="403"/>
      <c r="S22" s="403"/>
      <c r="T22" s="403"/>
      <c r="U22" s="403"/>
      <c r="V22" s="403"/>
    </row>
    <row r="23" spans="1:22" outlineLevel="1"/>
    <row r="24" spans="1:22" outlineLevel="1">
      <c r="B24" s="33" t="s">
        <v>468</v>
      </c>
      <c r="C24" s="33"/>
      <c r="D24" s="34"/>
      <c r="E24" s="34"/>
      <c r="F24" s="34"/>
      <c r="G24" s="34"/>
      <c r="H24" s="34"/>
      <c r="I24" s="34"/>
      <c r="J24" s="34"/>
      <c r="K24" s="34"/>
      <c r="L24" s="34"/>
      <c r="M24" s="34"/>
      <c r="N24" s="34"/>
      <c r="O24" s="34"/>
      <c r="P24" s="34"/>
      <c r="Q24" s="34"/>
      <c r="R24" s="34"/>
      <c r="S24" s="34"/>
      <c r="T24" s="34"/>
      <c r="U24" s="34"/>
      <c r="V24" s="34"/>
    </row>
    <row r="25" spans="1:22" outlineLevel="1">
      <c r="B25" s="31"/>
      <c r="C25" s="31"/>
      <c r="D25" s="31"/>
      <c r="E25" s="31"/>
      <c r="F25" s="31"/>
      <c r="G25" s="31"/>
      <c r="H25" s="31"/>
      <c r="I25" s="31"/>
      <c r="J25" s="31"/>
      <c r="K25" s="31"/>
      <c r="L25" s="31"/>
      <c r="M25" s="31"/>
      <c r="N25" s="31"/>
      <c r="O25" s="31"/>
      <c r="P25" s="31"/>
      <c r="Q25" s="31"/>
      <c r="R25" s="31"/>
      <c r="S25" s="31"/>
      <c r="T25" s="31"/>
      <c r="U25" s="31"/>
      <c r="V25" s="31"/>
    </row>
    <row r="26" spans="1:22" outlineLevel="1">
      <c r="B26" t="s">
        <v>468</v>
      </c>
      <c r="D26" s="302">
        <f>'Assumptions Working'!D381</f>
        <v>41</v>
      </c>
      <c r="E26" s="302">
        <f>'Assumptions Working'!E381</f>
        <v>52</v>
      </c>
      <c r="F26" s="302">
        <f>'Assumptions Working'!F381</f>
        <v>69</v>
      </c>
      <c r="G26" s="302">
        <f>'Assumptions Working'!G381</f>
        <v>81</v>
      </c>
      <c r="H26" s="302">
        <f>'Assumptions Working'!H381</f>
        <v>98</v>
      </c>
      <c r="I26" s="303">
        <f>I$12*I27</f>
        <v>112.404</v>
      </c>
      <c r="J26" s="303">
        <f t="shared" ref="J26:V26" si="17">J$12*J27</f>
        <v>137.13288</v>
      </c>
      <c r="K26" s="303">
        <f t="shared" si="17"/>
        <v>171.4161</v>
      </c>
      <c r="L26" s="303">
        <f t="shared" si="17"/>
        <v>214.27012500000001</v>
      </c>
      <c r="M26" s="303">
        <f t="shared" si="17"/>
        <v>264.0879290625</v>
      </c>
      <c r="N26" s="303">
        <f t="shared" si="17"/>
        <v>320.86683381093746</v>
      </c>
      <c r="O26" s="303">
        <f t="shared" si="17"/>
        <v>384.23803348859758</v>
      </c>
      <c r="P26" s="303">
        <f t="shared" si="17"/>
        <v>453.4008795165451</v>
      </c>
      <c r="Q26" s="303">
        <f t="shared" si="17"/>
        <v>521.41101144402683</v>
      </c>
      <c r="R26" s="303">
        <f t="shared" si="17"/>
        <v>594.40855304619072</v>
      </c>
      <c r="S26" s="303">
        <f t="shared" si="17"/>
        <v>665.73757941173358</v>
      </c>
      <c r="T26" s="303">
        <f t="shared" si="17"/>
        <v>732.311337352907</v>
      </c>
      <c r="U26" s="303">
        <f t="shared" si="17"/>
        <v>790.89624434113966</v>
      </c>
      <c r="V26" s="303">
        <f t="shared" si="17"/>
        <v>830.44105655819669</v>
      </c>
    </row>
    <row r="27" spans="1:22" outlineLevel="1">
      <c r="B27" s="42" t="s">
        <v>459</v>
      </c>
      <c r="C27" s="42"/>
      <c r="D27" s="399">
        <f>'Assumptions Working'!D409</f>
        <v>4.9457177322074788E-2</v>
      </c>
      <c r="E27" s="399">
        <f>'Assumptions Working'!E409</f>
        <v>3.3526756931012251E-2</v>
      </c>
      <c r="F27" s="399">
        <f>'Assumptions Working'!F409</f>
        <v>3.1535648994515539E-2</v>
      </c>
      <c r="G27" s="399">
        <f>'Assumptions Working'!G409</f>
        <v>4.1990668740279936E-2</v>
      </c>
      <c r="H27" s="399">
        <f>'Assumptions Working'!H409</f>
        <v>3.8431372549019606E-2</v>
      </c>
      <c r="I27" s="53">
        <f>'Control Sheet'!I36</f>
        <v>3.7999999999999999E-2</v>
      </c>
      <c r="J27" s="53">
        <f>'Control Sheet'!J36</f>
        <v>3.7999999999999999E-2</v>
      </c>
      <c r="K27" s="53">
        <f>'Control Sheet'!K36</f>
        <v>3.7999999999999999E-2</v>
      </c>
      <c r="L27" s="53">
        <f>'Control Sheet'!L36</f>
        <v>3.7999999999999999E-2</v>
      </c>
      <c r="M27" s="53">
        <f>'Control Sheet'!M36</f>
        <v>3.7999999999999999E-2</v>
      </c>
      <c r="N27" s="53">
        <f>'Control Sheet'!N36</f>
        <v>3.7999999999999999E-2</v>
      </c>
      <c r="O27" s="53">
        <f>'Control Sheet'!O36</f>
        <v>3.7999999999999999E-2</v>
      </c>
      <c r="P27" s="53">
        <f>'Control Sheet'!P36</f>
        <v>3.7999999999999999E-2</v>
      </c>
      <c r="Q27" s="53">
        <f>'Control Sheet'!Q36</f>
        <v>3.7999999999999999E-2</v>
      </c>
      <c r="R27" s="53">
        <f>'Control Sheet'!R36</f>
        <v>3.7999999999999999E-2</v>
      </c>
      <c r="S27" s="53">
        <f>'Control Sheet'!S36</f>
        <v>3.7999999999999999E-2</v>
      </c>
      <c r="T27" s="53">
        <f>'Control Sheet'!T36</f>
        <v>3.7999999999999999E-2</v>
      </c>
      <c r="U27" s="53">
        <f>'Control Sheet'!U36</f>
        <v>3.7999999999999999E-2</v>
      </c>
      <c r="V27" s="53">
        <f>'Control Sheet'!V36</f>
        <v>3.7999999999999999E-2</v>
      </c>
    </row>
    <row r="28" spans="1:22" outlineLevel="1">
      <c r="E28" s="54"/>
      <c r="F28" s="54"/>
      <c r="G28" s="54"/>
      <c r="H28" s="54"/>
      <c r="I28" s="54"/>
      <c r="J28" s="54"/>
      <c r="K28" s="54"/>
      <c r="L28" s="54"/>
      <c r="M28" s="54"/>
      <c r="N28" s="54"/>
      <c r="O28" s="54"/>
      <c r="P28" s="54"/>
      <c r="Q28" s="54"/>
      <c r="R28" s="54"/>
      <c r="S28" s="54"/>
      <c r="T28" s="54"/>
      <c r="U28" s="54"/>
      <c r="V28" s="54"/>
    </row>
    <row r="29" spans="1:22" outlineLevel="1">
      <c r="B29" s="33" t="s">
        <v>202</v>
      </c>
      <c r="C29" s="33"/>
      <c r="D29" s="34"/>
      <c r="E29" s="34"/>
      <c r="F29" s="34"/>
      <c r="G29" s="34"/>
      <c r="H29" s="34"/>
      <c r="I29" s="34"/>
      <c r="J29" s="34"/>
      <c r="K29" s="34"/>
      <c r="L29" s="34"/>
      <c r="M29" s="34"/>
      <c r="N29" s="34"/>
      <c r="O29" s="34"/>
      <c r="P29" s="34"/>
      <c r="Q29" s="34"/>
      <c r="R29" s="34"/>
      <c r="S29" s="34"/>
      <c r="T29" s="34"/>
      <c r="U29" s="34"/>
      <c r="V29" s="34"/>
    </row>
    <row r="30" spans="1:22" outlineLevel="1">
      <c r="B30" s="31"/>
      <c r="C30" s="31"/>
      <c r="D30" s="31"/>
      <c r="E30" s="31"/>
      <c r="F30" s="31"/>
      <c r="G30" s="31"/>
      <c r="H30" s="31"/>
      <c r="I30" s="31"/>
      <c r="J30" s="31"/>
      <c r="K30" s="31"/>
      <c r="L30" s="31"/>
      <c r="M30" s="31"/>
      <c r="N30" s="31"/>
      <c r="O30" s="31"/>
      <c r="P30" s="31"/>
      <c r="Q30" s="31"/>
      <c r="R30" s="31"/>
      <c r="S30" s="31"/>
      <c r="T30" s="31"/>
      <c r="U30" s="31"/>
      <c r="V30" s="31"/>
    </row>
    <row r="31" spans="1:22" outlineLevel="1">
      <c r="B31" t="s">
        <v>202</v>
      </c>
      <c r="D31" s="302">
        <f>'Assumptions Working'!D382</f>
        <v>26</v>
      </c>
      <c r="E31" s="302">
        <f>'Assumptions Working'!E382</f>
        <v>100</v>
      </c>
      <c r="F31" s="302">
        <f>'Assumptions Working'!F382</f>
        <v>154</v>
      </c>
      <c r="G31" s="302">
        <f>'Assumptions Working'!G382</f>
        <v>141</v>
      </c>
      <c r="H31" s="302">
        <f>'Assumptions Working'!H382</f>
        <v>180</v>
      </c>
      <c r="I31" s="303">
        <f>I$12*I32</f>
        <v>207.06000000000003</v>
      </c>
      <c r="J31" s="303">
        <f t="shared" ref="J31" si="18">J$12*J32</f>
        <v>252.61320000000001</v>
      </c>
      <c r="K31" s="303">
        <f t="shared" ref="K31" si="19">K$12*K32</f>
        <v>315.76650000000001</v>
      </c>
      <c r="L31" s="303">
        <f t="shared" ref="L31" si="20">L$12*L32</f>
        <v>394.70812500000005</v>
      </c>
      <c r="M31" s="303">
        <f t="shared" ref="M31" si="21">M$12*M32</f>
        <v>486.4777640625</v>
      </c>
      <c r="N31" s="303">
        <f t="shared" ref="N31" si="22">N$12*N32</f>
        <v>591.07048333593741</v>
      </c>
      <c r="O31" s="303">
        <f t="shared" ref="O31" si="23">O$12*O32</f>
        <v>707.80690379478506</v>
      </c>
      <c r="P31" s="303">
        <f t="shared" ref="P31:V31" si="24">P$12*P32</f>
        <v>835.21214647784632</v>
      </c>
      <c r="Q31" s="303">
        <f t="shared" si="24"/>
        <v>960.49396844952332</v>
      </c>
      <c r="R31" s="303">
        <f t="shared" si="24"/>
        <v>1094.9631240324566</v>
      </c>
      <c r="S31" s="303">
        <f t="shared" si="24"/>
        <v>1226.3586989163514</v>
      </c>
      <c r="T31" s="303">
        <f t="shared" si="24"/>
        <v>1348.9945688079868</v>
      </c>
      <c r="U31" s="303">
        <f t="shared" si="24"/>
        <v>1456.9141343126259</v>
      </c>
      <c r="V31" s="303">
        <f t="shared" si="24"/>
        <v>1529.7598410282571</v>
      </c>
    </row>
    <row r="32" spans="1:22" outlineLevel="1">
      <c r="B32" s="42" t="s">
        <v>466</v>
      </c>
      <c r="C32" s="42"/>
      <c r="D32" s="399">
        <f>'Assumptions Working'!D412</f>
        <v>3.1363088057901084E-2</v>
      </c>
      <c r="E32" s="399">
        <f>'Assumptions Working'!E412</f>
        <v>6.4474532559638947E-2</v>
      </c>
      <c r="F32" s="399">
        <f>'Assumptions Working'!F412</f>
        <v>7.0383912248628888E-2</v>
      </c>
      <c r="G32" s="399">
        <f>'Assumptions Working'!G412</f>
        <v>7.3094867807153963E-2</v>
      </c>
      <c r="H32" s="399">
        <f>'Assumptions Working'!H412</f>
        <v>7.0588235294117646E-2</v>
      </c>
      <c r="I32" s="53">
        <f>'Control Sheet'!I42</f>
        <v>7.0000000000000007E-2</v>
      </c>
      <c r="J32" s="53">
        <f>'Control Sheet'!J42</f>
        <v>7.0000000000000007E-2</v>
      </c>
      <c r="K32" s="53">
        <f>'Control Sheet'!K42</f>
        <v>7.0000000000000007E-2</v>
      </c>
      <c r="L32" s="53">
        <f>'Control Sheet'!L42</f>
        <v>7.0000000000000007E-2</v>
      </c>
      <c r="M32" s="53">
        <f>'Control Sheet'!M42</f>
        <v>7.0000000000000007E-2</v>
      </c>
      <c r="N32" s="53">
        <f>'Control Sheet'!N42</f>
        <v>7.0000000000000007E-2</v>
      </c>
      <c r="O32" s="53">
        <f>'Control Sheet'!O42</f>
        <v>7.0000000000000007E-2</v>
      </c>
      <c r="P32" s="53">
        <f>'Control Sheet'!P42</f>
        <v>7.0000000000000007E-2</v>
      </c>
      <c r="Q32" s="53">
        <f>'Control Sheet'!Q42</f>
        <v>7.0000000000000007E-2</v>
      </c>
      <c r="R32" s="53">
        <f>'Control Sheet'!R42</f>
        <v>7.0000000000000007E-2</v>
      </c>
      <c r="S32" s="53">
        <f>'Control Sheet'!S42</f>
        <v>7.0000000000000007E-2</v>
      </c>
      <c r="T32" s="53">
        <f>'Control Sheet'!T42</f>
        <v>7.0000000000000007E-2</v>
      </c>
      <c r="U32" s="53">
        <f>'Control Sheet'!U42</f>
        <v>7.0000000000000007E-2</v>
      </c>
      <c r="V32" s="53">
        <f>'Control Sheet'!V42</f>
        <v>7.0000000000000007E-2</v>
      </c>
    </row>
    <row r="33" spans="1:22" outlineLevel="1"/>
    <row r="34" spans="1:22" outlineLevel="1">
      <c r="B34" s="33" t="s">
        <v>471</v>
      </c>
      <c r="C34" s="33"/>
      <c r="D34" s="34"/>
      <c r="E34" s="34"/>
      <c r="F34" s="34"/>
      <c r="G34" s="34"/>
      <c r="H34" s="34"/>
      <c r="I34" s="34"/>
      <c r="J34" s="34"/>
      <c r="K34" s="34"/>
      <c r="L34" s="34"/>
      <c r="M34" s="34"/>
      <c r="N34" s="34"/>
      <c r="O34" s="34"/>
      <c r="P34" s="34"/>
      <c r="Q34" s="34"/>
      <c r="R34" s="34"/>
      <c r="S34" s="34"/>
      <c r="T34" s="34"/>
      <c r="U34" s="34"/>
      <c r="V34" s="34"/>
    </row>
    <row r="35" spans="1:22" outlineLevel="1">
      <c r="B35" s="31"/>
      <c r="C35" s="31"/>
      <c r="D35" s="31"/>
      <c r="E35" s="31"/>
      <c r="F35" s="31"/>
      <c r="G35" s="31"/>
      <c r="H35" s="31"/>
      <c r="I35" s="31"/>
      <c r="J35" s="31"/>
      <c r="K35" s="31"/>
      <c r="L35" s="31"/>
      <c r="M35" s="31"/>
      <c r="N35" s="31"/>
      <c r="O35" s="31"/>
      <c r="P35" s="31"/>
      <c r="Q35" s="31"/>
      <c r="R35" s="31"/>
      <c r="S35" s="31"/>
      <c r="T35" s="31"/>
      <c r="U35" s="31"/>
      <c r="V35" s="31"/>
    </row>
    <row r="36" spans="1:22" outlineLevel="1">
      <c r="B36" t="s">
        <v>471</v>
      </c>
      <c r="D36" s="302">
        <f>'Assumptions Working'!D387</f>
        <v>44</v>
      </c>
      <c r="E36" s="302">
        <f>'Assumptions Working'!E387</f>
        <v>63</v>
      </c>
      <c r="F36" s="302">
        <f>'Assumptions Working'!F387</f>
        <v>80</v>
      </c>
      <c r="G36" s="302">
        <f>'Assumptions Working'!G387</f>
        <v>86</v>
      </c>
      <c r="H36" s="302">
        <f>'Assumptions Working'!H387</f>
        <v>94</v>
      </c>
      <c r="I36" s="303">
        <f t="shared" ref="I36:M36" si="25">I$12*I37</f>
        <v>121.27800000000001</v>
      </c>
      <c r="J36" s="303">
        <f t="shared" si="25"/>
        <v>147.95916</v>
      </c>
      <c r="K36" s="303">
        <f t="shared" si="25"/>
        <v>184.94895</v>
      </c>
      <c r="L36" s="303">
        <f t="shared" si="25"/>
        <v>231.18618750000002</v>
      </c>
      <c r="M36" s="303">
        <f t="shared" si="25"/>
        <v>284.93697609374999</v>
      </c>
      <c r="N36" s="303">
        <f>N$12*N37</f>
        <v>346.19842595390622</v>
      </c>
      <c r="O36" s="303">
        <f>O$12*O37</f>
        <v>414.57261507980263</v>
      </c>
      <c r="P36" s="303">
        <f>P$12*P37</f>
        <v>489.1956857941671</v>
      </c>
      <c r="Q36" s="303">
        <f t="shared" ref="Q36:V36" si="26">Q$12*Q37</f>
        <v>562.57503866329216</v>
      </c>
      <c r="R36" s="303">
        <f t="shared" si="26"/>
        <v>641.33554407615316</v>
      </c>
      <c r="S36" s="303">
        <f t="shared" si="26"/>
        <v>718.29580936529157</v>
      </c>
      <c r="T36" s="303">
        <f t="shared" si="26"/>
        <v>790.12539030182086</v>
      </c>
      <c r="U36" s="303">
        <f t="shared" si="26"/>
        <v>853.33542152596658</v>
      </c>
      <c r="V36" s="303">
        <f t="shared" si="26"/>
        <v>896.00219260226493</v>
      </c>
    </row>
    <row r="37" spans="1:22" outlineLevel="1">
      <c r="B37" s="42" t="s">
        <v>461</v>
      </c>
      <c r="C37" s="42"/>
      <c r="D37" s="399">
        <f>'Assumptions Working'!D415</f>
        <v>5.3075995174909532E-2</v>
      </c>
      <c r="E37" s="399">
        <f>'Assumptions Working'!E415</f>
        <v>4.0618955512572531E-2</v>
      </c>
      <c r="F37" s="399">
        <f>'Assumptions Working'!F415</f>
        <v>3.6563071297989032E-2</v>
      </c>
      <c r="G37" s="399">
        <f>'Assumptions Working'!G415</f>
        <v>4.4582685329186106E-2</v>
      </c>
      <c r="H37" s="399">
        <f>'Assumptions Working'!H415</f>
        <v>3.6862745098039218E-2</v>
      </c>
      <c r="I37" s="53">
        <f>'Control Sheet'!I48</f>
        <v>4.1000000000000002E-2</v>
      </c>
      <c r="J37" s="53">
        <f>'Control Sheet'!J48</f>
        <v>4.1000000000000002E-2</v>
      </c>
      <c r="K37" s="53">
        <f>'Control Sheet'!K48</f>
        <v>4.1000000000000002E-2</v>
      </c>
      <c r="L37" s="53">
        <f>'Control Sheet'!L48</f>
        <v>4.1000000000000002E-2</v>
      </c>
      <c r="M37" s="53">
        <f>'Control Sheet'!M48</f>
        <v>4.1000000000000002E-2</v>
      </c>
      <c r="N37" s="53">
        <f>'Control Sheet'!N48</f>
        <v>4.1000000000000002E-2</v>
      </c>
      <c r="O37" s="53">
        <f>'Control Sheet'!O48</f>
        <v>4.1000000000000002E-2</v>
      </c>
      <c r="P37" s="53">
        <f>'Control Sheet'!P48</f>
        <v>4.1000000000000002E-2</v>
      </c>
      <c r="Q37" s="53">
        <f>'Control Sheet'!Q48</f>
        <v>4.1000000000000002E-2</v>
      </c>
      <c r="R37" s="53">
        <f>'Control Sheet'!R48</f>
        <v>4.1000000000000002E-2</v>
      </c>
      <c r="S37" s="53">
        <f>'Control Sheet'!S48</f>
        <v>4.1000000000000002E-2</v>
      </c>
      <c r="T37" s="53">
        <f>'Control Sheet'!T48</f>
        <v>4.1000000000000002E-2</v>
      </c>
      <c r="U37" s="53">
        <f>'Control Sheet'!U48</f>
        <v>4.1000000000000002E-2</v>
      </c>
      <c r="V37" s="53">
        <f>'Control Sheet'!V48</f>
        <v>4.1000000000000002E-2</v>
      </c>
    </row>
    <row r="38" spans="1:22" outlineLevel="1"/>
    <row r="39" spans="1:22" outlineLevel="1">
      <c r="B39" s="33" t="s">
        <v>469</v>
      </c>
      <c r="C39" s="33"/>
      <c r="D39" s="34"/>
      <c r="E39" s="34"/>
      <c r="F39" s="34"/>
      <c r="G39" s="34"/>
      <c r="H39" s="34"/>
      <c r="I39" s="34"/>
      <c r="J39" s="34"/>
      <c r="K39" s="34"/>
      <c r="L39" s="34"/>
      <c r="M39" s="34"/>
      <c r="N39" s="34"/>
      <c r="O39" s="34"/>
      <c r="P39" s="34"/>
      <c r="Q39" s="34"/>
      <c r="R39" s="34"/>
      <c r="S39" s="34"/>
      <c r="T39" s="34"/>
      <c r="U39" s="34"/>
      <c r="V39" s="34"/>
    </row>
    <row r="40" spans="1:22" outlineLevel="1">
      <c r="B40" s="31"/>
      <c r="C40" s="31"/>
      <c r="D40" s="31"/>
      <c r="E40" s="31"/>
      <c r="F40" s="31"/>
      <c r="G40" s="31"/>
      <c r="H40" s="31"/>
      <c r="I40" s="31"/>
      <c r="J40" s="31"/>
      <c r="K40" s="31"/>
      <c r="L40" s="31"/>
      <c r="M40" s="31"/>
      <c r="N40" s="31"/>
      <c r="O40" s="31"/>
      <c r="P40" s="31"/>
      <c r="Q40" s="31"/>
      <c r="R40" s="31"/>
      <c r="S40" s="31"/>
      <c r="T40" s="31"/>
      <c r="U40" s="31"/>
      <c r="V40" s="31"/>
    </row>
    <row r="41" spans="1:22" outlineLevel="1">
      <c r="B41" t="s">
        <v>469</v>
      </c>
      <c r="D41" s="302">
        <f>'Assumptions Working'!D417</f>
        <v>71.2</v>
      </c>
      <c r="E41" s="302">
        <f>'Assumptions Working'!E417</f>
        <v>64.8</v>
      </c>
      <c r="F41" s="302">
        <f>'Assumptions Working'!F417</f>
        <v>80.599999999999994</v>
      </c>
      <c r="G41" s="302">
        <f>'Assumptions Working'!G417</f>
        <v>79.3</v>
      </c>
      <c r="H41" s="302">
        <f>'Assumptions Working'!H417</f>
        <v>113.6</v>
      </c>
      <c r="I41" s="303">
        <f t="shared" ref="I41:P41" si="27">I$12*I37</f>
        <v>121.27800000000001</v>
      </c>
      <c r="J41" s="303">
        <f t="shared" si="27"/>
        <v>147.95916</v>
      </c>
      <c r="K41" s="303">
        <f t="shared" si="27"/>
        <v>184.94895</v>
      </c>
      <c r="L41" s="303">
        <f t="shared" si="27"/>
        <v>231.18618750000002</v>
      </c>
      <c r="M41" s="303">
        <f t="shared" si="27"/>
        <v>284.93697609374999</v>
      </c>
      <c r="N41" s="303">
        <f t="shared" si="27"/>
        <v>346.19842595390622</v>
      </c>
      <c r="O41" s="303">
        <f t="shared" si="27"/>
        <v>414.57261507980263</v>
      </c>
      <c r="P41" s="303">
        <f t="shared" si="27"/>
        <v>489.1956857941671</v>
      </c>
      <c r="Q41" s="303">
        <f t="shared" ref="Q41:V41" si="28">Q$12*Q37</f>
        <v>562.57503866329216</v>
      </c>
      <c r="R41" s="303">
        <f t="shared" si="28"/>
        <v>641.33554407615316</v>
      </c>
      <c r="S41" s="303">
        <f t="shared" si="28"/>
        <v>718.29580936529157</v>
      </c>
      <c r="T41" s="303">
        <f t="shared" si="28"/>
        <v>790.12539030182086</v>
      </c>
      <c r="U41" s="303">
        <f t="shared" si="28"/>
        <v>853.33542152596658</v>
      </c>
      <c r="V41" s="303">
        <f t="shared" si="28"/>
        <v>896.00219260226493</v>
      </c>
    </row>
    <row r="42" spans="1:22" outlineLevel="1">
      <c r="B42" s="42" t="s">
        <v>463</v>
      </c>
      <c r="C42" s="42"/>
      <c r="D42" s="399">
        <f>'Assumptions Working'!D418</f>
        <v>8.5886610373944516E-2</v>
      </c>
      <c r="E42" s="399">
        <f>'Assumptions Working'!E418</f>
        <v>4.1779497098646035E-2</v>
      </c>
      <c r="F42" s="399">
        <f>'Assumptions Working'!F418</f>
        <v>3.6837294332723945E-2</v>
      </c>
      <c r="G42" s="399">
        <f>'Assumptions Working'!G418</f>
        <v>4.1109383100051841E-2</v>
      </c>
      <c r="H42" s="399">
        <f>'Assumptions Working'!H418</f>
        <v>4.4549019607843132E-2</v>
      </c>
      <c r="I42" s="53">
        <f>'Control Sheet'!I54</f>
        <v>4.2000000000000003E-2</v>
      </c>
      <c r="J42" s="53">
        <f>'Control Sheet'!J54</f>
        <v>4.2000000000000003E-2</v>
      </c>
      <c r="K42" s="53">
        <f>'Control Sheet'!K54</f>
        <v>4.2000000000000003E-2</v>
      </c>
      <c r="L42" s="53">
        <f>'Control Sheet'!L54</f>
        <v>4.2000000000000003E-2</v>
      </c>
      <c r="M42" s="53">
        <f>'Control Sheet'!M54</f>
        <v>4.2000000000000003E-2</v>
      </c>
      <c r="N42" s="53">
        <f>'Control Sheet'!N54</f>
        <v>4.2000000000000003E-2</v>
      </c>
      <c r="O42" s="53">
        <f>'Control Sheet'!O54</f>
        <v>4.2000000000000003E-2</v>
      </c>
      <c r="P42" s="53">
        <f>'Control Sheet'!P54</f>
        <v>4.2000000000000003E-2</v>
      </c>
      <c r="Q42" s="53">
        <f>'Control Sheet'!Q54</f>
        <v>4.2000000000000003E-2</v>
      </c>
      <c r="R42" s="53">
        <f>'Control Sheet'!R54</f>
        <v>4.2000000000000003E-2</v>
      </c>
      <c r="S42" s="53">
        <f>'Control Sheet'!S54</f>
        <v>4.2000000000000003E-2</v>
      </c>
      <c r="T42" s="53">
        <f>'Control Sheet'!T54</f>
        <v>4.2000000000000003E-2</v>
      </c>
      <c r="U42" s="53">
        <f>'Control Sheet'!U54</f>
        <v>4.2000000000000003E-2</v>
      </c>
      <c r="V42" s="53">
        <f>'Control Sheet'!V54</f>
        <v>4.2000000000000003E-2</v>
      </c>
    </row>
    <row r="43" spans="1:22" outlineLevel="1"/>
    <row r="44" spans="1:22" ht="15.75" outlineLevel="1" thickBot="1">
      <c r="B44" s="49" t="s">
        <v>44</v>
      </c>
      <c r="C44" s="49"/>
      <c r="D44" s="268">
        <f>D41+D36+D31+D26</f>
        <v>182.2</v>
      </c>
      <c r="E44" s="268">
        <f t="shared" ref="E44:P44" si="29">E41+E36+E31+E26</f>
        <v>279.8</v>
      </c>
      <c r="F44" s="268">
        <f t="shared" si="29"/>
        <v>383.6</v>
      </c>
      <c r="G44" s="268">
        <f t="shared" si="29"/>
        <v>387.3</v>
      </c>
      <c r="H44" s="268">
        <f t="shared" si="29"/>
        <v>485.6</v>
      </c>
      <c r="I44" s="268">
        <f>I41+I36+I31+I26</f>
        <v>562.02</v>
      </c>
      <c r="J44" s="268">
        <f t="shared" si="29"/>
        <v>685.6644</v>
      </c>
      <c r="K44" s="268">
        <f t="shared" si="29"/>
        <v>857.08050000000003</v>
      </c>
      <c r="L44" s="268">
        <f t="shared" si="29"/>
        <v>1071.350625</v>
      </c>
      <c r="M44" s="268">
        <f t="shared" si="29"/>
        <v>1320.4396453125</v>
      </c>
      <c r="N44" s="268">
        <f t="shared" si="29"/>
        <v>1604.3341690546872</v>
      </c>
      <c r="O44" s="268">
        <f t="shared" si="29"/>
        <v>1921.1901674429878</v>
      </c>
      <c r="P44" s="268">
        <f t="shared" si="29"/>
        <v>2267.0043975827257</v>
      </c>
      <c r="Q44" s="268">
        <f t="shared" ref="Q44:V44" si="30">Q41+Q36+Q31+Q26</f>
        <v>2607.0550572201346</v>
      </c>
      <c r="R44" s="268">
        <f t="shared" si="30"/>
        <v>2972.0427652309536</v>
      </c>
      <c r="S44" s="268">
        <f t="shared" si="30"/>
        <v>3328.6878970586677</v>
      </c>
      <c r="T44" s="268">
        <f t="shared" si="30"/>
        <v>3661.5566867645357</v>
      </c>
      <c r="U44" s="268">
        <f t="shared" si="30"/>
        <v>3954.4812217056988</v>
      </c>
      <c r="V44" s="268">
        <f t="shared" si="30"/>
        <v>4152.2052827909838</v>
      </c>
    </row>
    <row r="45" spans="1:22" outlineLevel="1">
      <c r="B45" t="s">
        <v>45</v>
      </c>
      <c r="D45" s="55">
        <f t="shared" ref="D45:P45" si="31">D44/D12</f>
        <v>0.21978287092882989</v>
      </c>
      <c r="E45" s="55">
        <f t="shared" si="31"/>
        <v>0.18039974210186976</v>
      </c>
      <c r="F45" s="55">
        <f t="shared" si="31"/>
        <v>0.17531992687385742</v>
      </c>
      <c r="G45" s="55">
        <f t="shared" si="31"/>
        <v>0.20077760497667185</v>
      </c>
      <c r="H45" s="55">
        <f t="shared" si="31"/>
        <v>0.19043137254901962</v>
      </c>
      <c r="I45" s="55">
        <f t="shared" si="31"/>
        <v>0.19</v>
      </c>
      <c r="J45" s="55">
        <f t="shared" si="31"/>
        <v>0.19</v>
      </c>
      <c r="K45" s="55">
        <f t="shared" si="31"/>
        <v>0.19</v>
      </c>
      <c r="L45" s="55">
        <f t="shared" si="31"/>
        <v>0.19</v>
      </c>
      <c r="M45" s="55">
        <f t="shared" si="31"/>
        <v>0.19</v>
      </c>
      <c r="N45" s="55">
        <f t="shared" si="31"/>
        <v>0.19</v>
      </c>
      <c r="O45" s="55">
        <f t="shared" si="31"/>
        <v>0.19</v>
      </c>
      <c r="P45" s="55">
        <f t="shared" si="31"/>
        <v>0.19</v>
      </c>
      <c r="Q45" s="55">
        <f t="shared" ref="Q45:V45" si="32">Q44/Q12</f>
        <v>0.19000000000000003</v>
      </c>
      <c r="R45" s="55">
        <f t="shared" si="32"/>
        <v>0.19</v>
      </c>
      <c r="S45" s="55">
        <f t="shared" si="32"/>
        <v>0.18999999999999997</v>
      </c>
      <c r="T45" s="55">
        <f t="shared" si="32"/>
        <v>0.19000000000000003</v>
      </c>
      <c r="U45" s="55">
        <f t="shared" si="32"/>
        <v>0.19</v>
      </c>
      <c r="V45" s="55">
        <f t="shared" si="32"/>
        <v>0.19</v>
      </c>
    </row>
    <row r="47" spans="1:22" s="400" customFormat="1" ht="15.75">
      <c r="A47" s="400" t="s">
        <v>35</v>
      </c>
      <c r="B47" s="402" t="s">
        <v>48</v>
      </c>
      <c r="C47" s="402"/>
      <c r="D47" s="402"/>
      <c r="E47" s="402"/>
      <c r="F47" s="402"/>
      <c r="G47" s="402"/>
      <c r="H47" s="402"/>
      <c r="I47" s="402"/>
      <c r="J47" s="402"/>
      <c r="K47" s="402"/>
      <c r="L47" s="402"/>
      <c r="M47" s="402"/>
      <c r="N47" s="403"/>
      <c r="O47" s="403"/>
      <c r="P47" s="403"/>
      <c r="Q47" s="403"/>
      <c r="R47" s="403"/>
      <c r="S47" s="403"/>
      <c r="T47" s="403"/>
      <c r="U47" s="403"/>
      <c r="V47" s="403"/>
    </row>
    <row r="48" spans="1:22" outlineLevel="1"/>
    <row r="49" spans="2:22" outlineLevel="1">
      <c r="B49" s="33" t="s">
        <v>537</v>
      </c>
      <c r="C49" s="33"/>
      <c r="D49" s="34"/>
      <c r="E49" s="34"/>
      <c r="F49" s="34"/>
      <c r="G49" s="34"/>
      <c r="H49" s="34"/>
      <c r="I49" s="34"/>
      <c r="J49" s="34"/>
      <c r="K49" s="34"/>
      <c r="L49" s="34"/>
      <c r="M49" s="34"/>
      <c r="N49" s="34"/>
      <c r="O49" s="34"/>
      <c r="P49" s="34"/>
      <c r="Q49" s="34"/>
      <c r="R49" s="34"/>
      <c r="S49" s="34"/>
      <c r="T49" s="34"/>
      <c r="U49" s="34"/>
      <c r="V49" s="34"/>
    </row>
    <row r="50" spans="2:22" s="202" customFormat="1" outlineLevel="1">
      <c r="B50" s="202" t="s">
        <v>581</v>
      </c>
      <c r="D50" s="130">
        <f>D70</f>
        <v>0</v>
      </c>
      <c r="E50" s="130">
        <f t="shared" ref="E50:G50" si="33">E70</f>
        <v>0</v>
      </c>
      <c r="F50" s="130">
        <f t="shared" si="33"/>
        <v>0</v>
      </c>
      <c r="G50" s="130">
        <f t="shared" si="33"/>
        <v>0</v>
      </c>
      <c r="H50" s="58"/>
      <c r="I50" s="60">
        <v>2219</v>
      </c>
      <c r="J50" s="60">
        <f t="shared" ref="J50:P50" si="34">I53</f>
        <v>2507.5271428571427</v>
      </c>
      <c r="K50" s="60">
        <f t="shared" si="34"/>
        <v>2903.1971428571428</v>
      </c>
      <c r="L50" s="60">
        <f t="shared" si="34"/>
        <v>3395.295714285714</v>
      </c>
      <c r="M50" s="60">
        <f t="shared" si="34"/>
        <v>3973.1085714285709</v>
      </c>
      <c r="N50" s="60">
        <f t="shared" si="34"/>
        <v>4625.9214285714279</v>
      </c>
      <c r="O50" s="60">
        <f t="shared" si="34"/>
        <v>5343.0199999999995</v>
      </c>
      <c r="P50" s="60">
        <f t="shared" si="34"/>
        <v>6113.69</v>
      </c>
      <c r="Q50" s="60">
        <f t="shared" ref="Q50" si="35">P53</f>
        <v>6927.2171428571428</v>
      </c>
      <c r="R50" s="60">
        <f t="shared" ref="R50" si="36">Q53</f>
        <v>7689.3157142857135</v>
      </c>
      <c r="S50" s="60">
        <f t="shared" ref="S50" si="37">R53</f>
        <v>8397.9285714285706</v>
      </c>
      <c r="T50" s="60">
        <f t="shared" ref="T50" si="38">S53</f>
        <v>9050.9162857142856</v>
      </c>
      <c r="U50" s="60">
        <f t="shared" ref="U50" si="39">T53</f>
        <v>9646.0538514285727</v>
      </c>
      <c r="V50" s="60">
        <f t="shared" ref="V50" si="40">U53</f>
        <v>10181.027262628573</v>
      </c>
    </row>
    <row r="51" spans="2:22" s="202" customFormat="1" outlineLevel="1">
      <c r="B51" s="329" t="s">
        <v>582</v>
      </c>
      <c r="D51" s="189"/>
      <c r="E51" s="189"/>
      <c r="F51" s="189"/>
      <c r="G51" s="189"/>
      <c r="H51" s="385"/>
      <c r="I51" s="385">
        <f>'Assumptions Working'!E731</f>
        <v>450</v>
      </c>
      <c r="J51" s="385">
        <f>'Assumptions Working'!F731</f>
        <v>600</v>
      </c>
      <c r="K51" s="385">
        <f>'Assumptions Working'!G731</f>
        <v>750</v>
      </c>
      <c r="L51" s="385">
        <f>'Assumptions Working'!H731</f>
        <v>900</v>
      </c>
      <c r="M51" s="385">
        <f>'Assumptions Working'!I731</f>
        <v>1050</v>
      </c>
      <c r="N51" s="385">
        <f>'Assumptions Working'!J731</f>
        <v>1200</v>
      </c>
      <c r="O51" s="385">
        <f>'Assumptions Working'!K731</f>
        <v>1350</v>
      </c>
      <c r="P51" s="385">
        <f>'Assumptions Working'!L731</f>
        <v>1500</v>
      </c>
      <c r="Q51" s="385">
        <f>'Assumptions Working'!M731</f>
        <v>1560</v>
      </c>
      <c r="R51" s="385">
        <f>'Assumptions Working'!N731</f>
        <v>1622.4</v>
      </c>
      <c r="S51" s="385">
        <f>'Assumptions Working'!O731</f>
        <v>1687.296</v>
      </c>
      <c r="T51" s="385">
        <f>'Assumptions Working'!P731</f>
        <v>1754.7878400000002</v>
      </c>
      <c r="U51" s="385">
        <f>'Assumptions Working'!Q731</f>
        <v>1824.9793536000002</v>
      </c>
      <c r="V51" s="385">
        <f>'Assumptions Working'!R731</f>
        <v>1897.9785277440003</v>
      </c>
    </row>
    <row r="52" spans="2:22" s="202" customFormat="1" outlineLevel="1">
      <c r="B52" s="329" t="s">
        <v>583</v>
      </c>
      <c r="D52" s="385">
        <f>' Income Statement'!D26*-1</f>
        <v>70.77</v>
      </c>
      <c r="E52" s="385">
        <f>' Income Statement'!E26*-1</f>
        <v>82.67</v>
      </c>
      <c r="F52" s="385">
        <f>' Income Statement'!F26*-1</f>
        <v>105.72</v>
      </c>
      <c r="G52" s="385">
        <f>' Income Statement'!G26*-1</f>
        <v>120.33</v>
      </c>
      <c r="H52" s="385">
        <f>' Income Statement'!H26*-1</f>
        <v>129.33000000000001</v>
      </c>
      <c r="I52" s="60">
        <f t="shared" ref="I52:P52" si="41">H52+I51/$C$71</f>
        <v>161.47285714285715</v>
      </c>
      <c r="J52" s="60">
        <f>I52+J51/$C$71</f>
        <v>204.33</v>
      </c>
      <c r="K52" s="60">
        <f t="shared" si="41"/>
        <v>257.9014285714286</v>
      </c>
      <c r="L52" s="60">
        <f t="shared" si="41"/>
        <v>322.18714285714287</v>
      </c>
      <c r="M52" s="60">
        <f t="shared" si="41"/>
        <v>397.18714285714287</v>
      </c>
      <c r="N52" s="60">
        <f t="shared" si="41"/>
        <v>482.9014285714286</v>
      </c>
      <c r="O52" s="60">
        <f t="shared" si="41"/>
        <v>579.33000000000004</v>
      </c>
      <c r="P52" s="60">
        <f t="shared" si="41"/>
        <v>686.47285714285715</v>
      </c>
      <c r="Q52" s="60">
        <f t="shared" ref="Q52" si="42">P52+Q51/$C$71</f>
        <v>797.9014285714286</v>
      </c>
      <c r="R52" s="60">
        <f t="shared" ref="R52" si="43">Q52+R51/$C$71</f>
        <v>913.78714285714284</v>
      </c>
      <c r="S52" s="60">
        <f t="shared" ref="S52" si="44">R52+S51/$C$71</f>
        <v>1034.3082857142856</v>
      </c>
      <c r="T52" s="60">
        <f t="shared" ref="T52" si="45">S52+T51/$C$71</f>
        <v>1159.6502742857142</v>
      </c>
      <c r="U52" s="60">
        <f t="shared" ref="U52" si="46">T52+U51/$C$71</f>
        <v>1290.0059423999999</v>
      </c>
      <c r="V52" s="60">
        <f t="shared" ref="V52" si="47">U52+V51/$C$71</f>
        <v>1425.575837238857</v>
      </c>
    </row>
    <row r="53" spans="2:22" s="202" customFormat="1" outlineLevel="1">
      <c r="B53" s="330" t="s">
        <v>584</v>
      </c>
      <c r="C53" s="330"/>
      <c r="D53" s="332">
        <f>D73</f>
        <v>1070.6500000000001</v>
      </c>
      <c r="E53" s="332">
        <f t="shared" ref="E53:H53" si="48">E73</f>
        <v>1039.4000000000001</v>
      </c>
      <c r="F53" s="332">
        <f t="shared" si="48"/>
        <v>1778.85</v>
      </c>
      <c r="G53" s="332">
        <f t="shared" si="48"/>
        <v>1744.68</v>
      </c>
      <c r="H53" s="332">
        <f t="shared" si="48"/>
        <v>2219.39</v>
      </c>
      <c r="I53" s="332">
        <f t="shared" ref="I53:P53" si="49">I50+I51+-I52</f>
        <v>2507.5271428571427</v>
      </c>
      <c r="J53" s="332">
        <f t="shared" si="49"/>
        <v>2903.1971428571428</v>
      </c>
      <c r="K53" s="332">
        <f t="shared" si="49"/>
        <v>3395.295714285714</v>
      </c>
      <c r="L53" s="332">
        <f t="shared" si="49"/>
        <v>3973.1085714285709</v>
      </c>
      <c r="M53" s="332">
        <f t="shared" si="49"/>
        <v>4625.9214285714279</v>
      </c>
      <c r="N53" s="332">
        <f t="shared" si="49"/>
        <v>5343.0199999999995</v>
      </c>
      <c r="O53" s="332">
        <f t="shared" si="49"/>
        <v>6113.69</v>
      </c>
      <c r="P53" s="332">
        <f t="shared" si="49"/>
        <v>6927.2171428571428</v>
      </c>
      <c r="Q53" s="332">
        <f t="shared" ref="Q53:V53" si="50">Q50+Q51+-Q52</f>
        <v>7689.3157142857135</v>
      </c>
      <c r="R53" s="332">
        <f t="shared" si="50"/>
        <v>8397.9285714285706</v>
      </c>
      <c r="S53" s="332">
        <f t="shared" si="50"/>
        <v>9050.9162857142856</v>
      </c>
      <c r="T53" s="332">
        <f t="shared" si="50"/>
        <v>9646.0538514285727</v>
      </c>
      <c r="U53" s="332">
        <f t="shared" si="50"/>
        <v>10181.027262628573</v>
      </c>
      <c r="V53" s="332">
        <f t="shared" si="50"/>
        <v>10653.429953133716</v>
      </c>
    </row>
    <row r="54" spans="2:22" outlineLevel="1">
      <c r="B54" s="37" t="s">
        <v>585</v>
      </c>
      <c r="C54" s="37"/>
      <c r="D54" s="37"/>
      <c r="E54" s="37"/>
      <c r="F54" s="37"/>
      <c r="G54" s="37"/>
      <c r="H54" s="37"/>
      <c r="I54" s="102"/>
      <c r="J54" s="102">
        <f t="shared" ref="J54:V54" si="51">J53/I53-1</f>
        <v>0.15779290809556823</v>
      </c>
      <c r="K54" s="102">
        <f t="shared" si="51"/>
        <v>0.16950229254644378</v>
      </c>
      <c r="L54" s="102">
        <f t="shared" si="51"/>
        <v>0.17018042190307847</v>
      </c>
      <c r="M54" s="102">
        <f t="shared" si="51"/>
        <v>0.16430783237019164</v>
      </c>
      <c r="N54" s="102">
        <f t="shared" si="51"/>
        <v>0.15501745598174277</v>
      </c>
      <c r="O54" s="102">
        <f t="shared" si="51"/>
        <v>0.14423865154912385</v>
      </c>
      <c r="P54" s="102">
        <f t="shared" si="51"/>
        <v>0.13306646932656774</v>
      </c>
      <c r="Q54" s="102">
        <f t="shared" si="51"/>
        <v>0.11001511223224658</v>
      </c>
      <c r="R54" s="102">
        <f t="shared" si="51"/>
        <v>9.2155515974763569E-2</v>
      </c>
      <c r="S54" s="102">
        <f t="shared" si="51"/>
        <v>7.7755807129309185E-2</v>
      </c>
      <c r="T54" s="102">
        <f t="shared" si="51"/>
        <v>6.5754399546666509E-2</v>
      </c>
      <c r="U54" s="102">
        <f t="shared" si="51"/>
        <v>5.5460338438891421E-2</v>
      </c>
      <c r="V54" s="102">
        <f t="shared" si="51"/>
        <v>4.6400297172289218E-2</v>
      </c>
    </row>
    <row r="55" spans="2:22" outlineLevel="1"/>
    <row r="56" spans="2:22" outlineLevel="1">
      <c r="B56" s="33" t="s">
        <v>217</v>
      </c>
      <c r="C56" s="33"/>
      <c r="D56" s="306"/>
      <c r="E56" s="306"/>
      <c r="F56" s="306"/>
      <c r="G56" s="306"/>
      <c r="H56" s="306"/>
      <c r="I56" s="34"/>
      <c r="J56" s="34"/>
      <c r="K56" s="34"/>
      <c r="L56" s="34"/>
      <c r="M56" s="34"/>
      <c r="N56" s="34"/>
      <c r="O56" s="34"/>
      <c r="P56" s="34"/>
      <c r="Q56" s="34"/>
      <c r="R56" s="34"/>
      <c r="S56" s="34"/>
      <c r="T56" s="34"/>
      <c r="U56" s="34"/>
      <c r="V56" s="34"/>
    </row>
    <row r="57" spans="2:22" outlineLevel="1">
      <c r="B57" t="s">
        <v>217</v>
      </c>
      <c r="D57" s="304">
        <f>' Balance Sheet'!D20</f>
        <v>39.200000000000003</v>
      </c>
      <c r="E57" s="304">
        <f>' Balance Sheet'!E20</f>
        <v>19.8</v>
      </c>
      <c r="F57" s="304">
        <f>' Balance Sheet'!F20</f>
        <v>51</v>
      </c>
      <c r="G57" s="304">
        <f>' Balance Sheet'!G20</f>
        <v>43.2</v>
      </c>
      <c r="H57" s="304">
        <f>' Balance Sheet'!H20</f>
        <v>76</v>
      </c>
      <c r="I57" s="305">
        <f>H57*(1+I58)</f>
        <v>76</v>
      </c>
      <c r="J57" s="305">
        <f t="shared" ref="J57" si="52">I57*(1+J58)</f>
        <v>76</v>
      </c>
      <c r="K57" s="305">
        <f t="shared" ref="K57" si="53">J57*(1+K58)</f>
        <v>76</v>
      </c>
      <c r="L57" s="305">
        <f t="shared" ref="L57" si="54">K57*(1+L58)</f>
        <v>76</v>
      </c>
      <c r="M57" s="305">
        <f t="shared" ref="M57" si="55">L57*(1+M58)</f>
        <v>76</v>
      </c>
      <c r="N57" s="305">
        <f t="shared" ref="N57" si="56">M57*(1+N58)</f>
        <v>76</v>
      </c>
      <c r="O57" s="305">
        <f t="shared" ref="O57" si="57">N57*(1+O58)</f>
        <v>76</v>
      </c>
      <c r="P57" s="305">
        <f t="shared" ref="P57" si="58">O57*(1+P58)</f>
        <v>76</v>
      </c>
      <c r="Q57" s="305">
        <f t="shared" ref="Q57" si="59">P57*(1+Q58)</f>
        <v>76</v>
      </c>
      <c r="R57" s="305">
        <f t="shared" ref="R57" si="60">Q57*(1+R58)</f>
        <v>76</v>
      </c>
      <c r="S57" s="305">
        <f t="shared" ref="S57" si="61">R57*(1+S58)</f>
        <v>76</v>
      </c>
      <c r="T57" s="305">
        <f t="shared" ref="T57" si="62">S57*(1+T58)</f>
        <v>76</v>
      </c>
      <c r="U57" s="305">
        <f t="shared" ref="U57" si="63">T57*(1+U58)</f>
        <v>76</v>
      </c>
      <c r="V57" s="305">
        <f t="shared" ref="V57" si="64">U57*(1+V58)</f>
        <v>76</v>
      </c>
    </row>
    <row r="58" spans="2:22" outlineLevel="1">
      <c r="B58" s="42" t="s">
        <v>548</v>
      </c>
      <c r="C58" s="42"/>
      <c r="D58" s="50">
        <f>D57/D12</f>
        <v>4.7285886610373945E-2</v>
      </c>
      <c r="E58" s="50">
        <f>E57/E12</f>
        <v>1.2765957446808512E-2</v>
      </c>
      <c r="F58" s="50">
        <f>F57/F12</f>
        <v>2.3308957952468009E-2</v>
      </c>
      <c r="G58" s="50">
        <f>G57/G12</f>
        <v>2.2395023328149303E-2</v>
      </c>
      <c r="H58" s="50">
        <f>H57/H12</f>
        <v>2.9803921568627451E-2</v>
      </c>
      <c r="I58" s="53">
        <f>'Control Sheet'!I65</f>
        <v>0</v>
      </c>
      <c r="J58" s="53">
        <f>'Control Sheet'!J65</f>
        <v>0</v>
      </c>
      <c r="K58" s="53">
        <f>'Control Sheet'!K65</f>
        <v>0</v>
      </c>
      <c r="L58" s="53">
        <f>'Control Sheet'!L65</f>
        <v>0</v>
      </c>
      <c r="M58" s="53">
        <f>'Control Sheet'!M65</f>
        <v>0</v>
      </c>
      <c r="N58" s="53">
        <f>'Control Sheet'!N65</f>
        <v>0</v>
      </c>
      <c r="O58" s="53">
        <f>'Control Sheet'!O65</f>
        <v>0</v>
      </c>
      <c r="P58" s="53">
        <f>'Control Sheet'!P65</f>
        <v>0</v>
      </c>
      <c r="Q58" s="53">
        <f>'Control Sheet'!Q65</f>
        <v>0</v>
      </c>
      <c r="R58" s="53">
        <f>'Control Sheet'!R65</f>
        <v>0</v>
      </c>
      <c r="S58" s="53">
        <f>'Control Sheet'!S65</f>
        <v>0</v>
      </c>
      <c r="T58" s="53">
        <f>'Control Sheet'!T65</f>
        <v>0</v>
      </c>
      <c r="U58" s="53">
        <f>'Control Sheet'!U65</f>
        <v>0</v>
      </c>
      <c r="V58" s="53">
        <f>'Control Sheet'!V65</f>
        <v>0</v>
      </c>
    </row>
    <row r="59" spans="2:22" outlineLevel="1">
      <c r="E59" s="300"/>
      <c r="F59" s="300"/>
      <c r="G59" s="300"/>
      <c r="H59" s="300"/>
      <c r="I59" s="301"/>
      <c r="J59" s="301"/>
      <c r="K59" s="301"/>
      <c r="L59" s="301"/>
      <c r="M59" s="301"/>
      <c r="N59" s="301"/>
      <c r="O59" s="301"/>
      <c r="P59" s="301"/>
      <c r="Q59" s="301"/>
      <c r="R59" s="301"/>
      <c r="S59" s="301"/>
      <c r="T59" s="301"/>
      <c r="U59" s="301"/>
      <c r="V59" s="301"/>
    </row>
    <row r="60" spans="2:22" outlineLevel="1">
      <c r="B60" s="33" t="s">
        <v>542</v>
      </c>
      <c r="C60" s="33"/>
      <c r="D60" s="34"/>
      <c r="E60" s="34"/>
      <c r="F60" s="34"/>
      <c r="G60" s="34"/>
      <c r="H60" s="34"/>
      <c r="I60" s="34"/>
      <c r="J60" s="34"/>
      <c r="K60" s="34"/>
      <c r="L60" s="34"/>
      <c r="M60" s="34"/>
      <c r="N60" s="34"/>
      <c r="O60" s="34"/>
      <c r="P60" s="34"/>
      <c r="Q60" s="34"/>
      <c r="R60" s="34"/>
      <c r="S60" s="34"/>
      <c r="T60" s="34"/>
      <c r="U60" s="34"/>
      <c r="V60" s="34"/>
    </row>
    <row r="61" spans="2:22" outlineLevel="1">
      <c r="B61" t="s">
        <v>542</v>
      </c>
      <c r="D61" s="304">
        <f>' Balance Sheet'!D19</f>
        <v>126</v>
      </c>
      <c r="E61" s="304">
        <f>' Balance Sheet'!E19</f>
        <v>589</v>
      </c>
      <c r="F61" s="304">
        <f>' Balance Sheet'!F19</f>
        <v>158</v>
      </c>
      <c r="G61" s="304">
        <f>' Balance Sheet'!G19</f>
        <v>483</v>
      </c>
      <c r="H61" s="304">
        <f>' Balance Sheet'!H19</f>
        <v>64</v>
      </c>
      <c r="I61" s="305">
        <f>H61</f>
        <v>64</v>
      </c>
      <c r="J61" s="305">
        <f t="shared" ref="J61:P61" si="65">I61</f>
        <v>64</v>
      </c>
      <c r="K61" s="305">
        <f t="shared" si="65"/>
        <v>64</v>
      </c>
      <c r="L61" s="305">
        <f t="shared" si="65"/>
        <v>64</v>
      </c>
      <c r="M61" s="305">
        <f t="shared" si="65"/>
        <v>64</v>
      </c>
      <c r="N61" s="305">
        <f t="shared" si="65"/>
        <v>64</v>
      </c>
      <c r="O61" s="305">
        <f t="shared" si="65"/>
        <v>64</v>
      </c>
      <c r="P61" s="305">
        <f t="shared" si="65"/>
        <v>64</v>
      </c>
      <c r="Q61" s="305">
        <f t="shared" ref="Q61" si="66">P61</f>
        <v>64</v>
      </c>
      <c r="R61" s="305">
        <f t="shared" ref="R61" si="67">Q61</f>
        <v>64</v>
      </c>
      <c r="S61" s="305">
        <f t="shared" ref="S61" si="68">R61</f>
        <v>64</v>
      </c>
      <c r="T61" s="305">
        <f t="shared" ref="T61" si="69">S61</f>
        <v>64</v>
      </c>
      <c r="U61" s="305">
        <f t="shared" ref="U61" si="70">T61</f>
        <v>64</v>
      </c>
      <c r="V61" s="305">
        <f t="shared" ref="V61" si="71">U61</f>
        <v>64</v>
      </c>
    </row>
    <row r="62" spans="2:22" outlineLevel="1">
      <c r="B62" s="42"/>
      <c r="C62" s="42"/>
      <c r="D62" s="50"/>
      <c r="E62" s="50"/>
      <c r="F62" s="50"/>
      <c r="G62" s="50"/>
      <c r="H62" s="50"/>
      <c r="I62" s="53">
        <f>'Control Sheet'!I71</f>
        <v>0</v>
      </c>
      <c r="J62" s="53">
        <f>'Control Sheet'!J71</f>
        <v>0</v>
      </c>
      <c r="K62" s="53">
        <f>'Control Sheet'!K71</f>
        <v>0</v>
      </c>
      <c r="L62" s="53">
        <f>'Control Sheet'!L71</f>
        <v>0</v>
      </c>
      <c r="M62" s="53">
        <f>'Control Sheet'!M71</f>
        <v>0</v>
      </c>
      <c r="N62" s="53">
        <f>'Control Sheet'!N71</f>
        <v>0</v>
      </c>
      <c r="O62" s="53">
        <f>'Control Sheet'!O71</f>
        <v>0</v>
      </c>
      <c r="P62" s="53">
        <f>'Control Sheet'!P71</f>
        <v>0</v>
      </c>
      <c r="Q62" s="53">
        <f>'Control Sheet'!Q71</f>
        <v>0</v>
      </c>
      <c r="R62" s="53">
        <f>'Control Sheet'!R71</f>
        <v>0</v>
      </c>
      <c r="S62" s="53">
        <f>'Control Sheet'!S71</f>
        <v>0</v>
      </c>
      <c r="T62" s="53">
        <f>'Control Sheet'!T71</f>
        <v>0</v>
      </c>
      <c r="U62" s="53">
        <f>'Control Sheet'!U71</f>
        <v>0</v>
      </c>
      <c r="V62" s="53">
        <f>'Control Sheet'!V71</f>
        <v>0</v>
      </c>
    </row>
    <row r="63" spans="2:22" outlineLevel="1"/>
    <row r="64" spans="2:22" outlineLevel="1">
      <c r="B64" s="33" t="s">
        <v>49</v>
      </c>
      <c r="C64" s="33"/>
      <c r="D64" s="34"/>
      <c r="E64" s="34"/>
      <c r="F64" s="34"/>
      <c r="G64" s="34"/>
      <c r="H64" s="34"/>
      <c r="I64" s="34"/>
      <c r="J64" s="34"/>
      <c r="K64" s="34"/>
      <c r="L64" s="34"/>
      <c r="M64" s="34"/>
      <c r="N64" s="34"/>
      <c r="O64" s="34"/>
      <c r="P64" s="34"/>
      <c r="Q64" s="34"/>
      <c r="R64" s="34"/>
      <c r="S64" s="34"/>
      <c r="T64" s="34"/>
      <c r="U64" s="34"/>
      <c r="V64" s="34"/>
    </row>
    <row r="65" spans="1:22" outlineLevel="1">
      <c r="B65" t="s">
        <v>544</v>
      </c>
      <c r="D65" s="304">
        <f>' Balance Sheet'!D18</f>
        <v>31.35</v>
      </c>
      <c r="E65" s="304">
        <f>' Balance Sheet'!E18</f>
        <v>28.6</v>
      </c>
      <c r="F65" s="304">
        <f>' Balance Sheet'!F18</f>
        <v>25.15</v>
      </c>
      <c r="G65" s="304">
        <f>' Balance Sheet'!G18</f>
        <v>22.32</v>
      </c>
      <c r="H65" s="304">
        <f>' Balance Sheet'!H18</f>
        <v>19</v>
      </c>
      <c r="I65" s="305">
        <f>H65*(1+I66)</f>
        <v>16</v>
      </c>
      <c r="J65" s="305">
        <f t="shared" ref="J65:V65" si="72">I65*(1+J66)</f>
        <v>13</v>
      </c>
      <c r="K65" s="305">
        <f t="shared" si="72"/>
        <v>10</v>
      </c>
      <c r="L65" s="305">
        <f t="shared" si="72"/>
        <v>7</v>
      </c>
      <c r="M65" s="305">
        <v>4</v>
      </c>
      <c r="N65" s="305">
        <f t="shared" si="72"/>
        <v>0</v>
      </c>
      <c r="O65" s="305">
        <f t="shared" si="72"/>
        <v>0</v>
      </c>
      <c r="P65" s="305">
        <f t="shared" si="72"/>
        <v>0</v>
      </c>
      <c r="Q65" s="305">
        <f t="shared" si="72"/>
        <v>0</v>
      </c>
      <c r="R65" s="305">
        <f t="shared" si="72"/>
        <v>0</v>
      </c>
      <c r="S65" s="305">
        <f t="shared" si="72"/>
        <v>0</v>
      </c>
      <c r="T65" s="305">
        <f t="shared" si="72"/>
        <v>0</v>
      </c>
      <c r="U65" s="305">
        <f t="shared" si="72"/>
        <v>0</v>
      </c>
      <c r="V65" s="305">
        <f t="shared" si="72"/>
        <v>0</v>
      </c>
    </row>
    <row r="66" spans="1:22" outlineLevel="1">
      <c r="B66" s="42" t="s">
        <v>543</v>
      </c>
      <c r="C66" s="42"/>
      <c r="D66" s="42"/>
      <c r="E66" s="59">
        <f>E65/D65-1</f>
        <v>-8.7719298245614086E-2</v>
      </c>
      <c r="F66" s="59">
        <f t="shared" ref="F66:H66" si="73">F65/E65-1</f>
        <v>-0.12062937062937074</v>
      </c>
      <c r="G66" s="59">
        <f t="shared" si="73"/>
        <v>-0.11252485089463216</v>
      </c>
      <c r="H66" s="59">
        <f t="shared" si="73"/>
        <v>-0.14874551971326166</v>
      </c>
      <c r="I66" s="53">
        <f>'Control Sheet'!I76</f>
        <v>-0.15789473684210531</v>
      </c>
      <c r="J66" s="53">
        <f>'Control Sheet'!J76</f>
        <v>-0.1875</v>
      </c>
      <c r="K66" s="53">
        <f>'Control Sheet'!K76</f>
        <v>-0.23076923076923073</v>
      </c>
      <c r="L66" s="53">
        <f>'Control Sheet'!L76</f>
        <v>-0.30000000000000004</v>
      </c>
      <c r="M66" s="53">
        <f>'Control Sheet'!M76</f>
        <v>-0.4285714285714286</v>
      </c>
      <c r="N66" s="53">
        <f>'Control Sheet'!N76</f>
        <v>-1</v>
      </c>
      <c r="O66" s="53"/>
      <c r="P66" s="53"/>
      <c r="Q66" s="53"/>
      <c r="R66" s="53"/>
      <c r="S66" s="53"/>
      <c r="T66" s="53"/>
      <c r="U66" s="53"/>
      <c r="V66" s="53"/>
    </row>
    <row r="68" spans="1:22" s="400" customFormat="1" ht="15.75">
      <c r="A68" s="400" t="s">
        <v>35</v>
      </c>
      <c r="B68" s="402" t="s">
        <v>50</v>
      </c>
      <c r="C68" s="402"/>
      <c r="D68" s="402"/>
      <c r="E68" s="402"/>
      <c r="F68" s="402"/>
      <c r="G68" s="402"/>
      <c r="H68" s="402"/>
      <c r="I68" s="402"/>
      <c r="J68" s="402"/>
      <c r="K68" s="402"/>
      <c r="L68" s="402"/>
      <c r="M68" s="402"/>
      <c r="N68" s="403"/>
      <c r="O68" s="403"/>
      <c r="P68" s="403"/>
      <c r="Q68" s="403"/>
      <c r="R68" s="403"/>
      <c r="S68" s="403"/>
      <c r="T68" s="403"/>
      <c r="U68" s="403"/>
      <c r="V68" s="403"/>
    </row>
    <row r="69" spans="1:22" outlineLevel="1"/>
    <row r="70" spans="1:22" outlineLevel="1">
      <c r="B70" t="s">
        <v>51</v>
      </c>
      <c r="D70" s="58"/>
      <c r="E70" s="58"/>
      <c r="F70" s="58"/>
      <c r="G70" s="58"/>
      <c r="H70" s="58"/>
      <c r="I70" s="331">
        <f t="shared" ref="I70:V71" si="74">I50</f>
        <v>2219</v>
      </c>
      <c r="J70" s="331">
        <f t="shared" si="74"/>
        <v>2507.5271428571427</v>
      </c>
      <c r="K70" s="331">
        <f t="shared" si="74"/>
        <v>2903.1971428571428</v>
      </c>
      <c r="L70" s="331">
        <f t="shared" si="74"/>
        <v>3395.295714285714</v>
      </c>
      <c r="M70" s="331">
        <f t="shared" si="74"/>
        <v>3973.1085714285709</v>
      </c>
      <c r="N70" s="331">
        <f t="shared" si="74"/>
        <v>4625.9214285714279</v>
      </c>
      <c r="O70" s="331">
        <f t="shared" si="74"/>
        <v>5343.0199999999995</v>
      </c>
      <c r="P70" s="331">
        <f t="shared" si="74"/>
        <v>6113.69</v>
      </c>
      <c r="Q70" s="331">
        <f t="shared" ref="Q70:V70" si="75">Q50</f>
        <v>6927.2171428571428</v>
      </c>
      <c r="R70" s="331">
        <f t="shared" si="75"/>
        <v>7689.3157142857135</v>
      </c>
      <c r="S70" s="331">
        <f t="shared" si="75"/>
        <v>8397.9285714285706</v>
      </c>
      <c r="T70" s="331">
        <f t="shared" si="75"/>
        <v>9050.9162857142856</v>
      </c>
      <c r="U70" s="331">
        <f t="shared" si="75"/>
        <v>9646.0538514285727</v>
      </c>
      <c r="V70" s="331">
        <f t="shared" si="75"/>
        <v>10181.027262628573</v>
      </c>
    </row>
    <row r="71" spans="1:22" outlineLevel="1">
      <c r="B71" s="57" t="s">
        <v>573</v>
      </c>
      <c r="C71" s="319">
        <v>14</v>
      </c>
      <c r="D71" s="320"/>
      <c r="E71" s="320"/>
      <c r="F71" s="320"/>
      <c r="G71" s="320"/>
      <c r="H71" s="320">
        <f>H51</f>
        <v>0</v>
      </c>
      <c r="I71" s="320">
        <f t="shared" si="74"/>
        <v>450</v>
      </c>
      <c r="J71" s="320">
        <f>J51</f>
        <v>600</v>
      </c>
      <c r="K71" s="320">
        <f>K51</f>
        <v>750</v>
      </c>
      <c r="L71" s="320">
        <f t="shared" si="74"/>
        <v>900</v>
      </c>
      <c r="M71" s="320">
        <f t="shared" si="74"/>
        <v>1050</v>
      </c>
      <c r="N71" s="320">
        <f t="shared" si="74"/>
        <v>1200</v>
      </c>
      <c r="O71" s="320">
        <f t="shared" si="74"/>
        <v>1350</v>
      </c>
      <c r="P71" s="320">
        <f t="shared" si="74"/>
        <v>1500</v>
      </c>
      <c r="Q71" s="320">
        <f t="shared" si="74"/>
        <v>1560</v>
      </c>
      <c r="R71" s="320">
        <f t="shared" si="74"/>
        <v>1622.4</v>
      </c>
      <c r="S71" s="320">
        <f t="shared" si="74"/>
        <v>1687.296</v>
      </c>
      <c r="T71" s="320">
        <f t="shared" si="74"/>
        <v>1754.7878400000002</v>
      </c>
      <c r="U71" s="320">
        <f t="shared" si="74"/>
        <v>1824.9793536000002</v>
      </c>
      <c r="V71" s="320">
        <f t="shared" si="74"/>
        <v>1897.9785277440003</v>
      </c>
    </row>
    <row r="72" spans="1:22" outlineLevel="1">
      <c r="B72" s="57" t="s">
        <v>53</v>
      </c>
      <c r="D72" s="58">
        <f>' Income Statement'!D26*-1</f>
        <v>70.77</v>
      </c>
      <c r="E72" s="58">
        <f>' Income Statement'!E26*-1</f>
        <v>82.67</v>
      </c>
      <c r="F72" s="58">
        <f>' Income Statement'!F26*-1</f>
        <v>105.72</v>
      </c>
      <c r="G72" s="58">
        <f>' Income Statement'!G26*-1</f>
        <v>120.33</v>
      </c>
      <c r="H72" s="58">
        <f>' Income Statement'!H26*-1</f>
        <v>129.33000000000001</v>
      </c>
      <c r="I72" s="320">
        <f t="shared" ref="I72:V72" si="76">H72+(I71/$C$71)</f>
        <v>161.47285714285715</v>
      </c>
      <c r="J72" s="320">
        <f t="shared" si="76"/>
        <v>204.33</v>
      </c>
      <c r="K72" s="320">
        <f t="shared" si="76"/>
        <v>257.9014285714286</v>
      </c>
      <c r="L72" s="320">
        <f t="shared" si="76"/>
        <v>322.18714285714287</v>
      </c>
      <c r="M72" s="320">
        <f t="shared" si="76"/>
        <v>397.18714285714287</v>
      </c>
      <c r="N72" s="320">
        <f t="shared" si="76"/>
        <v>482.9014285714286</v>
      </c>
      <c r="O72" s="320">
        <f t="shared" si="76"/>
        <v>579.33000000000004</v>
      </c>
      <c r="P72" s="320">
        <f t="shared" si="76"/>
        <v>686.47285714285715</v>
      </c>
      <c r="Q72" s="320">
        <f t="shared" si="76"/>
        <v>797.9014285714286</v>
      </c>
      <c r="R72" s="320">
        <f t="shared" si="76"/>
        <v>913.78714285714284</v>
      </c>
      <c r="S72" s="320">
        <f t="shared" si="76"/>
        <v>1034.3082857142856</v>
      </c>
      <c r="T72" s="320">
        <f t="shared" si="76"/>
        <v>1159.6502742857142</v>
      </c>
      <c r="U72" s="320">
        <f t="shared" si="76"/>
        <v>1290.0059423999999</v>
      </c>
      <c r="V72" s="320">
        <f t="shared" si="76"/>
        <v>1425.575837238857</v>
      </c>
    </row>
    <row r="73" spans="1:22" outlineLevel="1">
      <c r="B73" s="46" t="s">
        <v>54</v>
      </c>
      <c r="C73" s="46"/>
      <c r="D73" s="48">
        <f>' Balance Sheet'!D17</f>
        <v>1070.6500000000001</v>
      </c>
      <c r="E73" s="48">
        <f>' Balance Sheet'!E17</f>
        <v>1039.4000000000001</v>
      </c>
      <c r="F73" s="48">
        <f>' Balance Sheet'!F17</f>
        <v>1778.85</v>
      </c>
      <c r="G73" s="48">
        <f>' Balance Sheet'!G17</f>
        <v>1744.68</v>
      </c>
      <c r="H73" s="48">
        <f>' Balance Sheet'!H17</f>
        <v>2219.39</v>
      </c>
      <c r="I73" s="48">
        <f t="shared" ref="I73" si="77">I70+I71-I72</f>
        <v>2507.5271428571427</v>
      </c>
      <c r="J73" s="48">
        <f t="shared" ref="J73:P73" si="78">J70+J71-J72</f>
        <v>2903.1971428571428</v>
      </c>
      <c r="K73" s="48">
        <f t="shared" si="78"/>
        <v>3395.295714285714</v>
      </c>
      <c r="L73" s="48">
        <f t="shared" si="78"/>
        <v>3973.1085714285709</v>
      </c>
      <c r="M73" s="48">
        <f t="shared" si="78"/>
        <v>4625.9214285714279</v>
      </c>
      <c r="N73" s="48">
        <f t="shared" si="78"/>
        <v>5343.0199999999995</v>
      </c>
      <c r="O73" s="48">
        <f t="shared" si="78"/>
        <v>6113.69</v>
      </c>
      <c r="P73" s="48">
        <f t="shared" si="78"/>
        <v>6927.2171428571428</v>
      </c>
      <c r="Q73" s="48">
        <f t="shared" ref="Q73:V73" si="79">Q70+Q71-Q72</f>
        <v>7689.3157142857135</v>
      </c>
      <c r="R73" s="48">
        <f t="shared" si="79"/>
        <v>8397.9285714285706</v>
      </c>
      <c r="S73" s="48">
        <f t="shared" si="79"/>
        <v>9050.9162857142856</v>
      </c>
      <c r="T73" s="48">
        <f t="shared" si="79"/>
        <v>9646.0538514285727</v>
      </c>
      <c r="U73" s="48">
        <f t="shared" si="79"/>
        <v>10181.027262628573</v>
      </c>
      <c r="V73" s="48">
        <f t="shared" si="79"/>
        <v>10653.429953133716</v>
      </c>
    </row>
    <row r="74" spans="1:22" outlineLevel="1"/>
    <row r="75" spans="1:22" outlineLevel="1">
      <c r="B75" t="s">
        <v>55</v>
      </c>
      <c r="C75" s="319">
        <v>10</v>
      </c>
      <c r="D75" s="504"/>
      <c r="E75" s="58">
        <f>'3 Statement Model'!E59</f>
        <v>28.6</v>
      </c>
      <c r="F75" s="58">
        <f>'3 Statement Model'!F59</f>
        <v>25.15</v>
      </c>
      <c r="G75" s="58">
        <f>'3 Statement Model'!G59</f>
        <v>22.32</v>
      </c>
      <c r="H75" s="58">
        <f>'3 Statement Model'!H59</f>
        <v>19</v>
      </c>
      <c r="I75" s="58">
        <f>I65</f>
        <v>16</v>
      </c>
      <c r="J75" s="58">
        <f t="shared" ref="J75:L75" si="80">J65</f>
        <v>13</v>
      </c>
      <c r="K75" s="58">
        <f t="shared" si="80"/>
        <v>10</v>
      </c>
      <c r="L75" s="58">
        <f t="shared" si="80"/>
        <v>7</v>
      </c>
      <c r="M75" s="58">
        <f>M65</f>
        <v>4</v>
      </c>
      <c r="N75" s="58">
        <f t="shared" ref="N75:V75" si="81">M78</f>
        <v>0.77</v>
      </c>
      <c r="O75" s="58">
        <f t="shared" si="81"/>
        <v>-2.46</v>
      </c>
      <c r="P75" s="58">
        <f t="shared" si="81"/>
        <v>0</v>
      </c>
      <c r="Q75" s="58">
        <f t="shared" si="81"/>
        <v>0</v>
      </c>
      <c r="R75" s="58">
        <f t="shared" si="81"/>
        <v>0</v>
      </c>
      <c r="S75" s="58">
        <f t="shared" si="81"/>
        <v>0</v>
      </c>
      <c r="T75" s="58">
        <f t="shared" si="81"/>
        <v>0</v>
      </c>
      <c r="U75" s="58">
        <f t="shared" si="81"/>
        <v>0</v>
      </c>
      <c r="V75" s="58">
        <f t="shared" si="81"/>
        <v>0</v>
      </c>
    </row>
    <row r="76" spans="1:22" outlineLevel="1">
      <c r="B76" s="57" t="s">
        <v>52</v>
      </c>
      <c r="D76" s="320"/>
      <c r="E76" s="320">
        <v>0</v>
      </c>
      <c r="F76" s="320">
        <v>0</v>
      </c>
      <c r="G76" s="320">
        <v>0</v>
      </c>
      <c r="H76" s="320">
        <v>0</v>
      </c>
      <c r="I76" s="320">
        <v>0</v>
      </c>
      <c r="J76" s="320">
        <v>0</v>
      </c>
      <c r="K76" s="320">
        <v>0</v>
      </c>
      <c r="L76" s="320">
        <v>0</v>
      </c>
      <c r="M76" s="320">
        <v>0</v>
      </c>
      <c r="N76" s="320">
        <v>0</v>
      </c>
      <c r="O76" s="320">
        <v>0</v>
      </c>
      <c r="P76" s="320">
        <v>0</v>
      </c>
      <c r="Q76" s="320">
        <v>0</v>
      </c>
      <c r="R76" s="320">
        <v>0</v>
      </c>
      <c r="S76" s="320">
        <v>0</v>
      </c>
      <c r="T76" s="320">
        <v>0</v>
      </c>
      <c r="U76" s="320">
        <v>0</v>
      </c>
      <c r="V76" s="320">
        <v>0</v>
      </c>
    </row>
    <row r="77" spans="1:22" outlineLevel="1">
      <c r="B77" s="57" t="s">
        <v>57</v>
      </c>
      <c r="D77" s="58">
        <v>3.23</v>
      </c>
      <c r="E77" s="58">
        <v>3.23</v>
      </c>
      <c r="F77" s="58">
        <v>3.23</v>
      </c>
      <c r="G77" s="58">
        <v>3.23</v>
      </c>
      <c r="H77" s="58">
        <v>3.23</v>
      </c>
      <c r="I77" s="321">
        <f>H77</f>
        <v>3.23</v>
      </c>
      <c r="J77" s="321">
        <f>I77</f>
        <v>3.23</v>
      </c>
      <c r="K77" s="321">
        <f>J77</f>
        <v>3.23</v>
      </c>
      <c r="L77" s="321">
        <f>K77</f>
        <v>3.23</v>
      </c>
      <c r="M77" s="321">
        <f>L77</f>
        <v>3.23</v>
      </c>
      <c r="N77" s="321">
        <f t="shared" ref="N77" si="82">M77</f>
        <v>3.23</v>
      </c>
      <c r="O77" s="321"/>
      <c r="P77" s="321"/>
      <c r="Q77" s="321"/>
      <c r="R77" s="321"/>
      <c r="S77" s="321"/>
      <c r="T77" s="321"/>
      <c r="U77" s="321"/>
      <c r="V77" s="321"/>
    </row>
    <row r="78" spans="1:22" outlineLevel="1">
      <c r="B78" s="46" t="s">
        <v>56</v>
      </c>
      <c r="C78" s="46"/>
      <c r="D78" s="507"/>
      <c r="E78" s="48">
        <f t="shared" ref="E78:N78" si="83">E75+E76-E77</f>
        <v>25.37</v>
      </c>
      <c r="F78" s="48">
        <f t="shared" si="83"/>
        <v>21.919999999999998</v>
      </c>
      <c r="G78" s="48">
        <f t="shared" si="83"/>
        <v>19.09</v>
      </c>
      <c r="H78" s="48">
        <f t="shared" si="83"/>
        <v>15.77</v>
      </c>
      <c r="I78" s="48">
        <f>I75+I76-I77</f>
        <v>12.77</v>
      </c>
      <c r="J78" s="48">
        <f t="shared" si="83"/>
        <v>9.77</v>
      </c>
      <c r="K78" s="48">
        <f t="shared" si="83"/>
        <v>6.77</v>
      </c>
      <c r="L78" s="48">
        <f>L75+L76-L77</f>
        <v>3.77</v>
      </c>
      <c r="M78" s="48">
        <f t="shared" si="83"/>
        <v>0.77</v>
      </c>
      <c r="N78" s="48">
        <f t="shared" si="83"/>
        <v>-2.46</v>
      </c>
      <c r="O78" s="48"/>
      <c r="P78" s="48"/>
      <c r="Q78" s="48"/>
      <c r="R78" s="48"/>
      <c r="S78" s="48"/>
      <c r="T78" s="48"/>
      <c r="U78" s="48"/>
      <c r="V78" s="48"/>
    </row>
    <row r="79" spans="1:22" outlineLevel="1"/>
    <row r="80" spans="1:22" outlineLevel="1">
      <c r="B80" s="323" t="s">
        <v>575</v>
      </c>
      <c r="C80" s="323"/>
      <c r="D80" s="324">
        <f t="shared" ref="D80:P80" si="84">D72/D12</f>
        <v>8.5367913148371527E-2</v>
      </c>
      <c r="E80" s="324">
        <f t="shared" si="84"/>
        <v>5.3301096067053515E-2</v>
      </c>
      <c r="F80" s="324">
        <f t="shared" si="84"/>
        <v>4.8318098720292503E-2</v>
      </c>
      <c r="G80" s="324">
        <f t="shared" si="84"/>
        <v>6.2379471228615861E-2</v>
      </c>
      <c r="H80" s="324">
        <f t="shared" si="84"/>
        <v>5.0717647058823534E-2</v>
      </c>
      <c r="I80" s="324">
        <f t="shared" si="84"/>
        <v>5.4588525065198498E-2</v>
      </c>
      <c r="J80" s="324">
        <f t="shared" si="84"/>
        <v>5.6620556645495965E-2</v>
      </c>
      <c r="K80" s="324">
        <f t="shared" si="84"/>
        <v>5.717230928550053E-2</v>
      </c>
      <c r="L80" s="324">
        <f t="shared" si="84"/>
        <v>5.7138676838740021E-2</v>
      </c>
      <c r="M80" s="324">
        <f t="shared" si="84"/>
        <v>5.7151841366439131E-2</v>
      </c>
      <c r="N80" s="324">
        <f t="shared" si="84"/>
        <v>5.7189626200278162E-2</v>
      </c>
      <c r="O80" s="324">
        <f t="shared" si="84"/>
        <v>5.7294015899790648E-2</v>
      </c>
      <c r="P80" s="324">
        <f t="shared" si="84"/>
        <v>5.7534005225670641E-2</v>
      </c>
      <c r="Q80" s="324">
        <f t="shared" ref="Q80:V80" si="85">Q72/Q12</f>
        <v>5.8150391188984595E-2</v>
      </c>
      <c r="R80" s="324">
        <f t="shared" si="85"/>
        <v>5.8417583748787479E-2</v>
      </c>
      <c r="S80" s="324">
        <f t="shared" si="85"/>
        <v>5.9037849255667428E-2</v>
      </c>
      <c r="T80" s="324">
        <f t="shared" si="85"/>
        <v>6.0174830260235367E-2</v>
      </c>
      <c r="U80" s="324">
        <f t="shared" si="85"/>
        <v>6.1980602590971406E-2</v>
      </c>
      <c r="V80" s="324">
        <f t="shared" si="85"/>
        <v>6.5232663278468633E-2</v>
      </c>
    </row>
    <row r="81" spans="2:22" outlineLevel="1"/>
    <row r="82" spans="2:22" outlineLevel="1">
      <c r="B82" s="62" t="s">
        <v>58</v>
      </c>
    </row>
    <row r="83" spans="2:22" outlineLevel="1">
      <c r="B83" s="61">
        <v>2025</v>
      </c>
      <c r="D83" s="37"/>
      <c r="E83" s="37"/>
      <c r="F83" s="37"/>
      <c r="G83" s="37"/>
      <c r="H83" s="54">
        <f>H72</f>
        <v>129.33000000000001</v>
      </c>
      <c r="I83" s="54">
        <f>H83</f>
        <v>129.33000000000001</v>
      </c>
      <c r="J83" s="54">
        <f t="shared" ref="J83:P83" si="86">I83</f>
        <v>129.33000000000001</v>
      </c>
      <c r="K83" s="54">
        <f t="shared" si="86"/>
        <v>129.33000000000001</v>
      </c>
      <c r="L83" s="54">
        <f t="shared" si="86"/>
        <v>129.33000000000001</v>
      </c>
      <c r="M83" s="54">
        <f t="shared" si="86"/>
        <v>129.33000000000001</v>
      </c>
      <c r="N83" s="54">
        <f t="shared" si="86"/>
        <v>129.33000000000001</v>
      </c>
      <c r="O83" s="54">
        <f t="shared" si="86"/>
        <v>129.33000000000001</v>
      </c>
      <c r="P83" s="54">
        <f t="shared" si="86"/>
        <v>129.33000000000001</v>
      </c>
      <c r="Q83" s="54">
        <f>P83</f>
        <v>129.33000000000001</v>
      </c>
      <c r="R83" s="54">
        <f t="shared" ref="R83:R92" si="87">Q83</f>
        <v>129.33000000000001</v>
      </c>
      <c r="S83" s="54">
        <f t="shared" ref="S83:S93" si="88">R83</f>
        <v>129.33000000000001</v>
      </c>
      <c r="T83" s="54">
        <f t="shared" ref="T83:T94" si="89">S83</f>
        <v>129.33000000000001</v>
      </c>
      <c r="U83" s="54">
        <f t="shared" ref="U83:U95" si="90">T83</f>
        <v>129.33000000000001</v>
      </c>
      <c r="V83" s="54">
        <f t="shared" ref="V83:V96" si="91">U83</f>
        <v>129.33000000000001</v>
      </c>
    </row>
    <row r="84" spans="2:22" outlineLevel="1">
      <c r="B84" s="61">
        <f>B83+1</f>
        <v>2026</v>
      </c>
      <c r="D84" s="37"/>
      <c r="E84" s="37"/>
      <c r="F84" s="37"/>
      <c r="G84" s="37"/>
      <c r="H84" s="37"/>
      <c r="I84" s="54">
        <f>I71/$C$71</f>
        <v>32.142857142857146</v>
      </c>
      <c r="J84" s="54">
        <f>I84</f>
        <v>32.142857142857146</v>
      </c>
      <c r="K84" s="54">
        <f>J84</f>
        <v>32.142857142857146</v>
      </c>
      <c r="L84" s="54">
        <f t="shared" ref="L84:P84" si="92">K84</f>
        <v>32.142857142857146</v>
      </c>
      <c r="M84" s="54">
        <f t="shared" si="92"/>
        <v>32.142857142857146</v>
      </c>
      <c r="N84" s="54">
        <f t="shared" si="92"/>
        <v>32.142857142857146</v>
      </c>
      <c r="O84" s="54">
        <f t="shared" si="92"/>
        <v>32.142857142857146</v>
      </c>
      <c r="P84" s="54">
        <f t="shared" si="92"/>
        <v>32.142857142857146</v>
      </c>
      <c r="Q84" s="54">
        <f t="shared" ref="Q84:Q90" si="93">P84</f>
        <v>32.142857142857146</v>
      </c>
      <c r="R84" s="54">
        <f t="shared" si="87"/>
        <v>32.142857142857146</v>
      </c>
      <c r="S84" s="54">
        <f t="shared" si="88"/>
        <v>32.142857142857146</v>
      </c>
      <c r="T84" s="54">
        <f t="shared" si="89"/>
        <v>32.142857142857146</v>
      </c>
      <c r="U84" s="54">
        <f t="shared" si="90"/>
        <v>32.142857142857146</v>
      </c>
      <c r="V84" s="54">
        <f t="shared" si="91"/>
        <v>32.142857142857146</v>
      </c>
    </row>
    <row r="85" spans="2:22" outlineLevel="1">
      <c r="B85" s="61">
        <f>B84+1</f>
        <v>2027</v>
      </c>
      <c r="D85" s="37"/>
      <c r="E85" s="37"/>
      <c r="F85" s="37"/>
      <c r="G85" s="37"/>
      <c r="H85" s="37"/>
      <c r="I85" s="322"/>
      <c r="J85" s="54">
        <f>J71/$C$71</f>
        <v>42.857142857142854</v>
      </c>
      <c r="K85" s="54">
        <f>J85</f>
        <v>42.857142857142854</v>
      </c>
      <c r="L85" s="54">
        <f t="shared" ref="L85:P85" si="94">K85</f>
        <v>42.857142857142854</v>
      </c>
      <c r="M85" s="54">
        <f t="shared" si="94"/>
        <v>42.857142857142854</v>
      </c>
      <c r="N85" s="54">
        <f t="shared" si="94"/>
        <v>42.857142857142854</v>
      </c>
      <c r="O85" s="54">
        <f t="shared" si="94"/>
        <v>42.857142857142854</v>
      </c>
      <c r="P85" s="54">
        <f t="shared" si="94"/>
        <v>42.857142857142854</v>
      </c>
      <c r="Q85" s="54">
        <f t="shared" si="93"/>
        <v>42.857142857142854</v>
      </c>
      <c r="R85" s="54">
        <f t="shared" si="87"/>
        <v>42.857142857142854</v>
      </c>
      <c r="S85" s="54">
        <f t="shared" si="88"/>
        <v>42.857142857142854</v>
      </c>
      <c r="T85" s="54">
        <f t="shared" si="89"/>
        <v>42.857142857142854</v>
      </c>
      <c r="U85" s="54">
        <f t="shared" si="90"/>
        <v>42.857142857142854</v>
      </c>
      <c r="V85" s="54">
        <f t="shared" si="91"/>
        <v>42.857142857142854</v>
      </c>
    </row>
    <row r="86" spans="2:22" outlineLevel="1">
      <c r="B86" s="61">
        <f>B85+1</f>
        <v>2028</v>
      </c>
      <c r="D86" s="37"/>
      <c r="E86" s="37"/>
      <c r="F86" s="37"/>
      <c r="G86" s="37"/>
      <c r="H86" s="37"/>
      <c r="I86" s="322"/>
      <c r="J86" s="322"/>
      <c r="K86" s="54">
        <f>K71/$C$71</f>
        <v>53.571428571428569</v>
      </c>
      <c r="L86" s="54">
        <f>K86</f>
        <v>53.571428571428569</v>
      </c>
      <c r="M86" s="54">
        <f t="shared" ref="M86:P86" si="95">L86</f>
        <v>53.571428571428569</v>
      </c>
      <c r="N86" s="54">
        <f t="shared" si="95"/>
        <v>53.571428571428569</v>
      </c>
      <c r="O86" s="54">
        <f t="shared" si="95"/>
        <v>53.571428571428569</v>
      </c>
      <c r="P86" s="54">
        <f t="shared" si="95"/>
        <v>53.571428571428569</v>
      </c>
      <c r="Q86" s="54">
        <f t="shared" si="93"/>
        <v>53.571428571428569</v>
      </c>
      <c r="R86" s="54">
        <f t="shared" si="87"/>
        <v>53.571428571428569</v>
      </c>
      <c r="S86" s="54">
        <f t="shared" si="88"/>
        <v>53.571428571428569</v>
      </c>
      <c r="T86" s="54">
        <f t="shared" si="89"/>
        <v>53.571428571428569</v>
      </c>
      <c r="U86" s="54">
        <f t="shared" si="90"/>
        <v>53.571428571428569</v>
      </c>
      <c r="V86" s="54">
        <f t="shared" si="91"/>
        <v>53.571428571428569</v>
      </c>
    </row>
    <row r="87" spans="2:22" outlineLevel="1">
      <c r="B87" s="61">
        <f>B86+1</f>
        <v>2029</v>
      </c>
      <c r="D87" s="37"/>
      <c r="E87" s="37"/>
      <c r="F87" s="37"/>
      <c r="G87" s="37"/>
      <c r="H87" s="37"/>
      <c r="I87" s="322"/>
      <c r="J87" s="322"/>
      <c r="K87" s="322"/>
      <c r="L87" s="54">
        <f>L71/$C$71</f>
        <v>64.285714285714292</v>
      </c>
      <c r="M87" s="54">
        <f>L87</f>
        <v>64.285714285714292</v>
      </c>
      <c r="N87" s="54">
        <f t="shared" ref="N87:P87" si="96">M87</f>
        <v>64.285714285714292</v>
      </c>
      <c r="O87" s="54">
        <f t="shared" si="96"/>
        <v>64.285714285714292</v>
      </c>
      <c r="P87" s="54">
        <f t="shared" si="96"/>
        <v>64.285714285714292</v>
      </c>
      <c r="Q87" s="54">
        <f t="shared" si="93"/>
        <v>64.285714285714292</v>
      </c>
      <c r="R87" s="54">
        <f t="shared" si="87"/>
        <v>64.285714285714292</v>
      </c>
      <c r="S87" s="54">
        <f t="shared" si="88"/>
        <v>64.285714285714292</v>
      </c>
      <c r="T87" s="54">
        <f t="shared" si="89"/>
        <v>64.285714285714292</v>
      </c>
      <c r="U87" s="54">
        <f t="shared" si="90"/>
        <v>64.285714285714292</v>
      </c>
      <c r="V87" s="54">
        <f t="shared" si="91"/>
        <v>64.285714285714292</v>
      </c>
    </row>
    <row r="88" spans="2:22" outlineLevel="1">
      <c r="B88" s="61">
        <f t="shared" ref="B88:B97" si="97">B87+1</f>
        <v>2030</v>
      </c>
      <c r="D88" s="37"/>
      <c r="E88" s="37"/>
      <c r="F88" s="37"/>
      <c r="G88" s="37"/>
      <c r="H88" s="37"/>
      <c r="I88" s="322"/>
      <c r="J88" s="322"/>
      <c r="K88" s="322"/>
      <c r="L88" s="322"/>
      <c r="M88" s="54">
        <f>M71/$C$71</f>
        <v>75</v>
      </c>
      <c r="N88" s="54">
        <f>M88</f>
        <v>75</v>
      </c>
      <c r="O88" s="54">
        <f t="shared" ref="O88:P88" si="98">N88</f>
        <v>75</v>
      </c>
      <c r="P88" s="54">
        <f t="shared" si="98"/>
        <v>75</v>
      </c>
      <c r="Q88" s="54">
        <f t="shared" si="93"/>
        <v>75</v>
      </c>
      <c r="R88" s="54">
        <f t="shared" si="87"/>
        <v>75</v>
      </c>
      <c r="S88" s="54">
        <f t="shared" si="88"/>
        <v>75</v>
      </c>
      <c r="T88" s="54">
        <f t="shared" si="89"/>
        <v>75</v>
      </c>
      <c r="U88" s="54">
        <f t="shared" si="90"/>
        <v>75</v>
      </c>
      <c r="V88" s="54">
        <f t="shared" si="91"/>
        <v>75</v>
      </c>
    </row>
    <row r="89" spans="2:22" outlineLevel="1">
      <c r="B89" s="61">
        <f t="shared" si="97"/>
        <v>2031</v>
      </c>
      <c r="D89" s="37"/>
      <c r="E89" s="37"/>
      <c r="F89" s="37"/>
      <c r="G89" s="37"/>
      <c r="H89" s="37"/>
      <c r="I89" s="322"/>
      <c r="J89" s="322"/>
      <c r="K89" s="322"/>
      <c r="L89" s="322"/>
      <c r="M89" s="322"/>
      <c r="N89" s="54">
        <f>N71/$C$71</f>
        <v>85.714285714285708</v>
      </c>
      <c r="O89" s="54">
        <f>N89</f>
        <v>85.714285714285708</v>
      </c>
      <c r="P89" s="54">
        <f t="shared" ref="P89" si="99">O89</f>
        <v>85.714285714285708</v>
      </c>
      <c r="Q89" s="54">
        <f t="shared" si="93"/>
        <v>85.714285714285708</v>
      </c>
      <c r="R89" s="54">
        <f t="shared" si="87"/>
        <v>85.714285714285708</v>
      </c>
      <c r="S89" s="54">
        <f t="shared" si="88"/>
        <v>85.714285714285708</v>
      </c>
      <c r="T89" s="54">
        <f t="shared" si="89"/>
        <v>85.714285714285708</v>
      </c>
      <c r="U89" s="54">
        <f t="shared" si="90"/>
        <v>85.714285714285708</v>
      </c>
      <c r="V89" s="54">
        <f t="shared" si="91"/>
        <v>85.714285714285708</v>
      </c>
    </row>
    <row r="90" spans="2:22" outlineLevel="1">
      <c r="B90" s="61">
        <f t="shared" si="97"/>
        <v>2032</v>
      </c>
      <c r="D90" s="37"/>
      <c r="E90" s="37"/>
      <c r="F90" s="37"/>
      <c r="G90" s="37"/>
      <c r="H90" s="37"/>
      <c r="I90" s="322"/>
      <c r="J90" s="322"/>
      <c r="K90" s="322"/>
      <c r="L90" s="322"/>
      <c r="M90" s="322"/>
      <c r="N90" s="322"/>
      <c r="O90" s="54">
        <f>O71/$C$71</f>
        <v>96.428571428571431</v>
      </c>
      <c r="P90" s="54">
        <f>O90</f>
        <v>96.428571428571431</v>
      </c>
      <c r="Q90" s="54">
        <f t="shared" si="93"/>
        <v>96.428571428571431</v>
      </c>
      <c r="R90" s="54">
        <f t="shared" si="87"/>
        <v>96.428571428571431</v>
      </c>
      <c r="S90" s="54">
        <f t="shared" si="88"/>
        <v>96.428571428571431</v>
      </c>
      <c r="T90" s="54">
        <f t="shared" si="89"/>
        <v>96.428571428571431</v>
      </c>
      <c r="U90" s="54">
        <f t="shared" si="90"/>
        <v>96.428571428571431</v>
      </c>
      <c r="V90" s="54">
        <f t="shared" si="91"/>
        <v>96.428571428571431</v>
      </c>
    </row>
    <row r="91" spans="2:22" outlineLevel="1">
      <c r="B91" s="61">
        <f t="shared" si="97"/>
        <v>2033</v>
      </c>
      <c r="D91" s="37"/>
      <c r="E91" s="37"/>
      <c r="F91" s="37"/>
      <c r="G91" s="37"/>
      <c r="H91" s="37"/>
      <c r="I91" s="322"/>
      <c r="J91" s="322"/>
      <c r="K91" s="322"/>
      <c r="L91" s="322"/>
      <c r="M91" s="322"/>
      <c r="N91" s="322"/>
      <c r="O91" s="322"/>
      <c r="P91" s="54">
        <f>P71/C71</f>
        <v>107.14285714285714</v>
      </c>
      <c r="Q91" s="54">
        <f>P91</f>
        <v>107.14285714285714</v>
      </c>
      <c r="R91" s="54">
        <f t="shared" si="87"/>
        <v>107.14285714285714</v>
      </c>
      <c r="S91" s="54">
        <f t="shared" si="88"/>
        <v>107.14285714285714</v>
      </c>
      <c r="T91" s="54">
        <f t="shared" si="89"/>
        <v>107.14285714285714</v>
      </c>
      <c r="U91" s="54">
        <f t="shared" si="90"/>
        <v>107.14285714285714</v>
      </c>
      <c r="V91" s="54">
        <f t="shared" si="91"/>
        <v>107.14285714285714</v>
      </c>
    </row>
    <row r="92" spans="2:22" outlineLevel="1">
      <c r="B92" s="61">
        <f t="shared" si="97"/>
        <v>2034</v>
      </c>
      <c r="D92" s="37"/>
      <c r="E92" s="37"/>
      <c r="F92" s="37"/>
      <c r="G92" s="37"/>
      <c r="H92" s="37"/>
      <c r="I92" s="322"/>
      <c r="J92" s="322"/>
      <c r="K92" s="322"/>
      <c r="L92" s="322"/>
      <c r="M92" s="322"/>
      <c r="N92" s="322"/>
      <c r="O92" s="322"/>
      <c r="P92" s="322"/>
      <c r="Q92" s="54">
        <f>Q71/C71</f>
        <v>111.42857142857143</v>
      </c>
      <c r="R92" s="54">
        <f t="shared" si="87"/>
        <v>111.42857142857143</v>
      </c>
      <c r="S92" s="54">
        <f t="shared" si="88"/>
        <v>111.42857142857143</v>
      </c>
      <c r="T92" s="54">
        <f t="shared" si="89"/>
        <v>111.42857142857143</v>
      </c>
      <c r="U92" s="54">
        <f t="shared" si="90"/>
        <v>111.42857142857143</v>
      </c>
      <c r="V92" s="54">
        <f t="shared" si="91"/>
        <v>111.42857142857143</v>
      </c>
    </row>
    <row r="93" spans="2:22" outlineLevel="1">
      <c r="B93" s="61">
        <f t="shared" si="97"/>
        <v>2035</v>
      </c>
      <c r="D93" s="37"/>
      <c r="E93" s="37"/>
      <c r="F93" s="37"/>
      <c r="G93" s="37"/>
      <c r="H93" s="37"/>
      <c r="I93" s="322"/>
      <c r="J93" s="322"/>
      <c r="K93" s="322"/>
      <c r="L93" s="322"/>
      <c r="M93" s="322"/>
      <c r="N93" s="322"/>
      <c r="O93" s="322"/>
      <c r="P93" s="322"/>
      <c r="Q93" s="322"/>
      <c r="R93" s="54">
        <f>R71/C71</f>
        <v>115.88571428571429</v>
      </c>
      <c r="S93" s="54">
        <f t="shared" si="88"/>
        <v>115.88571428571429</v>
      </c>
      <c r="T93" s="54">
        <f t="shared" si="89"/>
        <v>115.88571428571429</v>
      </c>
      <c r="U93" s="54">
        <f t="shared" si="90"/>
        <v>115.88571428571429</v>
      </c>
      <c r="V93" s="54">
        <f t="shared" si="91"/>
        <v>115.88571428571429</v>
      </c>
    </row>
    <row r="94" spans="2:22" outlineLevel="1">
      <c r="B94" s="61">
        <f t="shared" si="97"/>
        <v>2036</v>
      </c>
      <c r="D94" s="37"/>
      <c r="E94" s="37"/>
      <c r="F94" s="37"/>
      <c r="G94" s="37"/>
      <c r="H94" s="37"/>
      <c r="I94" s="322"/>
      <c r="J94" s="322"/>
      <c r="K94" s="322"/>
      <c r="L94" s="322"/>
      <c r="M94" s="322"/>
      <c r="N94" s="322"/>
      <c r="O94" s="322"/>
      <c r="P94" s="322"/>
      <c r="Q94" s="322"/>
      <c r="R94" s="322"/>
      <c r="S94" s="54">
        <f>S71/C71</f>
        <v>120.52114285714286</v>
      </c>
      <c r="T94" s="54">
        <f t="shared" si="89"/>
        <v>120.52114285714286</v>
      </c>
      <c r="U94" s="54">
        <f t="shared" si="90"/>
        <v>120.52114285714286</v>
      </c>
      <c r="V94" s="54">
        <f t="shared" si="91"/>
        <v>120.52114285714286</v>
      </c>
    </row>
    <row r="95" spans="2:22" outlineLevel="1">
      <c r="B95" s="61">
        <f t="shared" si="97"/>
        <v>2037</v>
      </c>
      <c r="D95" s="37"/>
      <c r="E95" s="37"/>
      <c r="F95" s="37"/>
      <c r="G95" s="37"/>
      <c r="H95" s="37"/>
      <c r="I95" s="322"/>
      <c r="J95" s="322"/>
      <c r="K95" s="322"/>
      <c r="L95" s="322"/>
      <c r="M95" s="322"/>
      <c r="N95" s="322"/>
      <c r="O95" s="322"/>
      <c r="P95" s="322"/>
      <c r="Q95" s="322"/>
      <c r="R95" s="322"/>
      <c r="S95" s="322"/>
      <c r="T95" s="54">
        <f>T71/C71</f>
        <v>125.34198857142859</v>
      </c>
      <c r="U95" s="54">
        <f t="shared" si="90"/>
        <v>125.34198857142859</v>
      </c>
      <c r="V95" s="54">
        <f t="shared" si="91"/>
        <v>125.34198857142859</v>
      </c>
    </row>
    <row r="96" spans="2:22" outlineLevel="1">
      <c r="B96" s="61">
        <f t="shared" si="97"/>
        <v>2038</v>
      </c>
      <c r="D96" s="37"/>
      <c r="E96" s="37"/>
      <c r="F96" s="37"/>
      <c r="G96" s="37"/>
      <c r="H96" s="37"/>
      <c r="I96" s="322"/>
      <c r="J96" s="322"/>
      <c r="K96" s="322"/>
      <c r="L96" s="322"/>
      <c r="M96" s="322"/>
      <c r="N96" s="322"/>
      <c r="O96" s="322"/>
      <c r="P96" s="322"/>
      <c r="Q96" s="322"/>
      <c r="R96" s="322"/>
      <c r="S96" s="322"/>
      <c r="T96" s="322"/>
      <c r="U96" s="54">
        <f>U71/C71</f>
        <v>130.35566811428572</v>
      </c>
      <c r="V96" s="54">
        <f t="shared" si="91"/>
        <v>130.35566811428572</v>
      </c>
    </row>
    <row r="97" spans="1:22" outlineLevel="1">
      <c r="B97" s="61">
        <f t="shared" si="97"/>
        <v>2039</v>
      </c>
      <c r="D97" s="37"/>
      <c r="E97" s="37"/>
      <c r="F97" s="37"/>
      <c r="G97" s="37"/>
      <c r="H97" s="37"/>
      <c r="I97" s="322"/>
      <c r="J97" s="322"/>
      <c r="K97" s="322"/>
      <c r="L97" s="322"/>
      <c r="M97" s="322"/>
      <c r="N97" s="322"/>
      <c r="O97" s="322"/>
      <c r="P97" s="322"/>
      <c r="Q97" s="322"/>
      <c r="R97" s="322"/>
      <c r="S97" s="322"/>
      <c r="T97" s="322"/>
      <c r="U97" s="322"/>
      <c r="V97" s="54">
        <f>V71/C71</f>
        <v>135.56989483885715</v>
      </c>
    </row>
    <row r="98" spans="1:22" outlineLevel="1">
      <c r="B98" s="46" t="s">
        <v>59</v>
      </c>
      <c r="C98" s="46"/>
      <c r="D98" s="46"/>
      <c r="E98" s="48"/>
      <c r="F98" s="48"/>
      <c r="G98" s="48"/>
      <c r="H98" s="48">
        <f t="shared" ref="H98:O98" si="100">SUM(H83:H90)</f>
        <v>129.33000000000001</v>
      </c>
      <c r="I98" s="48">
        <f t="shared" si="100"/>
        <v>161.47285714285715</v>
      </c>
      <c r="J98" s="48">
        <f t="shared" si="100"/>
        <v>204.33</v>
      </c>
      <c r="K98" s="48">
        <f t="shared" si="100"/>
        <v>257.9014285714286</v>
      </c>
      <c r="L98" s="48">
        <f t="shared" si="100"/>
        <v>322.18714285714287</v>
      </c>
      <c r="M98" s="48">
        <f t="shared" si="100"/>
        <v>397.18714285714287</v>
      </c>
      <c r="N98" s="48">
        <f t="shared" si="100"/>
        <v>482.9014285714286</v>
      </c>
      <c r="O98" s="48">
        <f t="shared" si="100"/>
        <v>579.33000000000004</v>
      </c>
      <c r="P98" s="48">
        <f>SUM(P83:P91)</f>
        <v>686.47285714285715</v>
      </c>
      <c r="Q98" s="48">
        <f>SUM(Q83:Q92)</f>
        <v>797.9014285714286</v>
      </c>
      <c r="R98" s="48">
        <f>SUM(R83:R93)</f>
        <v>913.78714285714284</v>
      </c>
      <c r="S98" s="48">
        <f>SUM(S83:S94)</f>
        <v>1034.3082857142856</v>
      </c>
      <c r="T98" s="48">
        <f>SUM(T83:T95)</f>
        <v>1159.6502742857142</v>
      </c>
      <c r="U98" s="48">
        <f>SUM(U83:U96)</f>
        <v>1290.0059423999999</v>
      </c>
      <c r="V98" s="48">
        <f>SUM(V83:V97)</f>
        <v>1425.575837238857</v>
      </c>
    </row>
    <row r="99" spans="1:22" outlineLevel="1">
      <c r="B99" t="s">
        <v>42</v>
      </c>
    </row>
    <row r="100" spans="1:22" outlineLevel="1">
      <c r="B100" s="62" t="s">
        <v>574</v>
      </c>
    </row>
    <row r="102" spans="1:22" s="400" customFormat="1" ht="15.75">
      <c r="A102" s="400" t="s">
        <v>35</v>
      </c>
      <c r="B102" s="402" t="s">
        <v>60</v>
      </c>
      <c r="C102" s="402"/>
      <c r="D102" s="402"/>
      <c r="E102" s="402"/>
      <c r="F102" s="402"/>
      <c r="G102" s="402"/>
      <c r="H102" s="402"/>
      <c r="I102" s="402"/>
      <c r="J102" s="402"/>
      <c r="K102" s="402"/>
      <c r="L102" s="402"/>
      <c r="M102" s="402"/>
      <c r="N102" s="403"/>
      <c r="O102" s="403"/>
      <c r="P102" s="403"/>
      <c r="Q102" s="403"/>
      <c r="R102" s="403"/>
      <c r="S102" s="403"/>
      <c r="T102" s="403"/>
      <c r="U102" s="403"/>
      <c r="V102" s="403"/>
    </row>
    <row r="103" spans="1:22" outlineLevel="1"/>
    <row r="104" spans="1:22" outlineLevel="1">
      <c r="B104" t="s">
        <v>61</v>
      </c>
      <c r="D104" s="320">
        <f t="shared" ref="D104:P104" si="101">D12</f>
        <v>829</v>
      </c>
      <c r="E104" s="320">
        <f t="shared" si="101"/>
        <v>1551</v>
      </c>
      <c r="F104" s="320">
        <f t="shared" si="101"/>
        <v>2188</v>
      </c>
      <c r="G104" s="320">
        <f t="shared" si="101"/>
        <v>1929</v>
      </c>
      <c r="H104" s="320">
        <f t="shared" si="101"/>
        <v>2550</v>
      </c>
      <c r="I104" s="320">
        <f t="shared" si="101"/>
        <v>2958</v>
      </c>
      <c r="J104" s="320">
        <f t="shared" si="101"/>
        <v>3608.7599999999998</v>
      </c>
      <c r="K104" s="320">
        <f t="shared" si="101"/>
        <v>4510.95</v>
      </c>
      <c r="L104" s="320">
        <f t="shared" si="101"/>
        <v>5638.6875</v>
      </c>
      <c r="M104" s="320">
        <f t="shared" si="101"/>
        <v>6949.6823437499997</v>
      </c>
      <c r="N104" s="320">
        <f t="shared" si="101"/>
        <v>8443.8640476562487</v>
      </c>
      <c r="O104" s="320">
        <f t="shared" si="101"/>
        <v>10111.527197068357</v>
      </c>
      <c r="P104" s="320">
        <f t="shared" si="101"/>
        <v>11931.602092540661</v>
      </c>
      <c r="Q104" s="320">
        <f t="shared" ref="Q104:V104" si="102">Q12</f>
        <v>13721.34240642176</v>
      </c>
      <c r="R104" s="320">
        <f t="shared" si="102"/>
        <v>15642.330343320808</v>
      </c>
      <c r="S104" s="320">
        <f t="shared" si="102"/>
        <v>17519.409984519305</v>
      </c>
      <c r="T104" s="320">
        <f t="shared" si="102"/>
        <v>19271.350982971238</v>
      </c>
      <c r="U104" s="320">
        <f t="shared" si="102"/>
        <v>20813.059061608939</v>
      </c>
      <c r="V104" s="320">
        <f t="shared" si="102"/>
        <v>21853.712014689387</v>
      </c>
    </row>
    <row r="105" spans="1:22" outlineLevel="1">
      <c r="B105" s="64" t="s">
        <v>62</v>
      </c>
      <c r="D105" s="320">
        <f>Schedules!D18*-1</f>
        <v>-385</v>
      </c>
      <c r="E105" s="320">
        <f>Schedules!E18*-1</f>
        <v>-761</v>
      </c>
      <c r="F105" s="320">
        <f>Schedules!F18*-1</f>
        <v>-1115</v>
      </c>
      <c r="G105" s="320">
        <f>Schedules!G18*-1</f>
        <v>-1061</v>
      </c>
      <c r="H105" s="320">
        <f>Schedules!H18*-1</f>
        <v>-1353</v>
      </c>
      <c r="I105" s="320">
        <f>Schedules!I18*-1</f>
        <v>-1626.9</v>
      </c>
      <c r="J105" s="320">
        <f>Schedules!J18*-1</f>
        <v>-1963.16544</v>
      </c>
      <c r="K105" s="320">
        <f>Schedules!K18*-1</f>
        <v>-2453.9567999999999</v>
      </c>
      <c r="L105" s="320">
        <f>Schedules!L18*-1</f>
        <v>-3040.3803000000003</v>
      </c>
      <c r="M105" s="320">
        <f>Schedules!M18*-1</f>
        <v>-3713.9102444999999</v>
      </c>
      <c r="N105" s="320">
        <f>Schedules!N18*-1</f>
        <v>-4471.8703996387503</v>
      </c>
      <c r="O105" s="320">
        <f>Schedules!O18*-1</f>
        <v>-5306.5294730214755</v>
      </c>
      <c r="P105" s="320">
        <f>Schedules!P18*-1</f>
        <v>-6204.4330881211436</v>
      </c>
      <c r="Q105" s="320">
        <f>Schedules!Q18*-1</f>
        <v>-6723.4577791466618</v>
      </c>
      <c r="R105" s="320">
        <f>Schedules!R18*-1</f>
        <v>-7664.7418682271955</v>
      </c>
      <c r="S105" s="320">
        <f>Schedules!S18*-1</f>
        <v>-8584.5108924144588</v>
      </c>
      <c r="T105" s="320">
        <f>Schedules!T18*-1</f>
        <v>-9250.2484718261949</v>
      </c>
      <c r="U105" s="320">
        <f>Schedules!U18*-1</f>
        <v>-9990.2683495722904</v>
      </c>
      <c r="V105" s="320">
        <f>Schedules!V18*-1</f>
        <v>-10489.781767050905</v>
      </c>
    </row>
    <row r="106" spans="1:22" outlineLevel="1">
      <c r="B106" s="64" t="s">
        <v>63</v>
      </c>
      <c r="D106" s="320">
        <f t="shared" ref="D106:P106" si="103">D44*-1</f>
        <v>-182.2</v>
      </c>
      <c r="E106" s="320">
        <f t="shared" si="103"/>
        <v>-279.8</v>
      </c>
      <c r="F106" s="320">
        <f t="shared" si="103"/>
        <v>-383.6</v>
      </c>
      <c r="G106" s="320">
        <f t="shared" si="103"/>
        <v>-387.3</v>
      </c>
      <c r="H106" s="320">
        <f t="shared" si="103"/>
        <v>-485.6</v>
      </c>
      <c r="I106" s="320">
        <f t="shared" si="103"/>
        <v>-562.02</v>
      </c>
      <c r="J106" s="320">
        <f t="shared" si="103"/>
        <v>-685.6644</v>
      </c>
      <c r="K106" s="320">
        <f t="shared" si="103"/>
        <v>-857.08050000000003</v>
      </c>
      <c r="L106" s="320">
        <f t="shared" si="103"/>
        <v>-1071.350625</v>
      </c>
      <c r="M106" s="320">
        <f t="shared" si="103"/>
        <v>-1320.4396453125</v>
      </c>
      <c r="N106" s="320">
        <f t="shared" si="103"/>
        <v>-1604.3341690546872</v>
      </c>
      <c r="O106" s="320">
        <f t="shared" si="103"/>
        <v>-1921.1901674429878</v>
      </c>
      <c r="P106" s="320">
        <f t="shared" si="103"/>
        <v>-2267.0043975827257</v>
      </c>
      <c r="Q106" s="320">
        <f t="shared" ref="Q106:V106" si="104">Q44*-1</f>
        <v>-2607.0550572201346</v>
      </c>
      <c r="R106" s="320">
        <f t="shared" si="104"/>
        <v>-2972.0427652309536</v>
      </c>
      <c r="S106" s="320">
        <f t="shared" si="104"/>
        <v>-3328.6878970586677</v>
      </c>
      <c r="T106" s="320">
        <f t="shared" si="104"/>
        <v>-3661.5566867645357</v>
      </c>
      <c r="U106" s="320">
        <f t="shared" si="104"/>
        <v>-3954.4812217056988</v>
      </c>
      <c r="V106" s="320">
        <f t="shared" si="104"/>
        <v>-4152.2052827909838</v>
      </c>
    </row>
    <row r="107" spans="1:22" outlineLevel="1">
      <c r="B107" s="64" t="s">
        <v>64</v>
      </c>
      <c r="D107" s="320">
        <f>SUM(D72,D77)*-1</f>
        <v>-74</v>
      </c>
      <c r="E107" s="320">
        <f t="shared" ref="E107:P107" si="105">SUM(E72,E77)*-1</f>
        <v>-85.9</v>
      </c>
      <c r="F107" s="320">
        <f t="shared" si="105"/>
        <v>-108.95</v>
      </c>
      <c r="G107" s="320">
        <f t="shared" si="105"/>
        <v>-123.56</v>
      </c>
      <c r="H107" s="320">
        <f t="shared" si="105"/>
        <v>-132.56</v>
      </c>
      <c r="I107" s="320">
        <f>SUM(I72,I77)*-1</f>
        <v>-164.70285714285714</v>
      </c>
      <c r="J107" s="320">
        <f t="shared" si="105"/>
        <v>-207.56</v>
      </c>
      <c r="K107" s="320">
        <f t="shared" si="105"/>
        <v>-261.13142857142861</v>
      </c>
      <c r="L107" s="320">
        <f t="shared" si="105"/>
        <v>-325.41714285714289</v>
      </c>
      <c r="M107" s="320">
        <f t="shared" si="105"/>
        <v>-400.41714285714289</v>
      </c>
      <c r="N107" s="320">
        <f t="shared" si="105"/>
        <v>-486.13142857142861</v>
      </c>
      <c r="O107" s="320">
        <f t="shared" si="105"/>
        <v>-579.33000000000004</v>
      </c>
      <c r="P107" s="320">
        <f t="shared" si="105"/>
        <v>-686.47285714285715</v>
      </c>
      <c r="Q107" s="320">
        <f t="shared" ref="Q107:V107" si="106">SUM(Q72,Q77)*-1</f>
        <v>-797.9014285714286</v>
      </c>
      <c r="R107" s="320">
        <f t="shared" si="106"/>
        <v>-913.78714285714284</v>
      </c>
      <c r="S107" s="320">
        <f t="shared" si="106"/>
        <v>-1034.3082857142856</v>
      </c>
      <c r="T107" s="320">
        <f t="shared" si="106"/>
        <v>-1159.6502742857142</v>
      </c>
      <c r="U107" s="320">
        <f t="shared" si="106"/>
        <v>-1290.0059423999999</v>
      </c>
      <c r="V107" s="320">
        <f t="shared" si="106"/>
        <v>-1425.575837238857</v>
      </c>
    </row>
    <row r="108" spans="1:22" outlineLevel="1">
      <c r="B108" s="64" t="s">
        <v>588</v>
      </c>
      <c r="D108" s="304">
        <f>'3 Statement Model'!D36</f>
        <v>7.5</v>
      </c>
      <c r="E108" s="304">
        <f>'3 Statement Model'!E36</f>
        <v>8.3000000000000007</v>
      </c>
      <c r="F108" s="304">
        <f>'3 Statement Model'!F36</f>
        <v>9.3000000000000007</v>
      </c>
      <c r="G108" s="304">
        <f>'3 Statement Model'!G36</f>
        <v>6.6</v>
      </c>
      <c r="H108" s="304">
        <f>'3 Statement Model'!H36</f>
        <v>15</v>
      </c>
      <c r="I108" s="304">
        <f>'3 Statement Model'!I36</f>
        <v>14.790000000000001</v>
      </c>
      <c r="J108" s="304">
        <f>'3 Statement Model'!J36</f>
        <v>18.043800000000001</v>
      </c>
      <c r="K108" s="304">
        <f>'3 Statement Model'!K36</f>
        <v>22.554749999999999</v>
      </c>
      <c r="L108" s="304">
        <f>'3 Statement Model'!L36</f>
        <v>28.193437500000002</v>
      </c>
      <c r="M108" s="304">
        <f>'3 Statement Model'!M36</f>
        <v>34.748411718749999</v>
      </c>
      <c r="N108" s="304">
        <f>'3 Statement Model'!N36</f>
        <v>42.219320238281242</v>
      </c>
      <c r="O108" s="304">
        <f>'3 Statement Model'!O36</f>
        <v>50.55763598534179</v>
      </c>
      <c r="P108" s="304">
        <f>'3 Statement Model'!P36</f>
        <v>59.658010462703309</v>
      </c>
      <c r="Q108" s="304">
        <f>'3 Statement Model'!Q36</f>
        <v>68.606712032108803</v>
      </c>
      <c r="R108" s="304">
        <f>'3 Statement Model'!R36</f>
        <v>78.211651716604038</v>
      </c>
      <c r="S108" s="304">
        <f>'3 Statement Model'!S36</f>
        <v>87.597049922596526</v>
      </c>
      <c r="T108" s="304">
        <f>'3 Statement Model'!T36</f>
        <v>96.356754914856197</v>
      </c>
      <c r="U108" s="304">
        <f>'3 Statement Model'!U36</f>
        <v>104.0652953080447</v>
      </c>
      <c r="V108" s="304">
        <f>'3 Statement Model'!V36</f>
        <v>109.26856007344693</v>
      </c>
    </row>
    <row r="109" spans="1:22" outlineLevel="1">
      <c r="B109" s="64" t="s">
        <v>65</v>
      </c>
      <c r="D109" s="304">
        <f>'3 Statement Model'!D35*-1</f>
        <v>-34</v>
      </c>
      <c r="E109" s="304">
        <f>'3 Statement Model'!E35*-1</f>
        <v>-48</v>
      </c>
      <c r="F109" s="304">
        <f>'3 Statement Model'!F35*-1</f>
        <v>-67</v>
      </c>
      <c r="G109" s="304">
        <f>'3 Statement Model'!G35*-1</f>
        <v>-73</v>
      </c>
      <c r="H109" s="304">
        <f>'3 Statement Model'!H35*-1</f>
        <v>-53</v>
      </c>
      <c r="I109" s="304">
        <f>'3 Statement Model'!I35*-1</f>
        <v>-40.433084999999998</v>
      </c>
      <c r="J109" s="304">
        <f>'3 Statement Model'!J35*-1</f>
        <v>-43.907001600000001</v>
      </c>
      <c r="K109" s="304">
        <f>'3 Statement Model'!K35*-1</f>
        <v>-47.153554602</v>
      </c>
      <c r="L109" s="304">
        <f>'3 Statement Model'!L35*-1</f>
        <v>-51.009132446579997</v>
      </c>
      <c r="M109" s="304">
        <f>'3 Statement Model'!M35*-1</f>
        <v>-54.05950649780258</v>
      </c>
      <c r="N109" s="304">
        <f>'3 Statement Model'!N35*-1</f>
        <v>-53.64087519405453</v>
      </c>
      <c r="O109" s="304">
        <f>'3 Statement Model'!O35*-1</f>
        <v>-51.473793081546852</v>
      </c>
      <c r="P109" s="304">
        <f>'3 Statement Model'!P35*-1</f>
        <v>-50.917444801128219</v>
      </c>
      <c r="Q109" s="304">
        <f>'3 Statement Model'!Q35*-1</f>
        <v>-51.132029720826651</v>
      </c>
      <c r="R109" s="304">
        <f>'3 Statement Model'!R35*-1</f>
        <v>-51.132029720826651</v>
      </c>
      <c r="S109" s="304">
        <f>'3 Statement Model'!S35*-1</f>
        <v>-51.132029720826651</v>
      </c>
      <c r="T109" s="304">
        <f>'3 Statement Model'!T35*-1</f>
        <v>-51.132029720826651</v>
      </c>
      <c r="U109" s="304">
        <f>'3 Statement Model'!U35*-1</f>
        <v>-51.132029720826651</v>
      </c>
      <c r="V109" s="304">
        <f>'3 Statement Model'!V35*-1</f>
        <v>-51.132029720826651</v>
      </c>
    </row>
    <row r="110" spans="1:22" outlineLevel="1">
      <c r="B110" s="46" t="s">
        <v>66</v>
      </c>
      <c r="C110" s="46"/>
      <c r="D110" s="333">
        <f t="shared" ref="D110:P110" si="107">SUM(D104:D109)</f>
        <v>161.30000000000001</v>
      </c>
      <c r="E110" s="333">
        <f t="shared" si="107"/>
        <v>384.59999999999997</v>
      </c>
      <c r="F110" s="333">
        <f t="shared" si="107"/>
        <v>522.74999999999989</v>
      </c>
      <c r="G110" s="333">
        <f t="shared" si="107"/>
        <v>290.74</v>
      </c>
      <c r="H110" s="333">
        <f t="shared" si="107"/>
        <v>540.83999999999992</v>
      </c>
      <c r="I110" s="333">
        <f t="shared" si="107"/>
        <v>578.73405785714272</v>
      </c>
      <c r="J110" s="333">
        <f t="shared" si="107"/>
        <v>726.5069583999998</v>
      </c>
      <c r="K110" s="333">
        <f t="shared" si="107"/>
        <v>914.18246682657127</v>
      </c>
      <c r="L110" s="333">
        <f t="shared" si="107"/>
        <v>1178.7237371962769</v>
      </c>
      <c r="M110" s="333">
        <f>SUM(M104:M109)</f>
        <v>1495.6042163013044</v>
      </c>
      <c r="N110" s="333">
        <f t="shared" si="107"/>
        <v>1870.1064954356091</v>
      </c>
      <c r="O110" s="333">
        <f t="shared" si="107"/>
        <v>2303.5613995076887</v>
      </c>
      <c r="P110" s="333">
        <f t="shared" si="107"/>
        <v>2782.4323153555097</v>
      </c>
      <c r="Q110" s="333">
        <f t="shared" ref="Q110:V110" si="108">SUM(Q104:Q109)</f>
        <v>3610.4028237948169</v>
      </c>
      <c r="R110" s="333">
        <f t="shared" si="108"/>
        <v>4118.8381890012924</v>
      </c>
      <c r="S110" s="333">
        <f t="shared" si="108"/>
        <v>4608.3679295336633</v>
      </c>
      <c r="T110" s="333">
        <f t="shared" si="108"/>
        <v>5245.1202752888239</v>
      </c>
      <c r="U110" s="333">
        <f t="shared" si="108"/>
        <v>5631.2368135181678</v>
      </c>
      <c r="V110" s="333">
        <f t="shared" si="108"/>
        <v>5844.2856579612608</v>
      </c>
    </row>
    <row r="111" spans="1:22" outlineLevel="1">
      <c r="B111" s="57" t="s">
        <v>67</v>
      </c>
      <c r="D111" s="304">
        <f>' Income Statement'!D32</f>
        <v>-60</v>
      </c>
      <c r="E111" s="304">
        <f>' Income Statement'!E32</f>
        <v>-131</v>
      </c>
      <c r="F111" s="304">
        <f>' Income Statement'!F32</f>
        <v>-169</v>
      </c>
      <c r="G111" s="304">
        <f>' Income Statement'!G32</f>
        <v>-95</v>
      </c>
      <c r="H111" s="304">
        <f>' Income Statement'!H32</f>
        <v>-183</v>
      </c>
      <c r="I111" s="320">
        <f>-I110*I114</f>
        <v>-145.66736236264282</v>
      </c>
      <c r="J111" s="320">
        <f t="shared" ref="J111:P111" si="109">-J110*J114</f>
        <v>-182.86180142927992</v>
      </c>
      <c r="K111" s="320">
        <f t="shared" si="109"/>
        <v>-230.09972690024796</v>
      </c>
      <c r="L111" s="320">
        <f t="shared" si="109"/>
        <v>-296.68476465230287</v>
      </c>
      <c r="M111" s="320">
        <f>-M110*M114</f>
        <v>-376.4435812430383</v>
      </c>
      <c r="N111" s="320">
        <f t="shared" si="109"/>
        <v>-470.70580490114276</v>
      </c>
      <c r="O111" s="320">
        <f t="shared" si="109"/>
        <v>-579.80640425608522</v>
      </c>
      <c r="P111" s="320">
        <f t="shared" si="109"/>
        <v>-700.33821377498168</v>
      </c>
      <c r="Q111" s="320">
        <f t="shared" ref="Q111:V111" si="110">-Q110*Q114</f>
        <v>-908.73839074915531</v>
      </c>
      <c r="R111" s="320">
        <f t="shared" si="110"/>
        <v>-1036.7115721716252</v>
      </c>
      <c r="S111" s="320">
        <f t="shared" si="110"/>
        <v>-1159.9262078636229</v>
      </c>
      <c r="T111" s="320">
        <f t="shared" si="110"/>
        <v>-1320.1967732901969</v>
      </c>
      <c r="U111" s="320">
        <f t="shared" si="110"/>
        <v>-1417.3823059625227</v>
      </c>
      <c r="V111" s="320">
        <f t="shared" si="110"/>
        <v>-1471.0067001088491</v>
      </c>
    </row>
    <row r="112" spans="1:22" outlineLevel="1">
      <c r="B112" s="46" t="s">
        <v>9</v>
      </c>
      <c r="C112" s="46"/>
      <c r="D112" s="48">
        <f>SUM(D110:D111)</f>
        <v>101.30000000000001</v>
      </c>
      <c r="E112" s="48">
        <f>SUM(E110:E111)</f>
        <v>253.59999999999997</v>
      </c>
      <c r="F112" s="48">
        <f t="shared" ref="F112:P112" si="111">SUM(F110:F111)</f>
        <v>353.74999999999989</v>
      </c>
      <c r="G112" s="48">
        <f t="shared" si="111"/>
        <v>195.74</v>
      </c>
      <c r="H112" s="48">
        <f t="shared" si="111"/>
        <v>357.83999999999992</v>
      </c>
      <c r="I112" s="48">
        <f>SUM(I110:I111)</f>
        <v>433.06669549449987</v>
      </c>
      <c r="J112" s="48">
        <f>SUM(J110:J111)</f>
        <v>543.64515697071988</v>
      </c>
      <c r="K112" s="48">
        <f t="shared" si="111"/>
        <v>684.08273992632326</v>
      </c>
      <c r="L112" s="48">
        <f t="shared" si="111"/>
        <v>882.03897254397407</v>
      </c>
      <c r="M112" s="48">
        <f>SUM(M110:M111)</f>
        <v>1119.1606350582661</v>
      </c>
      <c r="N112" s="48">
        <f t="shared" si="111"/>
        <v>1399.4006905344663</v>
      </c>
      <c r="O112" s="48">
        <f t="shared" si="111"/>
        <v>1723.7549952516035</v>
      </c>
      <c r="P112" s="48">
        <f t="shared" si="111"/>
        <v>2082.0941015805279</v>
      </c>
      <c r="Q112" s="48">
        <f t="shared" ref="Q112" si="112">SUM(Q110:Q111)</f>
        <v>2701.6644330456616</v>
      </c>
      <c r="R112" s="48">
        <f>SUM(R110:R111)</f>
        <v>3082.126616829667</v>
      </c>
      <c r="S112" s="48">
        <f>SUM(S110:S111)</f>
        <v>3448.4417216700404</v>
      </c>
      <c r="T112" s="48">
        <f>SUM(T110:T111)</f>
        <v>3924.9235019986272</v>
      </c>
      <c r="U112" s="48">
        <f>SUM(U110:U111)</f>
        <v>4213.8545075556449</v>
      </c>
      <c r="V112" s="48">
        <f>SUM(V110:V111)</f>
        <v>4373.2789578524116</v>
      </c>
    </row>
    <row r="113" spans="1:22" outlineLevel="1"/>
    <row r="114" spans="1:22" outlineLevel="1">
      <c r="B114" s="42" t="s">
        <v>46</v>
      </c>
      <c r="C114" s="42"/>
      <c r="D114" s="42"/>
      <c r="E114" s="42"/>
      <c r="F114" s="42"/>
      <c r="G114" s="42"/>
      <c r="H114" s="42"/>
      <c r="I114" s="398">
        <f>'Control Sheet'!I87</f>
        <v>0.25169999999999998</v>
      </c>
      <c r="J114" s="398">
        <f>'Control Sheet'!J87</f>
        <v>0.25169999999999998</v>
      </c>
      <c r="K114" s="398">
        <f>'Control Sheet'!K87</f>
        <v>0.25169999999999998</v>
      </c>
      <c r="L114" s="398">
        <f>'Control Sheet'!L87</f>
        <v>0.25169999999999998</v>
      </c>
      <c r="M114" s="398">
        <f>'Control Sheet'!M87</f>
        <v>0.25169999999999998</v>
      </c>
      <c r="N114" s="398">
        <f>'Control Sheet'!N87</f>
        <v>0.25169999999999998</v>
      </c>
      <c r="O114" s="398">
        <f>'Control Sheet'!O87</f>
        <v>0.25169999999999998</v>
      </c>
      <c r="P114" s="398">
        <f>'Control Sheet'!P87</f>
        <v>0.25169999999999998</v>
      </c>
      <c r="Q114" s="398">
        <f>'Control Sheet'!Q87</f>
        <v>0.25169999999999998</v>
      </c>
      <c r="R114" s="398">
        <f>'Control Sheet'!R87</f>
        <v>0.25169999999999998</v>
      </c>
      <c r="S114" s="398">
        <f>'Control Sheet'!S87</f>
        <v>0.25169999999999998</v>
      </c>
      <c r="T114" s="398">
        <f>'Control Sheet'!T87</f>
        <v>0.25169999999999998</v>
      </c>
      <c r="U114" s="398">
        <f>'Control Sheet'!U87</f>
        <v>0.25169999999999998</v>
      </c>
      <c r="V114" s="398">
        <f>'Control Sheet'!V87</f>
        <v>0.25169999999999998</v>
      </c>
    </row>
    <row r="116" spans="1:22" s="400" customFormat="1" ht="15.75">
      <c r="A116" s="400" t="s">
        <v>35</v>
      </c>
      <c r="B116" s="402" t="s">
        <v>68</v>
      </c>
      <c r="C116" s="402"/>
      <c r="D116" s="402"/>
      <c r="E116" s="402"/>
      <c r="F116" s="402"/>
      <c r="G116" s="402"/>
      <c r="H116" s="402"/>
      <c r="I116" s="402"/>
      <c r="J116" s="402"/>
      <c r="K116" s="402"/>
      <c r="L116" s="402"/>
      <c r="M116" s="402"/>
      <c r="N116" s="403"/>
      <c r="O116" s="403"/>
      <c r="P116" s="403"/>
      <c r="Q116" s="403"/>
      <c r="R116" s="403"/>
      <c r="S116" s="403"/>
      <c r="T116" s="403"/>
      <c r="U116" s="403"/>
      <c r="V116" s="403"/>
    </row>
    <row r="117" spans="1:22" s="202" customFormat="1" outlineLevel="1">
      <c r="I117" s="349"/>
    </row>
    <row r="118" spans="1:22" s="202" customFormat="1" outlineLevel="1">
      <c r="B118" s="202" t="s">
        <v>69</v>
      </c>
      <c r="F118" s="349"/>
      <c r="G118" s="349"/>
      <c r="H118" s="349"/>
      <c r="I118" s="342">
        <f>'3 Statement Model'!H80</f>
        <v>1861</v>
      </c>
      <c r="J118" s="342">
        <f>I121</f>
        <v>2263.7520268098851</v>
      </c>
      <c r="K118" s="342">
        <f t="shared" ref="K118:P118" si="113">J121</f>
        <v>2763.9055712229474</v>
      </c>
      <c r="L118" s="342">
        <f t="shared" si="113"/>
        <v>3379.5800371566384</v>
      </c>
      <c r="M118" s="342">
        <f t="shared" si="113"/>
        <v>4155.7743329953364</v>
      </c>
      <c r="N118" s="342">
        <f t="shared" si="113"/>
        <v>5073.486053743115</v>
      </c>
      <c r="O118" s="342">
        <f t="shared" si="113"/>
        <v>6165.0185923599984</v>
      </c>
      <c r="P118" s="342">
        <f t="shared" si="113"/>
        <v>7371.6470890361215</v>
      </c>
      <c r="Q118" s="342">
        <f t="shared" ref="Q118" si="114">P121</f>
        <v>8620.9035499844376</v>
      </c>
      <c r="R118" s="342">
        <f t="shared" ref="R118" si="115">Q121</f>
        <v>9971.7357665072686</v>
      </c>
      <c r="S118" s="342">
        <f t="shared" ref="S118" si="116">R121</f>
        <v>11204.586413239134</v>
      </c>
      <c r="T118" s="342">
        <f t="shared" ref="T118" si="117">S121</f>
        <v>12411.541015823648</v>
      </c>
      <c r="U118" s="342">
        <f t="shared" ref="U118" si="118">T121</f>
        <v>13589.018066423236</v>
      </c>
      <c r="V118" s="342">
        <f t="shared" ref="V118" si="119">U121</f>
        <v>14642.481693312146</v>
      </c>
    </row>
    <row r="119" spans="1:22" s="202" customFormat="1" outlineLevel="1">
      <c r="B119" s="202" t="s">
        <v>660</v>
      </c>
      <c r="F119" s="349"/>
      <c r="G119" s="349"/>
      <c r="H119" s="349"/>
      <c r="I119" s="342">
        <f>'3 Statement Model'!I39</f>
        <v>433.06669549449975</v>
      </c>
      <c r="J119" s="342">
        <f>J$112</f>
        <v>543.64515697071988</v>
      </c>
      <c r="K119" s="342">
        <f t="shared" ref="K119:V119" si="120">K$112</f>
        <v>684.08273992632326</v>
      </c>
      <c r="L119" s="342">
        <f t="shared" si="120"/>
        <v>882.03897254397407</v>
      </c>
      <c r="M119" s="342">
        <f t="shared" si="120"/>
        <v>1119.1606350582661</v>
      </c>
      <c r="N119" s="342">
        <f t="shared" si="120"/>
        <v>1399.4006905344663</v>
      </c>
      <c r="O119" s="342">
        <f t="shared" si="120"/>
        <v>1723.7549952516035</v>
      </c>
      <c r="P119" s="342">
        <f t="shared" si="120"/>
        <v>2082.0941015805279</v>
      </c>
      <c r="Q119" s="342">
        <f t="shared" si="120"/>
        <v>2701.6644330456616</v>
      </c>
      <c r="R119" s="342">
        <f t="shared" si="120"/>
        <v>3082.126616829667</v>
      </c>
      <c r="S119" s="342">
        <f t="shared" si="120"/>
        <v>3448.4417216700404</v>
      </c>
      <c r="T119" s="342">
        <f t="shared" si="120"/>
        <v>3924.9235019986272</v>
      </c>
      <c r="U119" s="342">
        <f t="shared" si="120"/>
        <v>4213.8545075556449</v>
      </c>
      <c r="V119" s="342">
        <f t="shared" si="120"/>
        <v>4373.2789578524116</v>
      </c>
    </row>
    <row r="120" spans="1:22" s="202" customFormat="1" outlineLevel="1">
      <c r="B120" s="202" t="s">
        <v>70</v>
      </c>
      <c r="F120" s="349"/>
      <c r="G120" s="349"/>
      <c r="H120" s="349"/>
      <c r="I120" s="349">
        <f>I119*I123</f>
        <v>30.314668684614986</v>
      </c>
      <c r="J120" s="349">
        <f>J119*J123</f>
        <v>43.491612557657589</v>
      </c>
      <c r="K120" s="349">
        <f>K119*K123</f>
        <v>68.408273992632331</v>
      </c>
      <c r="L120" s="349">
        <f t="shared" ref="L120:P120" si="121">L119*L123</f>
        <v>105.84467670527688</v>
      </c>
      <c r="M120" s="349">
        <f t="shared" si="121"/>
        <v>201.44891431048788</v>
      </c>
      <c r="N120" s="349">
        <f t="shared" si="121"/>
        <v>307.86815191758257</v>
      </c>
      <c r="O120" s="349">
        <f t="shared" si="121"/>
        <v>517.12649857548104</v>
      </c>
      <c r="P120" s="349">
        <f t="shared" si="121"/>
        <v>832.83764063221122</v>
      </c>
      <c r="Q120" s="349">
        <f>Q119*Q123</f>
        <v>1350.8322165228308</v>
      </c>
      <c r="R120" s="349">
        <f>R119*R123</f>
        <v>1849.2759700978002</v>
      </c>
      <c r="S120" s="349">
        <f>S119*S123</f>
        <v>2241.4871190855265</v>
      </c>
      <c r="T120" s="349">
        <f>T119*T123</f>
        <v>2747.4464513990388</v>
      </c>
      <c r="U120" s="349">
        <f>U119*U123</f>
        <v>3160.3908806667337</v>
      </c>
      <c r="V120" s="349">
        <f t="shared" ref="V120" si="122">V119*V123</f>
        <v>3279.9592183893087</v>
      </c>
    </row>
    <row r="121" spans="1:22" s="202" customFormat="1" outlineLevel="1">
      <c r="B121" s="330" t="s">
        <v>71</v>
      </c>
      <c r="C121" s="330"/>
      <c r="D121" s="330"/>
      <c r="E121" s="330"/>
      <c r="F121" s="373"/>
      <c r="G121" s="373"/>
      <c r="H121" s="373"/>
      <c r="I121" s="373">
        <f>I118+I119-I120</f>
        <v>2263.7520268098851</v>
      </c>
      <c r="J121" s="373">
        <f t="shared" ref="J121:P121" si="123">J118+J119-J120</f>
        <v>2763.9055712229474</v>
      </c>
      <c r="K121" s="373">
        <f t="shared" si="123"/>
        <v>3379.5800371566384</v>
      </c>
      <c r="L121" s="373">
        <f t="shared" si="123"/>
        <v>4155.7743329953364</v>
      </c>
      <c r="M121" s="373">
        <f t="shared" si="123"/>
        <v>5073.486053743115</v>
      </c>
      <c r="N121" s="373">
        <f t="shared" si="123"/>
        <v>6165.0185923599984</v>
      </c>
      <c r="O121" s="373">
        <f t="shared" si="123"/>
        <v>7371.6470890361215</v>
      </c>
      <c r="P121" s="373">
        <f t="shared" si="123"/>
        <v>8620.9035499844376</v>
      </c>
      <c r="Q121" s="373">
        <f t="shared" ref="Q121:V121" si="124">Q118+Q119-Q120</f>
        <v>9971.7357665072686</v>
      </c>
      <c r="R121" s="373">
        <f>R118+R119-R120</f>
        <v>11204.586413239134</v>
      </c>
      <c r="S121" s="373">
        <f t="shared" si="124"/>
        <v>12411.541015823648</v>
      </c>
      <c r="T121" s="373">
        <f t="shared" si="124"/>
        <v>13589.018066423236</v>
      </c>
      <c r="U121" s="373">
        <f t="shared" si="124"/>
        <v>14642.481693312146</v>
      </c>
      <c r="V121" s="373">
        <f t="shared" si="124"/>
        <v>15735.801432775248</v>
      </c>
    </row>
    <row r="122" spans="1:22" s="202" customFormat="1" outlineLevel="1">
      <c r="B122" s="242"/>
      <c r="C122" s="242"/>
      <c r="D122" s="242"/>
      <c r="E122" s="242"/>
      <c r="F122" s="380"/>
      <c r="G122" s="380"/>
      <c r="H122" s="380"/>
      <c r="I122" s="380"/>
      <c r="J122" s="380"/>
      <c r="K122" s="380"/>
      <c r="L122" s="380"/>
      <c r="M122" s="380"/>
      <c r="N122" s="380"/>
      <c r="O122" s="380"/>
      <c r="P122" s="380"/>
      <c r="Q122" s="380"/>
      <c r="R122" s="380"/>
      <c r="S122" s="380"/>
      <c r="T122" s="380"/>
      <c r="U122" s="380"/>
      <c r="V122" s="380"/>
    </row>
    <row r="123" spans="1:22" s="202" customFormat="1" outlineLevel="1">
      <c r="B123" s="202" t="s">
        <v>72</v>
      </c>
      <c r="I123" s="374">
        <f>'Control Sheet'!I119</f>
        <v>7.0000000000000007E-2</v>
      </c>
      <c r="J123" s="374">
        <f>'Control Sheet'!J119</f>
        <v>0.08</v>
      </c>
      <c r="K123" s="374">
        <f>'Control Sheet'!K119</f>
        <v>0.1</v>
      </c>
      <c r="L123" s="374">
        <f>'Control Sheet'!L119</f>
        <v>0.12</v>
      </c>
      <c r="M123" s="374">
        <f>'Control Sheet'!M119</f>
        <v>0.18</v>
      </c>
      <c r="N123" s="374">
        <f>'Control Sheet'!N119</f>
        <v>0.22</v>
      </c>
      <c r="O123" s="374">
        <f>'Control Sheet'!O119</f>
        <v>0.3</v>
      </c>
      <c r="P123" s="374">
        <f>'Control Sheet'!P119</f>
        <v>0.4</v>
      </c>
      <c r="Q123" s="374">
        <f>'Control Sheet'!Q119</f>
        <v>0.5</v>
      </c>
      <c r="R123" s="374">
        <f>'Control Sheet'!R119</f>
        <v>0.6</v>
      </c>
      <c r="S123" s="374">
        <f>'Control Sheet'!S119</f>
        <v>0.65</v>
      </c>
      <c r="T123" s="374">
        <f>'Control Sheet'!T119</f>
        <v>0.7</v>
      </c>
      <c r="U123" s="374">
        <f>'Control Sheet'!U119</f>
        <v>0.75</v>
      </c>
      <c r="V123" s="374">
        <f>'Control Sheet'!V119</f>
        <v>0.75</v>
      </c>
    </row>
    <row r="124" spans="1:22">
      <c r="B124" s="202"/>
    </row>
    <row r="125" spans="1:22" s="400" customFormat="1" ht="15.75">
      <c r="A125" s="400" t="s">
        <v>35</v>
      </c>
      <c r="B125" s="402" t="s">
        <v>73</v>
      </c>
      <c r="C125" s="402"/>
      <c r="D125" s="402"/>
      <c r="E125" s="402"/>
      <c r="F125" s="402"/>
      <c r="G125" s="402"/>
      <c r="H125" s="402"/>
      <c r="I125" s="402"/>
      <c r="J125" s="402"/>
      <c r="K125" s="402"/>
      <c r="L125" s="402"/>
      <c r="M125" s="402"/>
      <c r="N125" s="403"/>
      <c r="O125" s="403"/>
      <c r="P125" s="403"/>
      <c r="Q125" s="403"/>
      <c r="R125" s="403"/>
      <c r="S125" s="403"/>
      <c r="T125" s="403"/>
      <c r="U125" s="403"/>
      <c r="V125" s="403"/>
    </row>
    <row r="126" spans="1:22" outlineLevel="1">
      <c r="Q126" s="67"/>
      <c r="R126" s="67"/>
      <c r="S126" s="67"/>
      <c r="T126" s="67"/>
      <c r="U126" s="67"/>
      <c r="V126" s="67">
        <v>365</v>
      </c>
    </row>
    <row r="127" spans="1:22" outlineLevel="1">
      <c r="B127" s="62" t="s">
        <v>501</v>
      </c>
    </row>
    <row r="128" spans="1:22" outlineLevel="1">
      <c r="B128" t="s">
        <v>285</v>
      </c>
      <c r="D128" s="54">
        <f t="shared" ref="D128:P128" si="125">D12</f>
        <v>829</v>
      </c>
      <c r="E128" s="54">
        <f t="shared" si="125"/>
        <v>1551</v>
      </c>
      <c r="F128" s="54">
        <f t="shared" si="125"/>
        <v>2188</v>
      </c>
      <c r="G128" s="54">
        <f t="shared" si="125"/>
        <v>1929</v>
      </c>
      <c r="H128" s="54">
        <f t="shared" si="125"/>
        <v>2550</v>
      </c>
      <c r="I128" s="54">
        <f t="shared" si="125"/>
        <v>2958</v>
      </c>
      <c r="J128" s="54">
        <f t="shared" si="125"/>
        <v>3608.7599999999998</v>
      </c>
      <c r="K128" s="54">
        <f t="shared" si="125"/>
        <v>4510.95</v>
      </c>
      <c r="L128" s="54">
        <f t="shared" si="125"/>
        <v>5638.6875</v>
      </c>
      <c r="M128" s="54">
        <f t="shared" si="125"/>
        <v>6949.6823437499997</v>
      </c>
      <c r="N128" s="54">
        <f t="shared" si="125"/>
        <v>8443.8640476562487</v>
      </c>
      <c r="O128" s="54">
        <f t="shared" si="125"/>
        <v>10111.527197068357</v>
      </c>
      <c r="P128" s="54">
        <f t="shared" si="125"/>
        <v>11931.602092540661</v>
      </c>
      <c r="Q128" s="54">
        <f t="shared" ref="Q128:V128" si="126">Q12</f>
        <v>13721.34240642176</v>
      </c>
      <c r="R128" s="54">
        <f t="shared" si="126"/>
        <v>15642.330343320808</v>
      </c>
      <c r="S128" s="54">
        <f t="shared" si="126"/>
        <v>17519.409984519305</v>
      </c>
      <c r="T128" s="54">
        <f t="shared" si="126"/>
        <v>19271.350982971238</v>
      </c>
      <c r="U128" s="54">
        <f t="shared" si="126"/>
        <v>20813.059061608939</v>
      </c>
      <c r="V128" s="54">
        <f t="shared" si="126"/>
        <v>21853.712014689387</v>
      </c>
    </row>
    <row r="129" spans="2:22" outlineLevel="1">
      <c r="B129" t="s">
        <v>503</v>
      </c>
      <c r="D129" s="276">
        <f>' Balance Sheet'!D10</f>
        <v>119</v>
      </c>
      <c r="E129" s="276">
        <f>' Balance Sheet'!E10</f>
        <v>256</v>
      </c>
      <c r="F129" s="276">
        <f>' Balance Sheet'!F10</f>
        <v>166</v>
      </c>
      <c r="G129" s="276">
        <f>' Balance Sheet'!G10</f>
        <v>179</v>
      </c>
      <c r="H129" s="276">
        <f>' Balance Sheet'!H10</f>
        <v>232</v>
      </c>
      <c r="I129" s="54">
        <f t="shared" ref="I129:V129" si="127">I128/$V$126*I130</f>
        <v>283.64383561643837</v>
      </c>
      <c r="J129" s="54">
        <f t="shared" si="127"/>
        <v>346.04547945205479</v>
      </c>
      <c r="K129" s="54">
        <f t="shared" si="127"/>
        <v>432.55684931506846</v>
      </c>
      <c r="L129" s="54">
        <f t="shared" si="127"/>
        <v>540.69606164383561</v>
      </c>
      <c r="M129" s="54">
        <f t="shared" si="127"/>
        <v>666.40789597602736</v>
      </c>
      <c r="N129" s="54">
        <f t="shared" si="127"/>
        <v>809.68559361087318</v>
      </c>
      <c r="O129" s="54">
        <f t="shared" si="127"/>
        <v>969.59849834902047</v>
      </c>
      <c r="P129" s="54">
        <f t="shared" si="127"/>
        <v>1144.1262280518442</v>
      </c>
      <c r="Q129" s="54">
        <f t="shared" si="127"/>
        <v>1315.7451622596209</v>
      </c>
      <c r="R129" s="54">
        <f t="shared" si="127"/>
        <v>1499.9494849759678</v>
      </c>
      <c r="S129" s="54">
        <f t="shared" si="127"/>
        <v>1679.9434231730838</v>
      </c>
      <c r="T129" s="54">
        <f t="shared" si="127"/>
        <v>1847.9377654903926</v>
      </c>
      <c r="U129" s="54">
        <f t="shared" si="127"/>
        <v>1995.7727867296244</v>
      </c>
      <c r="V129" s="54">
        <f t="shared" si="127"/>
        <v>2095.5614260661055</v>
      </c>
    </row>
    <row r="130" spans="2:22" outlineLevel="1">
      <c r="B130" s="269" t="s">
        <v>74</v>
      </c>
      <c r="C130" s="269"/>
      <c r="D130" s="269"/>
      <c r="E130" s="270">
        <f>AVERAGE(E129,D129)/E128*$V$126</f>
        <v>44.124758220502905</v>
      </c>
      <c r="F130" s="270">
        <f>AVERAGE(F129,E129)/F128*$V$126</f>
        <v>35.198811700182816</v>
      </c>
      <c r="G130" s="270">
        <f>AVERAGE(G129,F129)/G128*$V$126</f>
        <v>32.639968895800934</v>
      </c>
      <c r="H130" s="270">
        <f>AVERAGE(H129,G129)/H128*$V$126</f>
        <v>29.414705882352941</v>
      </c>
      <c r="I130" s="271">
        <v>35</v>
      </c>
      <c r="J130" s="271">
        <v>35</v>
      </c>
      <c r="K130" s="271">
        <v>35</v>
      </c>
      <c r="L130" s="271">
        <v>35</v>
      </c>
      <c r="M130" s="271">
        <v>35</v>
      </c>
      <c r="N130" s="271">
        <v>35</v>
      </c>
      <c r="O130" s="271">
        <v>35</v>
      </c>
      <c r="P130" s="271">
        <v>35</v>
      </c>
      <c r="Q130" s="271">
        <v>35</v>
      </c>
      <c r="R130" s="271">
        <v>35</v>
      </c>
      <c r="S130" s="271">
        <v>35</v>
      </c>
      <c r="T130" s="271">
        <v>35</v>
      </c>
      <c r="U130" s="271">
        <v>35</v>
      </c>
      <c r="V130" s="271">
        <v>35</v>
      </c>
    </row>
    <row r="131" spans="2:22" outlineLevel="1"/>
    <row r="132" spans="2:22" outlineLevel="1">
      <c r="B132" s="62" t="s">
        <v>13</v>
      </c>
    </row>
    <row r="133" spans="2:22" outlineLevel="1">
      <c r="B133" t="s">
        <v>285</v>
      </c>
      <c r="D133" s="54">
        <v>829</v>
      </c>
      <c r="E133" s="54">
        <v>1551</v>
      </c>
      <c r="F133" s="54">
        <v>2188</v>
      </c>
      <c r="G133" s="54">
        <v>1929</v>
      </c>
      <c r="H133" s="54">
        <v>2550</v>
      </c>
      <c r="I133" s="54">
        <f>I128</f>
        <v>2958</v>
      </c>
      <c r="J133" s="54">
        <f t="shared" ref="J133:V133" si="128">J128</f>
        <v>3608.7599999999998</v>
      </c>
      <c r="K133" s="54">
        <f t="shared" si="128"/>
        <v>4510.95</v>
      </c>
      <c r="L133" s="54">
        <f t="shared" si="128"/>
        <v>5638.6875</v>
      </c>
      <c r="M133" s="54">
        <f t="shared" si="128"/>
        <v>6949.6823437499997</v>
      </c>
      <c r="N133" s="54">
        <f t="shared" si="128"/>
        <v>8443.8640476562487</v>
      </c>
      <c r="O133" s="54">
        <f t="shared" si="128"/>
        <v>10111.527197068357</v>
      </c>
      <c r="P133" s="54">
        <f t="shared" si="128"/>
        <v>11931.602092540661</v>
      </c>
      <c r="Q133" s="54">
        <f t="shared" si="128"/>
        <v>13721.34240642176</v>
      </c>
      <c r="R133" s="54">
        <f t="shared" si="128"/>
        <v>15642.330343320808</v>
      </c>
      <c r="S133" s="54">
        <f t="shared" si="128"/>
        <v>17519.409984519305</v>
      </c>
      <c r="T133" s="54">
        <f t="shared" si="128"/>
        <v>19271.350982971238</v>
      </c>
      <c r="U133" s="54">
        <f t="shared" si="128"/>
        <v>20813.059061608939</v>
      </c>
      <c r="V133" s="54">
        <f t="shared" si="128"/>
        <v>21853.712014689387</v>
      </c>
    </row>
    <row r="134" spans="2:22" outlineLevel="1">
      <c r="B134" t="s">
        <v>13</v>
      </c>
      <c r="D134" s="58">
        <f>' Balance Sheet'!D9</f>
        <v>54</v>
      </c>
      <c r="E134" s="58">
        <f>' Balance Sheet'!E9</f>
        <v>154</v>
      </c>
      <c r="F134" s="58">
        <f>' Balance Sheet'!F9</f>
        <v>212</v>
      </c>
      <c r="G134" s="58">
        <f>' Balance Sheet'!G9</f>
        <v>263</v>
      </c>
      <c r="H134" s="58">
        <f>' Balance Sheet'!H9</f>
        <v>388</v>
      </c>
      <c r="I134" s="54">
        <f t="shared" ref="I134:V134" si="129">I133/$V$126*I135</f>
        <v>397.1013698630137</v>
      </c>
      <c r="J134" s="54">
        <f t="shared" si="129"/>
        <v>484.46367123287666</v>
      </c>
      <c r="K134" s="54">
        <f t="shared" si="129"/>
        <v>630.29712328767118</v>
      </c>
      <c r="L134" s="54">
        <f t="shared" si="129"/>
        <v>818.76832191780829</v>
      </c>
      <c r="M134" s="54">
        <f t="shared" si="129"/>
        <v>990.09173116438353</v>
      </c>
      <c r="N134" s="54">
        <f t="shared" si="129"/>
        <v>1179.8275792615582</v>
      </c>
      <c r="O134" s="54">
        <f t="shared" si="129"/>
        <v>1357.4378976886287</v>
      </c>
      <c r="P134" s="54">
        <f t="shared" si="129"/>
        <v>1601.7767192725821</v>
      </c>
      <c r="Q134" s="54">
        <f t="shared" si="129"/>
        <v>1842.0432271634691</v>
      </c>
      <c r="R134" s="54">
        <f t="shared" si="129"/>
        <v>2099.929278966355</v>
      </c>
      <c r="S134" s="54">
        <f t="shared" si="129"/>
        <v>2351.9207924423176</v>
      </c>
      <c r="T134" s="54">
        <f t="shared" si="129"/>
        <v>2587.1128716865496</v>
      </c>
      <c r="U134" s="54">
        <f t="shared" si="129"/>
        <v>2794.0819014214744</v>
      </c>
      <c r="V134" s="54">
        <f t="shared" si="129"/>
        <v>2933.7859964925478</v>
      </c>
    </row>
    <row r="135" spans="2:22" outlineLevel="1">
      <c r="B135" s="269" t="s">
        <v>76</v>
      </c>
      <c r="C135" s="269"/>
      <c r="D135" s="270"/>
      <c r="E135" s="270">
        <f>AVERAGE(E134,D134)/E133*$V$126</f>
        <v>24.474532559638945</v>
      </c>
      <c r="F135" s="270">
        <f>AVERAGE(F134,E134)/F133*$V$126</f>
        <v>30.527879341864718</v>
      </c>
      <c r="G135" s="270">
        <f>AVERAGE(G134,F134)/G133*$V$126</f>
        <v>44.939087610160705</v>
      </c>
      <c r="H135" s="270">
        <f>AVERAGE(H134,G134)/H133*$V$126</f>
        <v>46.591176470588238</v>
      </c>
      <c r="I135" s="271">
        <v>49</v>
      </c>
      <c r="J135" s="271">
        <v>49</v>
      </c>
      <c r="K135" s="271">
        <v>51</v>
      </c>
      <c r="L135" s="271">
        <v>53</v>
      </c>
      <c r="M135" s="271">
        <v>52</v>
      </c>
      <c r="N135" s="271">
        <v>51</v>
      </c>
      <c r="O135" s="271">
        <v>49</v>
      </c>
      <c r="P135" s="271">
        <v>49</v>
      </c>
      <c r="Q135" s="271">
        <v>49</v>
      </c>
      <c r="R135" s="271">
        <v>49</v>
      </c>
      <c r="S135" s="271">
        <v>49</v>
      </c>
      <c r="T135" s="271">
        <v>49</v>
      </c>
      <c r="U135" s="271">
        <v>49</v>
      </c>
      <c r="V135" s="271">
        <v>49</v>
      </c>
    </row>
    <row r="136" spans="2:22" outlineLevel="1">
      <c r="B136" s="269" t="s">
        <v>493</v>
      </c>
      <c r="C136" s="269"/>
      <c r="D136" s="272">
        <f>D134/D133</f>
        <v>6.513872135102533E-2</v>
      </c>
      <c r="E136" s="272">
        <f t="shared" ref="E136:P136" si="130">E134/E133</f>
        <v>9.9290780141843976E-2</v>
      </c>
      <c r="F136" s="272">
        <f t="shared" si="130"/>
        <v>9.6892138939670927E-2</v>
      </c>
      <c r="G136" s="272">
        <f t="shared" si="130"/>
        <v>0.13634007257646449</v>
      </c>
      <c r="H136" s="272">
        <f t="shared" si="130"/>
        <v>0.15215686274509804</v>
      </c>
      <c r="I136" s="272">
        <f t="shared" si="130"/>
        <v>0.13424657534246576</v>
      </c>
      <c r="J136" s="272">
        <f t="shared" si="130"/>
        <v>0.13424657534246576</v>
      </c>
      <c r="K136" s="272">
        <f t="shared" si="130"/>
        <v>0.13972602739726026</v>
      </c>
      <c r="L136" s="272">
        <f t="shared" si="130"/>
        <v>0.14520547945205481</v>
      </c>
      <c r="M136" s="272">
        <f t="shared" si="130"/>
        <v>0.14246575342465753</v>
      </c>
      <c r="N136" s="272">
        <f t="shared" si="130"/>
        <v>0.13972602739726028</v>
      </c>
      <c r="O136" s="272">
        <f t="shared" si="130"/>
        <v>0.13424657534246576</v>
      </c>
      <c r="P136" s="272">
        <f t="shared" si="130"/>
        <v>0.13424657534246578</v>
      </c>
      <c r="Q136" s="272">
        <f t="shared" ref="Q136:V136" si="131">Q134/Q133</f>
        <v>0.13424657534246576</v>
      </c>
      <c r="R136" s="272">
        <f t="shared" si="131"/>
        <v>0.13424657534246576</v>
      </c>
      <c r="S136" s="272">
        <f t="shared" si="131"/>
        <v>0.13424657534246576</v>
      </c>
      <c r="T136" s="272">
        <f t="shared" si="131"/>
        <v>0.13424657534246576</v>
      </c>
      <c r="U136" s="272">
        <f t="shared" si="131"/>
        <v>0.13424657534246576</v>
      </c>
      <c r="V136" s="272">
        <f t="shared" si="131"/>
        <v>0.13424657534246576</v>
      </c>
    </row>
    <row r="137" spans="2:22" outlineLevel="1"/>
    <row r="138" spans="2:22" outlineLevel="1">
      <c r="B138" s="62" t="s">
        <v>16</v>
      </c>
    </row>
    <row r="139" spans="2:22" outlineLevel="1">
      <c r="B139" t="s">
        <v>285</v>
      </c>
      <c r="D139" s="54">
        <f>D128</f>
        <v>829</v>
      </c>
      <c r="E139" s="54">
        <f t="shared" ref="E139:P139" si="132">E128</f>
        <v>1551</v>
      </c>
      <c r="F139" s="54">
        <f t="shared" si="132"/>
        <v>2188</v>
      </c>
      <c r="G139" s="54">
        <f t="shared" si="132"/>
        <v>1929</v>
      </c>
      <c r="H139" s="54">
        <f t="shared" si="132"/>
        <v>2550</v>
      </c>
      <c r="I139" s="54">
        <f>I128</f>
        <v>2958</v>
      </c>
      <c r="J139" s="54">
        <f t="shared" si="132"/>
        <v>3608.7599999999998</v>
      </c>
      <c r="K139" s="54">
        <f t="shared" si="132"/>
        <v>4510.95</v>
      </c>
      <c r="L139" s="54">
        <f t="shared" si="132"/>
        <v>5638.6875</v>
      </c>
      <c r="M139" s="54">
        <f t="shared" si="132"/>
        <v>6949.6823437499997</v>
      </c>
      <c r="N139" s="54">
        <f t="shared" si="132"/>
        <v>8443.8640476562487</v>
      </c>
      <c r="O139" s="54">
        <f t="shared" si="132"/>
        <v>10111.527197068357</v>
      </c>
      <c r="P139" s="54">
        <f t="shared" si="132"/>
        <v>11931.602092540661</v>
      </c>
      <c r="Q139" s="54">
        <f t="shared" ref="Q139:V139" si="133">Q128</f>
        <v>13721.34240642176</v>
      </c>
      <c r="R139" s="54">
        <f t="shared" si="133"/>
        <v>15642.330343320808</v>
      </c>
      <c r="S139" s="54">
        <f t="shared" si="133"/>
        <v>17519.409984519305</v>
      </c>
      <c r="T139" s="54">
        <f t="shared" si="133"/>
        <v>19271.350982971238</v>
      </c>
      <c r="U139" s="54">
        <f t="shared" si="133"/>
        <v>20813.059061608939</v>
      </c>
      <c r="V139" s="54">
        <f t="shared" si="133"/>
        <v>21853.712014689387</v>
      </c>
    </row>
    <row r="140" spans="2:22" outlineLevel="1">
      <c r="B140" t="s">
        <v>16</v>
      </c>
      <c r="D140" s="342">
        <f>' Balance Sheet'!D14</f>
        <v>8.1</v>
      </c>
      <c r="E140" s="342">
        <f>' Balance Sheet'!E14</f>
        <v>12.2</v>
      </c>
      <c r="F140" s="342">
        <f>' Balance Sheet'!F14</f>
        <v>26</v>
      </c>
      <c r="G140" s="342">
        <f>' Balance Sheet'!G14</f>
        <v>52</v>
      </c>
      <c r="H140" s="342">
        <f>' Balance Sheet'!H14</f>
        <v>131.61000000000001</v>
      </c>
      <c r="I140" s="275">
        <f>I139*I141</f>
        <v>147.9</v>
      </c>
      <c r="J140" s="275">
        <f t="shared" ref="J140:P140" si="134">J139*J141</f>
        <v>180.43799999999999</v>
      </c>
      <c r="K140" s="275">
        <f t="shared" si="134"/>
        <v>225.54750000000001</v>
      </c>
      <c r="L140" s="275">
        <f t="shared" si="134"/>
        <v>281.93437499999999</v>
      </c>
      <c r="M140" s="275">
        <f t="shared" si="134"/>
        <v>347.48411718750003</v>
      </c>
      <c r="N140" s="275">
        <f t="shared" si="134"/>
        <v>422.19320238281244</v>
      </c>
      <c r="O140" s="275">
        <f t="shared" si="134"/>
        <v>505.5763598534179</v>
      </c>
      <c r="P140" s="275">
        <f t="shared" si="134"/>
        <v>596.58010462703305</v>
      </c>
      <c r="Q140" s="275">
        <f t="shared" ref="Q140:V140" si="135">Q139*Q141</f>
        <v>686.06712032108805</v>
      </c>
      <c r="R140" s="275">
        <f t="shared" si="135"/>
        <v>782.11651716604047</v>
      </c>
      <c r="S140" s="275">
        <f t="shared" si="135"/>
        <v>875.97049922596534</v>
      </c>
      <c r="T140" s="275">
        <f t="shared" si="135"/>
        <v>963.56754914856197</v>
      </c>
      <c r="U140" s="275">
        <f t="shared" si="135"/>
        <v>1040.6529530804471</v>
      </c>
      <c r="V140" s="275">
        <f t="shared" si="135"/>
        <v>1092.6856007344693</v>
      </c>
    </row>
    <row r="141" spans="2:22" s="39" customFormat="1" outlineLevel="1">
      <c r="B141" s="269" t="s">
        <v>77</v>
      </c>
      <c r="C141" s="269"/>
      <c r="D141" s="272">
        <f>D140/D139</f>
        <v>9.7708082026537989E-3</v>
      </c>
      <c r="E141" s="272">
        <f t="shared" ref="E141:G141" si="136">E140/E139</f>
        <v>7.8658929722759501E-3</v>
      </c>
      <c r="F141" s="272">
        <f t="shared" si="136"/>
        <v>1.1882998171846435E-2</v>
      </c>
      <c r="G141" s="272">
        <f t="shared" si="136"/>
        <v>2.6956972524624159E-2</v>
      </c>
      <c r="H141" s="272">
        <f>H140/H139</f>
        <v>5.1611764705882357E-2</v>
      </c>
      <c r="I141" s="284">
        <v>0.05</v>
      </c>
      <c r="J141" s="284">
        <v>0.05</v>
      </c>
      <c r="K141" s="284">
        <v>0.05</v>
      </c>
      <c r="L141" s="284">
        <v>0.05</v>
      </c>
      <c r="M141" s="284">
        <v>0.05</v>
      </c>
      <c r="N141" s="284">
        <v>0.05</v>
      </c>
      <c r="O141" s="284">
        <v>0.05</v>
      </c>
      <c r="P141" s="284">
        <v>0.05</v>
      </c>
      <c r="Q141" s="284">
        <v>0.05</v>
      </c>
      <c r="R141" s="284">
        <v>0.05</v>
      </c>
      <c r="S141" s="284">
        <v>0.05</v>
      </c>
      <c r="T141" s="284">
        <v>0.05</v>
      </c>
      <c r="U141" s="284">
        <v>0.05</v>
      </c>
      <c r="V141" s="284">
        <v>0.05</v>
      </c>
    </row>
    <row r="142" spans="2:22" outlineLevel="1"/>
    <row r="143" spans="2:22" outlineLevel="1">
      <c r="B143" s="62" t="s">
        <v>610</v>
      </c>
    </row>
    <row r="144" spans="2:22" outlineLevel="1">
      <c r="B144" t="s">
        <v>78</v>
      </c>
      <c r="D144" s="111">
        <f>' Income Statement'!D9*-1</f>
        <v>385</v>
      </c>
      <c r="E144" s="111">
        <f>' Income Statement'!E9*-1</f>
        <v>761</v>
      </c>
      <c r="F144" s="111">
        <f>' Income Statement'!F9*-1</f>
        <v>1115</v>
      </c>
      <c r="G144" s="111">
        <f>' Income Statement'!G9*-1</f>
        <v>1061</v>
      </c>
      <c r="H144" s="111">
        <f>' Income Statement'!H9*-1</f>
        <v>1353</v>
      </c>
      <c r="I144" s="58">
        <f>'3 Statement Model'!I13</f>
        <v>1626.9</v>
      </c>
      <c r="J144" s="58">
        <f>'3 Statement Model'!J13</f>
        <v>1963.16544</v>
      </c>
      <c r="K144" s="58">
        <f>'3 Statement Model'!K13</f>
        <v>2453.9567999999999</v>
      </c>
      <c r="L144" s="58">
        <f>'3 Statement Model'!L13</f>
        <v>3040.3803000000003</v>
      </c>
      <c r="M144" s="58">
        <f>'3 Statement Model'!M13</f>
        <v>3713.9102444999999</v>
      </c>
      <c r="N144" s="58">
        <f>'3 Statement Model'!N13</f>
        <v>4471.8703996387503</v>
      </c>
      <c r="O144" s="58">
        <f>'3 Statement Model'!O13</f>
        <v>5306.5294730214755</v>
      </c>
      <c r="P144" s="58">
        <f>'3 Statement Model'!P13</f>
        <v>6204.4330881211436</v>
      </c>
      <c r="Q144" s="58">
        <f>'3 Statement Model'!Q13</f>
        <v>6723.4577791466618</v>
      </c>
      <c r="R144" s="58">
        <f>'3 Statement Model'!R13</f>
        <v>7664.7418682271955</v>
      </c>
      <c r="S144" s="58">
        <f>'3 Statement Model'!S13</f>
        <v>8584.5108924144588</v>
      </c>
      <c r="T144" s="58">
        <f>'3 Statement Model'!T13</f>
        <v>9250.2484718261949</v>
      </c>
      <c r="U144" s="58">
        <f>'3 Statement Model'!U13</f>
        <v>9990.2683495722904</v>
      </c>
      <c r="V144" s="58">
        <f>'3 Statement Model'!V13</f>
        <v>10489.781767050905</v>
      </c>
    </row>
    <row r="145" spans="2:22" outlineLevel="1">
      <c r="B145" t="s">
        <v>610</v>
      </c>
      <c r="D145" s="342">
        <f>' Balance Sheet'!D30</f>
        <v>73</v>
      </c>
      <c r="E145" s="342">
        <f>' Balance Sheet'!E30</f>
        <v>88</v>
      </c>
      <c r="F145" s="342">
        <f>' Balance Sheet'!F30</f>
        <v>110</v>
      </c>
      <c r="G145" s="342">
        <f>' Balance Sheet'!G30</f>
        <v>184</v>
      </c>
      <c r="H145" s="342">
        <f>' Balance Sheet'!H30</f>
        <v>186</v>
      </c>
      <c r="I145" s="54">
        <f t="shared" ref="I145:V145" si="137">I144/$V$126*I146</f>
        <v>222.86301369863014</v>
      </c>
      <c r="J145" s="54">
        <f t="shared" si="137"/>
        <v>268.92677260273973</v>
      </c>
      <c r="K145" s="54">
        <f t="shared" si="137"/>
        <v>336.15846575342465</v>
      </c>
      <c r="L145" s="54">
        <f t="shared" si="137"/>
        <v>416.4904520547945</v>
      </c>
      <c r="M145" s="54">
        <f t="shared" si="137"/>
        <v>508.75482801369867</v>
      </c>
      <c r="N145" s="54">
        <f t="shared" si="137"/>
        <v>612.58498625188361</v>
      </c>
      <c r="O145" s="54">
        <f t="shared" si="137"/>
        <v>726.92184561938018</v>
      </c>
      <c r="P145" s="54">
        <f t="shared" si="137"/>
        <v>849.92234083851292</v>
      </c>
      <c r="Q145" s="54">
        <f t="shared" si="137"/>
        <v>921.02161358173453</v>
      </c>
      <c r="R145" s="54">
        <f t="shared" si="137"/>
        <v>1049.9646394831775</v>
      </c>
      <c r="S145" s="54">
        <f t="shared" si="137"/>
        <v>1175.9603962211588</v>
      </c>
      <c r="T145" s="54">
        <f t="shared" si="137"/>
        <v>1267.157324907698</v>
      </c>
      <c r="U145" s="54">
        <f t="shared" si="137"/>
        <v>1368.5299109003138</v>
      </c>
      <c r="V145" s="54">
        <f t="shared" si="137"/>
        <v>1436.9564064453295</v>
      </c>
    </row>
    <row r="146" spans="2:22" ht="15.75" outlineLevel="1" thickBot="1">
      <c r="B146" s="47" t="s">
        <v>634</v>
      </c>
      <c r="C146" s="47"/>
      <c r="D146" s="68">
        <f>D145/D144*$V$126</f>
        <v>69.20779220779221</v>
      </c>
      <c r="E146" s="68">
        <f>E145/E144*$V$126</f>
        <v>42.207621550591327</v>
      </c>
      <c r="F146" s="68">
        <f>E146</f>
        <v>42.207621550591327</v>
      </c>
      <c r="G146" s="68">
        <f>F146</f>
        <v>42.207621550591327</v>
      </c>
      <c r="H146" s="68">
        <f>G146</f>
        <v>42.207621550591327</v>
      </c>
      <c r="I146" s="358">
        <v>50</v>
      </c>
      <c r="J146" s="404">
        <f>I146</f>
        <v>50</v>
      </c>
      <c r="K146" s="404">
        <f t="shared" ref="K146:P146" si="138">J146</f>
        <v>50</v>
      </c>
      <c r="L146" s="404">
        <f t="shared" si="138"/>
        <v>50</v>
      </c>
      <c r="M146" s="404">
        <f t="shared" si="138"/>
        <v>50</v>
      </c>
      <c r="N146" s="404">
        <f t="shared" si="138"/>
        <v>50</v>
      </c>
      <c r="O146" s="404">
        <f t="shared" si="138"/>
        <v>50</v>
      </c>
      <c r="P146" s="404">
        <f t="shared" si="138"/>
        <v>50</v>
      </c>
      <c r="Q146" s="404">
        <f t="shared" ref="Q146" si="139">P146</f>
        <v>50</v>
      </c>
      <c r="R146" s="404">
        <f t="shared" ref="R146" si="140">Q146</f>
        <v>50</v>
      </c>
      <c r="S146" s="404">
        <f t="shared" ref="S146" si="141">R146</f>
        <v>50</v>
      </c>
      <c r="T146" s="404">
        <f t="shared" ref="T146" si="142">S146</f>
        <v>50</v>
      </c>
      <c r="U146" s="404">
        <f t="shared" ref="U146" si="143">T146</f>
        <v>50</v>
      </c>
      <c r="V146" s="404">
        <f t="shared" ref="V146" si="144">U146</f>
        <v>50</v>
      </c>
    </row>
    <row r="147" spans="2:22" outlineLevel="1"/>
    <row r="148" spans="2:22" outlineLevel="1">
      <c r="B148" s="62" t="s">
        <v>591</v>
      </c>
    </row>
    <row r="149" spans="2:22" outlineLevel="1">
      <c r="B149" t="s">
        <v>591</v>
      </c>
      <c r="D149" s="111">
        <f>'3 Statement Model'!D72</f>
        <v>75</v>
      </c>
      <c r="E149" s="111">
        <f>'3 Statement Model'!E72</f>
        <v>80</v>
      </c>
      <c r="F149" s="111">
        <f>'3 Statement Model'!F72</f>
        <v>92</v>
      </c>
      <c r="G149" s="111">
        <f>'3 Statement Model'!G72</f>
        <v>221</v>
      </c>
      <c r="H149" s="111">
        <f>'3 Statement Model'!H72</f>
        <v>50</v>
      </c>
      <c r="I149" s="54">
        <f>I150*I151</f>
        <v>88.74</v>
      </c>
      <c r="J149" s="54">
        <f t="shared" ref="J149:O149" si="145">J150*J151</f>
        <v>108.26279999999998</v>
      </c>
      <c r="K149" s="54">
        <f t="shared" si="145"/>
        <v>135.32849999999999</v>
      </c>
      <c r="L149" s="54">
        <f t="shared" si="145"/>
        <v>169.16062499999998</v>
      </c>
      <c r="M149" s="54">
        <f>M150*M151</f>
        <v>173.74205859375002</v>
      </c>
      <c r="N149" s="54">
        <f t="shared" si="145"/>
        <v>126.65796071484372</v>
      </c>
      <c r="O149" s="54">
        <f t="shared" si="145"/>
        <v>101.11527197068358</v>
      </c>
      <c r="P149" s="54">
        <f>O149</f>
        <v>101.11527197068358</v>
      </c>
      <c r="Q149" s="54">
        <f>P149</f>
        <v>101.11527197068358</v>
      </c>
      <c r="R149" s="54">
        <f t="shared" ref="R149:V149" si="146">Q149</f>
        <v>101.11527197068358</v>
      </c>
      <c r="S149" s="54">
        <f t="shared" si="146"/>
        <v>101.11527197068358</v>
      </c>
      <c r="T149" s="54">
        <f t="shared" si="146"/>
        <v>101.11527197068358</v>
      </c>
      <c r="U149" s="54">
        <f t="shared" si="146"/>
        <v>101.11527197068358</v>
      </c>
      <c r="V149" s="54">
        <f t="shared" si="146"/>
        <v>101.11527197068358</v>
      </c>
    </row>
    <row r="150" spans="2:22" outlineLevel="1">
      <c r="B150" t="s">
        <v>285</v>
      </c>
      <c r="D150" s="349">
        <f>D139</f>
        <v>829</v>
      </c>
      <c r="E150" s="349">
        <f t="shared" ref="E150:P150" si="147">E139</f>
        <v>1551</v>
      </c>
      <c r="F150" s="349">
        <f t="shared" si="147"/>
        <v>2188</v>
      </c>
      <c r="G150" s="349">
        <f t="shared" si="147"/>
        <v>1929</v>
      </c>
      <c r="H150" s="349">
        <f t="shared" si="147"/>
        <v>2550</v>
      </c>
      <c r="I150" s="349">
        <f t="shared" si="147"/>
        <v>2958</v>
      </c>
      <c r="J150" s="349">
        <f t="shared" si="147"/>
        <v>3608.7599999999998</v>
      </c>
      <c r="K150" s="349">
        <f t="shared" si="147"/>
        <v>4510.95</v>
      </c>
      <c r="L150" s="349">
        <f t="shared" si="147"/>
        <v>5638.6875</v>
      </c>
      <c r="M150" s="349">
        <f t="shared" si="147"/>
        <v>6949.6823437499997</v>
      </c>
      <c r="N150" s="349">
        <f t="shared" si="147"/>
        <v>8443.8640476562487</v>
      </c>
      <c r="O150" s="349">
        <f t="shared" si="147"/>
        <v>10111.527197068357</v>
      </c>
      <c r="P150" s="349">
        <f t="shared" si="147"/>
        <v>11931.602092540661</v>
      </c>
      <c r="Q150" s="349">
        <f t="shared" ref="Q150:V150" si="148">Q139</f>
        <v>13721.34240642176</v>
      </c>
      <c r="R150" s="349">
        <f t="shared" si="148"/>
        <v>15642.330343320808</v>
      </c>
      <c r="S150" s="349">
        <f t="shared" si="148"/>
        <v>17519.409984519305</v>
      </c>
      <c r="T150" s="349">
        <f t="shared" si="148"/>
        <v>19271.350982971238</v>
      </c>
      <c r="U150" s="349">
        <f t="shared" si="148"/>
        <v>20813.059061608939</v>
      </c>
      <c r="V150" s="349">
        <f t="shared" si="148"/>
        <v>21853.712014689387</v>
      </c>
    </row>
    <row r="151" spans="2:22" ht="15.75" outlineLevel="1" thickBot="1">
      <c r="B151" s="47" t="s">
        <v>548</v>
      </c>
      <c r="C151" s="47"/>
      <c r="D151" s="360">
        <f>D149/D150</f>
        <v>9.0470446320868522E-2</v>
      </c>
      <c r="E151" s="360">
        <f t="shared" ref="E151:H151" si="149">E149/E150</f>
        <v>5.1579626047711151E-2</v>
      </c>
      <c r="F151" s="360">
        <f t="shared" si="149"/>
        <v>4.2047531992687383E-2</v>
      </c>
      <c r="G151" s="360">
        <f t="shared" si="149"/>
        <v>0.11456713322965267</v>
      </c>
      <c r="H151" s="360">
        <f t="shared" si="149"/>
        <v>1.9607843137254902E-2</v>
      </c>
      <c r="I151" s="361">
        <f>'Control Sheet'!I103</f>
        <v>0.03</v>
      </c>
      <c r="J151" s="361">
        <f>'Control Sheet'!J103</f>
        <v>0.03</v>
      </c>
      <c r="K151" s="361">
        <f>'Control Sheet'!K103</f>
        <v>0.03</v>
      </c>
      <c r="L151" s="361">
        <f>'Control Sheet'!L103</f>
        <v>0.03</v>
      </c>
      <c r="M151" s="361">
        <f>'Control Sheet'!M103</f>
        <v>2.5000000000000001E-2</v>
      </c>
      <c r="N151" s="361">
        <f>'Control Sheet'!N103</f>
        <v>1.4999999999999999E-2</v>
      </c>
      <c r="O151" s="361">
        <f>'Control Sheet'!O103</f>
        <v>0.01</v>
      </c>
      <c r="P151" s="361">
        <f>'Control Sheet'!P103</f>
        <v>0.01</v>
      </c>
      <c r="Q151" s="361">
        <f>'Control Sheet'!Q103</f>
        <v>0</v>
      </c>
      <c r="R151" s="361">
        <f>'Control Sheet'!R103</f>
        <v>0</v>
      </c>
      <c r="S151" s="361">
        <f>'Control Sheet'!S103</f>
        <v>0</v>
      </c>
      <c r="T151" s="361">
        <f>'Control Sheet'!T103</f>
        <v>0</v>
      </c>
      <c r="U151" s="361">
        <f>'Control Sheet'!U103</f>
        <v>0</v>
      </c>
      <c r="V151" s="361">
        <f>'Control Sheet'!V103</f>
        <v>0</v>
      </c>
    </row>
    <row r="152" spans="2:22" outlineLevel="1"/>
    <row r="153" spans="2:22" outlineLevel="1">
      <c r="B153" s="62" t="s">
        <v>23</v>
      </c>
    </row>
    <row r="154" spans="2:22" outlineLevel="1">
      <c r="B154" t="s">
        <v>23</v>
      </c>
      <c r="D154" s="111">
        <f>'3 Statement Model'!D70</f>
        <v>4.9000000000000004</v>
      </c>
      <c r="E154" s="111">
        <f>'3 Statement Model'!E70</f>
        <v>28.4</v>
      </c>
      <c r="F154" s="111">
        <f>'3 Statement Model'!F70</f>
        <v>21.8</v>
      </c>
      <c r="G154" s="111">
        <f>'3 Statement Model'!G70</f>
        <v>28</v>
      </c>
      <c r="H154" s="111">
        <f>'3 Statement Model'!H70</f>
        <v>12.1</v>
      </c>
      <c r="I154">
        <f>H154</f>
        <v>12.1</v>
      </c>
      <c r="J154">
        <f t="shared" ref="J154:P154" si="150">I154</f>
        <v>12.1</v>
      </c>
      <c r="K154">
        <f t="shared" si="150"/>
        <v>12.1</v>
      </c>
      <c r="L154">
        <f t="shared" si="150"/>
        <v>12.1</v>
      </c>
      <c r="M154">
        <f t="shared" si="150"/>
        <v>12.1</v>
      </c>
      <c r="N154">
        <f t="shared" si="150"/>
        <v>12.1</v>
      </c>
      <c r="O154">
        <f t="shared" si="150"/>
        <v>12.1</v>
      </c>
      <c r="P154">
        <f t="shared" si="150"/>
        <v>12.1</v>
      </c>
      <c r="Q154">
        <f t="shared" ref="Q154" si="151">P154</f>
        <v>12.1</v>
      </c>
      <c r="R154">
        <f t="shared" ref="R154" si="152">Q154</f>
        <v>12.1</v>
      </c>
      <c r="S154">
        <f t="shared" ref="S154" si="153">R154</f>
        <v>12.1</v>
      </c>
      <c r="T154">
        <f t="shared" ref="T154" si="154">S154</f>
        <v>12.1</v>
      </c>
      <c r="U154">
        <f t="shared" ref="U154" si="155">T154</f>
        <v>12.1</v>
      </c>
      <c r="V154">
        <f t="shared" ref="V154" si="156">U154</f>
        <v>12.1</v>
      </c>
    </row>
    <row r="155" spans="2:22" s="39" customFormat="1" ht="15.75" outlineLevel="1" thickBot="1">
      <c r="B155" s="47" t="s">
        <v>640</v>
      </c>
      <c r="C155" s="47"/>
      <c r="D155" s="69"/>
      <c r="E155" s="69">
        <f>E154/D154-1</f>
        <v>4.7959183673469381</v>
      </c>
      <c r="F155" s="69">
        <f t="shared" ref="F155:H155" si="157">F154/E154-1</f>
        <v>-0.23239436619718301</v>
      </c>
      <c r="G155" s="69">
        <f t="shared" si="157"/>
        <v>0.28440366972477049</v>
      </c>
      <c r="H155" s="69">
        <f t="shared" si="157"/>
        <v>-0.56785714285714284</v>
      </c>
      <c r="I155" s="376">
        <v>0</v>
      </c>
      <c r="J155" s="376">
        <v>0</v>
      </c>
      <c r="K155" s="376">
        <v>0</v>
      </c>
      <c r="L155" s="376">
        <v>0</v>
      </c>
      <c r="M155" s="376">
        <v>0</v>
      </c>
      <c r="N155" s="376">
        <v>0</v>
      </c>
      <c r="O155" s="376">
        <v>0</v>
      </c>
      <c r="P155" s="376">
        <v>0</v>
      </c>
      <c r="Q155" s="376">
        <v>0</v>
      </c>
      <c r="R155" s="376">
        <v>0</v>
      </c>
      <c r="S155" s="376">
        <v>0</v>
      </c>
      <c r="T155" s="376">
        <v>0</v>
      </c>
      <c r="U155" s="376">
        <v>0</v>
      </c>
      <c r="V155" s="376">
        <v>0</v>
      </c>
    </row>
    <row r="156" spans="2:22" outlineLevel="1"/>
    <row r="157" spans="2:22" outlineLevel="1">
      <c r="B157" s="62" t="s">
        <v>24</v>
      </c>
    </row>
    <row r="158" spans="2:22" outlineLevel="1">
      <c r="B158" t="s">
        <v>24</v>
      </c>
      <c r="D158" s="111">
        <f>'3 Statement Model'!D71</f>
        <v>236.4</v>
      </c>
      <c r="E158" s="111">
        <f>'3 Statement Model'!E71</f>
        <v>336.1</v>
      </c>
      <c r="F158" s="111">
        <f>'3 Statement Model'!F71</f>
        <v>422.2</v>
      </c>
      <c r="G158" s="111">
        <f>'3 Statement Model'!G71</f>
        <v>345</v>
      </c>
      <c r="H158" s="111">
        <f>'3 Statement Model'!H71</f>
        <v>244.3</v>
      </c>
      <c r="I158">
        <f t="shared" ref="I158:P158" si="158">H158</f>
        <v>244.3</v>
      </c>
      <c r="J158">
        <f t="shared" si="158"/>
        <v>244.3</v>
      </c>
      <c r="K158">
        <f t="shared" si="158"/>
        <v>244.3</v>
      </c>
      <c r="L158">
        <f t="shared" si="158"/>
        <v>244.3</v>
      </c>
      <c r="M158">
        <f t="shared" si="158"/>
        <v>244.3</v>
      </c>
      <c r="N158">
        <f t="shared" si="158"/>
        <v>244.3</v>
      </c>
      <c r="O158">
        <f t="shared" si="158"/>
        <v>244.3</v>
      </c>
      <c r="P158">
        <f t="shared" si="158"/>
        <v>244.3</v>
      </c>
      <c r="Q158">
        <f t="shared" ref="Q158" si="159">P158</f>
        <v>244.3</v>
      </c>
      <c r="R158">
        <f t="shared" ref="R158" si="160">Q158</f>
        <v>244.3</v>
      </c>
      <c r="S158">
        <f t="shared" ref="S158" si="161">R158</f>
        <v>244.3</v>
      </c>
      <c r="T158">
        <f t="shared" ref="T158" si="162">S158</f>
        <v>244.3</v>
      </c>
      <c r="U158">
        <f t="shared" ref="U158" si="163">T158</f>
        <v>244.3</v>
      </c>
      <c r="V158">
        <f t="shared" ref="V158" si="164">U158</f>
        <v>244.3</v>
      </c>
    </row>
    <row r="159" spans="2:22" s="39" customFormat="1" ht="15.75" outlineLevel="1" thickBot="1">
      <c r="B159" s="47" t="s">
        <v>640</v>
      </c>
      <c r="C159" s="47"/>
      <c r="D159" s="47"/>
      <c r="E159" s="69">
        <f>E158/D158-1</f>
        <v>0.42174280879864634</v>
      </c>
      <c r="F159" s="69">
        <f t="shared" ref="F159:G159" si="165">F158/E158-1</f>
        <v>0.25617375781017548</v>
      </c>
      <c r="G159" s="69">
        <f t="shared" si="165"/>
        <v>-0.18285172903837044</v>
      </c>
      <c r="H159" s="69">
        <f>H158/G158-1</f>
        <v>-0.29188405797101447</v>
      </c>
      <c r="I159" s="376">
        <v>0</v>
      </c>
      <c r="J159" s="376">
        <v>0</v>
      </c>
      <c r="K159" s="376">
        <v>0</v>
      </c>
      <c r="L159" s="376">
        <v>0</v>
      </c>
      <c r="M159" s="376">
        <v>0</v>
      </c>
      <c r="N159" s="376">
        <v>0</v>
      </c>
      <c r="O159" s="376">
        <v>0</v>
      </c>
      <c r="P159" s="376">
        <v>0</v>
      </c>
      <c r="Q159" s="376">
        <v>0</v>
      </c>
      <c r="R159" s="376">
        <v>0</v>
      </c>
      <c r="S159" s="376">
        <v>0</v>
      </c>
      <c r="T159" s="376">
        <v>0</v>
      </c>
      <c r="U159" s="376">
        <v>0</v>
      </c>
      <c r="V159" s="376">
        <v>0</v>
      </c>
    </row>
    <row r="160" spans="2:22" outlineLevel="1"/>
    <row r="161" spans="2:22" outlineLevel="1">
      <c r="B161" s="62" t="s">
        <v>81</v>
      </c>
    </row>
    <row r="162" spans="2:22" outlineLevel="1">
      <c r="B162" s="39"/>
    </row>
    <row r="163" spans="2:22" outlineLevel="1">
      <c r="B163" s="78" t="s">
        <v>82</v>
      </c>
      <c r="E163" s="54"/>
      <c r="F163" s="54"/>
      <c r="G163" s="54"/>
      <c r="H163" s="54"/>
      <c r="I163" s="54">
        <f t="shared" ref="I163:P163" si="166">I134-H134</f>
        <v>9.1013698630137014</v>
      </c>
      <c r="J163" s="54">
        <f t="shared" si="166"/>
        <v>87.362301369862962</v>
      </c>
      <c r="K163" s="54">
        <f t="shared" si="166"/>
        <v>145.83345205479452</v>
      </c>
      <c r="L163" s="54">
        <f t="shared" si="166"/>
        <v>188.47119863013711</v>
      </c>
      <c r="M163" s="54">
        <f t="shared" si="166"/>
        <v>171.32340924657524</v>
      </c>
      <c r="N163" s="54">
        <f t="shared" si="166"/>
        <v>189.73584809717465</v>
      </c>
      <c r="O163" s="54">
        <f t="shared" si="166"/>
        <v>177.61031842707052</v>
      </c>
      <c r="P163" s="54">
        <f t="shared" si="166"/>
        <v>244.3388215839534</v>
      </c>
      <c r="Q163" s="54">
        <f>Q134-P134</f>
        <v>240.26650789088694</v>
      </c>
      <c r="R163" s="54">
        <f>R134-Q134</f>
        <v>257.88605180288596</v>
      </c>
      <c r="S163" s="54">
        <f t="shared" ref="S163" si="167">S134-R134</f>
        <v>251.99151347596262</v>
      </c>
      <c r="T163" s="54">
        <f t="shared" ref="T163" si="168">T134-S134</f>
        <v>235.19207924423199</v>
      </c>
      <c r="U163" s="54">
        <f t="shared" ref="U163" si="169">U134-T134</f>
        <v>206.96902973492479</v>
      </c>
      <c r="V163" s="54">
        <f t="shared" ref="V163" si="170">V134-U134</f>
        <v>139.70409507107343</v>
      </c>
    </row>
    <row r="164" spans="2:22" outlineLevel="1">
      <c r="B164" s="78" t="s">
        <v>83</v>
      </c>
      <c r="E164" s="54"/>
      <c r="F164" s="54"/>
      <c r="G164" s="54"/>
      <c r="H164" s="54"/>
      <c r="I164" s="54">
        <f t="shared" ref="I164:P164" si="171">I129-H129</f>
        <v>51.643835616438366</v>
      </c>
      <c r="J164" s="54">
        <f t="shared" si="171"/>
        <v>62.401643835616426</v>
      </c>
      <c r="K164" s="54">
        <f t="shared" si="171"/>
        <v>86.51136986301367</v>
      </c>
      <c r="L164" s="54">
        <f t="shared" si="171"/>
        <v>108.13921232876714</v>
      </c>
      <c r="M164" s="54">
        <f t="shared" si="171"/>
        <v>125.71183433219176</v>
      </c>
      <c r="N164" s="54">
        <f t="shared" si="171"/>
        <v>143.27769763484582</v>
      </c>
      <c r="O164" s="54">
        <f t="shared" si="171"/>
        <v>159.91290473814729</v>
      </c>
      <c r="P164" s="54">
        <f t="shared" si="171"/>
        <v>174.52772970282376</v>
      </c>
      <c r="Q164" s="54">
        <f t="shared" ref="Q164" si="172">Q129-P129</f>
        <v>171.61893420777665</v>
      </c>
      <c r="R164" s="54">
        <f t="shared" ref="R164" si="173">R129-Q129</f>
        <v>184.20432271634695</v>
      </c>
      <c r="S164" s="54">
        <f t="shared" ref="S164" si="174">S129-R129</f>
        <v>179.99393819711599</v>
      </c>
      <c r="T164" s="54">
        <f t="shared" ref="T164" si="175">T129-S129</f>
        <v>167.99434231730879</v>
      </c>
      <c r="U164" s="54">
        <f t="shared" ref="U164" si="176">U129-T129</f>
        <v>147.83502123923176</v>
      </c>
      <c r="V164" s="54">
        <f t="shared" ref="V164" si="177">V129-U129</f>
        <v>99.788639336481083</v>
      </c>
    </row>
    <row r="165" spans="2:22" outlineLevel="1">
      <c r="B165" s="78" t="s">
        <v>84</v>
      </c>
      <c r="E165" s="54"/>
      <c r="F165" s="54"/>
      <c r="G165" s="54"/>
      <c r="H165" s="54"/>
      <c r="I165" s="54">
        <f t="shared" ref="I165:P165" si="178">I140-H140</f>
        <v>16.289999999999992</v>
      </c>
      <c r="J165" s="54">
        <f t="shared" si="178"/>
        <v>32.537999999999982</v>
      </c>
      <c r="K165" s="54">
        <f t="shared" si="178"/>
        <v>45.109500000000025</v>
      </c>
      <c r="L165" s="54">
        <f t="shared" si="178"/>
        <v>56.386874999999975</v>
      </c>
      <c r="M165" s="54">
        <f t="shared" si="178"/>
        <v>65.549742187500044</v>
      </c>
      <c r="N165" s="54">
        <f t="shared" si="178"/>
        <v>74.709085195312412</v>
      </c>
      <c r="O165" s="54">
        <f t="shared" si="178"/>
        <v>83.383157470605454</v>
      </c>
      <c r="P165" s="54">
        <f t="shared" si="178"/>
        <v>91.003744773615153</v>
      </c>
      <c r="Q165" s="54">
        <f t="shared" ref="Q165" si="179">Q140-P140</f>
        <v>89.487015694055003</v>
      </c>
      <c r="R165" s="54">
        <f t="shared" ref="R165" si="180">R140-Q140</f>
        <v>96.049396844952412</v>
      </c>
      <c r="S165" s="54">
        <f t="shared" ref="S165" si="181">S140-R140</f>
        <v>93.853982059924874</v>
      </c>
      <c r="T165" s="54">
        <f t="shared" ref="T165" si="182">T140-S140</f>
        <v>87.597049922596625</v>
      </c>
      <c r="U165" s="54">
        <f t="shared" ref="U165" si="183">U140-T140</f>
        <v>77.085403931885139</v>
      </c>
      <c r="V165" s="54">
        <f t="shared" ref="V165" si="184">V140-U140</f>
        <v>52.032647654022185</v>
      </c>
    </row>
    <row r="166" spans="2:22" outlineLevel="1">
      <c r="B166" s="46" t="s">
        <v>85</v>
      </c>
      <c r="C166" s="46"/>
      <c r="D166" s="46"/>
      <c r="E166" s="48"/>
      <c r="F166" s="48"/>
      <c r="G166" s="48"/>
      <c r="H166" s="48"/>
      <c r="I166" s="48">
        <f>SUM(I163:I165)</f>
        <v>77.03520547945206</v>
      </c>
      <c r="J166" s="48">
        <f t="shared" ref="J166:P166" si="185">SUM(J163:J165)</f>
        <v>182.30194520547937</v>
      </c>
      <c r="K166" s="48">
        <f t="shared" si="185"/>
        <v>277.45432191780822</v>
      </c>
      <c r="L166" s="48">
        <f t="shared" si="185"/>
        <v>352.99728595890423</v>
      </c>
      <c r="M166" s="48">
        <f t="shared" si="185"/>
        <v>362.58498576626704</v>
      </c>
      <c r="N166" s="48">
        <f t="shared" si="185"/>
        <v>407.72263092733289</v>
      </c>
      <c r="O166" s="48">
        <f t="shared" si="185"/>
        <v>420.90638063582327</v>
      </c>
      <c r="P166" s="48">
        <f t="shared" si="185"/>
        <v>509.87029606039232</v>
      </c>
      <c r="Q166" s="48">
        <f t="shared" ref="Q166:V166" si="186">SUM(Q163:Q165)</f>
        <v>501.37245779271859</v>
      </c>
      <c r="R166" s="48">
        <f t="shared" si="186"/>
        <v>538.13977136418532</v>
      </c>
      <c r="S166" s="48">
        <f t="shared" si="186"/>
        <v>525.83943373300349</v>
      </c>
      <c r="T166" s="48">
        <f t="shared" si="186"/>
        <v>490.78347148413741</v>
      </c>
      <c r="U166" s="48">
        <f t="shared" si="186"/>
        <v>431.88945490604169</v>
      </c>
      <c r="V166" s="48">
        <f t="shared" si="186"/>
        <v>291.52538206157669</v>
      </c>
    </row>
    <row r="167" spans="2:22" outlineLevel="1">
      <c r="B167" s="39"/>
    </row>
    <row r="168" spans="2:22" outlineLevel="1">
      <c r="B168" s="79" t="s">
        <v>636</v>
      </c>
      <c r="E168" s="54"/>
      <c r="F168" s="54"/>
      <c r="G168" s="54"/>
      <c r="H168" s="54"/>
      <c r="I168" s="54">
        <f t="shared" ref="I168:P168" si="187">I145-H145</f>
        <v>36.863013698630141</v>
      </c>
      <c r="J168" s="54">
        <f t="shared" si="187"/>
        <v>46.063758904109591</v>
      </c>
      <c r="K168" s="54">
        <f t="shared" si="187"/>
        <v>67.231693150684919</v>
      </c>
      <c r="L168" s="54">
        <f t="shared" si="187"/>
        <v>80.331986301369852</v>
      </c>
      <c r="M168" s="54">
        <f t="shared" si="187"/>
        <v>92.264375958904168</v>
      </c>
      <c r="N168" s="54">
        <f t="shared" si="187"/>
        <v>103.83015823818494</v>
      </c>
      <c r="O168" s="54">
        <f t="shared" si="187"/>
        <v>114.33685936749657</v>
      </c>
      <c r="P168" s="54">
        <f t="shared" si="187"/>
        <v>123.00049521913274</v>
      </c>
      <c r="Q168" s="54">
        <f t="shared" ref="Q168" si="188">Q145-P145</f>
        <v>71.099272743221604</v>
      </c>
      <c r="R168" s="54">
        <f t="shared" ref="R168" si="189">R145-Q145</f>
        <v>128.94302590144298</v>
      </c>
      <c r="S168" s="54">
        <f t="shared" ref="S168" si="190">S145-R145</f>
        <v>125.99575673798131</v>
      </c>
      <c r="T168" s="54">
        <f t="shared" ref="T168" si="191">T145-S145</f>
        <v>91.196928686539195</v>
      </c>
      <c r="U168" s="54">
        <f t="shared" ref="U168" si="192">U145-T145</f>
        <v>101.37258599261577</v>
      </c>
      <c r="V168" s="54">
        <f t="shared" ref="V168" si="193">V145-U145</f>
        <v>68.426495545015769</v>
      </c>
    </row>
    <row r="169" spans="2:22" outlineLevel="1">
      <c r="B169" s="79" t="s">
        <v>86</v>
      </c>
      <c r="F169" s="54"/>
      <c r="G169" s="54"/>
      <c r="H169" s="54"/>
      <c r="I169" s="54">
        <f>I154-H154</f>
        <v>0</v>
      </c>
      <c r="J169" s="54">
        <f>J154-I154</f>
        <v>0</v>
      </c>
      <c r="K169" s="54">
        <f t="shared" ref="K169:P169" si="194">K154-J154</f>
        <v>0</v>
      </c>
      <c r="L169" s="54">
        <f t="shared" si="194"/>
        <v>0</v>
      </c>
      <c r="M169" s="54">
        <f t="shared" si="194"/>
        <v>0</v>
      </c>
      <c r="N169" s="54">
        <f t="shared" si="194"/>
        <v>0</v>
      </c>
      <c r="O169" s="54">
        <f t="shared" si="194"/>
        <v>0</v>
      </c>
      <c r="P169" s="54">
        <f t="shared" si="194"/>
        <v>0</v>
      </c>
      <c r="Q169" s="54">
        <f t="shared" ref="Q169" si="195">Q154-P154</f>
        <v>0</v>
      </c>
      <c r="R169" s="54">
        <f t="shared" ref="R169" si="196">R154-Q154</f>
        <v>0</v>
      </c>
      <c r="S169" s="54">
        <f t="shared" ref="S169" si="197">S154-R154</f>
        <v>0</v>
      </c>
      <c r="T169" s="54">
        <f t="shared" ref="T169" si="198">T154-S154</f>
        <v>0</v>
      </c>
      <c r="U169" s="54">
        <f t="shared" ref="U169" si="199">U154-T154</f>
        <v>0</v>
      </c>
      <c r="V169" s="54">
        <f t="shared" ref="V169" si="200">V154-U154</f>
        <v>0</v>
      </c>
    </row>
    <row r="170" spans="2:22" outlineLevel="1">
      <c r="B170" s="79" t="s">
        <v>657</v>
      </c>
      <c r="F170" s="54"/>
      <c r="G170" s="54"/>
      <c r="H170" s="54"/>
      <c r="I170" s="54">
        <f>I149-H149</f>
        <v>38.739999999999995</v>
      </c>
      <c r="J170" s="54">
        <f t="shared" ref="J170:P170" si="201">J149-I149</f>
        <v>19.522799999999989</v>
      </c>
      <c r="K170" s="54">
        <f t="shared" si="201"/>
        <v>27.065700000000007</v>
      </c>
      <c r="L170" s="54">
        <f t="shared" si="201"/>
        <v>33.832124999999991</v>
      </c>
      <c r="M170" s="54">
        <f t="shared" si="201"/>
        <v>4.5814335937500346</v>
      </c>
      <c r="N170" s="54">
        <f t="shared" si="201"/>
        <v>-47.084097878906292</v>
      </c>
      <c r="O170" s="54">
        <f t="shared" si="201"/>
        <v>-25.542688744160145</v>
      </c>
      <c r="P170" s="54">
        <f t="shared" si="201"/>
        <v>0</v>
      </c>
      <c r="Q170" s="54">
        <f t="shared" ref="Q170" si="202">Q149-P149</f>
        <v>0</v>
      </c>
      <c r="R170" s="54">
        <f t="shared" ref="R170" si="203">R149-Q149</f>
        <v>0</v>
      </c>
      <c r="S170" s="54">
        <f t="shared" ref="S170" si="204">S149-R149</f>
        <v>0</v>
      </c>
      <c r="T170" s="54">
        <f t="shared" ref="T170" si="205">T149-S149</f>
        <v>0</v>
      </c>
      <c r="U170" s="54">
        <f t="shared" ref="U170" si="206">U149-T149</f>
        <v>0</v>
      </c>
      <c r="V170" s="54">
        <f t="shared" ref="V170" si="207">V149-U149</f>
        <v>0</v>
      </c>
    </row>
    <row r="171" spans="2:22" outlineLevel="1">
      <c r="B171" s="79" t="s">
        <v>87</v>
      </c>
      <c r="F171" s="54"/>
      <c r="G171" s="54"/>
      <c r="H171" s="54"/>
      <c r="I171" s="54">
        <f>I158-H158</f>
        <v>0</v>
      </c>
      <c r="J171" s="54">
        <f>J158-I158</f>
        <v>0</v>
      </c>
      <c r="K171" s="54">
        <f t="shared" ref="K171:P171" si="208">K158-J158</f>
        <v>0</v>
      </c>
      <c r="L171" s="54">
        <f t="shared" si="208"/>
        <v>0</v>
      </c>
      <c r="M171" s="54">
        <f t="shared" si="208"/>
        <v>0</v>
      </c>
      <c r="N171" s="54">
        <f t="shared" si="208"/>
        <v>0</v>
      </c>
      <c r="O171" s="54">
        <f t="shared" si="208"/>
        <v>0</v>
      </c>
      <c r="P171" s="54">
        <f t="shared" si="208"/>
        <v>0</v>
      </c>
      <c r="Q171" s="54">
        <f t="shared" ref="Q171" si="209">Q158-P158</f>
        <v>0</v>
      </c>
      <c r="R171" s="54">
        <f t="shared" ref="R171" si="210">R158-Q158</f>
        <v>0</v>
      </c>
      <c r="S171" s="54">
        <f t="shared" ref="S171" si="211">S158-R158</f>
        <v>0</v>
      </c>
      <c r="T171" s="54">
        <f t="shared" ref="T171" si="212">T158-S158</f>
        <v>0</v>
      </c>
      <c r="U171" s="54">
        <f t="shared" ref="U171" si="213">U158-T158</f>
        <v>0</v>
      </c>
      <c r="V171" s="54">
        <f t="shared" ref="V171" si="214">V158-U158</f>
        <v>0</v>
      </c>
    </row>
    <row r="172" spans="2:22" outlineLevel="1">
      <c r="B172" s="378" t="s">
        <v>658</v>
      </c>
      <c r="C172" s="41"/>
      <c r="D172" s="41"/>
      <c r="E172" s="41"/>
      <c r="F172" s="379"/>
      <c r="G172" s="379"/>
      <c r="H172" s="379"/>
      <c r="I172" s="379">
        <f>SUM(I168:I171)</f>
        <v>75.603013698630136</v>
      </c>
      <c r="J172" s="379">
        <f t="shared" ref="J172:P172" si="215">SUM(J168:J171)</f>
        <v>65.58655890410958</v>
      </c>
      <c r="K172" s="379">
        <f t="shared" si="215"/>
        <v>94.297393150684925</v>
      </c>
      <c r="L172" s="379">
        <f t="shared" si="215"/>
        <v>114.16411130136984</v>
      </c>
      <c r="M172" s="379">
        <f t="shared" si="215"/>
        <v>96.845809552654202</v>
      </c>
      <c r="N172" s="379">
        <f t="shared" si="215"/>
        <v>56.746060359278644</v>
      </c>
      <c r="O172" s="379">
        <f t="shared" si="215"/>
        <v>88.794170623336427</v>
      </c>
      <c r="P172" s="379">
        <f t="shared" si="215"/>
        <v>123.00049521913274</v>
      </c>
      <c r="Q172" s="379">
        <f t="shared" ref="Q172:V172" si="216">SUM(Q168:Q171)</f>
        <v>71.099272743221604</v>
      </c>
      <c r="R172" s="379">
        <f t="shared" si="216"/>
        <v>128.94302590144298</v>
      </c>
      <c r="S172" s="379">
        <f t="shared" si="216"/>
        <v>125.99575673798131</v>
      </c>
      <c r="T172" s="379">
        <f t="shared" si="216"/>
        <v>91.196928686539195</v>
      </c>
      <c r="U172" s="379">
        <f t="shared" si="216"/>
        <v>101.37258599261577</v>
      </c>
      <c r="V172" s="379">
        <f t="shared" si="216"/>
        <v>68.426495545015769</v>
      </c>
    </row>
    <row r="173" spans="2:22" outlineLevel="1">
      <c r="B173" s="79"/>
      <c r="F173" s="54"/>
      <c r="G173" s="54"/>
      <c r="H173" s="54"/>
      <c r="I173" s="54"/>
      <c r="J173" s="54"/>
      <c r="K173" s="54"/>
      <c r="L173" s="54"/>
      <c r="M173" s="54"/>
      <c r="N173" s="54"/>
      <c r="O173" s="54"/>
      <c r="P173" s="54"/>
      <c r="Q173" s="54"/>
      <c r="R173" s="54"/>
      <c r="S173" s="54"/>
      <c r="T173" s="54"/>
      <c r="U173" s="54"/>
      <c r="V173" s="54"/>
    </row>
    <row r="174" spans="2:22" outlineLevel="1">
      <c r="B174" s="39" t="s">
        <v>635</v>
      </c>
      <c r="C174" s="39"/>
      <c r="D174" s="39"/>
      <c r="E174" s="377"/>
      <c r="F174" s="377"/>
      <c r="G174" s="377"/>
      <c r="H174" s="377"/>
      <c r="I174" s="377">
        <f>I166-I168</f>
        <v>40.172191780821919</v>
      </c>
      <c r="J174" s="377">
        <f>J166-J168</f>
        <v>136.23818630136978</v>
      </c>
      <c r="K174" s="377">
        <f>K166-K168</f>
        <v>210.2226287671233</v>
      </c>
      <c r="L174" s="377">
        <f t="shared" ref="L174:P174" si="217">L166-L168</f>
        <v>272.66529965753438</v>
      </c>
      <c r="M174" s="377">
        <f t="shared" si="217"/>
        <v>270.32060980736287</v>
      </c>
      <c r="N174" s="377">
        <f t="shared" si="217"/>
        <v>303.89247268914795</v>
      </c>
      <c r="O174" s="377">
        <f t="shared" si="217"/>
        <v>306.5695212683267</v>
      </c>
      <c r="P174" s="377">
        <f t="shared" si="217"/>
        <v>386.86980084125958</v>
      </c>
      <c r="Q174" s="377">
        <f t="shared" ref="Q174:V174" si="218">Q166-Q168</f>
        <v>430.27318504949699</v>
      </c>
      <c r="R174" s="377">
        <f t="shared" si="218"/>
        <v>409.19674546274234</v>
      </c>
      <c r="S174" s="377">
        <f t="shared" si="218"/>
        <v>399.84367699502218</v>
      </c>
      <c r="T174" s="377">
        <f t="shared" si="218"/>
        <v>399.58654279759821</v>
      </c>
      <c r="U174" s="377">
        <f t="shared" si="218"/>
        <v>330.51686891342592</v>
      </c>
      <c r="V174" s="377">
        <f t="shared" si="218"/>
        <v>223.09888651656092</v>
      </c>
    </row>
    <row r="175" spans="2:22" ht="15.75" outlineLevel="1" thickBot="1">
      <c r="B175" s="47" t="s">
        <v>659</v>
      </c>
      <c r="C175" s="47"/>
      <c r="D175" s="47"/>
      <c r="E175" s="47"/>
      <c r="F175" s="70"/>
      <c r="G175" s="70"/>
      <c r="H175" s="70"/>
      <c r="I175" s="70">
        <f>I166-I172</f>
        <v>1.432191780821924</v>
      </c>
      <c r="J175" s="70">
        <f t="shared" ref="J175:P175" si="219">J166-J172</f>
        <v>116.71538630136979</v>
      </c>
      <c r="K175" s="70">
        <f>K166-K172</f>
        <v>183.1569287671233</v>
      </c>
      <c r="L175" s="70">
        <f t="shared" si="219"/>
        <v>238.83317465753439</v>
      </c>
      <c r="M175" s="70">
        <f t="shared" si="219"/>
        <v>265.73917621361284</v>
      </c>
      <c r="N175" s="70">
        <f t="shared" si="219"/>
        <v>350.97657056805423</v>
      </c>
      <c r="O175" s="70">
        <f t="shared" si="219"/>
        <v>332.11221001248686</v>
      </c>
      <c r="P175" s="70">
        <f t="shared" si="219"/>
        <v>386.86980084125958</v>
      </c>
      <c r="Q175" s="70">
        <f t="shared" ref="Q175:V175" si="220">Q166-Q172</f>
        <v>430.27318504949699</v>
      </c>
      <c r="R175" s="70">
        <f t="shared" si="220"/>
        <v>409.19674546274234</v>
      </c>
      <c r="S175" s="70">
        <f t="shared" si="220"/>
        <v>399.84367699502218</v>
      </c>
      <c r="T175" s="70">
        <f t="shared" si="220"/>
        <v>399.58654279759821</v>
      </c>
      <c r="U175" s="70">
        <f t="shared" si="220"/>
        <v>330.51686891342592</v>
      </c>
      <c r="V175" s="70">
        <f t="shared" si="220"/>
        <v>223.09888651656092</v>
      </c>
    </row>
    <row r="177" spans="1:22" s="400" customFormat="1" ht="15.75">
      <c r="A177" s="400" t="s">
        <v>35</v>
      </c>
      <c r="B177" s="402" t="s">
        <v>88</v>
      </c>
      <c r="C177" s="402"/>
      <c r="D177" s="402"/>
      <c r="E177" s="402"/>
      <c r="F177" s="402"/>
      <c r="G177" s="402"/>
      <c r="H177" s="402"/>
      <c r="I177" s="402"/>
      <c r="J177" s="402"/>
      <c r="K177" s="402"/>
      <c r="L177" s="402"/>
      <c r="M177" s="402"/>
      <c r="N177" s="403"/>
      <c r="O177" s="403"/>
      <c r="P177" s="403"/>
      <c r="Q177" s="403"/>
      <c r="R177" s="403"/>
      <c r="S177" s="403"/>
      <c r="T177" s="403"/>
      <c r="U177" s="403"/>
      <c r="V177" s="403"/>
    </row>
    <row r="178" spans="1:22" outlineLevel="1"/>
    <row r="179" spans="1:22" outlineLevel="1">
      <c r="B179" t="s">
        <v>638</v>
      </c>
      <c r="D179" s="58">
        <f>'3 Statement Model'!D75</f>
        <v>340</v>
      </c>
      <c r="E179" s="58">
        <f>'3 Statement Model'!E75</f>
        <v>768</v>
      </c>
      <c r="F179" s="58">
        <f>'3 Statement Model'!F75</f>
        <v>545</v>
      </c>
      <c r="G179" s="58">
        <f>'3 Statement Model'!G75</f>
        <v>547</v>
      </c>
      <c r="H179" s="58">
        <f>'3 Statement Model'!H75</f>
        <v>449</v>
      </c>
      <c r="I179" s="71">
        <f>H179*(1+I180)</f>
        <v>462.47</v>
      </c>
      <c r="J179" s="71">
        <f t="shared" ref="J179:P179" si="221">I179*(1+J180)</f>
        <v>480.96880000000004</v>
      </c>
      <c r="K179" s="71">
        <f t="shared" si="221"/>
        <v>500.20755200000008</v>
      </c>
      <c r="L179" s="71">
        <f t="shared" si="221"/>
        <v>520.2158540800001</v>
      </c>
      <c r="M179" s="71">
        <f t="shared" si="221"/>
        <v>541.02448824320015</v>
      </c>
      <c r="N179" s="71">
        <f t="shared" si="221"/>
        <v>551.84497800806412</v>
      </c>
      <c r="O179" s="71">
        <f t="shared" si="221"/>
        <v>557.3634277881448</v>
      </c>
      <c r="P179" s="71">
        <f t="shared" si="221"/>
        <v>562.93706206602621</v>
      </c>
      <c r="Q179" s="71">
        <f>P179*(1+Q180)</f>
        <v>562.93706206602621</v>
      </c>
      <c r="R179" s="71">
        <f t="shared" ref="R179" si="222">Q179*(1+R180)</f>
        <v>562.93706206602621</v>
      </c>
      <c r="S179" s="71">
        <f t="shared" ref="S179" si="223">R179*(1+S180)</f>
        <v>562.93706206602621</v>
      </c>
      <c r="T179" s="71">
        <f t="shared" ref="T179" si="224">S179*(1+T180)</f>
        <v>562.93706206602621</v>
      </c>
      <c r="U179" s="71">
        <f t="shared" ref="U179" si="225">T179*(1+U180)</f>
        <v>562.93706206602621</v>
      </c>
      <c r="V179" s="71">
        <f t="shared" ref="V179" si="226">U179*(1+V180)</f>
        <v>562.93706206602621</v>
      </c>
    </row>
    <row r="180" spans="1:22" outlineLevel="1">
      <c r="B180" s="103" t="s">
        <v>639</v>
      </c>
      <c r="E180" s="248">
        <f>E179/D179-1</f>
        <v>1.2588235294117647</v>
      </c>
      <c r="F180" s="248">
        <f t="shared" ref="F180:G180" si="227">F179/E179-1</f>
        <v>-0.29036458333333337</v>
      </c>
      <c r="G180" s="248">
        <f t="shared" si="227"/>
        <v>3.669724770642091E-3</v>
      </c>
      <c r="H180" s="248">
        <f>H179/G179-1</f>
        <v>-0.17915904936014626</v>
      </c>
      <c r="I180" s="109">
        <f>'Control Sheet'!I95</f>
        <v>0.03</v>
      </c>
      <c r="J180" s="109">
        <f>'Control Sheet'!J95</f>
        <v>0.04</v>
      </c>
      <c r="K180" s="109">
        <f>'Control Sheet'!K95</f>
        <v>0.04</v>
      </c>
      <c r="L180" s="109">
        <f>'Control Sheet'!L95</f>
        <v>0.04</v>
      </c>
      <c r="M180" s="109">
        <f>'Control Sheet'!M95</f>
        <v>0.04</v>
      </c>
      <c r="N180" s="109">
        <f>'Control Sheet'!N95</f>
        <v>0.02</v>
      </c>
      <c r="O180" s="109">
        <f>'Control Sheet'!O95</f>
        <v>0.01</v>
      </c>
      <c r="P180" s="109">
        <f>'Control Sheet'!P95</f>
        <v>0.01</v>
      </c>
      <c r="Q180" s="109">
        <f>'Control Sheet'!Q95</f>
        <v>0</v>
      </c>
      <c r="R180" s="109">
        <f>'Control Sheet'!R95</f>
        <v>0</v>
      </c>
      <c r="S180" s="109">
        <f>'Control Sheet'!S95</f>
        <v>0</v>
      </c>
      <c r="T180" s="109">
        <f>'Control Sheet'!T95</f>
        <v>0</v>
      </c>
      <c r="U180" s="109">
        <f>'Control Sheet'!U95</f>
        <v>0</v>
      </c>
      <c r="V180" s="109">
        <f>'Control Sheet'!V95</f>
        <v>0</v>
      </c>
    </row>
    <row r="181" spans="1:22" outlineLevel="1">
      <c r="B181" s="103"/>
      <c r="C181" s="359"/>
      <c r="E181" s="248"/>
      <c r="F181" s="248"/>
      <c r="G181" s="248"/>
      <c r="H181" s="248"/>
      <c r="I181" s="72"/>
      <c r="J181" s="72"/>
    </row>
    <row r="182" spans="1:22" outlineLevel="1">
      <c r="B182" s="37" t="s">
        <v>591</v>
      </c>
      <c r="C182" s="363"/>
      <c r="D182" s="364">
        <f>D149</f>
        <v>75</v>
      </c>
      <c r="E182" s="364">
        <f t="shared" ref="E182:M182" si="228">E149</f>
        <v>80</v>
      </c>
      <c r="F182" s="364">
        <f t="shared" si="228"/>
        <v>92</v>
      </c>
      <c r="G182" s="364">
        <f t="shared" si="228"/>
        <v>221</v>
      </c>
      <c r="H182" s="364">
        <f t="shared" si="228"/>
        <v>50</v>
      </c>
      <c r="I182" s="364">
        <f t="shared" si="228"/>
        <v>88.74</v>
      </c>
      <c r="J182" s="364">
        <f t="shared" si="228"/>
        <v>108.26279999999998</v>
      </c>
      <c r="K182" s="364">
        <f t="shared" si="228"/>
        <v>135.32849999999999</v>
      </c>
      <c r="L182" s="364">
        <f t="shared" si="228"/>
        <v>169.16062499999998</v>
      </c>
      <c r="M182" s="364">
        <f t="shared" si="228"/>
        <v>173.74205859375002</v>
      </c>
      <c r="N182" s="364">
        <f>N149</f>
        <v>126.65796071484372</v>
      </c>
      <c r="O182" s="364">
        <f>O149</f>
        <v>101.11527197068358</v>
      </c>
      <c r="P182" s="364">
        <f>P149</f>
        <v>101.11527197068358</v>
      </c>
      <c r="Q182" s="364">
        <f>Q149</f>
        <v>101.11527197068358</v>
      </c>
      <c r="R182" s="364">
        <f t="shared" ref="R182:V182" si="229">R149</f>
        <v>101.11527197068358</v>
      </c>
      <c r="S182" s="364">
        <f t="shared" si="229"/>
        <v>101.11527197068358</v>
      </c>
      <c r="T182" s="364">
        <f t="shared" si="229"/>
        <v>101.11527197068358</v>
      </c>
      <c r="U182" s="364">
        <f t="shared" si="229"/>
        <v>101.11527197068358</v>
      </c>
      <c r="V182" s="364">
        <f t="shared" si="229"/>
        <v>101.11527197068358</v>
      </c>
    </row>
    <row r="183" spans="1:22" outlineLevel="1">
      <c r="B183" s="365" t="s">
        <v>624</v>
      </c>
      <c r="C183" s="363"/>
      <c r="D183" s="364">
        <f>SUM(D182,D179)</f>
        <v>415</v>
      </c>
      <c r="E183" s="364">
        <f t="shared" ref="E183:P183" si="230">SUM(E182,E179)</f>
        <v>848</v>
      </c>
      <c r="F183" s="364">
        <f t="shared" si="230"/>
        <v>637</v>
      </c>
      <c r="G183" s="364">
        <f t="shared" si="230"/>
        <v>768</v>
      </c>
      <c r="H183" s="364">
        <f t="shared" si="230"/>
        <v>499</v>
      </c>
      <c r="I183" s="364">
        <f t="shared" si="230"/>
        <v>551.21</v>
      </c>
      <c r="J183" s="364">
        <f t="shared" si="230"/>
        <v>589.23160000000007</v>
      </c>
      <c r="K183" s="364">
        <f t="shared" si="230"/>
        <v>635.53605200000004</v>
      </c>
      <c r="L183" s="364">
        <f t="shared" si="230"/>
        <v>689.37647908000008</v>
      </c>
      <c r="M183" s="364">
        <f t="shared" si="230"/>
        <v>714.76654683695017</v>
      </c>
      <c r="N183" s="364">
        <f t="shared" si="230"/>
        <v>678.50293872290786</v>
      </c>
      <c r="O183" s="364">
        <f t="shared" si="230"/>
        <v>658.47869975882838</v>
      </c>
      <c r="P183" s="364">
        <f t="shared" si="230"/>
        <v>664.05233403670979</v>
      </c>
      <c r="Q183" s="364">
        <f t="shared" ref="Q183:V183" si="231">SUM(Q182,Q179)</f>
        <v>664.05233403670979</v>
      </c>
      <c r="R183" s="364">
        <f t="shared" si="231"/>
        <v>664.05233403670979</v>
      </c>
      <c r="S183" s="364">
        <f t="shared" si="231"/>
        <v>664.05233403670979</v>
      </c>
      <c r="T183" s="364">
        <f t="shared" si="231"/>
        <v>664.05233403670979</v>
      </c>
      <c r="U183" s="364">
        <f t="shared" si="231"/>
        <v>664.05233403670979</v>
      </c>
      <c r="V183" s="364">
        <f t="shared" si="231"/>
        <v>664.05233403670979</v>
      </c>
    </row>
    <row r="184" spans="1:22" outlineLevel="1">
      <c r="B184" s="365" t="s">
        <v>642</v>
      </c>
      <c r="C184" s="363"/>
      <c r="D184" s="102">
        <f>D179/D183</f>
        <v>0.81927710843373491</v>
      </c>
      <c r="E184" s="102">
        <f t="shared" ref="E184:P184" si="232">E179/E183</f>
        <v>0.90566037735849059</v>
      </c>
      <c r="F184" s="102">
        <f t="shared" si="232"/>
        <v>0.85557299843014134</v>
      </c>
      <c r="G184" s="102">
        <f t="shared" si="232"/>
        <v>0.71223958333333337</v>
      </c>
      <c r="H184" s="102">
        <f t="shared" si="232"/>
        <v>0.8997995991983968</v>
      </c>
      <c r="I184" s="102">
        <f t="shared" si="232"/>
        <v>0.83900872625678058</v>
      </c>
      <c r="J184" s="102">
        <f t="shared" si="232"/>
        <v>0.8162644365984445</v>
      </c>
      <c r="K184" s="102">
        <f t="shared" si="232"/>
        <v>0.78706400750338557</v>
      </c>
      <c r="L184" s="102">
        <f t="shared" si="232"/>
        <v>0.75461793354807893</v>
      </c>
      <c r="M184" s="102">
        <f t="shared" si="232"/>
        <v>0.75692474785983044</v>
      </c>
      <c r="N184" s="102">
        <f t="shared" si="232"/>
        <v>0.81332732183409262</v>
      </c>
      <c r="O184" s="102">
        <f t="shared" si="232"/>
        <v>0.84644108912297755</v>
      </c>
      <c r="P184" s="102">
        <f t="shared" si="232"/>
        <v>0.84772996526340982</v>
      </c>
      <c r="Q184" s="102">
        <f t="shared" ref="Q184:V184" si="233">Q179/Q183</f>
        <v>0.84772996526340982</v>
      </c>
      <c r="R184" s="102">
        <f t="shared" si="233"/>
        <v>0.84772996526340982</v>
      </c>
      <c r="S184" s="102">
        <f t="shared" si="233"/>
        <v>0.84772996526340982</v>
      </c>
      <c r="T184" s="102">
        <f t="shared" si="233"/>
        <v>0.84772996526340982</v>
      </c>
      <c r="U184" s="102">
        <f t="shared" si="233"/>
        <v>0.84772996526340982</v>
      </c>
      <c r="V184" s="102">
        <f t="shared" si="233"/>
        <v>0.84772996526340982</v>
      </c>
    </row>
    <row r="185" spans="1:22" outlineLevel="1">
      <c r="B185" s="365" t="s">
        <v>626</v>
      </c>
      <c r="C185" s="363"/>
      <c r="D185" s="102">
        <f>D182/D183</f>
        <v>0.18072289156626506</v>
      </c>
      <c r="E185" s="102">
        <f t="shared" ref="E185:P185" si="234">E182/E183</f>
        <v>9.4339622641509441E-2</v>
      </c>
      <c r="F185" s="102">
        <f t="shared" si="234"/>
        <v>0.14442700156985872</v>
      </c>
      <c r="G185" s="102">
        <f t="shared" si="234"/>
        <v>0.28776041666666669</v>
      </c>
      <c r="H185" s="102">
        <f t="shared" si="234"/>
        <v>0.10020040080160321</v>
      </c>
      <c r="I185" s="102">
        <f t="shared" si="234"/>
        <v>0.16099127374321945</v>
      </c>
      <c r="J185" s="102">
        <f t="shared" si="234"/>
        <v>0.18373556340155547</v>
      </c>
      <c r="K185" s="102">
        <f t="shared" si="234"/>
        <v>0.21293599249661446</v>
      </c>
      <c r="L185" s="102">
        <f t="shared" si="234"/>
        <v>0.24538206645192112</v>
      </c>
      <c r="M185" s="102">
        <f t="shared" si="234"/>
        <v>0.24307525214016962</v>
      </c>
      <c r="N185" s="102">
        <f t="shared" si="234"/>
        <v>0.18667267816590732</v>
      </c>
      <c r="O185" s="102">
        <f t="shared" si="234"/>
        <v>0.1535589108770225</v>
      </c>
      <c r="P185" s="102">
        <f t="shared" si="234"/>
        <v>0.15227003473659018</v>
      </c>
      <c r="Q185" s="102">
        <f t="shared" ref="Q185:V185" si="235">Q182/Q183</f>
        <v>0.15227003473659018</v>
      </c>
      <c r="R185" s="102">
        <f t="shared" si="235"/>
        <v>0.15227003473659018</v>
      </c>
      <c r="S185" s="102">
        <f t="shared" si="235"/>
        <v>0.15227003473659018</v>
      </c>
      <c r="T185" s="102">
        <f t="shared" si="235"/>
        <v>0.15227003473659018</v>
      </c>
      <c r="U185" s="102">
        <f t="shared" si="235"/>
        <v>0.15227003473659018</v>
      </c>
      <c r="V185" s="102">
        <f t="shared" si="235"/>
        <v>0.15227003473659018</v>
      </c>
    </row>
    <row r="187" spans="1:22" s="400" customFormat="1" ht="15.75">
      <c r="A187" s="400" t="s">
        <v>35</v>
      </c>
      <c r="B187" s="402" t="s">
        <v>89</v>
      </c>
      <c r="C187" s="402"/>
      <c r="D187" s="402"/>
      <c r="E187" s="402"/>
      <c r="F187" s="402"/>
      <c r="G187" s="402"/>
      <c r="H187" s="402"/>
      <c r="I187" s="402"/>
      <c r="J187" s="402"/>
      <c r="K187" s="402"/>
      <c r="L187" s="402"/>
      <c r="M187" s="402"/>
      <c r="N187" s="403"/>
      <c r="O187" s="403"/>
      <c r="P187" s="403"/>
      <c r="Q187" s="403"/>
      <c r="R187" s="403"/>
      <c r="S187" s="403"/>
      <c r="T187" s="403"/>
      <c r="U187" s="403"/>
      <c r="V187" s="403"/>
    </row>
    <row r="188" spans="1:22" outlineLevel="1"/>
    <row r="189" spans="1:22" outlineLevel="1">
      <c r="B189" t="s">
        <v>650</v>
      </c>
      <c r="E189" s="74"/>
      <c r="F189" s="63"/>
      <c r="G189" s="63"/>
      <c r="H189" s="63"/>
      <c r="I189" s="386">
        <f>'Control Sheet'!I111</f>
        <v>7.6999999999999999E-2</v>
      </c>
      <c r="J189" s="386">
        <f>'Control Sheet'!J111</f>
        <v>7.6999999999999999E-2</v>
      </c>
      <c r="K189" s="386">
        <f>'Control Sheet'!K111</f>
        <v>7.6999999999999999E-2</v>
      </c>
      <c r="L189" s="386">
        <f>'Control Sheet'!L111</f>
        <v>7.6999999999999999E-2</v>
      </c>
      <c r="M189" s="386">
        <f>'Control Sheet'!M111</f>
        <v>7.6999999999999999E-2</v>
      </c>
      <c r="N189" s="386">
        <f>'Control Sheet'!N111</f>
        <v>7.6999999999999999E-2</v>
      </c>
      <c r="O189" s="386">
        <f>'Control Sheet'!O111</f>
        <v>7.6999999999999999E-2</v>
      </c>
      <c r="P189" s="386">
        <f>'Control Sheet'!P111</f>
        <v>7.6999999999999999E-2</v>
      </c>
      <c r="Q189" s="386">
        <f>'Control Sheet'!Q111</f>
        <v>7.6999999999999999E-2</v>
      </c>
      <c r="R189" s="386">
        <f>'Control Sheet'!R111</f>
        <v>7.6999999999999999E-2</v>
      </c>
      <c r="S189" s="386">
        <f>'Control Sheet'!S111</f>
        <v>7.6999999999999999E-2</v>
      </c>
      <c r="T189" s="386">
        <f>'Control Sheet'!T111</f>
        <v>7.6999999999999999E-2</v>
      </c>
      <c r="U189" s="386">
        <f>'Control Sheet'!U111</f>
        <v>7.6999999999999999E-2</v>
      </c>
      <c r="V189" s="386">
        <f>'Control Sheet'!V111</f>
        <v>7.6999999999999999E-2</v>
      </c>
    </row>
    <row r="190" spans="1:22" outlineLevel="1">
      <c r="B190" t="s">
        <v>651</v>
      </c>
      <c r="E190" s="74"/>
      <c r="F190" s="63"/>
      <c r="G190" s="63"/>
      <c r="H190" s="63"/>
      <c r="I190" s="362">
        <f>AVERAGE(H183:I183)</f>
        <v>525.10500000000002</v>
      </c>
      <c r="J190" s="362">
        <f t="shared" ref="J190:P190" si="236">AVERAGE(I183:J183)</f>
        <v>570.22080000000005</v>
      </c>
      <c r="K190" s="362">
        <f t="shared" si="236"/>
        <v>612.383826</v>
      </c>
      <c r="L190" s="362">
        <f t="shared" si="236"/>
        <v>662.45626554</v>
      </c>
      <c r="M190" s="362">
        <f t="shared" si="236"/>
        <v>702.07151295847507</v>
      </c>
      <c r="N190" s="362">
        <f t="shared" si="236"/>
        <v>696.63474277992896</v>
      </c>
      <c r="O190" s="362">
        <f t="shared" si="236"/>
        <v>668.49081924086818</v>
      </c>
      <c r="P190" s="362">
        <f t="shared" si="236"/>
        <v>661.26551689776909</v>
      </c>
      <c r="Q190" s="362">
        <f t="shared" ref="Q190" si="237">AVERAGE(P183:Q183)</f>
        <v>664.05233403670979</v>
      </c>
      <c r="R190" s="362">
        <f t="shared" ref="R190" si="238">AVERAGE(Q183:R183)</f>
        <v>664.05233403670979</v>
      </c>
      <c r="S190" s="362">
        <f t="shared" ref="S190" si="239">AVERAGE(R183:S183)</f>
        <v>664.05233403670979</v>
      </c>
      <c r="T190" s="362">
        <f t="shared" ref="T190" si="240">AVERAGE(S183:T183)</f>
        <v>664.05233403670979</v>
      </c>
      <c r="U190" s="362">
        <f t="shared" ref="U190" si="241">AVERAGE(T183:U183)</f>
        <v>664.05233403670979</v>
      </c>
      <c r="V190" s="362">
        <f t="shared" ref="V190" si="242">AVERAGE(U183:V183)</f>
        <v>664.05233403670979</v>
      </c>
    </row>
    <row r="191" spans="1:22" outlineLevel="1">
      <c r="B191" s="46" t="s">
        <v>157</v>
      </c>
      <c r="C191" s="46"/>
      <c r="D191" s="46"/>
      <c r="E191" s="367"/>
      <c r="F191" s="128"/>
      <c r="G191" s="128"/>
      <c r="H191" s="128"/>
      <c r="I191" s="368">
        <f>I190*I189</f>
        <v>40.433084999999998</v>
      </c>
      <c r="J191" s="368">
        <f t="shared" ref="J191:P191" si="243">J190*J189</f>
        <v>43.907001600000001</v>
      </c>
      <c r="K191" s="368">
        <f t="shared" si="243"/>
        <v>47.153554602</v>
      </c>
      <c r="L191" s="368">
        <f t="shared" si="243"/>
        <v>51.009132446579997</v>
      </c>
      <c r="M191" s="368">
        <f t="shared" si="243"/>
        <v>54.05950649780258</v>
      </c>
      <c r="N191" s="368">
        <f t="shared" si="243"/>
        <v>53.64087519405453</v>
      </c>
      <c r="O191" s="368">
        <f t="shared" si="243"/>
        <v>51.473793081546852</v>
      </c>
      <c r="P191" s="368">
        <f t="shared" si="243"/>
        <v>50.917444801128219</v>
      </c>
      <c r="Q191" s="368">
        <f t="shared" ref="Q191:V191" si="244">Q190*Q189</f>
        <v>51.132029720826651</v>
      </c>
      <c r="R191" s="368">
        <f t="shared" si="244"/>
        <v>51.132029720826651</v>
      </c>
      <c r="S191" s="368">
        <f t="shared" si="244"/>
        <v>51.132029720826651</v>
      </c>
      <c r="T191" s="368">
        <f t="shared" si="244"/>
        <v>51.132029720826651</v>
      </c>
      <c r="U191" s="368">
        <f t="shared" si="244"/>
        <v>51.132029720826651</v>
      </c>
      <c r="V191" s="368">
        <f t="shared" si="244"/>
        <v>51.132029720826651</v>
      </c>
    </row>
    <row r="193" spans="1:22" s="400" customFormat="1" ht="15.75">
      <c r="A193" s="400" t="s">
        <v>35</v>
      </c>
      <c r="B193" s="402" t="s">
        <v>287</v>
      </c>
      <c r="C193" s="402"/>
      <c r="D193" s="402"/>
      <c r="E193" s="402"/>
      <c r="F193" s="402"/>
      <c r="G193" s="402"/>
      <c r="H193" s="402"/>
      <c r="I193" s="402"/>
      <c r="J193" s="402"/>
      <c r="K193" s="402"/>
      <c r="L193" s="402"/>
      <c r="M193" s="402"/>
      <c r="N193" s="403"/>
      <c r="O193" s="403"/>
      <c r="P193" s="403"/>
      <c r="Q193" s="403"/>
      <c r="R193" s="403"/>
      <c r="S193" s="403"/>
      <c r="T193" s="403"/>
      <c r="U193" s="403"/>
      <c r="V193" s="403"/>
    </row>
    <row r="194" spans="1:22" outlineLevel="1"/>
    <row r="195" spans="1:22" outlineLevel="1">
      <c r="B195" s="33" t="s">
        <v>589</v>
      </c>
      <c r="C195" s="33"/>
      <c r="D195" s="306"/>
      <c r="E195" s="306"/>
      <c r="F195" s="306"/>
      <c r="G195" s="306"/>
      <c r="H195" s="306"/>
      <c r="I195" s="34"/>
      <c r="J195" s="34"/>
      <c r="K195" s="34"/>
      <c r="L195" s="34"/>
      <c r="M195" s="34"/>
      <c r="N195" s="34"/>
      <c r="O195" s="34"/>
      <c r="P195" s="34"/>
      <c r="Q195" s="34"/>
      <c r="R195" s="34"/>
      <c r="S195" s="34"/>
      <c r="T195" s="34"/>
      <c r="U195" s="34"/>
      <c r="V195" s="34"/>
    </row>
    <row r="196" spans="1:22" outlineLevel="1">
      <c r="B196" t="s">
        <v>285</v>
      </c>
      <c r="I196" s="320">
        <f t="shared" ref="I196:P196" si="245">I12</f>
        <v>2958</v>
      </c>
      <c r="J196" s="320">
        <f t="shared" si="245"/>
        <v>3608.7599999999998</v>
      </c>
      <c r="K196" s="320">
        <f t="shared" si="245"/>
        <v>4510.95</v>
      </c>
      <c r="L196" s="320">
        <f t="shared" si="245"/>
        <v>5638.6875</v>
      </c>
      <c r="M196" s="320">
        <f t="shared" si="245"/>
        <v>6949.6823437499997</v>
      </c>
      <c r="N196" s="320">
        <f t="shared" si="245"/>
        <v>8443.8640476562487</v>
      </c>
      <c r="O196" s="320">
        <f t="shared" si="245"/>
        <v>10111.527197068357</v>
      </c>
      <c r="P196" s="320">
        <f t="shared" si="245"/>
        <v>11931.602092540661</v>
      </c>
      <c r="Q196" s="320">
        <f t="shared" ref="Q196:V196" si="246">Q12</f>
        <v>13721.34240642176</v>
      </c>
      <c r="R196" s="320">
        <f t="shared" si="246"/>
        <v>15642.330343320808</v>
      </c>
      <c r="S196" s="320">
        <f t="shared" si="246"/>
        <v>17519.409984519305</v>
      </c>
      <c r="T196" s="320">
        <f t="shared" si="246"/>
        <v>19271.350982971238</v>
      </c>
      <c r="U196" s="320">
        <f t="shared" si="246"/>
        <v>20813.059061608939</v>
      </c>
      <c r="V196" s="320">
        <f t="shared" si="246"/>
        <v>21853.712014689387</v>
      </c>
    </row>
    <row r="197" spans="1:22" outlineLevel="1">
      <c r="B197" t="s">
        <v>287</v>
      </c>
      <c r="D197" s="304"/>
      <c r="E197" s="304"/>
      <c r="F197" s="304"/>
      <c r="G197" s="304"/>
      <c r="H197" s="304"/>
      <c r="I197" s="305">
        <f>I196*I198</f>
        <v>14.790000000000001</v>
      </c>
      <c r="J197" s="305">
        <f t="shared" ref="J197:P197" si="247">J196*J198</f>
        <v>18.043800000000001</v>
      </c>
      <c r="K197" s="305">
        <f t="shared" si="247"/>
        <v>22.554749999999999</v>
      </c>
      <c r="L197" s="305">
        <f t="shared" si="247"/>
        <v>28.193437500000002</v>
      </c>
      <c r="M197" s="305">
        <f t="shared" si="247"/>
        <v>34.748411718749999</v>
      </c>
      <c r="N197" s="305">
        <f t="shared" si="247"/>
        <v>42.219320238281242</v>
      </c>
      <c r="O197" s="305">
        <f t="shared" si="247"/>
        <v>50.55763598534179</v>
      </c>
      <c r="P197" s="305">
        <f t="shared" si="247"/>
        <v>59.658010462703309</v>
      </c>
      <c r="Q197" s="305">
        <f t="shared" ref="Q197:V197" si="248">Q196*Q198</f>
        <v>68.606712032108803</v>
      </c>
      <c r="R197" s="305">
        <f t="shared" si="248"/>
        <v>78.211651716604038</v>
      </c>
      <c r="S197" s="305">
        <f t="shared" si="248"/>
        <v>87.597049922596526</v>
      </c>
      <c r="T197" s="305">
        <f t="shared" si="248"/>
        <v>96.356754914856197</v>
      </c>
      <c r="U197" s="305">
        <f t="shared" si="248"/>
        <v>104.0652953080447</v>
      </c>
      <c r="V197" s="305">
        <f t="shared" si="248"/>
        <v>109.26856007344693</v>
      </c>
    </row>
    <row r="198" spans="1:22" outlineLevel="1">
      <c r="B198" s="42" t="s">
        <v>548</v>
      </c>
      <c r="C198" s="42"/>
      <c r="D198" s="50"/>
      <c r="E198" s="50"/>
      <c r="F198" s="50"/>
      <c r="G198" s="50"/>
      <c r="H198" s="50"/>
      <c r="I198" s="53">
        <f>'Control Sheet'!I127</f>
        <v>5.0000000000000001E-3</v>
      </c>
      <c r="J198" s="53">
        <f>'Control Sheet'!J127</f>
        <v>5.0000000000000001E-3</v>
      </c>
      <c r="K198" s="53">
        <f>'Control Sheet'!K127</f>
        <v>5.0000000000000001E-3</v>
      </c>
      <c r="L198" s="53">
        <f>'Control Sheet'!L127</f>
        <v>5.0000000000000001E-3</v>
      </c>
      <c r="M198" s="53">
        <f>'Control Sheet'!M127</f>
        <v>5.0000000000000001E-3</v>
      </c>
      <c r="N198" s="53">
        <f>'Control Sheet'!N127</f>
        <v>5.0000000000000001E-3</v>
      </c>
      <c r="O198" s="53">
        <f>'Control Sheet'!O127</f>
        <v>5.0000000000000001E-3</v>
      </c>
      <c r="P198" s="53">
        <f>'Control Sheet'!P127</f>
        <v>5.0000000000000001E-3</v>
      </c>
      <c r="Q198" s="53">
        <f>'Control Sheet'!Q127</f>
        <v>5.0000000000000001E-3</v>
      </c>
      <c r="R198" s="53">
        <f>'Control Sheet'!R127</f>
        <v>5.0000000000000001E-3</v>
      </c>
      <c r="S198" s="53">
        <f>'Control Sheet'!S127</f>
        <v>5.0000000000000001E-3</v>
      </c>
      <c r="T198" s="53">
        <f>'Control Sheet'!T127</f>
        <v>5.0000000000000001E-3</v>
      </c>
      <c r="U198" s="53">
        <f>'Control Sheet'!U127</f>
        <v>5.0000000000000001E-3</v>
      </c>
      <c r="V198" s="53">
        <f>'Control Sheet'!V127</f>
        <v>5.0000000000000001E-3</v>
      </c>
    </row>
  </sheetData>
  <sheetProtection algorithmName="SHA-512" hashValue="XgbhKrFpTsZ7gmmV+ESog0sGdqj6xbRhdDbHWJVFnRFHf8fEWnImI0mVHRkBf2N8EW/lDHgukVZ8fEeVxFjpbA==" saltValue="hwSACrT3z1n5qe2Y5KuhDQ==" spinCount="100000" sheet="1" objects="1" scenarios="1"/>
  <mergeCells count="3">
    <mergeCell ref="D7:H7"/>
    <mergeCell ref="I7:P7"/>
    <mergeCell ref="Q7:V7"/>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41" r:id="rId4" name="Drop Down 1">
              <controlPr defaultSize="0" autoLine="0" autoPict="0">
                <anchor moveWithCells="1">
                  <from>
                    <xdr:col>4</xdr:col>
                    <xdr:colOff>828675</xdr:colOff>
                    <xdr:row>2</xdr:row>
                    <xdr:rowOff>28575</xdr:rowOff>
                  </from>
                  <to>
                    <xdr:col>7</xdr:col>
                    <xdr:colOff>114300</xdr:colOff>
                    <xdr:row>3</xdr:row>
                    <xdr:rowOff>38100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56239-1B32-464B-88F7-FDFC1CAB677C}">
  <sheetPr>
    <pageSetUpPr autoPageBreaks="0"/>
  </sheetPr>
  <dimension ref="A1:AG128"/>
  <sheetViews>
    <sheetView showGridLines="0" zoomScale="90" zoomScaleNormal="100" workbookViewId="0"/>
  </sheetViews>
  <sheetFormatPr defaultColWidth="9.7109375" defaultRowHeight="15" outlineLevelRow="1"/>
  <cols>
    <col min="1" max="1" width="1.85546875" customWidth="1"/>
    <col min="2" max="2" width="42.85546875" customWidth="1"/>
    <col min="3" max="3" width="19.5703125" customWidth="1"/>
    <col min="4" max="8" width="10" style="275" customWidth="1"/>
    <col min="9" max="10" width="10" customWidth="1"/>
    <col min="11" max="12" width="8.5703125" bestFit="1" customWidth="1"/>
    <col min="13" max="16" width="8.85546875" bestFit="1" customWidth="1"/>
    <col min="17" max="22" width="9.7109375" bestFit="1" customWidth="1"/>
    <col min="23" max="23" width="2.7109375" customWidth="1"/>
    <col min="24" max="26" width="10" customWidth="1"/>
  </cols>
  <sheetData>
    <row r="1" spans="1:33">
      <c r="D1"/>
      <c r="E1"/>
      <c r="F1"/>
      <c r="G1"/>
      <c r="H1"/>
      <c r="S1" t="s">
        <v>1001</v>
      </c>
    </row>
    <row r="2" spans="1:33" ht="21">
      <c r="B2" s="29" t="str">
        <f>'Input Sheet'!C5</f>
        <v>Epigral Ltd.</v>
      </c>
      <c r="C2" s="29"/>
      <c r="D2" s="29"/>
      <c r="E2" s="29"/>
      <c r="F2" s="29"/>
      <c r="G2"/>
      <c r="H2"/>
    </row>
    <row r="3" spans="1:33">
      <c r="B3" t="s">
        <v>90</v>
      </c>
      <c r="D3"/>
      <c r="E3"/>
      <c r="F3"/>
      <c r="G3"/>
      <c r="H3" t="s">
        <v>39</v>
      </c>
      <c r="I3">
        <v>2</v>
      </c>
    </row>
    <row r="4" spans="1:33">
      <c r="D4"/>
      <c r="E4"/>
      <c r="F4"/>
      <c r="G4"/>
      <c r="H4"/>
    </row>
    <row r="5" spans="1:33">
      <c r="D5"/>
      <c r="E5"/>
      <c r="F5"/>
      <c r="G5"/>
      <c r="H5"/>
    </row>
    <row r="6" spans="1:33">
      <c r="D6"/>
      <c r="E6"/>
      <c r="F6"/>
      <c r="G6"/>
      <c r="H6"/>
      <c r="X6" s="39" t="s">
        <v>97</v>
      </c>
      <c r="Y6" s="39"/>
    </row>
    <row r="7" spans="1:33" ht="15.75">
      <c r="B7" s="400"/>
      <c r="C7" s="400"/>
      <c r="D7" s="582" t="s">
        <v>91</v>
      </c>
      <c r="E7" s="582"/>
      <c r="F7" s="582"/>
      <c r="G7" s="582"/>
      <c r="H7" s="582"/>
      <c r="I7" s="578" t="s">
        <v>1123</v>
      </c>
      <c r="J7" s="578"/>
      <c r="K7" s="578"/>
      <c r="L7" s="578"/>
      <c r="M7" s="578"/>
      <c r="N7" s="578"/>
      <c r="O7" s="578"/>
      <c r="P7" s="578"/>
      <c r="Q7" s="583" t="s">
        <v>183</v>
      </c>
      <c r="R7" s="583"/>
      <c r="S7" s="583"/>
      <c r="T7" s="583"/>
      <c r="U7" s="583"/>
      <c r="V7" s="583"/>
      <c r="W7" s="400"/>
      <c r="X7" s="405" t="s">
        <v>680</v>
      </c>
      <c r="Y7" s="405" t="s">
        <v>98</v>
      </c>
      <c r="Z7" s="405" t="s">
        <v>99</v>
      </c>
    </row>
    <row r="8" spans="1:33" ht="15.75">
      <c r="B8" s="406" t="s">
        <v>34</v>
      </c>
      <c r="C8" s="406"/>
      <c r="D8" s="407">
        <f>Schedules!D8</f>
        <v>2021</v>
      </c>
      <c r="E8" s="407">
        <f>Schedules!E8</f>
        <v>2022</v>
      </c>
      <c r="F8" s="407">
        <f>Schedules!F8</f>
        <v>2023</v>
      </c>
      <c r="G8" s="407">
        <f>Schedules!G8</f>
        <v>2024</v>
      </c>
      <c r="H8" s="407">
        <f>Schedules!H8</f>
        <v>2025</v>
      </c>
      <c r="I8" s="408">
        <f t="shared" ref="I8" si="0">H8+1</f>
        <v>2026</v>
      </c>
      <c r="J8" s="408">
        <f>I8+1</f>
        <v>2027</v>
      </c>
      <c r="K8" s="408">
        <f>J8+1</f>
        <v>2028</v>
      </c>
      <c r="L8" s="408">
        <f>K8+1</f>
        <v>2029</v>
      </c>
      <c r="M8" s="408">
        <f t="shared" ref="M8" si="1">L8+1</f>
        <v>2030</v>
      </c>
      <c r="N8" s="408">
        <f>M8+1</f>
        <v>2031</v>
      </c>
      <c r="O8" s="408">
        <f>N8+1</f>
        <v>2032</v>
      </c>
      <c r="P8" s="408">
        <f>O8+1</f>
        <v>2033</v>
      </c>
      <c r="Q8" s="408">
        <f t="shared" ref="Q8" si="2">P8+1</f>
        <v>2034</v>
      </c>
      <c r="R8" s="408">
        <f t="shared" ref="R8" si="3">Q8+1</f>
        <v>2035</v>
      </c>
      <c r="S8" s="408">
        <f>R8+1</f>
        <v>2036</v>
      </c>
      <c r="T8" s="408">
        <f t="shared" ref="T8" si="4">S8+1</f>
        <v>2037</v>
      </c>
      <c r="U8" s="408">
        <f t="shared" ref="U8" si="5">T8+1</f>
        <v>2038</v>
      </c>
      <c r="V8" s="408">
        <f t="shared" ref="V8" si="6">U8+1</f>
        <v>2039</v>
      </c>
      <c r="W8" s="400"/>
      <c r="X8" s="400"/>
      <c r="Y8" s="400"/>
      <c r="Z8" s="400"/>
    </row>
    <row r="9" spans="1:33">
      <c r="B9" s="94"/>
      <c r="C9" s="94"/>
      <c r="D9" s="95"/>
      <c r="E9" s="95"/>
      <c r="F9" s="95"/>
      <c r="G9" s="95"/>
      <c r="H9" s="95"/>
      <c r="I9" s="96"/>
      <c r="J9" s="96"/>
      <c r="K9" s="96"/>
      <c r="L9" s="96"/>
      <c r="M9" s="96"/>
      <c r="N9" s="96"/>
      <c r="O9" s="96"/>
      <c r="P9" s="96"/>
    </row>
    <row r="10" spans="1:33" s="400" customFormat="1" ht="15" customHeight="1">
      <c r="A10" s="400" t="s">
        <v>35</v>
      </c>
      <c r="B10" s="401" t="s">
        <v>106</v>
      </c>
      <c r="C10" s="401"/>
      <c r="D10" s="401"/>
      <c r="E10" s="401"/>
      <c r="F10" s="401"/>
      <c r="G10" s="401"/>
      <c r="H10" s="401"/>
      <c r="I10" s="401"/>
      <c r="J10" s="401"/>
      <c r="K10" s="401"/>
      <c r="L10" s="401"/>
      <c r="M10" s="401"/>
      <c r="N10" s="401"/>
      <c r="O10" s="401"/>
      <c r="P10" s="401"/>
      <c r="Q10" s="401"/>
      <c r="R10" s="401"/>
      <c r="S10" s="401"/>
      <c r="T10" s="401"/>
      <c r="U10" s="401"/>
      <c r="V10" s="401"/>
      <c r="X10" s="409">
        <f>V8-N8</f>
        <v>8</v>
      </c>
      <c r="Y10" s="409">
        <f>V8-Q8</f>
        <v>5</v>
      </c>
      <c r="Z10" s="409">
        <f>V8-S8</f>
        <v>3</v>
      </c>
    </row>
    <row r="11" spans="1:33" outlineLevel="1">
      <c r="D11"/>
      <c r="E11"/>
      <c r="F11"/>
      <c r="G11"/>
      <c r="H11"/>
    </row>
    <row r="12" spans="1:33" outlineLevel="1">
      <c r="B12" s="66" t="s">
        <v>285</v>
      </c>
      <c r="D12" s="383">
        <f>Schedules!D12</f>
        <v>829</v>
      </c>
      <c r="E12" s="383">
        <f>Schedules!E12</f>
        <v>1551</v>
      </c>
      <c r="F12" s="383">
        <f>Schedules!F12</f>
        <v>2188</v>
      </c>
      <c r="G12" s="383">
        <f>Schedules!G12</f>
        <v>1929</v>
      </c>
      <c r="H12" s="383">
        <f>Schedules!H12</f>
        <v>2550</v>
      </c>
      <c r="I12" s="383">
        <f>Schedules!I12</f>
        <v>2958</v>
      </c>
      <c r="J12" s="383">
        <f>Schedules!J12</f>
        <v>3608.7599999999998</v>
      </c>
      <c r="K12" s="383">
        <f>Schedules!K12</f>
        <v>4510.95</v>
      </c>
      <c r="L12" s="383">
        <f>Schedules!L12</f>
        <v>5638.6875</v>
      </c>
      <c r="M12" s="383">
        <f>Schedules!M12</f>
        <v>6949.6823437499997</v>
      </c>
      <c r="N12" s="383">
        <f>Schedules!N12</f>
        <v>8443.8640476562487</v>
      </c>
      <c r="O12" s="383">
        <f>Schedules!O12</f>
        <v>10111.527197068357</v>
      </c>
      <c r="P12" s="383">
        <f>Schedules!P12</f>
        <v>11931.602092540661</v>
      </c>
      <c r="Q12" s="383">
        <f>Schedules!Q12</f>
        <v>13721.34240642176</v>
      </c>
      <c r="R12" s="383">
        <f>Schedules!R12</f>
        <v>15642.330343320808</v>
      </c>
      <c r="S12" s="383">
        <f>Schedules!S12</f>
        <v>17519.409984519305</v>
      </c>
      <c r="T12" s="383">
        <f>Schedules!T12</f>
        <v>19271.350982971238</v>
      </c>
      <c r="U12" s="383">
        <f>Schedules!U12</f>
        <v>20813.059061608939</v>
      </c>
      <c r="V12" s="383">
        <f>Schedules!V12</f>
        <v>21853.712014689387</v>
      </c>
      <c r="X12" s="93">
        <f>_xlfn.RRI($V$8-$N$8,N12,V12)</f>
        <v>0.12621938393716747</v>
      </c>
      <c r="Y12" s="93">
        <f>_xlfn.RRI($V$8-$Q$8,Q12,V12)</f>
        <v>9.7553559962590963E-2</v>
      </c>
      <c r="Z12" s="93">
        <f>_xlfn.RRI($V$8-$S$8,S12,V12)</f>
        <v>7.6469955893837982E-2</v>
      </c>
    </row>
    <row r="13" spans="1:33" outlineLevel="1">
      <c r="B13" s="78" t="s">
        <v>3</v>
      </c>
      <c r="D13" s="383">
        <f>Schedules!D18</f>
        <v>385</v>
      </c>
      <c r="E13" s="383">
        <f>Schedules!E18</f>
        <v>761</v>
      </c>
      <c r="F13" s="383">
        <f>Schedules!F18</f>
        <v>1115</v>
      </c>
      <c r="G13" s="383">
        <f>Schedules!G18</f>
        <v>1061</v>
      </c>
      <c r="H13" s="383">
        <f>Schedules!H18</f>
        <v>1353</v>
      </c>
      <c r="I13" s="383">
        <f>Schedules!I18</f>
        <v>1626.9</v>
      </c>
      <c r="J13" s="383">
        <f>Schedules!J18</f>
        <v>1963.16544</v>
      </c>
      <c r="K13" s="383">
        <f>Schedules!K18</f>
        <v>2453.9567999999999</v>
      </c>
      <c r="L13" s="383">
        <f>Schedules!L18</f>
        <v>3040.3803000000003</v>
      </c>
      <c r="M13" s="383">
        <f>Schedules!M18</f>
        <v>3713.9102444999999</v>
      </c>
      <c r="N13" s="383">
        <f>Schedules!N18</f>
        <v>4471.8703996387503</v>
      </c>
      <c r="O13" s="383">
        <f>Schedules!O18</f>
        <v>5306.5294730214755</v>
      </c>
      <c r="P13" s="383">
        <f>Schedules!P18</f>
        <v>6204.4330881211436</v>
      </c>
      <c r="Q13" s="383">
        <f>Schedules!Q18</f>
        <v>6723.4577791466618</v>
      </c>
      <c r="R13" s="383">
        <f>Schedules!R18</f>
        <v>7664.7418682271955</v>
      </c>
      <c r="S13" s="383">
        <f>Schedules!S18</f>
        <v>8584.5108924144588</v>
      </c>
      <c r="T13" s="383">
        <f>Schedules!T18</f>
        <v>9250.2484718261949</v>
      </c>
      <c r="U13" s="383">
        <f>Schedules!U18</f>
        <v>9990.2683495722904</v>
      </c>
      <c r="V13" s="383">
        <f>Schedules!V18</f>
        <v>10489.781767050905</v>
      </c>
      <c r="X13" s="93">
        <f t="shared" ref="X13:X14" si="7">_xlfn.RRI($V$8-$N$8,N13,V13)</f>
        <v>0.1124606436156792</v>
      </c>
      <c r="Y13" s="93">
        <f t="shared" ref="Y13:Y14" si="8">_xlfn.RRI($V$8-$Q$8,Q13,V13)</f>
        <v>9.3036725340153836E-2</v>
      </c>
      <c r="Z13" s="93">
        <f t="shared" ref="Z13:Z14" si="9">_xlfn.RRI($V$8-$S$8,S13,V13)</f>
        <v>6.909664260192061E-2</v>
      </c>
    </row>
    <row r="14" spans="1:33" s="58" customFormat="1" outlineLevel="1">
      <c r="A14"/>
      <c r="B14" s="86" t="s">
        <v>4</v>
      </c>
      <c r="C14" s="87"/>
      <c r="D14" s="91">
        <f>D12-D13</f>
        <v>444</v>
      </c>
      <c r="E14" s="91">
        <f t="shared" ref="E14:N14" si="10">E12-E13</f>
        <v>790</v>
      </c>
      <c r="F14" s="91">
        <f t="shared" si="10"/>
        <v>1073</v>
      </c>
      <c r="G14" s="91">
        <f t="shared" si="10"/>
        <v>868</v>
      </c>
      <c r="H14" s="91">
        <f>H12-H13</f>
        <v>1197</v>
      </c>
      <c r="I14" s="91">
        <f>I12-I13</f>
        <v>1331.1</v>
      </c>
      <c r="J14" s="91">
        <f t="shared" si="10"/>
        <v>1645.5945599999998</v>
      </c>
      <c r="K14" s="91">
        <f t="shared" si="10"/>
        <v>2056.9931999999999</v>
      </c>
      <c r="L14" s="91">
        <f>L12-L13</f>
        <v>2598.3071999999997</v>
      </c>
      <c r="M14" s="91">
        <f t="shared" si="10"/>
        <v>3235.7720992499999</v>
      </c>
      <c r="N14" s="91">
        <f t="shared" si="10"/>
        <v>3971.9936480174983</v>
      </c>
      <c r="O14" s="91">
        <f t="shared" ref="O14" si="11">O12-O13</f>
        <v>4804.9977240468816</v>
      </c>
      <c r="P14" s="91">
        <f t="shared" ref="P14:V14" si="12">P12-P13</f>
        <v>5727.1690044195175</v>
      </c>
      <c r="Q14" s="91">
        <f t="shared" si="12"/>
        <v>6997.884627275098</v>
      </c>
      <c r="R14" s="91">
        <f t="shared" si="12"/>
        <v>7977.588475093612</v>
      </c>
      <c r="S14" s="91">
        <f t="shared" si="12"/>
        <v>8934.8990921048462</v>
      </c>
      <c r="T14" s="91">
        <f t="shared" si="12"/>
        <v>10021.102511145044</v>
      </c>
      <c r="U14" s="91">
        <f t="shared" si="12"/>
        <v>10822.790712036649</v>
      </c>
      <c r="V14" s="91">
        <f t="shared" si="12"/>
        <v>11363.930247638482</v>
      </c>
      <c r="X14" s="93">
        <f t="shared" si="7"/>
        <v>0.14042046388028462</v>
      </c>
      <c r="Y14" s="93">
        <f t="shared" si="8"/>
        <v>0.10182432545590681</v>
      </c>
      <c r="Z14" s="93">
        <f t="shared" si="9"/>
        <v>8.346021641050938E-2</v>
      </c>
    </row>
    <row r="15" spans="1:33" outlineLevel="1">
      <c r="B15" s="76"/>
      <c r="D15" s="83"/>
      <c r="E15" s="83"/>
      <c r="F15" s="83"/>
      <c r="G15" s="83"/>
      <c r="H15" s="110"/>
      <c r="I15" s="82"/>
      <c r="J15" s="82"/>
      <c r="K15" s="82"/>
      <c r="L15" s="82"/>
      <c r="M15" s="82"/>
      <c r="N15" s="82"/>
      <c r="O15" s="82"/>
      <c r="P15" s="82"/>
      <c r="Q15" s="82"/>
      <c r="R15" s="82"/>
      <c r="S15" s="82"/>
      <c r="T15" s="82"/>
      <c r="U15" s="82"/>
      <c r="V15" s="82"/>
      <c r="AG15" s="248"/>
    </row>
    <row r="16" spans="1:33" outlineLevel="1">
      <c r="B16" s="245" t="s">
        <v>431</v>
      </c>
      <c r="C16" s="42"/>
      <c r="D16" s="246">
        <f>D14/D12</f>
        <v>0.53558504221954162</v>
      </c>
      <c r="E16" s="246">
        <f t="shared" ref="E16:O16" si="13">E14/E12</f>
        <v>0.50934880722114761</v>
      </c>
      <c r="F16" s="246">
        <f t="shared" si="13"/>
        <v>0.49040219378427791</v>
      </c>
      <c r="G16" s="246">
        <f t="shared" si="13"/>
        <v>0.44997407983411092</v>
      </c>
      <c r="H16" s="246">
        <f>H14/H12</f>
        <v>0.46941176470588236</v>
      </c>
      <c r="I16" s="246">
        <f t="shared" si="13"/>
        <v>0.44999999999999996</v>
      </c>
      <c r="J16" s="246">
        <f t="shared" si="13"/>
        <v>0.45599999999999996</v>
      </c>
      <c r="K16" s="246">
        <f t="shared" si="13"/>
        <v>0.45600000000000002</v>
      </c>
      <c r="L16" s="246">
        <f t="shared" si="13"/>
        <v>0.46079999999999993</v>
      </c>
      <c r="M16" s="246">
        <f t="shared" si="13"/>
        <v>0.46560000000000001</v>
      </c>
      <c r="N16" s="246">
        <f t="shared" si="13"/>
        <v>0.47039999999999987</v>
      </c>
      <c r="O16" s="246">
        <f t="shared" si="13"/>
        <v>0.47519999999999984</v>
      </c>
      <c r="P16" s="246">
        <f>P14/P12</f>
        <v>0.48000000000000004</v>
      </c>
      <c r="Q16" s="246">
        <f t="shared" ref="Q16:V16" si="14">Q14/Q12</f>
        <v>0.51</v>
      </c>
      <c r="R16" s="246">
        <f t="shared" si="14"/>
        <v>0.51</v>
      </c>
      <c r="S16" s="246">
        <f t="shared" si="14"/>
        <v>0.51</v>
      </c>
      <c r="T16" s="246">
        <f t="shared" si="14"/>
        <v>0.52</v>
      </c>
      <c r="U16" s="246">
        <f t="shared" si="14"/>
        <v>0.52</v>
      </c>
      <c r="V16" s="246">
        <f t="shared" si="14"/>
        <v>0.52</v>
      </c>
      <c r="AG16" s="248"/>
    </row>
    <row r="17" spans="2:33" outlineLevel="1">
      <c r="B17" s="76"/>
      <c r="D17" s="83"/>
      <c r="E17" s="83"/>
      <c r="F17" s="83"/>
      <c r="G17" s="83"/>
      <c r="H17" s="83"/>
      <c r="I17" s="82"/>
      <c r="J17" s="82"/>
      <c r="K17" s="82"/>
      <c r="L17" s="82"/>
      <c r="M17" s="82"/>
      <c r="N17" s="82"/>
      <c r="O17" s="82"/>
      <c r="P17" s="82"/>
      <c r="Q17" s="82"/>
      <c r="R17" s="82"/>
      <c r="S17" s="82"/>
      <c r="T17" s="82"/>
      <c r="U17" s="82"/>
      <c r="V17" s="82"/>
      <c r="AG17" s="248"/>
    </row>
    <row r="18" spans="2:33" outlineLevel="1">
      <c r="B18" s="77" t="s">
        <v>92</v>
      </c>
      <c r="D18" s="83"/>
      <c r="E18" s="83"/>
      <c r="F18" s="83"/>
      <c r="G18" s="83"/>
      <c r="H18" s="83"/>
      <c r="I18" s="54"/>
      <c r="J18" s="54"/>
      <c r="K18" s="54"/>
      <c r="L18" s="54"/>
      <c r="M18" s="54"/>
      <c r="N18" s="54"/>
      <c r="O18" s="54"/>
      <c r="P18" s="54"/>
      <c r="Q18" s="54"/>
      <c r="R18" s="54"/>
      <c r="S18" s="54"/>
      <c r="T18" s="54"/>
      <c r="U18" s="54"/>
      <c r="V18" s="54"/>
      <c r="AG18" s="248"/>
    </row>
    <row r="19" spans="2:33" outlineLevel="1">
      <c r="B19" s="78" t="str">
        <f>Schedules!B24</f>
        <v xml:space="preserve">Salaries, Wages &amp; Bonus </v>
      </c>
      <c r="D19" s="383">
        <f>Schedules!D26</f>
        <v>41</v>
      </c>
      <c r="E19" s="383">
        <f>Schedules!E26</f>
        <v>52</v>
      </c>
      <c r="F19" s="383">
        <f>Schedules!F26</f>
        <v>69</v>
      </c>
      <c r="G19" s="383">
        <f>Schedules!G26</f>
        <v>81</v>
      </c>
      <c r="H19" s="383">
        <f>Schedules!H26</f>
        <v>98</v>
      </c>
      <c r="I19" s="383">
        <f>Schedules!I26</f>
        <v>112.404</v>
      </c>
      <c r="J19" s="383">
        <f>Schedules!J26</f>
        <v>137.13288</v>
      </c>
      <c r="K19" s="383">
        <f>Schedules!K26</f>
        <v>171.4161</v>
      </c>
      <c r="L19" s="383">
        <f>Schedules!L26</f>
        <v>214.27012500000001</v>
      </c>
      <c r="M19" s="383">
        <f>Schedules!M26</f>
        <v>264.0879290625</v>
      </c>
      <c r="N19" s="383">
        <f>Schedules!N26</f>
        <v>320.86683381093746</v>
      </c>
      <c r="O19" s="383">
        <f>Schedules!O26</f>
        <v>384.23803348859758</v>
      </c>
      <c r="P19" s="383">
        <f>Schedules!P26</f>
        <v>453.4008795165451</v>
      </c>
      <c r="Q19" s="383">
        <f>Schedules!Q26</f>
        <v>521.41101144402683</v>
      </c>
      <c r="R19" s="383">
        <f>Schedules!R26</f>
        <v>594.40855304619072</v>
      </c>
      <c r="S19" s="383">
        <f>Schedules!S26</f>
        <v>665.73757941173358</v>
      </c>
      <c r="T19" s="383">
        <f>Schedules!T26</f>
        <v>732.311337352907</v>
      </c>
      <c r="U19" s="383">
        <f>Schedules!U26</f>
        <v>790.89624434113966</v>
      </c>
      <c r="V19" s="383">
        <f>Schedules!V26</f>
        <v>830.44105655819669</v>
      </c>
      <c r="X19" s="93">
        <f>_xlfn.RRI($V$8-$N$8,N19,V19)</f>
        <v>0.12621938393716747</v>
      </c>
      <c r="Y19" s="93">
        <f>_xlfn.RRI($V$8-$Q$8,Q19,V19)</f>
        <v>9.7553559962590963E-2</v>
      </c>
      <c r="Z19" s="93">
        <f>_xlfn.RRI($V$8-$S$8,S19,V19)</f>
        <v>7.6469955893837982E-2</v>
      </c>
      <c r="AG19" s="248"/>
    </row>
    <row r="20" spans="2:33" outlineLevel="1">
      <c r="B20" s="78" t="str">
        <f>Schedules!B29</f>
        <v>Power &amp; Fuel Cost</v>
      </c>
      <c r="D20" s="383">
        <f>Schedules!D31</f>
        <v>26</v>
      </c>
      <c r="E20" s="383">
        <f>Schedules!E31</f>
        <v>100</v>
      </c>
      <c r="F20" s="383">
        <f>Schedules!F31</f>
        <v>154</v>
      </c>
      <c r="G20" s="383">
        <f>Schedules!G31</f>
        <v>141</v>
      </c>
      <c r="H20" s="383">
        <f>Schedules!H31</f>
        <v>180</v>
      </c>
      <c r="I20" s="383">
        <f>Schedules!I31</f>
        <v>207.06000000000003</v>
      </c>
      <c r="J20" s="383">
        <f>Schedules!J31</f>
        <v>252.61320000000001</v>
      </c>
      <c r="K20" s="383">
        <f>Schedules!K31</f>
        <v>315.76650000000001</v>
      </c>
      <c r="L20" s="383">
        <f>Schedules!L31</f>
        <v>394.70812500000005</v>
      </c>
      <c r="M20" s="383">
        <f>Schedules!M31</f>
        <v>486.4777640625</v>
      </c>
      <c r="N20" s="383">
        <f>Schedules!N31</f>
        <v>591.07048333593741</v>
      </c>
      <c r="O20" s="383">
        <f>Schedules!O31</f>
        <v>707.80690379478506</v>
      </c>
      <c r="P20" s="383">
        <f>Schedules!P31</f>
        <v>835.21214647784632</v>
      </c>
      <c r="Q20" s="383">
        <f>Schedules!Q31</f>
        <v>960.49396844952332</v>
      </c>
      <c r="R20" s="383">
        <f>Schedules!R31</f>
        <v>1094.9631240324566</v>
      </c>
      <c r="S20" s="383">
        <f>Schedules!S31</f>
        <v>1226.3586989163514</v>
      </c>
      <c r="T20" s="383">
        <f>Schedules!T31</f>
        <v>1348.9945688079868</v>
      </c>
      <c r="U20" s="383">
        <f>Schedules!U31</f>
        <v>1456.9141343126259</v>
      </c>
      <c r="V20" s="383">
        <f>Schedules!V31</f>
        <v>1529.7598410282571</v>
      </c>
      <c r="X20" s="93">
        <f t="shared" ref="X20:X24" si="15">_xlfn.RRI($V$8-$N$8,N20,V20)</f>
        <v>0.12621938393716747</v>
      </c>
      <c r="Y20" s="93">
        <f t="shared" ref="Y20:Y24" si="16">_xlfn.RRI($V$8-$Q$8,Q20,V20)</f>
        <v>9.7553559962590963E-2</v>
      </c>
      <c r="Z20" s="93">
        <f t="shared" ref="Z20:Z24" si="17">_xlfn.RRI($V$8-$S$8,S20,V20)</f>
        <v>7.6469955893837982E-2</v>
      </c>
      <c r="AG20" s="248"/>
    </row>
    <row r="21" spans="2:33" outlineLevel="1">
      <c r="B21" s="79" t="str">
        <f>Schedules!B34</f>
        <v xml:space="preserve">Other Operating Expenses </v>
      </c>
      <c r="D21" s="383">
        <f>Schedules!D36</f>
        <v>44</v>
      </c>
      <c r="E21" s="383">
        <f>Schedules!E36</f>
        <v>63</v>
      </c>
      <c r="F21" s="383">
        <f>Schedules!F36</f>
        <v>80</v>
      </c>
      <c r="G21" s="383">
        <f>Schedules!G36</f>
        <v>86</v>
      </c>
      <c r="H21" s="383">
        <f>Schedules!H36</f>
        <v>94</v>
      </c>
      <c r="I21" s="383">
        <f>Schedules!I36</f>
        <v>121.27800000000001</v>
      </c>
      <c r="J21" s="383">
        <f>Schedules!J36</f>
        <v>147.95916</v>
      </c>
      <c r="K21" s="383">
        <f>Schedules!K36</f>
        <v>184.94895</v>
      </c>
      <c r="L21" s="383">
        <f>Schedules!L36</f>
        <v>231.18618750000002</v>
      </c>
      <c r="M21" s="383">
        <f>Schedules!M36</f>
        <v>284.93697609374999</v>
      </c>
      <c r="N21" s="383">
        <f>Schedules!N36</f>
        <v>346.19842595390622</v>
      </c>
      <c r="O21" s="383">
        <f>Schedules!O36</f>
        <v>414.57261507980263</v>
      </c>
      <c r="P21" s="383">
        <f>Schedules!P36</f>
        <v>489.1956857941671</v>
      </c>
      <c r="Q21" s="383">
        <f>Schedules!Q36</f>
        <v>562.57503866329216</v>
      </c>
      <c r="R21" s="383">
        <f>Schedules!R36</f>
        <v>641.33554407615316</v>
      </c>
      <c r="S21" s="383">
        <f>Schedules!S36</f>
        <v>718.29580936529157</v>
      </c>
      <c r="T21" s="383">
        <f>Schedules!T36</f>
        <v>790.12539030182086</v>
      </c>
      <c r="U21" s="383">
        <f>Schedules!U36</f>
        <v>853.33542152596658</v>
      </c>
      <c r="V21" s="383">
        <f>Schedules!V36</f>
        <v>896.00219260226493</v>
      </c>
      <c r="X21" s="93">
        <f t="shared" si="15"/>
        <v>0.12621938393716747</v>
      </c>
      <c r="Y21" s="93">
        <f t="shared" si="16"/>
        <v>9.7553559962590963E-2</v>
      </c>
      <c r="Z21" s="93">
        <f t="shared" si="17"/>
        <v>7.6469955893837982E-2</v>
      </c>
      <c r="AG21" s="248"/>
    </row>
    <row r="22" spans="2:33" outlineLevel="1">
      <c r="B22" s="78" t="str">
        <f>Schedules!B39</f>
        <v xml:space="preserve">Other SG&amp;A Expenses </v>
      </c>
      <c r="D22" s="383">
        <f>Schedules!D41</f>
        <v>71.2</v>
      </c>
      <c r="E22" s="383">
        <f>Schedules!E41</f>
        <v>64.8</v>
      </c>
      <c r="F22" s="383">
        <f>Schedules!F41</f>
        <v>80.599999999999994</v>
      </c>
      <c r="G22" s="383">
        <f>Schedules!G41</f>
        <v>79.3</v>
      </c>
      <c r="H22" s="383">
        <f>Schedules!H41</f>
        <v>113.6</v>
      </c>
      <c r="I22" s="383">
        <f>Schedules!I41</f>
        <v>121.27800000000001</v>
      </c>
      <c r="J22" s="383">
        <f>Schedules!J41</f>
        <v>147.95916</v>
      </c>
      <c r="K22" s="383">
        <f>Schedules!K41</f>
        <v>184.94895</v>
      </c>
      <c r="L22" s="383">
        <f>Schedules!L41</f>
        <v>231.18618750000002</v>
      </c>
      <c r="M22" s="383">
        <f>Schedules!M41</f>
        <v>284.93697609374999</v>
      </c>
      <c r="N22" s="383">
        <f>Schedules!N41</f>
        <v>346.19842595390622</v>
      </c>
      <c r="O22" s="383">
        <f>Schedules!O41</f>
        <v>414.57261507980263</v>
      </c>
      <c r="P22" s="383">
        <f>Schedules!P41</f>
        <v>489.1956857941671</v>
      </c>
      <c r="Q22" s="383">
        <f>Schedules!Q41</f>
        <v>562.57503866329216</v>
      </c>
      <c r="R22" s="383">
        <f>Schedules!R41</f>
        <v>641.33554407615316</v>
      </c>
      <c r="S22" s="383">
        <f>Schedules!S41</f>
        <v>718.29580936529157</v>
      </c>
      <c r="T22" s="383">
        <f>Schedules!T41</f>
        <v>790.12539030182086</v>
      </c>
      <c r="U22" s="383">
        <f>Schedules!U41</f>
        <v>853.33542152596658</v>
      </c>
      <c r="V22" s="383">
        <f>Schedules!V41</f>
        <v>896.00219260226493</v>
      </c>
      <c r="X22" s="93">
        <f t="shared" si="15"/>
        <v>0.12621938393716747</v>
      </c>
      <c r="Y22" s="93">
        <f t="shared" si="16"/>
        <v>9.7553559962590963E-2</v>
      </c>
      <c r="Z22" s="93">
        <f t="shared" si="17"/>
        <v>7.6469955893837982E-2</v>
      </c>
      <c r="AG22" s="248"/>
    </row>
    <row r="23" spans="2:33" outlineLevel="1">
      <c r="B23" s="80" t="s">
        <v>456</v>
      </c>
      <c r="D23" s="71">
        <f>SUM(D19:D22)</f>
        <v>182.2</v>
      </c>
      <c r="E23" s="71">
        <f t="shared" ref="E23:V23" si="18">SUM(E19:E22)</f>
        <v>279.8</v>
      </c>
      <c r="F23" s="71">
        <f t="shared" si="18"/>
        <v>383.6</v>
      </c>
      <c r="G23" s="71">
        <f t="shared" si="18"/>
        <v>387.3</v>
      </c>
      <c r="H23" s="71">
        <f t="shared" si="18"/>
        <v>485.6</v>
      </c>
      <c r="I23" s="71">
        <f t="shared" si="18"/>
        <v>562.0200000000001</v>
      </c>
      <c r="J23" s="71">
        <f t="shared" si="18"/>
        <v>685.6644</v>
      </c>
      <c r="K23" s="71">
        <f t="shared" si="18"/>
        <v>857.08049999999992</v>
      </c>
      <c r="L23" s="71">
        <f t="shared" si="18"/>
        <v>1071.350625</v>
      </c>
      <c r="M23" s="71">
        <f t="shared" si="18"/>
        <v>1320.4396453125</v>
      </c>
      <c r="N23" s="71">
        <f t="shared" si="18"/>
        <v>1604.3341690546874</v>
      </c>
      <c r="O23" s="71">
        <f t="shared" si="18"/>
        <v>1921.1901674429882</v>
      </c>
      <c r="P23" s="71">
        <f t="shared" si="18"/>
        <v>2267.0043975827257</v>
      </c>
      <c r="Q23" s="71">
        <f t="shared" si="18"/>
        <v>2607.0550572201346</v>
      </c>
      <c r="R23" s="71">
        <f t="shared" si="18"/>
        <v>2972.0427652309536</v>
      </c>
      <c r="S23" s="71">
        <f t="shared" si="18"/>
        <v>3328.6878970586681</v>
      </c>
      <c r="T23" s="71">
        <f t="shared" si="18"/>
        <v>3661.5566867645357</v>
      </c>
      <c r="U23" s="71">
        <f t="shared" si="18"/>
        <v>3954.4812217056988</v>
      </c>
      <c r="V23" s="71">
        <f t="shared" si="18"/>
        <v>4152.2052827909838</v>
      </c>
      <c r="X23" s="93"/>
      <c r="Y23" s="93"/>
      <c r="Z23" s="93"/>
      <c r="AG23" s="248"/>
    </row>
    <row r="24" spans="2:33" outlineLevel="1">
      <c r="B24" s="85" t="s">
        <v>93</v>
      </c>
      <c r="C24" s="41"/>
      <c r="D24" s="90">
        <f>D14-D23</f>
        <v>261.8</v>
      </c>
      <c r="E24" s="90">
        <f t="shared" ref="E24:V24" si="19">E14-E23</f>
        <v>510.2</v>
      </c>
      <c r="F24" s="90">
        <f t="shared" si="19"/>
        <v>689.4</v>
      </c>
      <c r="G24" s="90">
        <f t="shared" si="19"/>
        <v>480.7</v>
      </c>
      <c r="H24" s="90">
        <f t="shared" si="19"/>
        <v>711.4</v>
      </c>
      <c r="I24" s="90">
        <f t="shared" si="19"/>
        <v>769.07999999999981</v>
      </c>
      <c r="J24" s="90">
        <f t="shared" si="19"/>
        <v>959.93015999999977</v>
      </c>
      <c r="K24" s="90">
        <f t="shared" si="19"/>
        <v>1199.9126999999999</v>
      </c>
      <c r="L24" s="90">
        <f t="shared" si="19"/>
        <v>1526.9565749999997</v>
      </c>
      <c r="M24" s="90">
        <f t="shared" si="19"/>
        <v>1915.3324539374998</v>
      </c>
      <c r="N24" s="90">
        <f t="shared" si="19"/>
        <v>2367.6594789628107</v>
      </c>
      <c r="O24" s="90">
        <f t="shared" si="19"/>
        <v>2883.8075566038933</v>
      </c>
      <c r="P24" s="90">
        <f t="shared" si="19"/>
        <v>3460.1646068367918</v>
      </c>
      <c r="Q24" s="90">
        <f t="shared" si="19"/>
        <v>4390.8295700549634</v>
      </c>
      <c r="R24" s="90">
        <f t="shared" si="19"/>
        <v>5005.5457098626584</v>
      </c>
      <c r="S24" s="90">
        <f t="shared" si="19"/>
        <v>5606.2111950461785</v>
      </c>
      <c r="T24" s="90">
        <f t="shared" si="19"/>
        <v>6359.5458243805078</v>
      </c>
      <c r="U24" s="90">
        <f t="shared" si="19"/>
        <v>6868.3094903309502</v>
      </c>
      <c r="V24" s="90">
        <f t="shared" si="19"/>
        <v>7211.7249648474981</v>
      </c>
      <c r="X24" s="93">
        <f t="shared" si="15"/>
        <v>0.14938358187890266</v>
      </c>
      <c r="Y24" s="93">
        <f t="shared" si="16"/>
        <v>0.10432909673046575</v>
      </c>
      <c r="Z24" s="93">
        <f t="shared" si="17"/>
        <v>8.756836668889556E-2</v>
      </c>
    </row>
    <row r="25" spans="2:33" outlineLevel="1">
      <c r="B25" s="80"/>
      <c r="D25" s="92"/>
      <c r="E25" s="92"/>
      <c r="F25" s="92"/>
      <c r="G25" s="92"/>
      <c r="H25" s="92"/>
      <c r="I25" s="247"/>
      <c r="J25" s="92"/>
      <c r="K25" s="92"/>
      <c r="L25" s="92"/>
      <c r="M25" s="92"/>
      <c r="N25" s="92"/>
      <c r="O25" s="92"/>
      <c r="P25" s="92"/>
      <c r="Q25" s="92"/>
      <c r="R25" s="92"/>
      <c r="S25" s="92"/>
      <c r="T25" s="92"/>
      <c r="U25" s="92"/>
      <c r="V25" s="92"/>
      <c r="X25" s="93"/>
      <c r="Y25" s="93"/>
      <c r="Z25" s="93"/>
    </row>
    <row r="26" spans="2:33" outlineLevel="1">
      <c r="B26" s="245" t="s">
        <v>472</v>
      </c>
      <c r="C26" s="42"/>
      <c r="D26" s="246">
        <f t="shared" ref="D26:I26" si="20">D24/D12</f>
        <v>0.3158021712907117</v>
      </c>
      <c r="E26" s="246">
        <f t="shared" si="20"/>
        <v>0.32894906511927785</v>
      </c>
      <c r="F26" s="246">
        <f t="shared" si="20"/>
        <v>0.31508226691042046</v>
      </c>
      <c r="G26" s="246">
        <f t="shared" si="20"/>
        <v>0.24919647485743909</v>
      </c>
      <c r="H26" s="246">
        <f t="shared" si="20"/>
        <v>0.27898039215686271</v>
      </c>
      <c r="I26" s="246">
        <f t="shared" si="20"/>
        <v>0.25999999999999995</v>
      </c>
      <c r="J26" s="246">
        <f t="shared" ref="J26:N26" si="21">J24/J12</f>
        <v>0.26599999999999996</v>
      </c>
      <c r="K26" s="246">
        <f t="shared" si="21"/>
        <v>0.26599999999999996</v>
      </c>
      <c r="L26" s="246">
        <f t="shared" si="21"/>
        <v>0.27079999999999993</v>
      </c>
      <c r="M26" s="246">
        <f t="shared" si="21"/>
        <v>0.27560000000000001</v>
      </c>
      <c r="N26" s="246">
        <f t="shared" si="21"/>
        <v>0.28039999999999982</v>
      </c>
      <c r="O26" s="246">
        <f t="shared" ref="O26" si="22">O24/O12</f>
        <v>0.28519999999999979</v>
      </c>
      <c r="P26" s="246">
        <f>P24/P12</f>
        <v>0.28999999999999998</v>
      </c>
      <c r="Q26" s="246">
        <f t="shared" ref="Q26:V26" si="23">Q24/Q12</f>
        <v>0.32</v>
      </c>
      <c r="R26" s="246">
        <f t="shared" si="23"/>
        <v>0.32</v>
      </c>
      <c r="S26" s="246">
        <f t="shared" si="23"/>
        <v>0.32000000000000006</v>
      </c>
      <c r="T26" s="246">
        <f t="shared" si="23"/>
        <v>0.32999999999999996</v>
      </c>
      <c r="U26" s="246">
        <f t="shared" si="23"/>
        <v>0.33</v>
      </c>
      <c r="V26" s="246">
        <f t="shared" si="23"/>
        <v>0.33</v>
      </c>
      <c r="X26" s="93"/>
      <c r="Y26" s="93"/>
    </row>
    <row r="27" spans="2:33" outlineLevel="1">
      <c r="B27" s="80"/>
      <c r="D27" s="244"/>
      <c r="E27" s="244"/>
      <c r="F27" s="244"/>
      <c r="G27" s="244"/>
      <c r="H27" s="244"/>
      <c r="I27" s="244"/>
      <c r="J27" s="244"/>
      <c r="K27" s="244"/>
      <c r="L27" s="244"/>
      <c r="M27" s="244"/>
      <c r="N27" s="244"/>
      <c r="O27" s="244"/>
      <c r="P27" s="244"/>
      <c r="Q27" s="244"/>
      <c r="R27" s="244"/>
      <c r="S27" s="244"/>
      <c r="T27" s="244"/>
      <c r="U27" s="244"/>
      <c r="V27" s="244"/>
    </row>
    <row r="28" spans="2:33" outlineLevel="1">
      <c r="B28" s="80" t="s">
        <v>95</v>
      </c>
      <c r="D28" s="88"/>
      <c r="E28" s="88"/>
      <c r="F28" s="88"/>
      <c r="G28" s="88"/>
      <c r="H28" s="88"/>
      <c r="I28" s="88"/>
      <c r="J28" s="88"/>
      <c r="K28" s="88"/>
      <c r="L28" s="88"/>
      <c r="M28" s="88"/>
      <c r="N28" s="88"/>
      <c r="O28" s="88"/>
      <c r="P28" s="88"/>
      <c r="Q28" s="88"/>
      <c r="R28" s="88"/>
      <c r="S28" s="88"/>
      <c r="T28" s="88"/>
      <c r="U28" s="88"/>
      <c r="V28" s="88"/>
    </row>
    <row r="29" spans="2:33" outlineLevel="1">
      <c r="B29" s="78" t="s">
        <v>6</v>
      </c>
      <c r="D29" s="383">
        <f>' Income Statement'!D26*-1</f>
        <v>70.77</v>
      </c>
      <c r="E29" s="383">
        <f>' Income Statement'!E26*-1</f>
        <v>82.67</v>
      </c>
      <c r="F29" s="383">
        <f>' Income Statement'!F26*-1</f>
        <v>105.72</v>
      </c>
      <c r="G29" s="383">
        <f>' Income Statement'!G26*-1</f>
        <v>120.33</v>
      </c>
      <c r="H29" s="383">
        <f>' Income Statement'!H26*-1</f>
        <v>129.33000000000001</v>
      </c>
      <c r="I29" s="383">
        <f>Schedules!I72</f>
        <v>161.47285714285715</v>
      </c>
      <c r="J29" s="383">
        <f>Schedules!J72</f>
        <v>204.33</v>
      </c>
      <c r="K29" s="383">
        <f>Schedules!K72</f>
        <v>257.9014285714286</v>
      </c>
      <c r="L29" s="383">
        <f>Schedules!L72</f>
        <v>322.18714285714287</v>
      </c>
      <c r="M29" s="383">
        <f>Schedules!M72</f>
        <v>397.18714285714287</v>
      </c>
      <c r="N29" s="383">
        <f>Schedules!N72</f>
        <v>482.9014285714286</v>
      </c>
      <c r="O29" s="383">
        <f>Schedules!O72</f>
        <v>579.33000000000004</v>
      </c>
      <c r="P29" s="383">
        <f>Schedules!P72</f>
        <v>686.47285714285715</v>
      </c>
      <c r="Q29" s="383">
        <f>Schedules!Q72</f>
        <v>797.9014285714286</v>
      </c>
      <c r="R29" s="383">
        <f>Schedules!R72</f>
        <v>913.78714285714284</v>
      </c>
      <c r="S29" s="383">
        <f>Schedules!S72</f>
        <v>1034.3082857142856</v>
      </c>
      <c r="T29" s="383">
        <f>Schedules!T72</f>
        <v>1159.6502742857142</v>
      </c>
      <c r="U29" s="383">
        <f>Schedules!U72</f>
        <v>1290.0059423999999</v>
      </c>
      <c r="V29" s="383">
        <f>Schedules!V72</f>
        <v>1425.575837238857</v>
      </c>
      <c r="X29" s="93">
        <f>_xlfn.RRI($V$8-$N$8,N29,V29)</f>
        <v>0.1448971636013956</v>
      </c>
      <c r="Y29" s="93">
        <f>_xlfn.RRI($V$8-$Q$8,Q29,V29)</f>
        <v>0.12307359526909889</v>
      </c>
      <c r="Z29" s="93">
        <f>_xlfn.RRI($V$8-$S$8,S29,V29)</f>
        <v>0.11287599318943031</v>
      </c>
    </row>
    <row r="30" spans="2:33" outlineLevel="1">
      <c r="B30" s="78" t="s">
        <v>7</v>
      </c>
      <c r="D30" s="383">
        <f>' Income Statement'!D27*-1</f>
        <v>3.23</v>
      </c>
      <c r="E30" s="383">
        <f>' Income Statement'!E27*-1</f>
        <v>3.23</v>
      </c>
      <c r="F30" s="383">
        <f>' Income Statement'!F27*-1</f>
        <v>3.23</v>
      </c>
      <c r="G30" s="383">
        <f>' Income Statement'!G27*-1</f>
        <v>3.23</v>
      </c>
      <c r="H30" s="383">
        <f>' Income Statement'!H27*-1</f>
        <v>3.23</v>
      </c>
      <c r="I30" s="383">
        <f>Schedules!I77</f>
        <v>3.23</v>
      </c>
      <c r="J30" s="383">
        <f>Schedules!J77</f>
        <v>3.23</v>
      </c>
      <c r="K30" s="383">
        <f>Schedules!K77</f>
        <v>3.23</v>
      </c>
      <c r="L30" s="383">
        <f>Schedules!L77</f>
        <v>3.23</v>
      </c>
      <c r="M30" s="383">
        <f>Schedules!M77</f>
        <v>3.23</v>
      </c>
      <c r="N30" s="383">
        <f>Schedules!N77</f>
        <v>3.23</v>
      </c>
      <c r="O30" s="383">
        <f>Schedules!O77</f>
        <v>0</v>
      </c>
      <c r="P30" s="383">
        <f>Schedules!P77</f>
        <v>0</v>
      </c>
      <c r="Q30" s="383">
        <f>Schedules!Q77</f>
        <v>0</v>
      </c>
      <c r="R30" s="383">
        <f>Schedules!R77</f>
        <v>0</v>
      </c>
      <c r="S30" s="383">
        <f>Schedules!S77</f>
        <v>0</v>
      </c>
      <c r="T30" s="383">
        <f>Schedules!T77</f>
        <v>0</v>
      </c>
      <c r="U30" s="383">
        <f>Schedules!U77</f>
        <v>0</v>
      </c>
      <c r="V30" s="383">
        <f>Schedules!V77</f>
        <v>0</v>
      </c>
      <c r="X30" s="93"/>
      <c r="Y30" s="93"/>
      <c r="Z30" s="93"/>
    </row>
    <row r="31" spans="2:33" outlineLevel="1">
      <c r="B31" s="85" t="s">
        <v>94</v>
      </c>
      <c r="C31" s="41"/>
      <c r="D31" s="90">
        <f t="shared" ref="D31:V31" si="24">D24-(SUM(D29:D30))</f>
        <v>187.8</v>
      </c>
      <c r="E31" s="90">
        <f t="shared" si="24"/>
        <v>424.29999999999995</v>
      </c>
      <c r="F31" s="90">
        <f t="shared" si="24"/>
        <v>580.44999999999993</v>
      </c>
      <c r="G31" s="90">
        <f t="shared" si="24"/>
        <v>357.14</v>
      </c>
      <c r="H31" s="90">
        <f t="shared" si="24"/>
        <v>578.83999999999992</v>
      </c>
      <c r="I31" s="90">
        <f t="shared" si="24"/>
        <v>604.37714285714264</v>
      </c>
      <c r="J31" s="90">
        <f t="shared" si="24"/>
        <v>752.37015999999971</v>
      </c>
      <c r="K31" s="90">
        <f t="shared" si="24"/>
        <v>938.78127142857124</v>
      </c>
      <c r="L31" s="90">
        <f t="shared" si="24"/>
        <v>1201.5394321428569</v>
      </c>
      <c r="M31" s="90">
        <f t="shared" si="24"/>
        <v>1514.915311080357</v>
      </c>
      <c r="N31" s="90">
        <f t="shared" si="24"/>
        <v>1881.5280503913821</v>
      </c>
      <c r="O31" s="90">
        <f t="shared" si="24"/>
        <v>2304.4775566038934</v>
      </c>
      <c r="P31" s="90">
        <f t="shared" si="24"/>
        <v>2773.6917496939345</v>
      </c>
      <c r="Q31" s="90">
        <f t="shared" si="24"/>
        <v>3592.928141483535</v>
      </c>
      <c r="R31" s="90">
        <f t="shared" si="24"/>
        <v>4091.7585670055155</v>
      </c>
      <c r="S31" s="90">
        <f t="shared" si="24"/>
        <v>4571.9029093318932</v>
      </c>
      <c r="T31" s="90">
        <f t="shared" si="24"/>
        <v>5199.8955500947941</v>
      </c>
      <c r="U31" s="90">
        <f t="shared" si="24"/>
        <v>5578.3035479309501</v>
      </c>
      <c r="V31" s="90">
        <f t="shared" si="24"/>
        <v>5786.1491276086408</v>
      </c>
      <c r="X31" s="93">
        <f>_xlfn.RRI($V$8-$N$8,N31,V31)</f>
        <v>0.15076028644249573</v>
      </c>
      <c r="Y31" s="93">
        <f>_xlfn.RRI($V$8-$Q$8,Q31,V31)</f>
        <v>9.9988686057760789E-2</v>
      </c>
      <c r="Z31" s="93">
        <f>_xlfn.RRI($V$8-$S$8,S31,V31)</f>
        <v>8.1676865334927573E-2</v>
      </c>
    </row>
    <row r="32" spans="2:33" outlineLevel="1">
      <c r="B32" s="80"/>
      <c r="D32" s="88"/>
      <c r="E32" s="88"/>
      <c r="F32" s="88"/>
      <c r="G32" s="88"/>
      <c r="H32" s="88"/>
      <c r="I32" s="88"/>
      <c r="J32" s="88"/>
      <c r="K32" s="88"/>
      <c r="L32" s="88"/>
      <c r="M32" s="88"/>
      <c r="N32" s="88"/>
      <c r="O32" s="88"/>
      <c r="P32" s="88"/>
      <c r="Q32" s="88"/>
      <c r="R32" s="88"/>
      <c r="S32" s="88"/>
      <c r="T32" s="88"/>
      <c r="U32" s="88"/>
      <c r="V32" s="88"/>
    </row>
    <row r="33" spans="1:26" outlineLevel="1">
      <c r="A33" t="s">
        <v>42</v>
      </c>
      <c r="B33" s="245" t="s">
        <v>576</v>
      </c>
      <c r="C33" s="42"/>
      <c r="D33" s="246">
        <f t="shared" ref="D33:V33" si="25">D31/D12</f>
        <v>0.22653799758745477</v>
      </c>
      <c r="E33" s="246">
        <f t="shared" si="25"/>
        <v>0.27356544165054802</v>
      </c>
      <c r="F33" s="246">
        <f t="shared" si="25"/>
        <v>0.26528793418647162</v>
      </c>
      <c r="G33" s="246">
        <f t="shared" si="25"/>
        <v>0.18514256091238984</v>
      </c>
      <c r="H33" s="246">
        <f t="shared" si="25"/>
        <v>0.22699607843137251</v>
      </c>
      <c r="I33" s="246">
        <f>I31/I12</f>
        <v>0.20431952091181294</v>
      </c>
      <c r="J33" s="246">
        <f t="shared" si="25"/>
        <v>0.20848439907336586</v>
      </c>
      <c r="K33" s="246">
        <f t="shared" si="25"/>
        <v>0.20811165528958894</v>
      </c>
      <c r="L33" s="246">
        <f t="shared" si="25"/>
        <v>0.21308849482133155</v>
      </c>
      <c r="M33" s="246">
        <f t="shared" si="25"/>
        <v>0.21798338918939988</v>
      </c>
      <c r="N33" s="246">
        <f t="shared" si="25"/>
        <v>0.22282784750823115</v>
      </c>
      <c r="O33" s="246">
        <f t="shared" si="25"/>
        <v>0.22790598410020915</v>
      </c>
      <c r="P33" s="246">
        <f t="shared" si="25"/>
        <v>0.23246599477432936</v>
      </c>
      <c r="Q33" s="246">
        <f t="shared" si="25"/>
        <v>0.26184960881101543</v>
      </c>
      <c r="R33" s="246">
        <f t="shared" si="25"/>
        <v>0.26158241625121254</v>
      </c>
      <c r="S33" s="246">
        <f t="shared" si="25"/>
        <v>0.26096215074433265</v>
      </c>
      <c r="T33" s="246">
        <f t="shared" si="25"/>
        <v>0.26982516973976461</v>
      </c>
      <c r="U33" s="246">
        <f t="shared" si="25"/>
        <v>0.26801939740902858</v>
      </c>
      <c r="V33" s="246">
        <f t="shared" si="25"/>
        <v>0.26476733672153135</v>
      </c>
    </row>
    <row r="34" spans="1:26" outlineLevel="1">
      <c r="B34" s="80"/>
      <c r="D34" s="88"/>
      <c r="E34" s="88"/>
      <c r="F34" s="88"/>
      <c r="G34" s="88"/>
      <c r="H34" s="88"/>
      <c r="I34" s="88"/>
      <c r="J34" s="88"/>
      <c r="K34" s="88"/>
      <c r="L34" s="88"/>
      <c r="M34" s="88"/>
      <c r="N34" s="88"/>
      <c r="O34" s="88"/>
      <c r="P34" s="88"/>
      <c r="Q34" s="88"/>
      <c r="R34" s="88"/>
      <c r="S34" s="88"/>
      <c r="T34" s="88"/>
      <c r="U34" s="88"/>
      <c r="V34" s="88"/>
    </row>
    <row r="35" spans="1:26" outlineLevel="1">
      <c r="B35" s="66" t="s">
        <v>587</v>
      </c>
      <c r="D35" s="383">
        <f>' Income Statement'!D29*-1</f>
        <v>34</v>
      </c>
      <c r="E35" s="383">
        <f>' Income Statement'!E29*-1</f>
        <v>48</v>
      </c>
      <c r="F35" s="383">
        <f>' Income Statement'!F29*-1</f>
        <v>67</v>
      </c>
      <c r="G35" s="383">
        <f>' Income Statement'!G29*-1</f>
        <v>73</v>
      </c>
      <c r="H35" s="383">
        <f>' Income Statement'!H29*-1</f>
        <v>53</v>
      </c>
      <c r="I35" s="383">
        <f>Schedules!I191</f>
        <v>40.433084999999998</v>
      </c>
      <c r="J35" s="383">
        <f>Schedules!J191</f>
        <v>43.907001600000001</v>
      </c>
      <c r="K35" s="383">
        <f>Schedules!K191</f>
        <v>47.153554602</v>
      </c>
      <c r="L35" s="383">
        <f>Schedules!L191</f>
        <v>51.009132446579997</v>
      </c>
      <c r="M35" s="383">
        <f>Schedules!M191</f>
        <v>54.05950649780258</v>
      </c>
      <c r="N35" s="383">
        <f>Schedules!N191</f>
        <v>53.64087519405453</v>
      </c>
      <c r="O35" s="383">
        <f>Schedules!O191</f>
        <v>51.473793081546852</v>
      </c>
      <c r="P35" s="383">
        <f>Schedules!P191</f>
        <v>50.917444801128219</v>
      </c>
      <c r="Q35" s="383">
        <f>Schedules!Q191</f>
        <v>51.132029720826651</v>
      </c>
      <c r="R35" s="383">
        <f>Schedules!R191</f>
        <v>51.132029720826651</v>
      </c>
      <c r="S35" s="383">
        <f>Schedules!S191</f>
        <v>51.132029720826651</v>
      </c>
      <c r="T35" s="383">
        <f>Schedules!T191</f>
        <v>51.132029720826651</v>
      </c>
      <c r="U35" s="383">
        <f>Schedules!U191</f>
        <v>51.132029720826651</v>
      </c>
      <c r="V35" s="383">
        <f>Schedules!V191</f>
        <v>51.132029720826651</v>
      </c>
      <c r="X35" s="93">
        <f>_xlfn.RRI($V$8-$N$8,N35,V35)</f>
        <v>-5.9696440419100272E-3</v>
      </c>
      <c r="Y35" s="93">
        <f t="shared" ref="Y35" si="26">_xlfn.RRI($V$8-$Q$8,Q35,V35)</f>
        <v>0</v>
      </c>
      <c r="Z35" s="93">
        <f t="shared" ref="Z35:Z38" si="27">_xlfn.RRI($V$8-$S$8,S35,V35)</f>
        <v>0</v>
      </c>
    </row>
    <row r="36" spans="1:26" outlineLevel="1">
      <c r="B36" s="66" t="s">
        <v>588</v>
      </c>
      <c r="D36" s="383">
        <f>' Income Statement'!D30</f>
        <v>7.5</v>
      </c>
      <c r="E36" s="383">
        <f>' Income Statement'!E30</f>
        <v>8.3000000000000007</v>
      </c>
      <c r="F36" s="383">
        <f>' Income Statement'!F30</f>
        <v>9.3000000000000007</v>
      </c>
      <c r="G36" s="383">
        <f>' Income Statement'!G30</f>
        <v>6.6</v>
      </c>
      <c r="H36" s="383">
        <f>' Income Statement'!H30</f>
        <v>15</v>
      </c>
      <c r="I36" s="383">
        <f>Schedules!I197</f>
        <v>14.790000000000001</v>
      </c>
      <c r="J36" s="383">
        <f>Schedules!J197</f>
        <v>18.043800000000001</v>
      </c>
      <c r="K36" s="383">
        <f>Schedules!K197</f>
        <v>22.554749999999999</v>
      </c>
      <c r="L36" s="383">
        <f>Schedules!L197</f>
        <v>28.193437500000002</v>
      </c>
      <c r="M36" s="383">
        <f>Schedules!M197</f>
        <v>34.748411718749999</v>
      </c>
      <c r="N36" s="383">
        <f>Schedules!N197</f>
        <v>42.219320238281242</v>
      </c>
      <c r="O36" s="383">
        <f>Schedules!O197</f>
        <v>50.55763598534179</v>
      </c>
      <c r="P36" s="383">
        <f>Schedules!P197</f>
        <v>59.658010462703309</v>
      </c>
      <c r="Q36" s="383">
        <f>Schedules!Q197</f>
        <v>68.606712032108803</v>
      </c>
      <c r="R36" s="383">
        <f>Schedules!R197</f>
        <v>78.211651716604038</v>
      </c>
      <c r="S36" s="383">
        <f>Schedules!S197</f>
        <v>87.597049922596526</v>
      </c>
      <c r="T36" s="383">
        <f>Schedules!T197</f>
        <v>96.356754914856197</v>
      </c>
      <c r="U36" s="383">
        <f>Schedules!U197</f>
        <v>104.0652953080447</v>
      </c>
      <c r="V36" s="383">
        <f>Schedules!V197</f>
        <v>109.26856007344693</v>
      </c>
      <c r="X36" s="93">
        <f>_xlfn.RRI($V$8-$N$8,N36,V36)</f>
        <v>0.12621938393716747</v>
      </c>
      <c r="Y36" s="93">
        <f>_xlfn.RRI($V$8-$Q$8,Q36,V36)</f>
        <v>9.7553559962590963E-2</v>
      </c>
      <c r="Z36" s="93">
        <f>_xlfn.RRI($V$8-$S$8,S36,V36)</f>
        <v>7.6469955893837982E-2</v>
      </c>
    </row>
    <row r="37" spans="1:26" outlineLevel="1">
      <c r="B37" s="89" t="s">
        <v>96</v>
      </c>
      <c r="C37" s="46"/>
      <c r="D37" s="90">
        <f t="shared" ref="D37:I37" si="28">D31-D35+D36</f>
        <v>161.30000000000001</v>
      </c>
      <c r="E37" s="90">
        <f t="shared" si="28"/>
        <v>384.59999999999997</v>
      </c>
      <c r="F37" s="90">
        <f t="shared" si="28"/>
        <v>522.74999999999989</v>
      </c>
      <c r="G37" s="90">
        <f>G31-G35+G36</f>
        <v>290.74</v>
      </c>
      <c r="H37" s="90">
        <f t="shared" si="28"/>
        <v>540.83999999999992</v>
      </c>
      <c r="I37" s="90">
        <f t="shared" si="28"/>
        <v>578.7340578571426</v>
      </c>
      <c r="J37" s="90">
        <f t="shared" ref="J37:O37" si="29">J31-J35+J36</f>
        <v>726.50695839999969</v>
      </c>
      <c r="K37" s="90">
        <f>K31-K35+K36</f>
        <v>914.18246682657127</v>
      </c>
      <c r="L37" s="90">
        <f t="shared" si="29"/>
        <v>1178.7237371962769</v>
      </c>
      <c r="M37" s="90">
        <f t="shared" si="29"/>
        <v>1495.6042163013044</v>
      </c>
      <c r="N37" s="90">
        <f>N31-N35+N36</f>
        <v>1870.1064954356086</v>
      </c>
      <c r="O37" s="90">
        <f t="shared" si="29"/>
        <v>2303.5613995076883</v>
      </c>
      <c r="P37" s="90">
        <f>P31-P35+P36</f>
        <v>2782.4323153555097</v>
      </c>
      <c r="Q37" s="90">
        <f t="shared" ref="Q37:V37" si="30">Q31-Q35+Q36</f>
        <v>3610.4028237948169</v>
      </c>
      <c r="R37" s="90">
        <f t="shared" si="30"/>
        <v>4118.8381890012924</v>
      </c>
      <c r="S37" s="90">
        <f t="shared" si="30"/>
        <v>4608.3679295336633</v>
      </c>
      <c r="T37" s="90">
        <f t="shared" si="30"/>
        <v>5245.1202752888239</v>
      </c>
      <c r="U37" s="90">
        <f t="shared" si="30"/>
        <v>5631.2368135181678</v>
      </c>
      <c r="V37" s="90">
        <f t="shared" si="30"/>
        <v>5844.2856579612608</v>
      </c>
      <c r="X37" s="93"/>
      <c r="Y37" s="93"/>
      <c r="Z37" s="93"/>
    </row>
    <row r="38" spans="1:26" outlineLevel="1">
      <c r="B38" s="78" t="s">
        <v>8</v>
      </c>
      <c r="D38" s="383">
        <f>' Income Statement'!D32*-1</f>
        <v>60</v>
      </c>
      <c r="E38" s="383">
        <f>' Income Statement'!E32*-1</f>
        <v>131</v>
      </c>
      <c r="F38" s="383">
        <f>' Income Statement'!F32*-1</f>
        <v>169</v>
      </c>
      <c r="G38" s="383">
        <f>' Income Statement'!G32*-1</f>
        <v>95</v>
      </c>
      <c r="H38" s="383">
        <f>' Income Statement'!H32*-1</f>
        <v>183</v>
      </c>
      <c r="I38" s="383">
        <f>Schedules!I111*-1</f>
        <v>145.66736236264282</v>
      </c>
      <c r="J38" s="383">
        <f>Schedules!J111*-1</f>
        <v>182.86180142927992</v>
      </c>
      <c r="K38" s="383">
        <f>Schedules!K111*-1</f>
        <v>230.09972690024796</v>
      </c>
      <c r="L38" s="383">
        <f>Schedules!L111*-1</f>
        <v>296.68476465230287</v>
      </c>
      <c r="M38" s="383">
        <f>Schedules!M111*-1</f>
        <v>376.4435812430383</v>
      </c>
      <c r="N38" s="383">
        <f>Schedules!N111*-1</f>
        <v>470.70580490114276</v>
      </c>
      <c r="O38" s="383">
        <f>Schedules!O111*-1</f>
        <v>579.80640425608522</v>
      </c>
      <c r="P38" s="383">
        <f>Schedules!P111*-1</f>
        <v>700.33821377498168</v>
      </c>
      <c r="Q38" s="383">
        <f>Schedules!Q111*-1</f>
        <v>908.73839074915531</v>
      </c>
      <c r="R38" s="383">
        <f>Schedules!R111*-1</f>
        <v>1036.7115721716252</v>
      </c>
      <c r="S38" s="383">
        <f>Schedules!S111*-1</f>
        <v>1159.9262078636229</v>
      </c>
      <c r="T38" s="383">
        <f>Schedules!T111*-1</f>
        <v>1320.1967732901969</v>
      </c>
      <c r="U38" s="383">
        <f>Schedules!U111*-1</f>
        <v>1417.3823059625227</v>
      </c>
      <c r="V38" s="383">
        <f>Schedules!V111*-1</f>
        <v>1471.0067001088491</v>
      </c>
      <c r="X38" s="93">
        <f>_xlfn.RRI($V$8-$N$8,N38,V38)</f>
        <v>0.15307654217949573</v>
      </c>
      <c r="Y38" s="93">
        <f>_xlfn.RRI($V$8-$Q$8,Q38,V38)</f>
        <v>0.10112127806087257</v>
      </c>
      <c r="Z38" s="93">
        <f t="shared" si="27"/>
        <v>8.2417395606708688E-2</v>
      </c>
    </row>
    <row r="39" spans="1:26" ht="15.75" outlineLevel="1" thickBot="1">
      <c r="B39" s="81" t="s">
        <v>9</v>
      </c>
      <c r="C39" s="45"/>
      <c r="D39" s="371">
        <f>D37-D38</f>
        <v>101.30000000000001</v>
      </c>
      <c r="E39" s="371">
        <f t="shared" ref="E39:N39" si="31">E37-E38</f>
        <v>253.59999999999997</v>
      </c>
      <c r="F39" s="371">
        <f t="shared" si="31"/>
        <v>353.74999999999989</v>
      </c>
      <c r="G39" s="371">
        <f t="shared" si="31"/>
        <v>195.74</v>
      </c>
      <c r="H39" s="371">
        <f>H37-H38</f>
        <v>357.83999999999992</v>
      </c>
      <c r="I39" s="371">
        <f>I37-I38</f>
        <v>433.06669549449975</v>
      </c>
      <c r="J39" s="371">
        <f t="shared" si="31"/>
        <v>543.64515697071977</v>
      </c>
      <c r="K39" s="371">
        <f>K37-K38</f>
        <v>684.08273992632326</v>
      </c>
      <c r="L39" s="371">
        <f t="shared" si="31"/>
        <v>882.03897254397407</v>
      </c>
      <c r="M39" s="371">
        <f>M37-M38</f>
        <v>1119.1606350582661</v>
      </c>
      <c r="N39" s="371">
        <f t="shared" si="31"/>
        <v>1399.4006905344659</v>
      </c>
      <c r="O39" s="371">
        <f>O37-O38</f>
        <v>1723.7549952516031</v>
      </c>
      <c r="P39" s="371">
        <f>P37-P38</f>
        <v>2082.0941015805279</v>
      </c>
      <c r="Q39" s="371">
        <f t="shared" ref="Q39:V39" si="32">Q37-Q38</f>
        <v>2701.6644330456616</v>
      </c>
      <c r="R39" s="371">
        <f t="shared" si="32"/>
        <v>3082.126616829667</v>
      </c>
      <c r="S39" s="371">
        <f t="shared" si="32"/>
        <v>3448.4417216700404</v>
      </c>
      <c r="T39" s="371">
        <f t="shared" si="32"/>
        <v>3924.9235019986272</v>
      </c>
      <c r="U39" s="371">
        <f t="shared" si="32"/>
        <v>4213.8545075556449</v>
      </c>
      <c r="V39" s="371">
        <f t="shared" si="32"/>
        <v>4373.2789578524116</v>
      </c>
      <c r="X39" s="93">
        <f>_xlfn.RRI($V$8-$N$8,N39,V39)</f>
        <v>0.15307654217949573</v>
      </c>
      <c r="Y39" s="93">
        <f>_xlfn.RRI($V$8-$Q$8,Q39,V39)</f>
        <v>0.10112127806087257</v>
      </c>
      <c r="Z39" s="93">
        <f>_xlfn.RRI($V$8-$S$8,S39,V39)</f>
        <v>8.2417395606708688E-2</v>
      </c>
    </row>
    <row r="40" spans="1:26" outlineLevel="1">
      <c r="D40"/>
      <c r="E40"/>
      <c r="F40"/>
      <c r="G40"/>
      <c r="H40"/>
    </row>
    <row r="41" spans="1:26" outlineLevel="1">
      <c r="B41" s="37" t="s">
        <v>100</v>
      </c>
      <c r="C41" s="37"/>
      <c r="D41" s="102" t="str">
        <f>IFERROR(D12/C12-1,"NM")</f>
        <v>NM</v>
      </c>
      <c r="E41" s="102">
        <f>IFERROR(E12/D12,"NM")-1</f>
        <v>0.87092882991556086</v>
      </c>
      <c r="F41" s="102">
        <f t="shared" ref="F41:V41" si="33">IFERROR(F12/E12,"NM")-1</f>
        <v>0.41070277240490016</v>
      </c>
      <c r="G41" s="102">
        <f t="shared" si="33"/>
        <v>-0.11837294332723947</v>
      </c>
      <c r="H41" s="102">
        <f t="shared" si="33"/>
        <v>0.32192846034214617</v>
      </c>
      <c r="I41" s="102">
        <f t="shared" si="33"/>
        <v>0.15999999999999992</v>
      </c>
      <c r="J41" s="102">
        <f t="shared" si="33"/>
        <v>0.21999999999999997</v>
      </c>
      <c r="K41" s="102">
        <f t="shared" si="33"/>
        <v>0.25</v>
      </c>
      <c r="L41" s="102">
        <f t="shared" si="33"/>
        <v>0.25</v>
      </c>
      <c r="M41" s="102">
        <f t="shared" si="33"/>
        <v>0.23249999999999993</v>
      </c>
      <c r="N41" s="102">
        <f t="shared" si="33"/>
        <v>0.21499999999999986</v>
      </c>
      <c r="O41" s="102">
        <f t="shared" si="33"/>
        <v>0.19750000000000001</v>
      </c>
      <c r="P41" s="102">
        <f t="shared" si="33"/>
        <v>0.17999999999999994</v>
      </c>
      <c r="Q41" s="102">
        <f t="shared" si="33"/>
        <v>0.14999999999999991</v>
      </c>
      <c r="R41" s="102">
        <f t="shared" si="33"/>
        <v>0.14000000000000012</v>
      </c>
      <c r="S41" s="102">
        <f t="shared" si="33"/>
        <v>0.12000000000000011</v>
      </c>
      <c r="T41" s="102">
        <f t="shared" si="33"/>
        <v>0.10000000000000009</v>
      </c>
      <c r="U41" s="102">
        <f t="shared" si="33"/>
        <v>8.0000000000000071E-2</v>
      </c>
      <c r="V41" s="102">
        <f t="shared" si="33"/>
        <v>5.0000000000000044E-2</v>
      </c>
    </row>
    <row r="42" spans="1:26" outlineLevel="1">
      <c r="B42" s="37" t="s">
        <v>101</v>
      </c>
      <c r="C42" s="37"/>
      <c r="D42" s="102">
        <f t="shared" ref="D42:V42" si="34">IFERROR(D14/D12, "NM")</f>
        <v>0.53558504221954162</v>
      </c>
      <c r="E42" s="102">
        <f>IFERROR(E14/E12, "NM")</f>
        <v>0.50934880722114761</v>
      </c>
      <c r="F42" s="102">
        <f t="shared" si="34"/>
        <v>0.49040219378427791</v>
      </c>
      <c r="G42" s="102">
        <f t="shared" si="34"/>
        <v>0.44997407983411092</v>
      </c>
      <c r="H42" s="102">
        <f t="shared" si="34"/>
        <v>0.46941176470588236</v>
      </c>
      <c r="I42" s="102">
        <f t="shared" si="34"/>
        <v>0.44999999999999996</v>
      </c>
      <c r="J42" s="102">
        <f t="shared" si="34"/>
        <v>0.45599999999999996</v>
      </c>
      <c r="K42" s="102">
        <f t="shared" si="34"/>
        <v>0.45600000000000002</v>
      </c>
      <c r="L42" s="102">
        <f t="shared" si="34"/>
        <v>0.46079999999999993</v>
      </c>
      <c r="M42" s="102">
        <f t="shared" si="34"/>
        <v>0.46560000000000001</v>
      </c>
      <c r="N42" s="102">
        <f t="shared" si="34"/>
        <v>0.47039999999999987</v>
      </c>
      <c r="O42" s="102">
        <f t="shared" si="34"/>
        <v>0.47519999999999984</v>
      </c>
      <c r="P42" s="102">
        <f t="shared" si="34"/>
        <v>0.48000000000000004</v>
      </c>
      <c r="Q42" s="102">
        <f t="shared" si="34"/>
        <v>0.51</v>
      </c>
      <c r="R42" s="102">
        <f t="shared" si="34"/>
        <v>0.51</v>
      </c>
      <c r="S42" s="102">
        <f t="shared" si="34"/>
        <v>0.51</v>
      </c>
      <c r="T42" s="102">
        <f t="shared" si="34"/>
        <v>0.52</v>
      </c>
      <c r="U42" s="102">
        <f t="shared" si="34"/>
        <v>0.52</v>
      </c>
      <c r="V42" s="102">
        <f t="shared" si="34"/>
        <v>0.52</v>
      </c>
    </row>
    <row r="43" spans="1:26" outlineLevel="1">
      <c r="B43" s="37" t="s">
        <v>102</v>
      </c>
      <c r="C43" s="37"/>
      <c r="D43" s="102">
        <f t="shared" ref="D43:V43" si="35">IFERROR(D24/D12, "NM")</f>
        <v>0.3158021712907117</v>
      </c>
      <c r="E43" s="102">
        <f>IFERROR(E24/E12, "NM")</f>
        <v>0.32894906511927785</v>
      </c>
      <c r="F43" s="102">
        <f t="shared" si="35"/>
        <v>0.31508226691042046</v>
      </c>
      <c r="G43" s="102">
        <f t="shared" si="35"/>
        <v>0.24919647485743909</v>
      </c>
      <c r="H43" s="102">
        <f t="shared" si="35"/>
        <v>0.27898039215686271</v>
      </c>
      <c r="I43" s="102">
        <f t="shared" si="35"/>
        <v>0.25999999999999995</v>
      </c>
      <c r="J43" s="102">
        <f t="shared" si="35"/>
        <v>0.26599999999999996</v>
      </c>
      <c r="K43" s="102">
        <f t="shared" si="35"/>
        <v>0.26599999999999996</v>
      </c>
      <c r="L43" s="102">
        <f t="shared" si="35"/>
        <v>0.27079999999999993</v>
      </c>
      <c r="M43" s="102">
        <f t="shared" si="35"/>
        <v>0.27560000000000001</v>
      </c>
      <c r="N43" s="102">
        <f t="shared" si="35"/>
        <v>0.28039999999999982</v>
      </c>
      <c r="O43" s="102">
        <f t="shared" si="35"/>
        <v>0.28519999999999979</v>
      </c>
      <c r="P43" s="102">
        <f t="shared" si="35"/>
        <v>0.28999999999999998</v>
      </c>
      <c r="Q43" s="102">
        <f t="shared" si="35"/>
        <v>0.32</v>
      </c>
      <c r="R43" s="102">
        <f t="shared" si="35"/>
        <v>0.32</v>
      </c>
      <c r="S43" s="102">
        <f t="shared" si="35"/>
        <v>0.32000000000000006</v>
      </c>
      <c r="T43" s="102">
        <f t="shared" si="35"/>
        <v>0.32999999999999996</v>
      </c>
      <c r="U43" s="102">
        <f t="shared" si="35"/>
        <v>0.33</v>
      </c>
      <c r="V43" s="102">
        <f t="shared" si="35"/>
        <v>0.33</v>
      </c>
    </row>
    <row r="44" spans="1:26" outlineLevel="1">
      <c r="B44" s="37" t="s">
        <v>103</v>
      </c>
      <c r="C44" s="37"/>
      <c r="D44" s="102">
        <f t="shared" ref="D44:V44" si="36">IFERROR(D31/D12, "NM")</f>
        <v>0.22653799758745477</v>
      </c>
      <c r="E44" s="102">
        <f>IFERROR(E31/E12, "NM")</f>
        <v>0.27356544165054802</v>
      </c>
      <c r="F44" s="102">
        <f t="shared" si="36"/>
        <v>0.26528793418647162</v>
      </c>
      <c r="G44" s="102">
        <f t="shared" si="36"/>
        <v>0.18514256091238984</v>
      </c>
      <c r="H44" s="102">
        <f t="shared" si="36"/>
        <v>0.22699607843137251</v>
      </c>
      <c r="I44" s="102">
        <f t="shared" si="36"/>
        <v>0.20431952091181294</v>
      </c>
      <c r="J44" s="102">
        <f t="shared" si="36"/>
        <v>0.20848439907336586</v>
      </c>
      <c r="K44" s="102">
        <f t="shared" si="36"/>
        <v>0.20811165528958894</v>
      </c>
      <c r="L44" s="102">
        <f t="shared" si="36"/>
        <v>0.21308849482133155</v>
      </c>
      <c r="M44" s="102">
        <f t="shared" si="36"/>
        <v>0.21798338918939988</v>
      </c>
      <c r="N44" s="102">
        <f t="shared" si="36"/>
        <v>0.22282784750823115</v>
      </c>
      <c r="O44" s="102">
        <f t="shared" si="36"/>
        <v>0.22790598410020915</v>
      </c>
      <c r="P44" s="102">
        <f t="shared" si="36"/>
        <v>0.23246599477432936</v>
      </c>
      <c r="Q44" s="102">
        <f t="shared" si="36"/>
        <v>0.26184960881101543</v>
      </c>
      <c r="R44" s="102">
        <f t="shared" si="36"/>
        <v>0.26158241625121254</v>
      </c>
      <c r="S44" s="102">
        <f t="shared" si="36"/>
        <v>0.26096215074433265</v>
      </c>
      <c r="T44" s="102">
        <f t="shared" si="36"/>
        <v>0.26982516973976461</v>
      </c>
      <c r="U44" s="102">
        <f t="shared" si="36"/>
        <v>0.26801939740902858</v>
      </c>
      <c r="V44" s="102">
        <f t="shared" si="36"/>
        <v>0.26476733672153135</v>
      </c>
    </row>
    <row r="45" spans="1:26" outlineLevel="1">
      <c r="B45" s="37" t="s">
        <v>105</v>
      </c>
      <c r="C45" s="37"/>
      <c r="D45" s="102">
        <f t="shared" ref="D45:P45" si="37">IFERROR(D38/D37,"NM")</f>
        <v>0.37197768133911963</v>
      </c>
      <c r="E45" s="102">
        <f>IFERROR(E38/E37,"NM")</f>
        <v>0.34061362454498184</v>
      </c>
      <c r="F45" s="102">
        <f t="shared" si="37"/>
        <v>0.32329029172644674</v>
      </c>
      <c r="G45" s="102">
        <f t="shared" si="37"/>
        <v>0.32675242484694228</v>
      </c>
      <c r="H45" s="102">
        <f t="shared" si="37"/>
        <v>0.33836254714887959</v>
      </c>
      <c r="I45" s="102">
        <f t="shared" si="37"/>
        <v>0.25170000000000003</v>
      </c>
      <c r="J45" s="102">
        <f t="shared" si="37"/>
        <v>0.25169999999999998</v>
      </c>
      <c r="K45" s="102">
        <f t="shared" si="37"/>
        <v>0.25169999999999998</v>
      </c>
      <c r="L45" s="102">
        <f t="shared" si="37"/>
        <v>0.25169999999999998</v>
      </c>
      <c r="M45" s="102">
        <f t="shared" si="37"/>
        <v>0.25169999999999998</v>
      </c>
      <c r="N45" s="102">
        <f t="shared" si="37"/>
        <v>0.25170000000000003</v>
      </c>
      <c r="O45" s="102">
        <f t="shared" si="37"/>
        <v>0.25170000000000003</v>
      </c>
      <c r="P45" s="102">
        <f t="shared" si="37"/>
        <v>0.25169999999999998</v>
      </c>
      <c r="Q45" s="102">
        <f t="shared" ref="Q45:V45" si="38">IFERROR(Q38/Q37,"NM")</f>
        <v>0.25169999999999998</v>
      </c>
      <c r="R45" s="102">
        <f t="shared" si="38"/>
        <v>0.25169999999999998</v>
      </c>
      <c r="S45" s="102">
        <f t="shared" si="38"/>
        <v>0.25169999999999998</v>
      </c>
      <c r="T45" s="102">
        <f t="shared" si="38"/>
        <v>0.25169999999999998</v>
      </c>
      <c r="U45" s="102">
        <f t="shared" si="38"/>
        <v>0.25169999999999998</v>
      </c>
      <c r="V45" s="102">
        <f t="shared" si="38"/>
        <v>0.25169999999999998</v>
      </c>
    </row>
    <row r="46" spans="1:26" outlineLevel="1">
      <c r="B46" s="37" t="s">
        <v>104</v>
      </c>
      <c r="C46" s="37"/>
      <c r="D46" s="381">
        <f t="shared" ref="D46:V46" si="39">IFERROR(D39/D12,"NM")</f>
        <v>0.12219541616405309</v>
      </c>
      <c r="E46" s="381">
        <f>IFERROR(E39/E12,"NM")</f>
        <v>0.16350741457124435</v>
      </c>
      <c r="F46" s="381">
        <f t="shared" si="39"/>
        <v>0.1616773308957952</v>
      </c>
      <c r="G46" s="381">
        <f t="shared" si="39"/>
        <v>0.10147226542249871</v>
      </c>
      <c r="H46" s="381">
        <f t="shared" si="39"/>
        <v>0.14032941176470584</v>
      </c>
      <c r="I46" s="381">
        <f t="shared" si="39"/>
        <v>0.14640523850388767</v>
      </c>
      <c r="J46" s="381">
        <f t="shared" si="39"/>
        <v>0.15064597173841424</v>
      </c>
      <c r="K46" s="381">
        <f t="shared" si="39"/>
        <v>0.15164937317556684</v>
      </c>
      <c r="L46" s="381">
        <f t="shared" si="39"/>
        <v>0.15642629114381212</v>
      </c>
      <c r="M46" s="381">
        <f t="shared" si="39"/>
        <v>0.16103766757983573</v>
      </c>
      <c r="N46" s="381">
        <f t="shared" si="39"/>
        <v>0.16572989364068402</v>
      </c>
      <c r="O46" s="381">
        <f t="shared" si="39"/>
        <v>0.1704742480197623</v>
      </c>
      <c r="P46" s="381">
        <f t="shared" si="39"/>
        <v>0.17450247547914802</v>
      </c>
      <c r="Q46" s="381">
        <f t="shared" si="39"/>
        <v>0.19689505246813524</v>
      </c>
      <c r="R46" s="381">
        <f t="shared" si="39"/>
        <v>0.19703756084819668</v>
      </c>
      <c r="S46" s="381">
        <f t="shared" si="39"/>
        <v>0.19683549415860413</v>
      </c>
      <c r="T46" s="381">
        <f t="shared" si="39"/>
        <v>0.20366623520410224</v>
      </c>
      <c r="U46" s="381">
        <f t="shared" si="39"/>
        <v>0.20246204534769122</v>
      </c>
      <c r="V46" s="381">
        <f t="shared" si="39"/>
        <v>0.20011606975111731</v>
      </c>
    </row>
    <row r="47" spans="1:26" ht="15" customHeight="1">
      <c r="D47"/>
      <c r="E47"/>
      <c r="F47"/>
      <c r="G47"/>
      <c r="H47"/>
    </row>
    <row r="48" spans="1:26" s="400" customFormat="1" ht="15" customHeight="1">
      <c r="A48" s="400" t="s">
        <v>35</v>
      </c>
      <c r="B48" s="401" t="s">
        <v>107</v>
      </c>
      <c r="C48" s="401"/>
      <c r="D48" s="401"/>
      <c r="E48" s="401"/>
      <c r="F48" s="401"/>
      <c r="G48" s="401"/>
      <c r="H48" s="401"/>
      <c r="I48" s="401"/>
      <c r="J48" s="401"/>
      <c r="K48" s="401"/>
      <c r="L48" s="401"/>
      <c r="M48" s="401"/>
      <c r="N48" s="401"/>
      <c r="O48" s="401"/>
      <c r="P48" s="401"/>
      <c r="Q48" s="401"/>
      <c r="R48" s="401"/>
      <c r="S48" s="401"/>
      <c r="T48" s="401"/>
      <c r="U48" s="401"/>
      <c r="V48" s="401"/>
    </row>
    <row r="49" spans="2:25" ht="15" customHeight="1" outlineLevel="1">
      <c r="F49"/>
      <c r="G49"/>
      <c r="H49"/>
    </row>
    <row r="50" spans="2:25" ht="15" customHeight="1" outlineLevel="1">
      <c r="B50" s="27" t="s">
        <v>11</v>
      </c>
      <c r="C50" s="4"/>
      <c r="D50" s="393"/>
      <c r="E50" s="393"/>
      <c r="F50" s="393"/>
      <c r="G50" s="393"/>
      <c r="H50" s="393"/>
      <c r="I50" s="393"/>
      <c r="J50" s="393"/>
      <c r="K50" s="393"/>
      <c r="L50" s="393"/>
      <c r="M50" s="393"/>
      <c r="N50" s="393"/>
      <c r="O50" s="393"/>
      <c r="P50" s="393"/>
      <c r="Q50" s="393"/>
      <c r="R50" s="393"/>
      <c r="S50" s="393"/>
      <c r="T50" s="393"/>
      <c r="U50" s="393"/>
      <c r="V50" s="393"/>
    </row>
    <row r="51" spans="2:25" ht="15" customHeight="1" outlineLevel="1">
      <c r="B51" s="78" t="s">
        <v>12</v>
      </c>
      <c r="C51" s="4"/>
      <c r="D51" s="384">
        <f>D125</f>
        <v>0.67600000000005023</v>
      </c>
      <c r="E51" s="384">
        <f t="shared" ref="E51:H51" si="40">E125</f>
        <v>25.026000000000018</v>
      </c>
      <c r="F51" s="384">
        <f t="shared" si="40"/>
        <v>14.201000000000086</v>
      </c>
      <c r="G51" s="384">
        <f t="shared" si="40"/>
        <v>3.1410000000000835</v>
      </c>
      <c r="H51" s="384">
        <f t="shared" si="40"/>
        <v>18.601000000000063</v>
      </c>
      <c r="I51" s="384">
        <f>I125</f>
        <v>148.02369217192006</v>
      </c>
      <c r="J51" s="384">
        <f t="shared" ref="J51:O51" si="41">J125</f>
        <v>157.4506502836125</v>
      </c>
      <c r="K51" s="384">
        <f t="shared" si="41"/>
        <v>120.26836802160858</v>
      </c>
      <c r="L51" s="384">
        <f t="shared" si="41"/>
        <v>102.98493413991423</v>
      </c>
      <c r="M51" s="88">
        <f t="shared" si="41"/>
        <v>126.11325569442261</v>
      </c>
      <c r="N51" s="384">
        <f t="shared" si="41"/>
        <v>163.55114207954443</v>
      </c>
      <c r="O51" s="384">
        <f t="shared" si="41"/>
        <v>272.84587852326013</v>
      </c>
      <c r="P51" s="384">
        <f>P125</f>
        <v>327.20903005105538</v>
      </c>
      <c r="Q51" s="384">
        <f t="shared" ref="Q51:V51" si="42">Q125</f>
        <v>485.5994900958176</v>
      </c>
      <c r="R51" s="384">
        <f t="shared" si="42"/>
        <v>600.57053422208492</v>
      </c>
      <c r="S51" s="384">
        <f t="shared" si="42"/>
        <v>754.62374552586198</v>
      </c>
      <c r="T51" s="384">
        <f t="shared" si="42"/>
        <v>937.30668761356674</v>
      </c>
      <c r="U51" s="384">
        <f t="shared" si="42"/>
        <v>1125.210034389052</v>
      </c>
      <c r="V51" s="384">
        <f t="shared" si="42"/>
        <v>1522.9581968304515</v>
      </c>
      <c r="W51" s="54"/>
    </row>
    <row r="52" spans="2:25" ht="15" customHeight="1" outlineLevel="1">
      <c r="B52" s="78" t="s">
        <v>604</v>
      </c>
      <c r="C52" s="4"/>
      <c r="D52" s="383">
        <f>' Balance Sheet'!D13</f>
        <v>0</v>
      </c>
      <c r="E52" s="383">
        <f>' Balance Sheet'!E13</f>
        <v>0</v>
      </c>
      <c r="F52" s="383">
        <f>' Balance Sheet'!F13</f>
        <v>1</v>
      </c>
      <c r="G52" s="383">
        <f>' Balance Sheet'!G13</f>
        <v>3.6200000000000019</v>
      </c>
      <c r="H52" s="383">
        <f>' Balance Sheet'!H13</f>
        <v>3.3600000000000207</v>
      </c>
      <c r="I52" s="384">
        <f>H52</f>
        <v>3.3600000000000207</v>
      </c>
      <c r="J52" s="384">
        <f>I52</f>
        <v>3.3600000000000207</v>
      </c>
      <c r="K52" s="384">
        <f>J52</f>
        <v>3.3600000000000207</v>
      </c>
      <c r="L52" s="384">
        <f>K52</f>
        <v>3.3600000000000207</v>
      </c>
      <c r="M52" s="88">
        <f t="shared" ref="M52" si="43">L52</f>
        <v>3.3600000000000207</v>
      </c>
      <c r="N52" s="88">
        <f>M52</f>
        <v>3.3600000000000207</v>
      </c>
      <c r="O52" s="384">
        <f>N52</f>
        <v>3.3600000000000207</v>
      </c>
      <c r="P52" s="384">
        <f>O52</f>
        <v>3.3600000000000207</v>
      </c>
      <c r="Q52" s="384">
        <f t="shared" ref="Q52" si="44">P52</f>
        <v>3.3600000000000207</v>
      </c>
      <c r="R52" s="384">
        <f>Q52</f>
        <v>3.3600000000000207</v>
      </c>
      <c r="S52" s="384">
        <f>R52</f>
        <v>3.3600000000000207</v>
      </c>
      <c r="T52" s="384">
        <f t="shared" ref="T52" si="45">S52</f>
        <v>3.3600000000000207</v>
      </c>
      <c r="U52" s="384">
        <f t="shared" ref="U52" si="46">T52</f>
        <v>3.3600000000000207</v>
      </c>
      <c r="V52" s="384">
        <f t="shared" ref="V52" si="47">U52</f>
        <v>3.3600000000000207</v>
      </c>
      <c r="W52" s="54"/>
    </row>
    <row r="53" spans="2:25" ht="15" customHeight="1" outlineLevel="1">
      <c r="B53" s="78" t="s">
        <v>13</v>
      </c>
      <c r="C53" s="4"/>
      <c r="D53" s="383">
        <f>Schedules!D134</f>
        <v>54</v>
      </c>
      <c r="E53" s="383">
        <f>Schedules!E134</f>
        <v>154</v>
      </c>
      <c r="F53" s="383">
        <f>Schedules!F134</f>
        <v>212</v>
      </c>
      <c r="G53" s="383">
        <f>Schedules!G134</f>
        <v>263</v>
      </c>
      <c r="H53" s="383">
        <f>Schedules!H134</f>
        <v>388</v>
      </c>
      <c r="I53" s="383">
        <f>Schedules!I134</f>
        <v>397.1013698630137</v>
      </c>
      <c r="J53" s="383">
        <f>Schedules!J134</f>
        <v>484.46367123287666</v>
      </c>
      <c r="K53" s="383">
        <f>Schedules!K134</f>
        <v>630.29712328767118</v>
      </c>
      <c r="L53" s="383">
        <f>Schedules!L134</f>
        <v>818.76832191780829</v>
      </c>
      <c r="M53" s="83">
        <f>Schedules!M134</f>
        <v>990.09173116438353</v>
      </c>
      <c r="N53" s="383">
        <f>Schedules!N134</f>
        <v>1179.8275792615582</v>
      </c>
      <c r="O53" s="383">
        <f>Schedules!O134</f>
        <v>1357.4378976886287</v>
      </c>
      <c r="P53" s="383">
        <f>Schedules!P134</f>
        <v>1601.7767192725821</v>
      </c>
      <c r="Q53" s="383">
        <f>Schedules!Q134</f>
        <v>1842.0432271634691</v>
      </c>
      <c r="R53" s="383">
        <f>Schedules!R134</f>
        <v>2099.929278966355</v>
      </c>
      <c r="S53" s="383">
        <f>Schedules!S134</f>
        <v>2351.9207924423176</v>
      </c>
      <c r="T53" s="383">
        <f>Schedules!T134</f>
        <v>2587.1128716865496</v>
      </c>
      <c r="U53" s="383">
        <f>Schedules!U134</f>
        <v>2794.0819014214744</v>
      </c>
      <c r="V53" s="383">
        <f>Schedules!V134</f>
        <v>2933.7859964925478</v>
      </c>
      <c r="W53" s="54"/>
    </row>
    <row r="54" spans="2:25" ht="15" customHeight="1" outlineLevel="1">
      <c r="B54" s="78" t="s">
        <v>494</v>
      </c>
      <c r="C54" s="4"/>
      <c r="D54" s="383">
        <f>Schedules!D129</f>
        <v>119</v>
      </c>
      <c r="E54" s="383">
        <f>Schedules!E129</f>
        <v>256</v>
      </c>
      <c r="F54" s="383">
        <f>Schedules!F129</f>
        <v>166</v>
      </c>
      <c r="G54" s="383">
        <f>Schedules!G129</f>
        <v>179</v>
      </c>
      <c r="H54" s="383">
        <f>Schedules!H129</f>
        <v>232</v>
      </c>
      <c r="I54" s="383">
        <f>Schedules!I129</f>
        <v>283.64383561643837</v>
      </c>
      <c r="J54" s="383">
        <f>Schedules!J129</f>
        <v>346.04547945205479</v>
      </c>
      <c r="K54" s="383">
        <f>Schedules!K129</f>
        <v>432.55684931506846</v>
      </c>
      <c r="L54" s="383">
        <f>Schedules!L129</f>
        <v>540.69606164383561</v>
      </c>
      <c r="M54" s="83">
        <f>Schedules!M129</f>
        <v>666.40789597602736</v>
      </c>
      <c r="N54" s="383">
        <f>Schedules!N129</f>
        <v>809.68559361087318</v>
      </c>
      <c r="O54" s="383">
        <f>Schedules!O129</f>
        <v>969.59849834902047</v>
      </c>
      <c r="P54" s="383">
        <f>Schedules!P129</f>
        <v>1144.1262280518442</v>
      </c>
      <c r="Q54" s="383">
        <f>Schedules!Q129</f>
        <v>1315.7451622596209</v>
      </c>
      <c r="R54" s="383">
        <f>Schedules!R129</f>
        <v>1499.9494849759678</v>
      </c>
      <c r="S54" s="383">
        <f>Schedules!S129</f>
        <v>1679.9434231730838</v>
      </c>
      <c r="T54" s="383">
        <f>Schedules!T129</f>
        <v>1847.9377654903926</v>
      </c>
      <c r="U54" s="383">
        <f>Schedules!U129</f>
        <v>1995.7727867296244</v>
      </c>
      <c r="V54" s="383">
        <f>Schedules!V129</f>
        <v>2095.5614260661055</v>
      </c>
      <c r="W54" s="54"/>
      <c r="X54" s="54"/>
      <c r="Y54" s="54"/>
    </row>
    <row r="55" spans="2:25" ht="15" customHeight="1" outlineLevel="1">
      <c r="B55" s="97" t="s">
        <v>16</v>
      </c>
      <c r="C55" s="13"/>
      <c r="D55" s="383">
        <f>Schedules!D140</f>
        <v>8.1</v>
      </c>
      <c r="E55" s="383">
        <f>Schedules!E140</f>
        <v>12.2</v>
      </c>
      <c r="F55" s="383">
        <f>Schedules!F140</f>
        <v>26</v>
      </c>
      <c r="G55" s="383">
        <f>Schedules!G140</f>
        <v>52</v>
      </c>
      <c r="H55" s="383">
        <f>Schedules!H140</f>
        <v>131.61000000000001</v>
      </c>
      <c r="I55" s="383">
        <f>Schedules!I140</f>
        <v>147.9</v>
      </c>
      <c r="J55" s="383">
        <f>Schedules!J140</f>
        <v>180.43799999999999</v>
      </c>
      <c r="K55" s="383">
        <f>Schedules!K140</f>
        <v>225.54750000000001</v>
      </c>
      <c r="L55" s="383">
        <f>Schedules!L140</f>
        <v>281.93437499999999</v>
      </c>
      <c r="M55" s="83">
        <f>Schedules!M140</f>
        <v>347.48411718750003</v>
      </c>
      <c r="N55" s="383">
        <f>Schedules!N140</f>
        <v>422.19320238281244</v>
      </c>
      <c r="O55" s="383">
        <f>Schedules!O140</f>
        <v>505.5763598534179</v>
      </c>
      <c r="P55" s="383">
        <f>Schedules!P140</f>
        <v>596.58010462703305</v>
      </c>
      <c r="Q55" s="383">
        <f>Schedules!Q140</f>
        <v>686.06712032108805</v>
      </c>
      <c r="R55" s="383">
        <f>Schedules!R140</f>
        <v>782.11651716604047</v>
      </c>
      <c r="S55" s="383">
        <f>Schedules!S140</f>
        <v>875.97049922596534</v>
      </c>
      <c r="T55" s="383">
        <f>Schedules!T140</f>
        <v>963.56754914856197</v>
      </c>
      <c r="U55" s="383">
        <f>Schedules!U140</f>
        <v>1040.6529530804471</v>
      </c>
      <c r="V55" s="383">
        <f>Schedules!V140</f>
        <v>1092.6856007344693</v>
      </c>
      <c r="W55" s="54"/>
      <c r="X55" s="54"/>
      <c r="Y55" s="54"/>
    </row>
    <row r="56" spans="2:25" ht="15" customHeight="1" outlineLevel="1">
      <c r="B56" s="2" t="s">
        <v>17</v>
      </c>
      <c r="C56" s="15"/>
      <c r="D56" s="105">
        <f>SUM(D51:D55)</f>
        <v>181.77600000000004</v>
      </c>
      <c r="E56" s="105">
        <f t="shared" ref="E56:G56" si="48">SUM(E51:E55)</f>
        <v>447.226</v>
      </c>
      <c r="F56" s="105">
        <f t="shared" si="48"/>
        <v>419.20100000000008</v>
      </c>
      <c r="G56" s="105">
        <f t="shared" si="48"/>
        <v>500.76100000000008</v>
      </c>
      <c r="H56" s="105">
        <f>SUM(H51:H55)</f>
        <v>773.57100000000003</v>
      </c>
      <c r="I56" s="105">
        <f>SUM(I51:I55)</f>
        <v>980.02889765137218</v>
      </c>
      <c r="J56" s="105">
        <f>SUM(J51:J55)</f>
        <v>1171.757800968544</v>
      </c>
      <c r="K56" s="105">
        <f t="shared" ref="K56:P56" si="49">SUM(K51:K55)</f>
        <v>1412.0298406243483</v>
      </c>
      <c r="L56" s="105">
        <f t="shared" si="49"/>
        <v>1747.7436927015581</v>
      </c>
      <c r="M56" s="105">
        <f t="shared" si="49"/>
        <v>2133.4570000223334</v>
      </c>
      <c r="N56" s="105">
        <f t="shared" si="49"/>
        <v>2578.6175173347883</v>
      </c>
      <c r="O56" s="105">
        <f t="shared" si="49"/>
        <v>3108.8186344143269</v>
      </c>
      <c r="P56" s="105">
        <f t="shared" si="49"/>
        <v>3673.0520820025145</v>
      </c>
      <c r="Q56" s="105">
        <f t="shared" ref="Q56:V56" si="50">SUM(Q51:Q55)</f>
        <v>4332.8149998399958</v>
      </c>
      <c r="R56" s="105">
        <f t="shared" si="50"/>
        <v>4985.9258153304481</v>
      </c>
      <c r="S56" s="105">
        <f t="shared" si="50"/>
        <v>5665.8184603672289</v>
      </c>
      <c r="T56" s="105">
        <f t="shared" si="50"/>
        <v>6339.2848739390711</v>
      </c>
      <c r="U56" s="105">
        <f t="shared" si="50"/>
        <v>6959.0776756205978</v>
      </c>
      <c r="V56" s="105">
        <f t="shared" si="50"/>
        <v>7648.3512201235744</v>
      </c>
      <c r="W56" s="54"/>
    </row>
    <row r="57" spans="2:25" ht="15" customHeight="1" outlineLevel="1">
      <c r="B57" s="76"/>
      <c r="C57" s="4"/>
      <c r="D57" s="16"/>
      <c r="E57" s="16"/>
      <c r="F57" s="16"/>
      <c r="G57" s="16"/>
      <c r="H57" s="16"/>
      <c r="M57" s="82"/>
      <c r="W57" s="54"/>
    </row>
    <row r="58" spans="2:25" ht="15" customHeight="1" outlineLevel="1">
      <c r="B58" s="78" t="s">
        <v>537</v>
      </c>
      <c r="D58" s="383">
        <f>Schedules!D53</f>
        <v>1070.6500000000001</v>
      </c>
      <c r="E58" s="383">
        <f>Schedules!E53</f>
        <v>1039.4000000000001</v>
      </c>
      <c r="F58" s="383">
        <f>Schedules!F53</f>
        <v>1778.85</v>
      </c>
      <c r="G58" s="383">
        <f>Schedules!G53</f>
        <v>1744.68</v>
      </c>
      <c r="H58" s="383">
        <f>Schedules!H53</f>
        <v>2219.39</v>
      </c>
      <c r="I58" s="383">
        <f>Schedules!I73</f>
        <v>2507.5271428571427</v>
      </c>
      <c r="J58" s="383">
        <f>Schedules!J73</f>
        <v>2903.1971428571428</v>
      </c>
      <c r="K58" s="383">
        <f>Schedules!K73</f>
        <v>3395.295714285714</v>
      </c>
      <c r="L58" s="383">
        <f>Schedules!L73</f>
        <v>3973.1085714285709</v>
      </c>
      <c r="M58" s="83">
        <f>Schedules!M73</f>
        <v>4625.9214285714279</v>
      </c>
      <c r="N58" s="383">
        <f>Schedules!N73</f>
        <v>5343.0199999999995</v>
      </c>
      <c r="O58" s="383">
        <f>Schedules!O73</f>
        <v>6113.69</v>
      </c>
      <c r="P58" s="383">
        <f>Schedules!P73</f>
        <v>6927.2171428571428</v>
      </c>
      <c r="Q58" s="383">
        <f>Schedules!Q73</f>
        <v>7689.3157142857135</v>
      </c>
      <c r="R58" s="383">
        <f>Schedules!R73</f>
        <v>8397.9285714285706</v>
      </c>
      <c r="S58" s="383">
        <f>Schedules!S73</f>
        <v>9050.9162857142856</v>
      </c>
      <c r="T58" s="383">
        <f>Schedules!T73</f>
        <v>9646.0538514285727</v>
      </c>
      <c r="U58" s="383">
        <f>Schedules!U73</f>
        <v>10181.027262628573</v>
      </c>
      <c r="V58" s="383">
        <f>Schedules!V73</f>
        <v>10653.429953133716</v>
      </c>
      <c r="W58" s="54"/>
      <c r="X58" s="71"/>
      <c r="Y58" s="71"/>
    </row>
    <row r="59" spans="2:25" ht="15" customHeight="1" outlineLevel="1">
      <c r="B59" s="78" t="s">
        <v>538</v>
      </c>
      <c r="D59" s="383">
        <f>Schedules!D65</f>
        <v>31.35</v>
      </c>
      <c r="E59" s="383">
        <f>Schedules!E65</f>
        <v>28.6</v>
      </c>
      <c r="F59" s="383">
        <f>Schedules!F65</f>
        <v>25.15</v>
      </c>
      <c r="G59" s="383">
        <f>Schedules!G65</f>
        <v>22.32</v>
      </c>
      <c r="H59" s="383">
        <f>Schedules!H65</f>
        <v>19</v>
      </c>
      <c r="I59" s="383">
        <f>Schedules!I75</f>
        <v>16</v>
      </c>
      <c r="J59" s="383">
        <f>Schedules!J75</f>
        <v>13</v>
      </c>
      <c r="K59" s="383">
        <f>Schedules!K75</f>
        <v>10</v>
      </c>
      <c r="L59" s="506">
        <f>Schedules!L75</f>
        <v>7</v>
      </c>
      <c r="M59" s="83">
        <f>Schedules!M75</f>
        <v>4</v>
      </c>
      <c r="N59" s="506">
        <f>Schedules!N75</f>
        <v>0.77</v>
      </c>
      <c r="O59" s="383"/>
      <c r="P59" s="383">
        <f>Schedules!P75</f>
        <v>0</v>
      </c>
      <c r="Q59" s="383">
        <f>Schedules!Q75</f>
        <v>0</v>
      </c>
      <c r="R59" s="383">
        <f>Schedules!R75</f>
        <v>0</v>
      </c>
      <c r="S59" s="383">
        <f>Schedules!S75</f>
        <v>0</v>
      </c>
      <c r="T59" s="383">
        <f>Schedules!T75</f>
        <v>0</v>
      </c>
      <c r="U59" s="383">
        <f>Schedules!U75</f>
        <v>0</v>
      </c>
      <c r="V59" s="383">
        <f>Schedules!V75</f>
        <v>0</v>
      </c>
      <c r="W59" s="54"/>
    </row>
    <row r="60" spans="2:25" ht="15" customHeight="1" outlineLevel="1">
      <c r="B60" s="78" t="s">
        <v>216</v>
      </c>
      <c r="D60" s="383">
        <f>Schedules!D61</f>
        <v>126</v>
      </c>
      <c r="E60" s="383">
        <f>Schedules!E61</f>
        <v>589</v>
      </c>
      <c r="F60" s="383">
        <f>Schedules!F61</f>
        <v>158</v>
      </c>
      <c r="G60" s="383">
        <f>Schedules!G61</f>
        <v>483</v>
      </c>
      <c r="H60" s="383">
        <f>Schedules!H61</f>
        <v>64</v>
      </c>
      <c r="I60" s="383">
        <f>Schedules!I61</f>
        <v>64</v>
      </c>
      <c r="J60" s="383">
        <f>Schedules!J61</f>
        <v>64</v>
      </c>
      <c r="K60" s="383">
        <f>Schedules!K61</f>
        <v>64</v>
      </c>
      <c r="L60" s="383">
        <f>Schedules!L61</f>
        <v>64</v>
      </c>
      <c r="M60" s="83">
        <f>Schedules!M61</f>
        <v>64</v>
      </c>
      <c r="N60" s="383">
        <f>Schedules!N61</f>
        <v>64</v>
      </c>
      <c r="O60" s="383">
        <f>Schedules!O61</f>
        <v>64</v>
      </c>
      <c r="P60" s="383">
        <f>Schedules!P61</f>
        <v>64</v>
      </c>
      <c r="Q60" s="383">
        <f>Schedules!Q61</f>
        <v>64</v>
      </c>
      <c r="R60" s="383">
        <f>Schedules!R61</f>
        <v>64</v>
      </c>
      <c r="S60" s="383">
        <f>Schedules!S61</f>
        <v>64</v>
      </c>
      <c r="T60" s="383">
        <f>Schedules!T61</f>
        <v>64</v>
      </c>
      <c r="U60" s="383">
        <f>Schedules!U61</f>
        <v>64</v>
      </c>
      <c r="V60" s="383">
        <f>Schedules!V61</f>
        <v>64</v>
      </c>
      <c r="W60" s="54"/>
    </row>
    <row r="61" spans="2:25" ht="15" customHeight="1" outlineLevel="1">
      <c r="B61" s="78" t="s">
        <v>18</v>
      </c>
      <c r="C61" s="13"/>
      <c r="D61" s="383">
        <f>Schedules!D57</f>
        <v>39.200000000000003</v>
      </c>
      <c r="E61" s="383">
        <f>Schedules!E57</f>
        <v>19.8</v>
      </c>
      <c r="F61" s="383">
        <f>Schedules!F57</f>
        <v>51</v>
      </c>
      <c r="G61" s="383">
        <f>Schedules!G57</f>
        <v>43.2</v>
      </c>
      <c r="H61" s="383">
        <f>Schedules!H57</f>
        <v>76</v>
      </c>
      <c r="I61" s="383">
        <f>Schedules!I57</f>
        <v>76</v>
      </c>
      <c r="J61" s="383">
        <f>Schedules!J57</f>
        <v>76</v>
      </c>
      <c r="K61" s="383">
        <f>Schedules!K57</f>
        <v>76</v>
      </c>
      <c r="L61" s="383">
        <f>Schedules!L57</f>
        <v>76</v>
      </c>
      <c r="M61" s="83">
        <f>Schedules!M57</f>
        <v>76</v>
      </c>
      <c r="N61" s="383">
        <f>Schedules!N57</f>
        <v>76</v>
      </c>
      <c r="O61" s="383">
        <f>Schedules!O57</f>
        <v>76</v>
      </c>
      <c r="P61" s="383">
        <f>Schedules!P57</f>
        <v>76</v>
      </c>
      <c r="Q61" s="383">
        <f>Schedules!Q57</f>
        <v>76</v>
      </c>
      <c r="R61" s="383">
        <f>Schedules!R57</f>
        <v>76</v>
      </c>
      <c r="S61" s="383">
        <f>Schedules!S57</f>
        <v>76</v>
      </c>
      <c r="T61" s="383">
        <f>Schedules!T57</f>
        <v>76</v>
      </c>
      <c r="U61" s="383">
        <f>Schedules!U57</f>
        <v>76</v>
      </c>
      <c r="V61" s="383">
        <f>Schedules!V57</f>
        <v>76</v>
      </c>
      <c r="W61" s="54"/>
    </row>
    <row r="62" spans="2:25" ht="15" customHeight="1" outlineLevel="1">
      <c r="B62" s="375" t="s">
        <v>19</v>
      </c>
      <c r="C62" s="4"/>
      <c r="D62" s="105">
        <f t="shared" ref="D62:V62" si="51">SUM(D58:D61)</f>
        <v>1267.2</v>
      </c>
      <c r="E62" s="105">
        <f t="shared" si="51"/>
        <v>1676.8</v>
      </c>
      <c r="F62" s="105">
        <f t="shared" si="51"/>
        <v>2013</v>
      </c>
      <c r="G62" s="105">
        <f t="shared" si="51"/>
        <v>2293.1999999999998</v>
      </c>
      <c r="H62" s="105">
        <f t="shared" si="51"/>
        <v>2378.39</v>
      </c>
      <c r="I62" s="105">
        <f t="shared" si="51"/>
        <v>2663.5271428571427</v>
      </c>
      <c r="J62" s="105">
        <f t="shared" si="51"/>
        <v>3056.1971428571428</v>
      </c>
      <c r="K62" s="105">
        <f t="shared" si="51"/>
        <v>3545.295714285714</v>
      </c>
      <c r="L62" s="105">
        <f t="shared" si="51"/>
        <v>4120.1085714285709</v>
      </c>
      <c r="M62" s="105">
        <f t="shared" si="51"/>
        <v>4769.9214285714279</v>
      </c>
      <c r="N62" s="105">
        <f t="shared" si="51"/>
        <v>5483.79</v>
      </c>
      <c r="O62" s="105">
        <f t="shared" si="51"/>
        <v>6253.69</v>
      </c>
      <c r="P62" s="105">
        <f t="shared" si="51"/>
        <v>7067.2171428571428</v>
      </c>
      <c r="Q62" s="105">
        <f t="shared" si="51"/>
        <v>7829.3157142857135</v>
      </c>
      <c r="R62" s="105">
        <f t="shared" si="51"/>
        <v>8537.9285714285706</v>
      </c>
      <c r="S62" s="105">
        <f t="shared" si="51"/>
        <v>9190.9162857142856</v>
      </c>
      <c r="T62" s="105">
        <f t="shared" si="51"/>
        <v>9786.0538514285727</v>
      </c>
      <c r="U62" s="105">
        <f t="shared" si="51"/>
        <v>10321.027262628573</v>
      </c>
      <c r="V62" s="105">
        <f t="shared" si="51"/>
        <v>10793.429953133716</v>
      </c>
      <c r="W62" s="54"/>
    </row>
    <row r="63" spans="2:25" ht="15" customHeight="1" outlineLevel="1">
      <c r="B63" s="78"/>
      <c r="C63" s="4"/>
      <c r="D63" s="16"/>
      <c r="E63" s="16"/>
      <c r="F63" s="16"/>
      <c r="G63" s="16"/>
      <c r="H63" s="16"/>
      <c r="M63" s="82"/>
      <c r="W63" s="54"/>
    </row>
    <row r="64" spans="2:25" ht="15.75" customHeight="1" outlineLevel="1" thickBot="1">
      <c r="B64" s="99" t="s">
        <v>20</v>
      </c>
      <c r="C64" s="24"/>
      <c r="D64" s="84">
        <f t="shared" ref="D64:R64" si="52">SUM(D62,D56)</f>
        <v>1448.9760000000001</v>
      </c>
      <c r="E64" s="84">
        <f t="shared" si="52"/>
        <v>2124.0259999999998</v>
      </c>
      <c r="F64" s="84">
        <f t="shared" si="52"/>
        <v>2432.201</v>
      </c>
      <c r="G64" s="84">
        <f t="shared" si="52"/>
        <v>2793.9609999999998</v>
      </c>
      <c r="H64" s="84">
        <f t="shared" si="52"/>
        <v>3151.9609999999998</v>
      </c>
      <c r="I64" s="84">
        <f t="shared" si="52"/>
        <v>3643.5560405085148</v>
      </c>
      <c r="J64" s="84">
        <f t="shared" si="52"/>
        <v>4227.9549438256872</v>
      </c>
      <c r="K64" s="84">
        <f t="shared" si="52"/>
        <v>4957.3255549100622</v>
      </c>
      <c r="L64" s="84">
        <f t="shared" si="52"/>
        <v>5867.8522641301288</v>
      </c>
      <c r="M64" s="84">
        <f t="shared" si="52"/>
        <v>6903.3784285937618</v>
      </c>
      <c r="N64" s="84">
        <f t="shared" si="52"/>
        <v>8062.4075173347883</v>
      </c>
      <c r="O64" s="84">
        <f t="shared" si="52"/>
        <v>9362.5086344143274</v>
      </c>
      <c r="P64" s="84">
        <f t="shared" si="52"/>
        <v>10740.269224859658</v>
      </c>
      <c r="Q64" s="84">
        <f t="shared" si="52"/>
        <v>12162.130714125709</v>
      </c>
      <c r="R64" s="84">
        <f t="shared" si="52"/>
        <v>13523.85438675902</v>
      </c>
      <c r="S64" s="84">
        <f t="shared" ref="S64:V64" si="53">SUM(S62,S56)</f>
        <v>14856.734746081514</v>
      </c>
      <c r="T64" s="84">
        <f t="shared" si="53"/>
        <v>16125.338725367645</v>
      </c>
      <c r="U64" s="84">
        <f t="shared" si="53"/>
        <v>17280.104938249169</v>
      </c>
      <c r="V64" s="84">
        <f t="shared" si="53"/>
        <v>18441.781173257292</v>
      </c>
      <c r="W64" s="54"/>
      <c r="X64" s="82"/>
      <c r="Y64" s="82"/>
    </row>
    <row r="65" spans="2:26" ht="15" customHeight="1" outlineLevel="1">
      <c r="B65" s="6"/>
      <c r="C65" s="4"/>
      <c r="D65" s="16"/>
      <c r="E65" s="16"/>
      <c r="F65" s="16"/>
      <c r="G65" s="16"/>
      <c r="H65" s="16"/>
      <c r="I65" s="19"/>
      <c r="M65" s="505"/>
      <c r="W65" s="54"/>
    </row>
    <row r="66" spans="2:26" ht="15" customHeight="1" outlineLevel="1">
      <c r="B66" s="98" t="s">
        <v>590</v>
      </c>
      <c r="C66" s="4"/>
      <c r="D66" s="16"/>
      <c r="E66" s="16"/>
      <c r="F66" s="16"/>
      <c r="G66" s="16"/>
      <c r="H66" s="16"/>
      <c r="I66" s="19"/>
      <c r="M66" s="505"/>
      <c r="P66" s="44"/>
      <c r="W66" s="54"/>
    </row>
    <row r="67" spans="2:26" ht="15" customHeight="1" outlineLevel="1">
      <c r="B67" s="98"/>
      <c r="C67" s="4"/>
      <c r="D67" s="16"/>
      <c r="E67" s="16"/>
      <c r="F67" s="16"/>
      <c r="G67" s="16"/>
      <c r="H67" s="16"/>
      <c r="I67" s="19"/>
      <c r="M67" s="505"/>
      <c r="W67" s="54"/>
    </row>
    <row r="68" spans="2:26" ht="15" customHeight="1" outlineLevel="1">
      <c r="B68" s="27" t="s">
        <v>21</v>
      </c>
      <c r="C68" s="4"/>
      <c r="D68" s="16"/>
      <c r="E68" s="16"/>
      <c r="F68" s="16"/>
      <c r="G68" s="16"/>
      <c r="H68" s="16"/>
      <c r="I68" s="19"/>
      <c r="M68" s="505"/>
      <c r="W68" s="54"/>
    </row>
    <row r="69" spans="2:26" ht="15" customHeight="1" outlineLevel="1">
      <c r="B69" s="79" t="s">
        <v>22</v>
      </c>
      <c r="C69" s="4"/>
      <c r="D69" s="383">
        <f>' Balance Sheet'!D30</f>
        <v>73</v>
      </c>
      <c r="E69" s="383">
        <f>' Balance Sheet'!E30</f>
        <v>88</v>
      </c>
      <c r="F69" s="383">
        <f>' Balance Sheet'!F30</f>
        <v>110</v>
      </c>
      <c r="G69" s="383">
        <f>' Balance Sheet'!G30</f>
        <v>184</v>
      </c>
      <c r="H69" s="383">
        <f>' Balance Sheet'!H30</f>
        <v>186</v>
      </c>
      <c r="I69" s="383">
        <f>Schedules!I145</f>
        <v>222.86301369863014</v>
      </c>
      <c r="J69" s="383">
        <f>Schedules!J145</f>
        <v>268.92677260273973</v>
      </c>
      <c r="K69" s="383">
        <f>Schedules!K145</f>
        <v>336.15846575342465</v>
      </c>
      <c r="L69" s="383">
        <f>Schedules!L145</f>
        <v>416.4904520547945</v>
      </c>
      <c r="M69" s="83">
        <f>Schedules!M145</f>
        <v>508.75482801369867</v>
      </c>
      <c r="N69" s="383">
        <f>Schedules!N145</f>
        <v>612.58498625188361</v>
      </c>
      <c r="O69" s="383">
        <f>Schedules!O145</f>
        <v>726.92184561938018</v>
      </c>
      <c r="P69" s="383">
        <f>Schedules!P145</f>
        <v>849.92234083851292</v>
      </c>
      <c r="Q69" s="383">
        <f>Schedules!Q145</f>
        <v>921.02161358173453</v>
      </c>
      <c r="R69" s="383">
        <f>Schedules!R145</f>
        <v>1049.9646394831775</v>
      </c>
      <c r="S69" s="383">
        <f>Schedules!S145</f>
        <v>1175.9603962211588</v>
      </c>
      <c r="T69" s="383">
        <f>Schedules!T145</f>
        <v>1267.157324907698</v>
      </c>
      <c r="U69" s="383">
        <f>Schedules!U145</f>
        <v>1368.5299109003138</v>
      </c>
      <c r="V69" s="383">
        <f>Schedules!V145</f>
        <v>1436.9564064453295</v>
      </c>
      <c r="W69" s="54"/>
    </row>
    <row r="70" spans="2:26" ht="15" customHeight="1" outlineLevel="1">
      <c r="B70" s="79" t="s">
        <v>23</v>
      </c>
      <c r="C70" s="4"/>
      <c r="D70" s="383">
        <f>SUM(' Balance Sheet'!D31,' Balance Sheet'!D33:D34,' Balance Sheet'!D35)</f>
        <v>4.9000000000000004</v>
      </c>
      <c r="E70" s="383">
        <f>SUM(' Balance Sheet'!E31,' Balance Sheet'!E33:E34,' Balance Sheet'!E35)</f>
        <v>28.4</v>
      </c>
      <c r="F70" s="383">
        <f>SUM(' Balance Sheet'!F31,' Balance Sheet'!F33:F34,' Balance Sheet'!F35)</f>
        <v>21.8</v>
      </c>
      <c r="G70" s="383">
        <f>SUM(' Balance Sheet'!G31,' Balance Sheet'!G33:G34,' Balance Sheet'!G35)</f>
        <v>28</v>
      </c>
      <c r="H70" s="383">
        <f>SUM(' Balance Sheet'!H31,' Balance Sheet'!H33:H34,' Balance Sheet'!H35)</f>
        <v>12.1</v>
      </c>
      <c r="I70" s="383">
        <f>Schedules!I154</f>
        <v>12.1</v>
      </c>
      <c r="J70" s="383">
        <f>Schedules!J154</f>
        <v>12.1</v>
      </c>
      <c r="K70" s="383">
        <f>Schedules!K154</f>
        <v>12.1</v>
      </c>
      <c r="L70" s="383">
        <f>Schedules!L154</f>
        <v>12.1</v>
      </c>
      <c r="M70" s="83">
        <f>Schedules!M154</f>
        <v>12.1</v>
      </c>
      <c r="N70" s="383">
        <f>Schedules!N154</f>
        <v>12.1</v>
      </c>
      <c r="O70" s="383">
        <f>Schedules!O154</f>
        <v>12.1</v>
      </c>
      <c r="P70" s="383">
        <f>Schedules!P154</f>
        <v>12.1</v>
      </c>
      <c r="Q70" s="383">
        <f>Schedules!Q154</f>
        <v>12.1</v>
      </c>
      <c r="R70" s="383">
        <f>Schedules!R154</f>
        <v>12.1</v>
      </c>
      <c r="S70" s="383">
        <f>Schedules!S154</f>
        <v>12.1</v>
      </c>
      <c r="T70" s="383">
        <f>Schedules!T154</f>
        <v>12.1</v>
      </c>
      <c r="U70" s="383">
        <f>Schedules!U154</f>
        <v>12.1</v>
      </c>
      <c r="V70" s="383">
        <f>Schedules!V154</f>
        <v>12.1</v>
      </c>
      <c r="W70" s="54"/>
    </row>
    <row r="71" spans="2:26" ht="15" customHeight="1" outlineLevel="1">
      <c r="B71" s="79" t="s">
        <v>24</v>
      </c>
      <c r="C71" s="4"/>
      <c r="D71" s="383">
        <f>' Balance Sheet'!D37</f>
        <v>236.4</v>
      </c>
      <c r="E71" s="383">
        <f>' Balance Sheet'!E37</f>
        <v>336.1</v>
      </c>
      <c r="F71" s="383">
        <f>' Balance Sheet'!F37</f>
        <v>422.2</v>
      </c>
      <c r="G71" s="383">
        <f>' Balance Sheet'!G37</f>
        <v>345</v>
      </c>
      <c r="H71" s="383">
        <f>' Balance Sheet'!H37</f>
        <v>244.3</v>
      </c>
      <c r="I71" s="383">
        <f>Schedules!I158</f>
        <v>244.3</v>
      </c>
      <c r="J71" s="383">
        <f>Schedules!J158</f>
        <v>244.3</v>
      </c>
      <c r="K71" s="383">
        <f>Schedules!K158</f>
        <v>244.3</v>
      </c>
      <c r="L71" s="383">
        <f>Schedules!L158</f>
        <v>244.3</v>
      </c>
      <c r="M71" s="83">
        <f>Schedules!M158</f>
        <v>244.3</v>
      </c>
      <c r="N71" s="383">
        <f>Schedules!N158</f>
        <v>244.3</v>
      </c>
      <c r="O71" s="383">
        <f>Schedules!O158</f>
        <v>244.3</v>
      </c>
      <c r="P71" s="383">
        <f>Schedules!P158</f>
        <v>244.3</v>
      </c>
      <c r="Q71" s="383">
        <f>Schedules!Q158</f>
        <v>244.3</v>
      </c>
      <c r="R71" s="383">
        <f>Schedules!R158</f>
        <v>244.3</v>
      </c>
      <c r="S71" s="383">
        <f>Schedules!S158</f>
        <v>244.3</v>
      </c>
      <c r="T71" s="383">
        <f>Schedules!T158</f>
        <v>244.3</v>
      </c>
      <c r="U71" s="383">
        <f>Schedules!U158</f>
        <v>244.3</v>
      </c>
      <c r="V71" s="383">
        <f>Schedules!V158</f>
        <v>244.3</v>
      </c>
      <c r="W71" s="54"/>
    </row>
    <row r="72" spans="2:26" ht="15" customHeight="1" outlineLevel="1">
      <c r="B72" s="79" t="s">
        <v>591</v>
      </c>
      <c r="C72" s="4"/>
      <c r="D72" s="383">
        <f>' Balance Sheet'!D36</f>
        <v>75</v>
      </c>
      <c r="E72" s="383">
        <f>' Balance Sheet'!E36</f>
        <v>80</v>
      </c>
      <c r="F72" s="383">
        <f>' Balance Sheet'!F36</f>
        <v>92</v>
      </c>
      <c r="G72" s="383">
        <f>' Balance Sheet'!G36</f>
        <v>221</v>
      </c>
      <c r="H72" s="383">
        <f>' Balance Sheet'!H36</f>
        <v>50</v>
      </c>
      <c r="I72" s="383">
        <f>Schedules!I182</f>
        <v>88.74</v>
      </c>
      <c r="J72" s="383">
        <f>Schedules!J182</f>
        <v>108.26279999999998</v>
      </c>
      <c r="K72" s="383">
        <f>Schedules!K182</f>
        <v>135.32849999999999</v>
      </c>
      <c r="L72" s="383">
        <f>Schedules!L182</f>
        <v>169.16062499999998</v>
      </c>
      <c r="M72" s="83">
        <f>Schedules!M182</f>
        <v>173.74205859375002</v>
      </c>
      <c r="N72" s="383">
        <f>Schedules!N182</f>
        <v>126.65796071484372</v>
      </c>
      <c r="O72" s="383">
        <f>Schedules!O182</f>
        <v>101.11527197068358</v>
      </c>
      <c r="P72" s="383">
        <f>Schedules!P182</f>
        <v>101.11527197068358</v>
      </c>
      <c r="Q72" s="383">
        <f>Schedules!Q182</f>
        <v>101.11527197068358</v>
      </c>
      <c r="R72" s="383">
        <f>Schedules!R182</f>
        <v>101.11527197068358</v>
      </c>
      <c r="S72" s="383">
        <f>Schedules!S182</f>
        <v>101.11527197068358</v>
      </c>
      <c r="T72" s="383">
        <f>Schedules!T182</f>
        <v>101.11527197068358</v>
      </c>
      <c r="U72" s="383">
        <f>Schedules!U182</f>
        <v>101.11527197068358</v>
      </c>
      <c r="V72" s="383">
        <f>Schedules!V182</f>
        <v>101.11527197068358</v>
      </c>
      <c r="W72" s="54"/>
    </row>
    <row r="73" spans="2:26" ht="15" customHeight="1" outlineLevel="1">
      <c r="B73" s="334" t="s">
        <v>25</v>
      </c>
      <c r="C73" s="164"/>
      <c r="D73" s="105">
        <f>SUM(D69:D72)</f>
        <v>389.3</v>
      </c>
      <c r="E73" s="105">
        <f t="shared" ref="E73:H73" si="54">SUM(E69:E72)</f>
        <v>532.5</v>
      </c>
      <c r="F73" s="105">
        <f t="shared" si="54"/>
        <v>646</v>
      </c>
      <c r="G73" s="105">
        <f t="shared" si="54"/>
        <v>778</v>
      </c>
      <c r="H73" s="105">
        <f t="shared" si="54"/>
        <v>492.4</v>
      </c>
      <c r="I73" s="105">
        <f>SUM(I69:I72)</f>
        <v>568.00301369863018</v>
      </c>
      <c r="J73" s="105">
        <f>SUM(J69:J72)</f>
        <v>633.58957260273974</v>
      </c>
      <c r="K73" s="105">
        <f>SUM(K69:K72)</f>
        <v>727.88696575342465</v>
      </c>
      <c r="L73" s="105">
        <f t="shared" ref="L73:N73" si="55">SUM(L69:L72)</f>
        <v>842.05107705479452</v>
      </c>
      <c r="M73" s="105">
        <f>SUM(M69:M72)</f>
        <v>938.89688660744878</v>
      </c>
      <c r="N73" s="105">
        <f t="shared" si="55"/>
        <v>995.64294696672732</v>
      </c>
      <c r="O73" s="105">
        <f>SUM(O69:O72)</f>
        <v>1084.4371175900637</v>
      </c>
      <c r="P73" s="105">
        <f>SUM(P69:P72)</f>
        <v>1207.4376128091965</v>
      </c>
      <c r="Q73" s="105">
        <f t="shared" ref="Q73:V73" si="56">SUM(Q69:Q72)</f>
        <v>1278.5368855524182</v>
      </c>
      <c r="R73" s="105">
        <f t="shared" si="56"/>
        <v>1407.479911453861</v>
      </c>
      <c r="S73" s="105">
        <f t="shared" si="56"/>
        <v>1533.4756681918423</v>
      </c>
      <c r="T73" s="105">
        <f t="shared" si="56"/>
        <v>1624.6725968783815</v>
      </c>
      <c r="U73" s="105">
        <f t="shared" si="56"/>
        <v>1726.0451828709972</v>
      </c>
      <c r="V73" s="105">
        <f t="shared" si="56"/>
        <v>1794.471678416013</v>
      </c>
      <c r="W73" s="54"/>
    </row>
    <row r="74" spans="2:26" ht="15" customHeight="1" outlineLevel="1">
      <c r="B74" s="6"/>
      <c r="C74" s="4"/>
      <c r="D74" s="16"/>
      <c r="E74" s="16"/>
      <c r="F74" s="16"/>
      <c r="G74" s="16"/>
      <c r="H74" s="16"/>
      <c r="M74" s="82"/>
      <c r="W74" s="54"/>
    </row>
    <row r="75" spans="2:26" ht="15" customHeight="1" outlineLevel="1">
      <c r="B75" s="79" t="s">
        <v>638</v>
      </c>
      <c r="C75" s="4"/>
      <c r="D75" s="383">
        <f>' Balance Sheet'!D40</f>
        <v>340</v>
      </c>
      <c r="E75" s="383">
        <f>' Balance Sheet'!E40</f>
        <v>768</v>
      </c>
      <c r="F75" s="383">
        <f>' Balance Sheet'!F40</f>
        <v>545</v>
      </c>
      <c r="G75" s="383">
        <f>' Balance Sheet'!G40</f>
        <v>547</v>
      </c>
      <c r="H75" s="383">
        <f>' Balance Sheet'!H40</f>
        <v>449</v>
      </c>
      <c r="I75" s="383">
        <f>Schedules!I179</f>
        <v>462.47</v>
      </c>
      <c r="J75" s="383">
        <f>Schedules!J179</f>
        <v>480.96880000000004</v>
      </c>
      <c r="K75" s="383">
        <f>Schedules!K179</f>
        <v>500.20755200000008</v>
      </c>
      <c r="L75" s="383">
        <f>Schedules!L179</f>
        <v>520.2158540800001</v>
      </c>
      <c r="M75" s="83">
        <f>Schedules!M179</f>
        <v>541.02448824320015</v>
      </c>
      <c r="N75" s="383">
        <f>Schedules!N179</f>
        <v>551.84497800806412</v>
      </c>
      <c r="O75" s="383">
        <f>Schedules!O179</f>
        <v>557.3634277881448</v>
      </c>
      <c r="P75" s="383">
        <f>Schedules!P179</f>
        <v>562.93706206602621</v>
      </c>
      <c r="Q75" s="383">
        <f>Schedules!Q179</f>
        <v>562.93706206602621</v>
      </c>
      <c r="R75" s="383">
        <f>Schedules!R179</f>
        <v>562.93706206602621</v>
      </c>
      <c r="S75" s="383">
        <f>Schedules!S179</f>
        <v>562.93706206602621</v>
      </c>
      <c r="T75" s="383">
        <f>Schedules!T179</f>
        <v>562.93706206602621</v>
      </c>
      <c r="U75" s="383">
        <f>Schedules!U179</f>
        <v>562.93706206602621</v>
      </c>
      <c r="V75" s="383">
        <f>Schedules!V179</f>
        <v>562.93706206602621</v>
      </c>
      <c r="W75" s="54"/>
      <c r="X75" s="96"/>
      <c r="Y75" s="96"/>
    </row>
    <row r="76" spans="2:26" ht="15" customHeight="1" outlineLevel="1">
      <c r="B76" s="100" t="s">
        <v>26</v>
      </c>
      <c r="C76" s="13"/>
      <c r="D76" s="383">
        <f>' Balance Sheet'!D41</f>
        <v>35.700000000000003</v>
      </c>
      <c r="E76" s="383">
        <f>' Balance Sheet'!E41</f>
        <v>97.5</v>
      </c>
      <c r="F76" s="383">
        <f>' Balance Sheet'!F41</f>
        <v>171</v>
      </c>
      <c r="G76" s="383">
        <f>' Balance Sheet'!G41</f>
        <v>214</v>
      </c>
      <c r="H76" s="383">
        <f>' Balance Sheet'!H41</f>
        <v>306.60000000000002</v>
      </c>
      <c r="I76" s="383">
        <f t="shared" ref="I76" si="57">H76</f>
        <v>306.60000000000002</v>
      </c>
      <c r="J76" s="383">
        <f>I76</f>
        <v>306.60000000000002</v>
      </c>
      <c r="K76" s="383">
        <f>J76</f>
        <v>306.60000000000002</v>
      </c>
      <c r="L76" s="383">
        <f>K76</f>
        <v>306.60000000000002</v>
      </c>
      <c r="M76" s="83">
        <f t="shared" ref="M76" si="58">L76</f>
        <v>306.60000000000002</v>
      </c>
      <c r="N76" s="383">
        <f>M76</f>
        <v>306.60000000000002</v>
      </c>
      <c r="O76" s="383">
        <f>N76</f>
        <v>306.60000000000002</v>
      </c>
      <c r="P76" s="383">
        <f>O76</f>
        <v>306.60000000000002</v>
      </c>
      <c r="Q76" s="383">
        <f t="shared" ref="Q76" si="59">P76</f>
        <v>306.60000000000002</v>
      </c>
      <c r="R76" s="383">
        <f>Q76</f>
        <v>306.60000000000002</v>
      </c>
      <c r="S76" s="383">
        <f>R76</f>
        <v>306.60000000000002</v>
      </c>
      <c r="T76" s="383">
        <f t="shared" ref="T76" si="60">S76</f>
        <v>306.60000000000002</v>
      </c>
      <c r="U76" s="383">
        <f t="shared" ref="U76" si="61">T76</f>
        <v>306.60000000000002</v>
      </c>
      <c r="V76" s="383">
        <f t="shared" ref="V76" si="62">U76</f>
        <v>306.60000000000002</v>
      </c>
      <c r="W76" s="54"/>
    </row>
    <row r="77" spans="2:26" ht="15" customHeight="1" outlineLevel="1">
      <c r="B77" s="2" t="s">
        <v>27</v>
      </c>
      <c r="C77" s="4"/>
      <c r="D77" s="105">
        <f>SUM(D75:D76)</f>
        <v>375.7</v>
      </c>
      <c r="E77" s="105">
        <f t="shared" ref="E77:H77" si="63">SUM(E75:E76)</f>
        <v>865.5</v>
      </c>
      <c r="F77" s="105">
        <f t="shared" si="63"/>
        <v>716</v>
      </c>
      <c r="G77" s="105">
        <f t="shared" si="63"/>
        <v>761</v>
      </c>
      <c r="H77" s="105">
        <f t="shared" si="63"/>
        <v>755.6</v>
      </c>
      <c r="I77" s="105">
        <f>SUM(I75:I76)</f>
        <v>769.07</v>
      </c>
      <c r="J77" s="105">
        <f>SUM(J75:J76)</f>
        <v>787.56880000000001</v>
      </c>
      <c r="K77" s="105">
        <f t="shared" ref="K77:P77" si="64">SUM(K75:K76)</f>
        <v>806.8075520000001</v>
      </c>
      <c r="L77" s="105">
        <f t="shared" si="64"/>
        <v>826.81585408000012</v>
      </c>
      <c r="M77" s="105">
        <f t="shared" si="64"/>
        <v>847.62448824320018</v>
      </c>
      <c r="N77" s="105">
        <f t="shared" si="64"/>
        <v>858.44497800806414</v>
      </c>
      <c r="O77" s="105">
        <f t="shared" si="64"/>
        <v>863.96342778814483</v>
      </c>
      <c r="P77" s="105">
        <f t="shared" si="64"/>
        <v>869.53706206602624</v>
      </c>
      <c r="Q77" s="105">
        <f t="shared" ref="Q77:V77" si="65">SUM(Q75:Q76)</f>
        <v>869.53706206602624</v>
      </c>
      <c r="R77" s="105">
        <f t="shared" si="65"/>
        <v>869.53706206602624</v>
      </c>
      <c r="S77" s="105">
        <f t="shared" si="65"/>
        <v>869.53706206602624</v>
      </c>
      <c r="T77" s="105">
        <f t="shared" si="65"/>
        <v>869.53706206602624</v>
      </c>
      <c r="U77" s="105">
        <f t="shared" si="65"/>
        <v>869.53706206602624</v>
      </c>
      <c r="V77" s="105">
        <f t="shared" si="65"/>
        <v>869.53706206602624</v>
      </c>
      <c r="W77" s="54"/>
    </row>
    <row r="78" spans="2:26" ht="15" customHeight="1" outlineLevel="1">
      <c r="B78" s="6"/>
      <c r="C78" s="4"/>
      <c r="D78" s="58"/>
      <c r="E78" s="58"/>
      <c r="F78" s="58"/>
      <c r="G78" s="58"/>
      <c r="H78" s="58"/>
      <c r="M78" s="82"/>
      <c r="W78" s="54"/>
    </row>
    <row r="79" spans="2:26" ht="15" customHeight="1" outlineLevel="1">
      <c r="B79" s="79" t="s">
        <v>28</v>
      </c>
      <c r="C79" s="4"/>
      <c r="D79" s="383">
        <f>' Balance Sheet'!D48</f>
        <v>252</v>
      </c>
      <c r="E79" s="383">
        <f>' Balance Sheet'!E48</f>
        <v>42</v>
      </c>
      <c r="F79" s="383">
        <f>' Balance Sheet'!F48</f>
        <v>42</v>
      </c>
      <c r="G79" s="383">
        <f>' Balance Sheet'!G48</f>
        <v>42</v>
      </c>
      <c r="H79" s="383">
        <f>' Balance Sheet'!H48</f>
        <v>43</v>
      </c>
      <c r="I79" s="383">
        <f t="shared" ref="I79" si="66">H79</f>
        <v>43</v>
      </c>
      <c r="J79" s="384">
        <f>I79</f>
        <v>43</v>
      </c>
      <c r="K79" s="384">
        <f>J79</f>
        <v>43</v>
      </c>
      <c r="L79" s="384">
        <f>K79</f>
        <v>43</v>
      </c>
      <c r="M79" s="88">
        <f t="shared" ref="M79" si="67">L79</f>
        <v>43</v>
      </c>
      <c r="N79" s="384">
        <f>M79</f>
        <v>43</v>
      </c>
      <c r="O79" s="384">
        <f>N79</f>
        <v>43</v>
      </c>
      <c r="P79" s="384">
        <v>43</v>
      </c>
      <c r="Q79" s="384">
        <f t="shared" ref="Q79" si="68">P79</f>
        <v>43</v>
      </c>
      <c r="R79" s="384">
        <f>Q79</f>
        <v>43</v>
      </c>
      <c r="S79" s="384">
        <f>R79</f>
        <v>43</v>
      </c>
      <c r="T79" s="384">
        <f t="shared" ref="T79" si="69">S79</f>
        <v>43</v>
      </c>
      <c r="U79" s="384">
        <f t="shared" ref="U79" si="70">T79</f>
        <v>43</v>
      </c>
      <c r="V79" s="384">
        <f t="shared" ref="V79" si="71">U79</f>
        <v>43</v>
      </c>
      <c r="W79" s="54"/>
      <c r="X79" s="60"/>
      <c r="Y79" s="60"/>
      <c r="Z79" s="96"/>
    </row>
    <row r="80" spans="2:26" ht="15" customHeight="1" outlineLevel="1">
      <c r="B80" s="100" t="s">
        <v>29</v>
      </c>
      <c r="C80" s="13"/>
      <c r="D80" s="383">
        <f>' Balance Sheet'!D49</f>
        <v>432</v>
      </c>
      <c r="E80" s="383">
        <f>' Balance Sheet'!E49</f>
        <v>684</v>
      </c>
      <c r="F80" s="383">
        <f>' Balance Sheet'!F49</f>
        <v>1028</v>
      </c>
      <c r="G80" s="383">
        <f>' Balance Sheet'!G49</f>
        <v>1213</v>
      </c>
      <c r="H80" s="383">
        <f>' Balance Sheet'!H49</f>
        <v>1861</v>
      </c>
      <c r="I80" s="383">
        <f>Schedules!I121</f>
        <v>2263.7520268098851</v>
      </c>
      <c r="J80" s="383">
        <f>Schedules!J121</f>
        <v>2763.9055712229474</v>
      </c>
      <c r="K80" s="383">
        <f>Schedules!K121</f>
        <v>3379.5800371566384</v>
      </c>
      <c r="L80" s="383">
        <f>Schedules!L121</f>
        <v>4155.7743329953364</v>
      </c>
      <c r="M80" s="83">
        <f>Schedules!M121</f>
        <v>5073.486053743115</v>
      </c>
      <c r="N80" s="383">
        <f>Schedules!N121</f>
        <v>6165.0185923599984</v>
      </c>
      <c r="O80" s="383">
        <f>Schedules!O121</f>
        <v>7371.6470890361215</v>
      </c>
      <c r="P80" s="383">
        <f>Schedules!P121</f>
        <v>8620.9035499844376</v>
      </c>
      <c r="Q80" s="383">
        <f>Schedules!Q121</f>
        <v>9971.7357665072686</v>
      </c>
      <c r="R80" s="383">
        <f>Schedules!R121</f>
        <v>11204.586413239134</v>
      </c>
      <c r="S80" s="383">
        <f>Schedules!S121</f>
        <v>12411.541015823648</v>
      </c>
      <c r="T80" s="383">
        <f>Schedules!T121</f>
        <v>13589.018066423236</v>
      </c>
      <c r="U80" s="383">
        <f>Schedules!U121</f>
        <v>14642.481693312146</v>
      </c>
      <c r="V80" s="383">
        <f>Schedules!V121</f>
        <v>15735.801432775248</v>
      </c>
      <c r="W80" s="54"/>
      <c r="X80" s="93">
        <f>_xlfn.RRI($V$8-$N$8,N80,V80)</f>
        <v>0.12426660200582651</v>
      </c>
      <c r="Y80" s="93">
        <f>_xlfn.RRI($V$8-$Q$8,Q80,V80)</f>
        <v>9.5528350660805117E-2</v>
      </c>
      <c r="Z80" s="93">
        <f>_xlfn.RRI($V$8-$S$8,S80,V80)</f>
        <v>8.2316767321767736E-2</v>
      </c>
    </row>
    <row r="81" spans="1:25" ht="15" customHeight="1" outlineLevel="1">
      <c r="B81" s="2" t="s">
        <v>30</v>
      </c>
      <c r="C81" s="4"/>
      <c r="D81" s="379">
        <f>SUM(D79:D80)</f>
        <v>684</v>
      </c>
      <c r="E81" s="379">
        <f t="shared" ref="E81:F81" si="72">SUM(E79:E80)</f>
        <v>726</v>
      </c>
      <c r="F81" s="379">
        <f t="shared" si="72"/>
        <v>1070</v>
      </c>
      <c r="G81" s="379">
        <f>SUM(G79:G80)</f>
        <v>1255</v>
      </c>
      <c r="H81" s="379">
        <f>SUM(H79:H80)</f>
        <v>1904</v>
      </c>
      <c r="I81" s="106">
        <f>SUM(I79:I80)</f>
        <v>2306.7520268098851</v>
      </c>
      <c r="J81" s="106">
        <f t="shared" ref="J81:P81" si="73">SUM(J79:J80)</f>
        <v>2806.9055712229474</v>
      </c>
      <c r="K81" s="106">
        <f t="shared" si="73"/>
        <v>3422.5800371566384</v>
      </c>
      <c r="L81" s="106">
        <f t="shared" si="73"/>
        <v>4198.7743329953364</v>
      </c>
      <c r="M81" s="508">
        <f t="shared" si="73"/>
        <v>5116.486053743115</v>
      </c>
      <c r="N81" s="106">
        <f t="shared" si="73"/>
        <v>6208.0185923599984</v>
      </c>
      <c r="O81" s="106">
        <f t="shared" si="73"/>
        <v>7414.6470890361215</v>
      </c>
      <c r="P81" s="106">
        <f t="shared" si="73"/>
        <v>8663.9035499844376</v>
      </c>
      <c r="Q81" s="106">
        <f t="shared" ref="Q81:V81" si="74">SUM(Q79:Q80)</f>
        <v>10014.735766507269</v>
      </c>
      <c r="R81" s="106">
        <f t="shared" si="74"/>
        <v>11247.586413239134</v>
      </c>
      <c r="S81" s="106">
        <f t="shared" si="74"/>
        <v>12454.541015823648</v>
      </c>
      <c r="T81" s="106">
        <f t="shared" si="74"/>
        <v>13632.018066423236</v>
      </c>
      <c r="U81" s="106">
        <f t="shared" si="74"/>
        <v>14685.481693312146</v>
      </c>
      <c r="V81" s="106">
        <f t="shared" si="74"/>
        <v>15778.801432775248</v>
      </c>
      <c r="W81" s="54"/>
      <c r="X81" s="58"/>
      <c r="Y81" s="58"/>
    </row>
    <row r="82" spans="1:25" ht="15" customHeight="1" outlineLevel="1">
      <c r="B82" s="4"/>
      <c r="C82" s="4"/>
      <c r="D82" s="58"/>
      <c r="E82" s="58"/>
      <c r="F82" s="58"/>
      <c r="G82" s="58"/>
      <c r="H82" s="58"/>
      <c r="M82" s="82"/>
      <c r="W82" s="54"/>
    </row>
    <row r="83" spans="1:25" ht="15.75" customHeight="1" outlineLevel="1" thickBot="1">
      <c r="B83" s="24" t="s">
        <v>31</v>
      </c>
      <c r="C83" s="24"/>
      <c r="D83" s="84">
        <f>SUM(D81,D77,D73)</f>
        <v>1449</v>
      </c>
      <c r="E83" s="84">
        <f t="shared" ref="E83:H83" si="75">SUM(E81,E77,E73)</f>
        <v>2124</v>
      </c>
      <c r="F83" s="84">
        <f t="shared" si="75"/>
        <v>2432</v>
      </c>
      <c r="G83" s="84">
        <f t="shared" si="75"/>
        <v>2794</v>
      </c>
      <c r="H83" s="84">
        <f t="shared" si="75"/>
        <v>3152</v>
      </c>
      <c r="I83" s="84">
        <f>SUM(I81,I77,I73)</f>
        <v>3643.8250405085155</v>
      </c>
      <c r="J83" s="84">
        <f t="shared" ref="J83:O83" si="76">SUM(J81,J77,J73)</f>
        <v>4228.0639438256876</v>
      </c>
      <c r="K83" s="84">
        <f t="shared" si="76"/>
        <v>4957.2745549100637</v>
      </c>
      <c r="L83" s="84">
        <f t="shared" si="76"/>
        <v>5867.6412641301313</v>
      </c>
      <c r="M83" s="84">
        <f t="shared" si="76"/>
        <v>6903.0074285937644</v>
      </c>
      <c r="N83" s="84">
        <f t="shared" si="76"/>
        <v>8062.1065173347897</v>
      </c>
      <c r="O83" s="84">
        <f t="shared" si="76"/>
        <v>9363.0476344143299</v>
      </c>
      <c r="P83" s="84">
        <f>SUM(P81,P77,P73)</f>
        <v>10740.878224859662</v>
      </c>
      <c r="Q83" s="84">
        <f t="shared" ref="Q83:U83" si="77">SUM(Q81,Q77,Q73)</f>
        <v>12162.809714125713</v>
      </c>
      <c r="R83" s="84">
        <f>SUM(R81,R77,R73)</f>
        <v>13524.603386759023</v>
      </c>
      <c r="S83" s="84">
        <f>SUM(S81,S77,S73)</f>
        <v>14857.553746081518</v>
      </c>
      <c r="T83" s="84">
        <f t="shared" si="77"/>
        <v>16126.227725367644</v>
      </c>
      <c r="U83" s="84">
        <f t="shared" si="77"/>
        <v>17281.063938249168</v>
      </c>
      <c r="V83" s="84">
        <f>SUM(V81,V77,V73)</f>
        <v>18442.810173257287</v>
      </c>
      <c r="W83" s="54"/>
      <c r="X83" s="82"/>
      <c r="Y83" s="82"/>
    </row>
    <row r="84" spans="1:25" ht="15.75" customHeight="1" outlineLevel="1">
      <c r="B84" s="15"/>
      <c r="C84" s="15"/>
      <c r="D84" s="82"/>
      <c r="E84" s="82"/>
      <c r="F84" s="82"/>
      <c r="G84" s="82"/>
      <c r="H84" s="82"/>
      <c r="I84" s="82"/>
      <c r="J84" s="82"/>
      <c r="K84" s="82"/>
      <c r="L84" s="82"/>
      <c r="M84" s="82"/>
      <c r="N84" s="82"/>
      <c r="O84" s="82"/>
      <c r="P84" s="82"/>
      <c r="Q84" s="82"/>
      <c r="R84" s="82"/>
      <c r="S84" s="82"/>
      <c r="T84" s="82"/>
      <c r="U84" s="82"/>
      <c r="V84" s="82"/>
      <c r="W84" s="54"/>
      <c r="X84" s="82"/>
      <c r="Y84" s="82"/>
    </row>
    <row r="85" spans="1:25" ht="15" customHeight="1" outlineLevel="1">
      <c r="D85"/>
      <c r="E85"/>
      <c r="F85"/>
      <c r="G85"/>
      <c r="H85"/>
      <c r="W85" s="54"/>
    </row>
    <row r="86" spans="1:25" ht="15" customHeight="1" outlineLevel="1">
      <c r="D86" s="107">
        <v>365</v>
      </c>
      <c r="E86" s="107"/>
      <c r="F86" s="107"/>
      <c r="G86"/>
      <c r="H86"/>
    </row>
    <row r="87" spans="1:25" ht="15" customHeight="1" outlineLevel="1">
      <c r="B87" s="37" t="s">
        <v>109</v>
      </c>
      <c r="C87" s="37"/>
      <c r="D87" s="101">
        <f t="shared" ref="D87:V87" si="78">D56-D73</f>
        <v>-207.52399999999997</v>
      </c>
      <c r="E87" s="101">
        <f t="shared" si="78"/>
        <v>-85.274000000000001</v>
      </c>
      <c r="F87" s="101">
        <f t="shared" si="78"/>
        <v>-226.79899999999992</v>
      </c>
      <c r="G87" s="101">
        <f t="shared" si="78"/>
        <v>-277.23899999999992</v>
      </c>
      <c r="H87" s="101">
        <f t="shared" si="78"/>
        <v>281.17100000000005</v>
      </c>
      <c r="I87" s="101">
        <f t="shared" si="78"/>
        <v>412.02588395274199</v>
      </c>
      <c r="J87" s="101">
        <f t="shared" si="78"/>
        <v>538.16822836580423</v>
      </c>
      <c r="K87" s="101">
        <f t="shared" si="78"/>
        <v>684.14287487092361</v>
      </c>
      <c r="L87" s="101">
        <f t="shared" si="78"/>
        <v>905.69261564676356</v>
      </c>
      <c r="M87" s="101">
        <f t="shared" si="78"/>
        <v>1194.5601134148847</v>
      </c>
      <c r="N87" s="101">
        <f t="shared" si="78"/>
        <v>1582.974570368061</v>
      </c>
      <c r="O87" s="101">
        <f t="shared" si="78"/>
        <v>2024.3815168242631</v>
      </c>
      <c r="P87" s="101">
        <f t="shared" si="78"/>
        <v>2465.6144691933177</v>
      </c>
      <c r="Q87" s="101">
        <f t="shared" si="78"/>
        <v>3054.2781142875774</v>
      </c>
      <c r="R87" s="101">
        <f t="shared" si="78"/>
        <v>3578.4459038765872</v>
      </c>
      <c r="S87" s="101">
        <f t="shared" si="78"/>
        <v>4132.3427921753864</v>
      </c>
      <c r="T87" s="101">
        <f t="shared" si="78"/>
        <v>4714.6122770606898</v>
      </c>
      <c r="U87" s="101">
        <f t="shared" si="78"/>
        <v>5233.0324927496004</v>
      </c>
      <c r="V87" s="101">
        <f t="shared" si="78"/>
        <v>5853.8795417075617</v>
      </c>
    </row>
    <row r="88" spans="1:25" ht="15" customHeight="1" outlineLevel="1">
      <c r="B88" s="37" t="s">
        <v>74</v>
      </c>
      <c r="C88" s="37"/>
      <c r="D88" s="335">
        <f t="shared" ref="D88:V88" si="79">D54/D12*$D$86</f>
        <v>52.394451145958989</v>
      </c>
      <c r="E88" s="335">
        <f t="shared" si="79"/>
        <v>60.245003223726627</v>
      </c>
      <c r="F88" s="335">
        <f t="shared" si="79"/>
        <v>27.691956124314441</v>
      </c>
      <c r="G88" s="335">
        <f t="shared" si="79"/>
        <v>33.869880767236914</v>
      </c>
      <c r="H88" s="335">
        <f t="shared" si="79"/>
        <v>33.207843137254898</v>
      </c>
      <c r="I88" s="335">
        <f t="shared" si="79"/>
        <v>35</v>
      </c>
      <c r="J88" s="335">
        <f t="shared" si="79"/>
        <v>35</v>
      </c>
      <c r="K88" s="335">
        <f t="shared" si="79"/>
        <v>35</v>
      </c>
      <c r="L88" s="335">
        <f t="shared" si="79"/>
        <v>35</v>
      </c>
      <c r="M88" s="335">
        <f t="shared" si="79"/>
        <v>35</v>
      </c>
      <c r="N88" s="335">
        <f t="shared" si="79"/>
        <v>35</v>
      </c>
      <c r="O88" s="335">
        <f t="shared" si="79"/>
        <v>35</v>
      </c>
      <c r="P88" s="335">
        <f t="shared" si="79"/>
        <v>35</v>
      </c>
      <c r="Q88" s="335">
        <f t="shared" si="79"/>
        <v>35</v>
      </c>
      <c r="R88" s="335">
        <f t="shared" si="79"/>
        <v>35</v>
      </c>
      <c r="S88" s="335">
        <f t="shared" si="79"/>
        <v>35</v>
      </c>
      <c r="T88" s="335">
        <f t="shared" si="79"/>
        <v>35</v>
      </c>
      <c r="U88" s="335">
        <f t="shared" si="79"/>
        <v>35</v>
      </c>
      <c r="V88" s="335">
        <f t="shared" si="79"/>
        <v>35</v>
      </c>
    </row>
    <row r="89" spans="1:25" ht="15" customHeight="1" outlineLevel="1">
      <c r="B89" s="37" t="s">
        <v>76</v>
      </c>
      <c r="C89" s="37"/>
      <c r="D89" s="335">
        <f t="shared" ref="D89:V89" si="80">D53/D13*$D$86</f>
        <v>51.194805194805191</v>
      </c>
      <c r="E89" s="335">
        <f t="shared" si="80"/>
        <v>73.863337713534833</v>
      </c>
      <c r="F89" s="335">
        <f t="shared" si="80"/>
        <v>69.399103139013448</v>
      </c>
      <c r="G89" s="335">
        <f t="shared" si="80"/>
        <v>90.475966069745525</v>
      </c>
      <c r="H89" s="335">
        <f t="shared" si="80"/>
        <v>104.6711012564671</v>
      </c>
      <c r="I89" s="335">
        <f t="shared" si="80"/>
        <v>89.090909090909079</v>
      </c>
      <c r="J89" s="335">
        <f t="shared" si="80"/>
        <v>90.073529411764696</v>
      </c>
      <c r="K89" s="335">
        <f t="shared" si="80"/>
        <v>93.749999999999986</v>
      </c>
      <c r="L89" s="335">
        <f t="shared" si="80"/>
        <v>98.29376854599407</v>
      </c>
      <c r="M89" s="335">
        <f t="shared" si="80"/>
        <v>97.305389221556879</v>
      </c>
      <c r="N89" s="335">
        <f t="shared" si="80"/>
        <v>96.299093655589104</v>
      </c>
      <c r="O89" s="335">
        <f t="shared" si="80"/>
        <v>93.368902439024367</v>
      </c>
      <c r="P89" s="335">
        <f t="shared" si="80"/>
        <v>94.230769230769255</v>
      </c>
      <c r="Q89" s="335">
        <f t="shared" si="80"/>
        <v>100</v>
      </c>
      <c r="R89" s="335">
        <f t="shared" si="80"/>
        <v>100</v>
      </c>
      <c r="S89" s="335">
        <f t="shared" si="80"/>
        <v>100.00000000000001</v>
      </c>
      <c r="T89" s="335">
        <f t="shared" si="80"/>
        <v>102.08333333333333</v>
      </c>
      <c r="U89" s="335">
        <f t="shared" si="80"/>
        <v>102.08333333333334</v>
      </c>
      <c r="V89" s="335">
        <f t="shared" si="80"/>
        <v>102.08333333333334</v>
      </c>
    </row>
    <row r="90" spans="1:25" ht="15" customHeight="1" outlineLevel="1">
      <c r="B90" s="37" t="s">
        <v>79</v>
      </c>
      <c r="C90" s="37"/>
      <c r="D90" s="335">
        <f t="shared" ref="D90:V90" si="81">D69/D13*$D$86</f>
        <v>69.20779220779221</v>
      </c>
      <c r="E90" s="335">
        <f t="shared" si="81"/>
        <v>42.207621550591327</v>
      </c>
      <c r="F90" s="335">
        <f t="shared" si="81"/>
        <v>36.00896860986547</v>
      </c>
      <c r="G90" s="335">
        <f t="shared" si="81"/>
        <v>63.298774740810558</v>
      </c>
      <c r="H90" s="335">
        <f t="shared" si="81"/>
        <v>50.17738359201774</v>
      </c>
      <c r="I90" s="335">
        <f t="shared" si="81"/>
        <v>50</v>
      </c>
      <c r="J90" s="335">
        <f t="shared" si="81"/>
        <v>50</v>
      </c>
      <c r="K90" s="335">
        <f t="shared" si="81"/>
        <v>50</v>
      </c>
      <c r="L90" s="335">
        <f t="shared" si="81"/>
        <v>50</v>
      </c>
      <c r="M90" s="335">
        <f t="shared" si="81"/>
        <v>50.000000000000007</v>
      </c>
      <c r="N90" s="335">
        <f t="shared" si="81"/>
        <v>50</v>
      </c>
      <c r="O90" s="335">
        <f t="shared" si="81"/>
        <v>50</v>
      </c>
      <c r="P90" s="335">
        <f t="shared" si="81"/>
        <v>50.000000000000007</v>
      </c>
      <c r="Q90" s="335">
        <f t="shared" si="81"/>
        <v>50</v>
      </c>
      <c r="R90" s="335">
        <f t="shared" si="81"/>
        <v>50</v>
      </c>
      <c r="S90" s="335">
        <f t="shared" si="81"/>
        <v>50.000000000000007</v>
      </c>
      <c r="T90" s="335">
        <f t="shared" si="81"/>
        <v>50.000000000000007</v>
      </c>
      <c r="U90" s="335">
        <f t="shared" si="81"/>
        <v>50</v>
      </c>
      <c r="V90" s="335">
        <f t="shared" si="81"/>
        <v>50.000000000000007</v>
      </c>
    </row>
    <row r="91" spans="1:25" ht="15" customHeight="1" outlineLevel="1">
      <c r="B91" s="37" t="s">
        <v>110</v>
      </c>
      <c r="C91" s="37"/>
      <c r="D91" s="102">
        <f t="shared" ref="D91:V91" si="82">D55/D12</f>
        <v>9.7708082026537989E-3</v>
      </c>
      <c r="E91" s="102">
        <f t="shared" si="82"/>
        <v>7.8658929722759501E-3</v>
      </c>
      <c r="F91" s="102">
        <f t="shared" si="82"/>
        <v>1.1882998171846435E-2</v>
      </c>
      <c r="G91" s="102">
        <f t="shared" si="82"/>
        <v>2.6956972524624159E-2</v>
      </c>
      <c r="H91" s="102">
        <f t="shared" si="82"/>
        <v>5.1611764705882357E-2</v>
      </c>
      <c r="I91" s="102">
        <f t="shared" si="82"/>
        <v>0.05</v>
      </c>
      <c r="J91" s="102">
        <f t="shared" si="82"/>
        <v>0.05</v>
      </c>
      <c r="K91" s="102">
        <f t="shared" si="82"/>
        <v>0.05</v>
      </c>
      <c r="L91" s="102">
        <f t="shared" si="82"/>
        <v>4.9999999999999996E-2</v>
      </c>
      <c r="M91" s="102">
        <f t="shared" si="82"/>
        <v>5.000000000000001E-2</v>
      </c>
      <c r="N91" s="102">
        <f t="shared" si="82"/>
        <v>0.05</v>
      </c>
      <c r="O91" s="102">
        <f t="shared" si="82"/>
        <v>0.05</v>
      </c>
      <c r="P91" s="102">
        <f t="shared" si="82"/>
        <v>0.05</v>
      </c>
      <c r="Q91" s="102">
        <f t="shared" si="82"/>
        <v>0.05</v>
      </c>
      <c r="R91" s="102">
        <f t="shared" si="82"/>
        <v>0.05</v>
      </c>
      <c r="S91" s="102">
        <f t="shared" si="82"/>
        <v>0.05</v>
      </c>
      <c r="T91" s="102">
        <f t="shared" si="82"/>
        <v>0.05</v>
      </c>
      <c r="U91" s="102">
        <f t="shared" si="82"/>
        <v>5.000000000000001E-2</v>
      </c>
      <c r="V91" s="102">
        <f t="shared" si="82"/>
        <v>4.9999999999999996E-2</v>
      </c>
    </row>
    <row r="92" spans="1:25" ht="15" customHeight="1" outlineLevel="1">
      <c r="B92" s="37" t="s">
        <v>111</v>
      </c>
      <c r="C92" s="37"/>
      <c r="D92" s="102">
        <f t="shared" ref="D92:V92" si="83">D71/D12</f>
        <v>0.28516284680337756</v>
      </c>
      <c r="E92" s="102">
        <f t="shared" si="83"/>
        <v>0.2166989039329465</v>
      </c>
      <c r="F92" s="102">
        <f t="shared" si="83"/>
        <v>0.1929616087751371</v>
      </c>
      <c r="G92" s="102">
        <f t="shared" si="83"/>
        <v>0.17884914463452567</v>
      </c>
      <c r="H92" s="102">
        <f t="shared" si="83"/>
        <v>9.5803921568627451E-2</v>
      </c>
      <c r="I92" s="102">
        <f t="shared" si="83"/>
        <v>8.2589587559161598E-2</v>
      </c>
      <c r="J92" s="102">
        <f t="shared" si="83"/>
        <v>6.7696383245214431E-2</v>
      </c>
      <c r="K92" s="102">
        <f t="shared" si="83"/>
        <v>5.4157106596171546E-2</v>
      </c>
      <c r="L92" s="102">
        <f t="shared" si="83"/>
        <v>4.3325685276937233E-2</v>
      </c>
      <c r="M92" s="102">
        <f t="shared" si="83"/>
        <v>3.5152685823072807E-2</v>
      </c>
      <c r="N92" s="102">
        <f t="shared" si="83"/>
        <v>2.8932251706232766E-2</v>
      </c>
      <c r="O92" s="102">
        <f t="shared" si="83"/>
        <v>2.4160544222323815E-2</v>
      </c>
      <c r="P92" s="102">
        <f t="shared" si="83"/>
        <v>2.0475037476545607E-2</v>
      </c>
      <c r="Q92" s="102">
        <f t="shared" si="83"/>
        <v>1.7804380414387484E-2</v>
      </c>
      <c r="R92" s="102">
        <f t="shared" si="83"/>
        <v>1.5617877556480248E-2</v>
      </c>
      <c r="S92" s="102">
        <f t="shared" si="83"/>
        <v>1.394453353257165E-2</v>
      </c>
      <c r="T92" s="102">
        <f t="shared" si="83"/>
        <v>1.2676848665974225E-2</v>
      </c>
      <c r="U92" s="102">
        <f t="shared" si="83"/>
        <v>1.1737822838865023E-2</v>
      </c>
      <c r="V92" s="102">
        <f t="shared" si="83"/>
        <v>1.1178878894157163E-2</v>
      </c>
    </row>
    <row r="93" spans="1:25" ht="15" customHeight="1" outlineLevel="1">
      <c r="B93" s="37" t="s">
        <v>80</v>
      </c>
      <c r="C93" s="37"/>
      <c r="D93" s="102">
        <f t="shared" ref="D93:V93" si="84">D70/D12</f>
        <v>5.9107358262967431E-3</v>
      </c>
      <c r="E93" s="102">
        <f t="shared" si="84"/>
        <v>1.8310767246937459E-2</v>
      </c>
      <c r="F93" s="102">
        <f t="shared" si="84"/>
        <v>9.963436928702012E-3</v>
      </c>
      <c r="G93" s="102">
        <f t="shared" si="84"/>
        <v>1.4515292897874546E-2</v>
      </c>
      <c r="H93" s="102">
        <f t="shared" si="84"/>
        <v>4.7450980392156859E-3</v>
      </c>
      <c r="I93" s="102">
        <f t="shared" si="84"/>
        <v>4.0906017579445571E-3</v>
      </c>
      <c r="J93" s="102">
        <f t="shared" si="84"/>
        <v>3.3529522606102927E-3</v>
      </c>
      <c r="K93" s="102">
        <f t="shared" si="84"/>
        <v>2.6823618084882341E-3</v>
      </c>
      <c r="L93" s="102">
        <f t="shared" si="84"/>
        <v>2.1458894467905874E-3</v>
      </c>
      <c r="M93" s="102">
        <f t="shared" si="84"/>
        <v>1.7410867722438843E-3</v>
      </c>
      <c r="N93" s="102">
        <f t="shared" si="84"/>
        <v>1.4329932281842671E-3</v>
      </c>
      <c r="O93" s="102">
        <f t="shared" si="84"/>
        <v>1.1966540527634799E-3</v>
      </c>
      <c r="P93" s="102">
        <f t="shared" si="84"/>
        <v>1.0141136040368473E-3</v>
      </c>
      <c r="Q93" s="102">
        <f t="shared" si="84"/>
        <v>8.8183791655378036E-4</v>
      </c>
      <c r="R93" s="102">
        <f t="shared" si="84"/>
        <v>7.7354203206471959E-4</v>
      </c>
      <c r="S93" s="102">
        <f t="shared" si="84"/>
        <v>6.9066252862921384E-4</v>
      </c>
      <c r="T93" s="102">
        <f t="shared" si="84"/>
        <v>6.2787502602655793E-4</v>
      </c>
      <c r="U93" s="102">
        <f t="shared" si="84"/>
        <v>5.8136576483940549E-4</v>
      </c>
      <c r="V93" s="102">
        <f t="shared" si="84"/>
        <v>5.5368168079943374E-4</v>
      </c>
    </row>
    <row r="94" spans="1:25">
      <c r="D94"/>
      <c r="E94"/>
      <c r="F94"/>
      <c r="G94"/>
      <c r="H94"/>
      <c r="N94" s="44"/>
    </row>
    <row r="95" spans="1:25" s="400" customFormat="1" ht="15" customHeight="1">
      <c r="A95" s="400" t="s">
        <v>35</v>
      </c>
      <c r="B95" s="401" t="s">
        <v>112</v>
      </c>
      <c r="C95" s="401"/>
      <c r="D95" s="401"/>
      <c r="E95" s="401"/>
      <c r="F95" s="401"/>
      <c r="G95" s="401"/>
      <c r="H95" s="401"/>
      <c r="I95" s="401"/>
      <c r="J95" s="401"/>
      <c r="K95" s="401"/>
      <c r="L95" s="401"/>
      <c r="M95" s="401"/>
      <c r="N95" s="401"/>
      <c r="O95" s="401"/>
      <c r="P95" s="401"/>
      <c r="Q95" s="401"/>
      <c r="R95" s="401"/>
      <c r="S95" s="401"/>
      <c r="T95" s="401"/>
      <c r="U95" s="401"/>
      <c r="V95" s="401"/>
    </row>
    <row r="96" spans="1:25" outlineLevel="1">
      <c r="D96" s="340"/>
      <c r="E96" s="340"/>
      <c r="F96" s="340"/>
      <c r="G96" s="340"/>
      <c r="H96" s="340"/>
      <c r="I96" s="44"/>
      <c r="J96" s="44"/>
      <c r="K96" s="44"/>
      <c r="L96" s="44"/>
      <c r="M96" s="44"/>
      <c r="N96" s="44"/>
      <c r="O96" s="44"/>
    </row>
    <row r="97" spans="2:25" outlineLevel="1">
      <c r="B97" t="s">
        <v>592</v>
      </c>
      <c r="D97" s="383">
        <f>'Cash Flow'!D9</f>
        <v>160.86000000000001</v>
      </c>
      <c r="E97" s="383">
        <f>'Cash Flow'!E9</f>
        <v>383.42</v>
      </c>
      <c r="F97" s="383">
        <f>'Cash Flow'!F9</f>
        <v>522.48</v>
      </c>
      <c r="G97" s="383">
        <f>'Cash Flow'!G9</f>
        <v>290.72000000000003</v>
      </c>
      <c r="H97" s="383">
        <f>'Cash Flow'!H9</f>
        <v>540.1</v>
      </c>
      <c r="I97" s="384">
        <f t="shared" ref="I97:V97" si="85">I37</f>
        <v>578.7340578571426</v>
      </c>
      <c r="J97" s="384">
        <f t="shared" si="85"/>
        <v>726.50695839999969</v>
      </c>
      <c r="K97" s="384">
        <f t="shared" si="85"/>
        <v>914.18246682657127</v>
      </c>
      <c r="L97" s="384">
        <f t="shared" si="85"/>
        <v>1178.7237371962769</v>
      </c>
      <c r="M97" s="384">
        <f t="shared" si="85"/>
        <v>1495.6042163013044</v>
      </c>
      <c r="N97" s="384">
        <f t="shared" si="85"/>
        <v>1870.1064954356086</v>
      </c>
      <c r="O97" s="384">
        <f t="shared" si="85"/>
        <v>2303.5613995076883</v>
      </c>
      <c r="P97" s="384">
        <f t="shared" si="85"/>
        <v>2782.4323153555097</v>
      </c>
      <c r="Q97" s="384">
        <f t="shared" si="85"/>
        <v>3610.4028237948169</v>
      </c>
      <c r="R97" s="384">
        <f t="shared" si="85"/>
        <v>4118.8381890012924</v>
      </c>
      <c r="S97" s="384">
        <f t="shared" si="85"/>
        <v>4608.3679295336633</v>
      </c>
      <c r="T97" s="384">
        <f t="shared" si="85"/>
        <v>5245.1202752888239</v>
      </c>
      <c r="U97" s="384">
        <f t="shared" si="85"/>
        <v>5631.2368135181678</v>
      </c>
      <c r="V97" s="384">
        <f t="shared" si="85"/>
        <v>5844.2856579612608</v>
      </c>
    </row>
    <row r="98" spans="2:25" outlineLevel="1">
      <c r="B98" s="57" t="s">
        <v>595</v>
      </c>
      <c r="D98" s="383">
        <f>'Cash Flow'!D13</f>
        <v>-0.15</v>
      </c>
      <c r="E98" s="383">
        <f>'Cash Flow'!E13</f>
        <v>-0.16</v>
      </c>
      <c r="F98" s="383">
        <f>'Cash Flow'!F13</f>
        <v>-0.84</v>
      </c>
      <c r="G98" s="383">
        <f>'Cash Flow'!G13</f>
        <v>-0.1</v>
      </c>
      <c r="H98" s="383">
        <f>'Cash Flow'!H13</f>
        <v>-0.33</v>
      </c>
      <c r="I98" s="384">
        <f t="shared" ref="I98" si="86">H98</f>
        <v>-0.33</v>
      </c>
      <c r="J98" s="384">
        <f>I98</f>
        <v>-0.33</v>
      </c>
      <c r="K98" s="384">
        <f>J98</f>
        <v>-0.33</v>
      </c>
      <c r="L98" s="384">
        <f>K98</f>
        <v>-0.33</v>
      </c>
      <c r="M98" s="384">
        <f t="shared" ref="M98" si="87">L98</f>
        <v>-0.33</v>
      </c>
      <c r="N98" s="384">
        <f>M98</f>
        <v>-0.33</v>
      </c>
      <c r="O98" s="384">
        <f>N98</f>
        <v>-0.33</v>
      </c>
      <c r="P98" s="384">
        <f>O98</f>
        <v>-0.33</v>
      </c>
      <c r="Q98" s="384">
        <f t="shared" ref="Q98" si="88">P98</f>
        <v>-0.33</v>
      </c>
      <c r="R98" s="384">
        <f>Q98</f>
        <v>-0.33</v>
      </c>
      <c r="S98" s="384">
        <f>R98</f>
        <v>-0.33</v>
      </c>
      <c r="T98" s="384">
        <f t="shared" ref="T98" si="89">S98</f>
        <v>-0.33</v>
      </c>
      <c r="U98" s="384">
        <f t="shared" ref="U98" si="90">T98</f>
        <v>-0.33</v>
      </c>
      <c r="V98" s="384">
        <f t="shared" ref="V98" si="91">U98</f>
        <v>-0.33</v>
      </c>
    </row>
    <row r="99" spans="2:25" outlineLevel="1">
      <c r="B99" s="57" t="s">
        <v>596</v>
      </c>
      <c r="D99" s="383">
        <f>'Cash Flow'!D14</f>
        <v>29.11</v>
      </c>
      <c r="E99" s="383">
        <f>'Cash Flow'!E14</f>
        <v>44.27</v>
      </c>
      <c r="F99" s="383">
        <f>'Cash Flow'!F14</f>
        <v>65.5</v>
      </c>
      <c r="G99" s="383">
        <f>'Cash Flow'!G14</f>
        <v>73.489999999999995</v>
      </c>
      <c r="H99" s="383">
        <f>'Cash Flow'!H14</f>
        <v>53.27</v>
      </c>
      <c r="I99" s="384">
        <f t="shared" ref="I99:V99" si="92">I35</f>
        <v>40.433084999999998</v>
      </c>
      <c r="J99" s="384">
        <f t="shared" si="92"/>
        <v>43.907001600000001</v>
      </c>
      <c r="K99" s="384">
        <f t="shared" si="92"/>
        <v>47.153554602</v>
      </c>
      <c r="L99" s="384">
        <f t="shared" si="92"/>
        <v>51.009132446579997</v>
      </c>
      <c r="M99" s="384">
        <f t="shared" si="92"/>
        <v>54.05950649780258</v>
      </c>
      <c r="N99" s="384">
        <f t="shared" si="92"/>
        <v>53.64087519405453</v>
      </c>
      <c r="O99" s="384">
        <f t="shared" si="92"/>
        <v>51.473793081546852</v>
      </c>
      <c r="P99" s="384">
        <f t="shared" si="92"/>
        <v>50.917444801128219</v>
      </c>
      <c r="Q99" s="384">
        <f t="shared" si="92"/>
        <v>51.132029720826651</v>
      </c>
      <c r="R99" s="384">
        <f t="shared" si="92"/>
        <v>51.132029720826651</v>
      </c>
      <c r="S99" s="384">
        <f t="shared" si="92"/>
        <v>51.132029720826651</v>
      </c>
      <c r="T99" s="384">
        <f t="shared" si="92"/>
        <v>51.132029720826651</v>
      </c>
      <c r="U99" s="384">
        <f t="shared" si="92"/>
        <v>51.132029720826651</v>
      </c>
      <c r="V99" s="384">
        <f t="shared" si="92"/>
        <v>51.132029720826651</v>
      </c>
    </row>
    <row r="100" spans="2:25" outlineLevel="1">
      <c r="B100" s="57" t="s">
        <v>113</v>
      </c>
      <c r="D100" s="383">
        <f>'Cash Flow'!D11</f>
        <v>70.31</v>
      </c>
      <c r="E100" s="383">
        <f>'Cash Flow'!E11</f>
        <v>82.679999999999993</v>
      </c>
      <c r="F100" s="383">
        <f>'Cash Flow'!F11</f>
        <v>105.72</v>
      </c>
      <c r="G100" s="383">
        <f>'Cash Flow'!G11</f>
        <v>120.33</v>
      </c>
      <c r="H100" s="383">
        <f>'Cash Flow'!H11</f>
        <v>129.33000000000001</v>
      </c>
      <c r="I100" s="384">
        <f t="shared" ref="I100:V100" si="93">I29</f>
        <v>161.47285714285715</v>
      </c>
      <c r="J100" s="384">
        <f t="shared" si="93"/>
        <v>204.33</v>
      </c>
      <c r="K100" s="384">
        <f t="shared" si="93"/>
        <v>257.9014285714286</v>
      </c>
      <c r="L100" s="384">
        <f t="shared" si="93"/>
        <v>322.18714285714287</v>
      </c>
      <c r="M100" s="384">
        <f t="shared" si="93"/>
        <v>397.18714285714287</v>
      </c>
      <c r="N100" s="384">
        <f t="shared" si="93"/>
        <v>482.9014285714286</v>
      </c>
      <c r="O100" s="384">
        <f t="shared" si="93"/>
        <v>579.33000000000004</v>
      </c>
      <c r="P100" s="384">
        <f t="shared" si="93"/>
        <v>686.47285714285715</v>
      </c>
      <c r="Q100" s="384">
        <f t="shared" si="93"/>
        <v>797.9014285714286</v>
      </c>
      <c r="R100" s="384">
        <f t="shared" si="93"/>
        <v>913.78714285714284</v>
      </c>
      <c r="S100" s="384">
        <f t="shared" si="93"/>
        <v>1034.3082857142856</v>
      </c>
      <c r="T100" s="384">
        <f t="shared" si="93"/>
        <v>1159.6502742857142</v>
      </c>
      <c r="U100" s="384">
        <f t="shared" si="93"/>
        <v>1290.0059423999999</v>
      </c>
      <c r="V100" s="384">
        <f t="shared" si="93"/>
        <v>1425.575837238857</v>
      </c>
      <c r="X100" s="83"/>
      <c r="Y100" s="83"/>
    </row>
    <row r="101" spans="2:25" outlineLevel="1">
      <c r="B101" s="57" t="s">
        <v>114</v>
      </c>
      <c r="D101" s="383">
        <f>'Cash Flow'!D12</f>
        <v>3.23</v>
      </c>
      <c r="E101" s="383">
        <f>'Cash Flow'!E12</f>
        <v>3.23</v>
      </c>
      <c r="F101" s="383">
        <f>'Cash Flow'!F12</f>
        <v>3.23</v>
      </c>
      <c r="G101" s="383">
        <f>'Cash Flow'!G12</f>
        <v>3.23</v>
      </c>
      <c r="H101" s="383">
        <f>'Cash Flow'!H12</f>
        <v>3.23</v>
      </c>
      <c r="I101" s="384">
        <f t="shared" ref="I101:V101" si="94">I30</f>
        <v>3.23</v>
      </c>
      <c r="J101" s="384">
        <f t="shared" si="94"/>
        <v>3.23</v>
      </c>
      <c r="K101" s="384">
        <f t="shared" si="94"/>
        <v>3.23</v>
      </c>
      <c r="L101" s="384">
        <f t="shared" si="94"/>
        <v>3.23</v>
      </c>
      <c r="M101" s="384">
        <f t="shared" si="94"/>
        <v>3.23</v>
      </c>
      <c r="N101" s="384">
        <f t="shared" si="94"/>
        <v>3.23</v>
      </c>
      <c r="O101" s="384">
        <f t="shared" si="94"/>
        <v>0</v>
      </c>
      <c r="P101" s="384">
        <f t="shared" si="94"/>
        <v>0</v>
      </c>
      <c r="Q101" s="384">
        <f t="shared" si="94"/>
        <v>0</v>
      </c>
      <c r="R101" s="384">
        <f t="shared" si="94"/>
        <v>0</v>
      </c>
      <c r="S101" s="384">
        <f t="shared" si="94"/>
        <v>0</v>
      </c>
      <c r="T101" s="384">
        <f t="shared" si="94"/>
        <v>0</v>
      </c>
      <c r="U101" s="384">
        <f t="shared" si="94"/>
        <v>0</v>
      </c>
      <c r="V101" s="384">
        <f t="shared" si="94"/>
        <v>0</v>
      </c>
    </row>
    <row r="102" spans="2:25" outlineLevel="1">
      <c r="B102" s="57" t="s">
        <v>594</v>
      </c>
      <c r="D102" s="383">
        <f>SUM('Cash Flow'!D15:D21)</f>
        <v>0.11600000000000002</v>
      </c>
      <c r="E102" s="383">
        <f>SUM('Cash Flow'!E15:E21)</f>
        <v>0.24</v>
      </c>
      <c r="F102" s="383">
        <f>SUM('Cash Flow'!F15:F21)</f>
        <v>-3.2650000000000001</v>
      </c>
      <c r="G102" s="383">
        <f>SUM('Cash Flow'!G15:G21)</f>
        <v>-1.1000000000000001</v>
      </c>
      <c r="H102" s="383">
        <f>SUM('Cash Flow'!H15:H21)</f>
        <v>-7.910000000000001</v>
      </c>
      <c r="I102" s="383">
        <v>0</v>
      </c>
      <c r="J102" s="384">
        <f>I102</f>
        <v>0</v>
      </c>
      <c r="K102" s="384">
        <f>J102</f>
        <v>0</v>
      </c>
      <c r="L102" s="384">
        <f>K102</f>
        <v>0</v>
      </c>
      <c r="M102" s="384">
        <f t="shared" ref="M102" si="95">L102</f>
        <v>0</v>
      </c>
      <c r="N102" s="384">
        <f>M102</f>
        <v>0</v>
      </c>
      <c r="O102" s="384">
        <f>N102</f>
        <v>0</v>
      </c>
      <c r="P102" s="384">
        <f>O102</f>
        <v>0</v>
      </c>
      <c r="Q102" s="384">
        <f t="shared" ref="Q102" si="96">P102</f>
        <v>0</v>
      </c>
      <c r="R102" s="384">
        <f>Q102</f>
        <v>0</v>
      </c>
      <c r="S102" s="384">
        <f>R102</f>
        <v>0</v>
      </c>
      <c r="T102" s="384">
        <f t="shared" ref="T102" si="97">S102</f>
        <v>0</v>
      </c>
      <c r="U102" s="384">
        <f t="shared" ref="U102" si="98">T102</f>
        <v>0</v>
      </c>
      <c r="V102" s="384">
        <f t="shared" ref="V102" si="99">U102</f>
        <v>0</v>
      </c>
      <c r="X102" s="88"/>
      <c r="Y102" s="88"/>
    </row>
    <row r="103" spans="2:25" outlineLevel="1">
      <c r="B103" s="57" t="s">
        <v>115</v>
      </c>
      <c r="D103" s="383">
        <f>'Cash Flow'!D23</f>
        <v>-5.65</v>
      </c>
      <c r="E103" s="383">
        <f>'Cash Flow'!E23</f>
        <v>-169.41</v>
      </c>
      <c r="F103" s="383">
        <f>'Cash Flow'!F23</f>
        <v>40.82</v>
      </c>
      <c r="G103" s="383">
        <f>'Cash Flow'!G23</f>
        <v>-38.4</v>
      </c>
      <c r="H103" s="383">
        <f>'Cash Flow'!H23</f>
        <v>-166.68</v>
      </c>
      <c r="I103" s="383">
        <f>Schedules!I174*-1</f>
        <v>-40.172191780821919</v>
      </c>
      <c r="J103" s="383">
        <f>Schedules!J174*-1</f>
        <v>-136.23818630136978</v>
      </c>
      <c r="K103" s="383">
        <f>Schedules!K174*-1</f>
        <v>-210.2226287671233</v>
      </c>
      <c r="L103" s="383">
        <f>Schedules!L174*-1</f>
        <v>-272.66529965753438</v>
      </c>
      <c r="M103" s="383">
        <f>Schedules!M174*-1</f>
        <v>-270.32060980736287</v>
      </c>
      <c r="N103" s="383">
        <f>Schedules!N174*-1</f>
        <v>-303.89247268914795</v>
      </c>
      <c r="O103" s="383">
        <f>Schedules!O174*-1</f>
        <v>-306.5695212683267</v>
      </c>
      <c r="P103" s="383">
        <f>Schedules!P174*-1</f>
        <v>-386.86980084125958</v>
      </c>
      <c r="Q103" s="383">
        <f>Schedules!Q174*-1</f>
        <v>-430.27318504949699</v>
      </c>
      <c r="R103" s="383">
        <f>Schedules!R174*-1</f>
        <v>-409.19674546274234</v>
      </c>
      <c r="S103" s="383">
        <f>Schedules!S174*-1</f>
        <v>-399.84367699502218</v>
      </c>
      <c r="T103" s="383">
        <f>Schedules!T174*-1</f>
        <v>-399.58654279759821</v>
      </c>
      <c r="U103" s="383">
        <f>Schedules!U174*-1</f>
        <v>-330.51686891342592</v>
      </c>
      <c r="V103" s="383">
        <f>Schedules!V174*-1</f>
        <v>-223.09888651656092</v>
      </c>
    </row>
    <row r="104" spans="2:25" outlineLevel="1">
      <c r="B104" s="57" t="s">
        <v>597</v>
      </c>
      <c r="D104" s="383">
        <f>'Cash Flow'!D25</f>
        <v>-28.62</v>
      </c>
      <c r="E104" s="383">
        <f>'Cash Flow'!E25</f>
        <v>-60.45</v>
      </c>
      <c r="F104" s="383">
        <f>'Cash Flow'!F25</f>
        <v>-107.48</v>
      </c>
      <c r="G104" s="383">
        <f>'Cash Flow'!G25</f>
        <v>-50.53</v>
      </c>
      <c r="H104" s="383">
        <f>'Cash Flow'!H25</f>
        <v>-110.45</v>
      </c>
      <c r="I104" s="383">
        <f t="shared" ref="I104:V104" si="100">I38*-1</f>
        <v>-145.66736236264282</v>
      </c>
      <c r="J104" s="384">
        <f t="shared" si="100"/>
        <v>-182.86180142927992</v>
      </c>
      <c r="K104" s="384">
        <f t="shared" si="100"/>
        <v>-230.09972690024796</v>
      </c>
      <c r="L104" s="384">
        <f t="shared" si="100"/>
        <v>-296.68476465230287</v>
      </c>
      <c r="M104" s="384">
        <f t="shared" si="100"/>
        <v>-376.4435812430383</v>
      </c>
      <c r="N104" s="384">
        <f t="shared" si="100"/>
        <v>-470.70580490114276</v>
      </c>
      <c r="O104" s="384">
        <f t="shared" si="100"/>
        <v>-579.80640425608522</v>
      </c>
      <c r="P104" s="384">
        <f t="shared" si="100"/>
        <v>-700.33821377498168</v>
      </c>
      <c r="Q104" s="384">
        <f t="shared" si="100"/>
        <v>-908.73839074915531</v>
      </c>
      <c r="R104" s="384">
        <f t="shared" si="100"/>
        <v>-1036.7115721716252</v>
      </c>
      <c r="S104" s="384">
        <f t="shared" si="100"/>
        <v>-1159.9262078636229</v>
      </c>
      <c r="T104" s="384">
        <f t="shared" si="100"/>
        <v>-1320.1967732901969</v>
      </c>
      <c r="U104" s="384">
        <f t="shared" si="100"/>
        <v>-1417.3823059625227</v>
      </c>
      <c r="V104" s="384">
        <f t="shared" si="100"/>
        <v>-1471.0067001088491</v>
      </c>
    </row>
    <row r="105" spans="2:25" outlineLevel="1">
      <c r="B105" s="104" t="s">
        <v>118</v>
      </c>
      <c r="C105" s="46"/>
      <c r="D105" s="382">
        <f t="shared" ref="D105:V105" si="101">SUM(D97:D104)</f>
        <v>229.20600000000002</v>
      </c>
      <c r="E105" s="90">
        <f t="shared" si="101"/>
        <v>283.82</v>
      </c>
      <c r="F105" s="90">
        <f t="shared" si="101"/>
        <v>626.16500000000008</v>
      </c>
      <c r="G105" s="90">
        <f t="shared" si="101"/>
        <v>397.64</v>
      </c>
      <c r="H105" s="90">
        <f t="shared" si="101"/>
        <v>440.56</v>
      </c>
      <c r="I105" s="90">
        <f t="shared" si="101"/>
        <v>597.700445856535</v>
      </c>
      <c r="J105" s="90">
        <f t="shared" si="101"/>
        <v>658.54397226935009</v>
      </c>
      <c r="K105" s="90">
        <f t="shared" si="101"/>
        <v>781.81509433262841</v>
      </c>
      <c r="L105" s="90">
        <f t="shared" si="101"/>
        <v>985.46994819016254</v>
      </c>
      <c r="M105" s="382">
        <f t="shared" si="101"/>
        <v>1302.9866746058487</v>
      </c>
      <c r="N105" s="382">
        <f t="shared" si="101"/>
        <v>1634.9505216108012</v>
      </c>
      <c r="O105" s="90">
        <f t="shared" si="101"/>
        <v>2047.6592670648231</v>
      </c>
      <c r="P105" s="90">
        <f t="shared" si="101"/>
        <v>2432.2846026832535</v>
      </c>
      <c r="Q105" s="90">
        <f t="shared" si="101"/>
        <v>3120.0947062884197</v>
      </c>
      <c r="R105" s="90">
        <f t="shared" si="101"/>
        <v>3637.5190439448943</v>
      </c>
      <c r="S105" s="90">
        <f t="shared" si="101"/>
        <v>4133.7083601101303</v>
      </c>
      <c r="T105" s="90">
        <f t="shared" si="101"/>
        <v>4735.78926320757</v>
      </c>
      <c r="U105" s="90">
        <f t="shared" si="101"/>
        <v>5224.1456107630456</v>
      </c>
      <c r="V105" s="90">
        <f t="shared" si="101"/>
        <v>5626.5579382955348</v>
      </c>
    </row>
    <row r="106" spans="2:25" outlineLevel="1">
      <c r="I106" s="275"/>
      <c r="J106" s="275"/>
      <c r="K106" s="275"/>
      <c r="L106" s="275"/>
      <c r="M106" s="71"/>
      <c r="N106" s="71"/>
      <c r="O106" s="71"/>
      <c r="P106" s="71"/>
      <c r="Q106" s="71"/>
      <c r="R106" s="71"/>
      <c r="S106" s="71"/>
      <c r="T106" s="71"/>
      <c r="U106" s="71"/>
      <c r="V106" s="71"/>
    </row>
    <row r="107" spans="2:25" outlineLevel="1">
      <c r="B107" s="103" t="s">
        <v>598</v>
      </c>
      <c r="D107" s="383">
        <f>SUM('Cash Flow'!D29:D30)</f>
        <v>-196.75</v>
      </c>
      <c r="E107" s="383">
        <f>SUM('Cash Flow'!E29:E30)</f>
        <v>-456.3</v>
      </c>
      <c r="F107" s="383">
        <f>SUM('Cash Flow'!F29:F30)</f>
        <v>-416.45</v>
      </c>
      <c r="G107" s="383">
        <f>SUM('Cash Flow'!G29:G30)</f>
        <v>-398.44</v>
      </c>
      <c r="H107" s="383">
        <f>SUM('Cash Flow'!H29:H30)</f>
        <v>-186.35</v>
      </c>
      <c r="I107" s="383">
        <f>Schedules!I71*-1</f>
        <v>-450</v>
      </c>
      <c r="J107" s="383">
        <f>Schedules!J71*-1</f>
        <v>-600</v>
      </c>
      <c r="K107" s="383">
        <f>Schedules!K71*-1</f>
        <v>-750</v>
      </c>
      <c r="L107" s="383">
        <f>Schedules!L71*-1</f>
        <v>-900</v>
      </c>
      <c r="M107" s="383">
        <f>Schedules!M71*-1</f>
        <v>-1050</v>
      </c>
      <c r="N107" s="383">
        <f>Schedules!N71*-1</f>
        <v>-1200</v>
      </c>
      <c r="O107" s="383">
        <f>Schedules!O71*-1</f>
        <v>-1350</v>
      </c>
      <c r="P107" s="383">
        <f>Schedules!P71*-1</f>
        <v>-1500</v>
      </c>
      <c r="Q107" s="383">
        <f>Schedules!Q71*-1</f>
        <v>-1560</v>
      </c>
      <c r="R107" s="383">
        <f>Schedules!R71*-1</f>
        <v>-1622.4</v>
      </c>
      <c r="S107" s="383">
        <f>Schedules!S71*-1</f>
        <v>-1687.296</v>
      </c>
      <c r="T107" s="383">
        <f>Schedules!T71*-1</f>
        <v>-1754.7878400000002</v>
      </c>
      <c r="U107" s="383">
        <f>Schedules!U71*-1</f>
        <v>-1824.9793536000002</v>
      </c>
      <c r="V107" s="383">
        <f>Schedules!V71*-1</f>
        <v>-1897.9785277440003</v>
      </c>
      <c r="W107" s="82"/>
    </row>
    <row r="108" spans="2:25" outlineLevel="1">
      <c r="B108" s="103" t="s">
        <v>599</v>
      </c>
      <c r="D108" s="383">
        <f>SUM('Cash Flow'!D31,'Cash Flow'!D36:D37)</f>
        <v>0</v>
      </c>
      <c r="E108" s="383">
        <f>SUM('Cash Flow'!E31,'Cash Flow'!E36:E37)</f>
        <v>-0.05</v>
      </c>
      <c r="F108" s="383">
        <f>SUM('Cash Flow'!F31,'Cash Flow'!F36:F37)</f>
        <v>-20.54</v>
      </c>
      <c r="G108" s="383">
        <f>SUM('Cash Flow'!G31,'Cash Flow'!G36:G37)</f>
        <v>0</v>
      </c>
      <c r="H108" s="383">
        <f>SUM('Cash Flow'!H31,'Cash Flow'!H36:H37)</f>
        <v>-74.710000000000008</v>
      </c>
      <c r="I108" s="72">
        <v>0</v>
      </c>
      <c r="J108" s="384">
        <f t="shared" ref="J108:L110" si="102">I108</f>
        <v>0</v>
      </c>
      <c r="K108" s="384">
        <f t="shared" si="102"/>
        <v>0</v>
      </c>
      <c r="L108" s="384">
        <f t="shared" si="102"/>
        <v>0</v>
      </c>
      <c r="M108" s="384">
        <f t="shared" ref="M108:M109" si="103">L108</f>
        <v>0</v>
      </c>
      <c r="N108" s="384">
        <f t="shared" ref="N108:P110" si="104">M108</f>
        <v>0</v>
      </c>
      <c r="O108" s="384">
        <f t="shared" si="104"/>
        <v>0</v>
      </c>
      <c r="P108" s="384">
        <f t="shared" si="104"/>
        <v>0</v>
      </c>
      <c r="Q108" s="384">
        <f t="shared" ref="Q108:Q110" si="105">P108</f>
        <v>0</v>
      </c>
      <c r="R108" s="384">
        <f t="shared" ref="R108:R110" si="106">Q108</f>
        <v>0</v>
      </c>
      <c r="S108" s="384">
        <f>R108</f>
        <v>0</v>
      </c>
      <c r="T108" s="384">
        <f t="shared" ref="T108:T110" si="107">S108</f>
        <v>0</v>
      </c>
      <c r="U108" s="384">
        <f t="shared" ref="U108:U110" si="108">T108</f>
        <v>0</v>
      </c>
      <c r="V108" s="384">
        <f t="shared" ref="V108:V110" si="109">U108</f>
        <v>0</v>
      </c>
      <c r="W108" s="82"/>
    </row>
    <row r="109" spans="2:25" outlineLevel="1">
      <c r="B109" s="103" t="s">
        <v>265</v>
      </c>
      <c r="D109" s="383">
        <f>'Cash Flow'!D35</f>
        <v>0.08</v>
      </c>
      <c r="E109" s="383">
        <f>'Cash Flow'!E35</f>
        <v>0.28999999999999998</v>
      </c>
      <c r="F109" s="383">
        <f>'Cash Flow'!F35</f>
        <v>0.85</v>
      </c>
      <c r="G109" s="383">
        <f>'Cash Flow'!G35</f>
        <v>0.08</v>
      </c>
      <c r="H109" s="383">
        <f>'Cash Flow'!H35</f>
        <v>0.26</v>
      </c>
      <c r="I109" s="384">
        <f>H109</f>
        <v>0.26</v>
      </c>
      <c r="J109" s="384">
        <f t="shared" si="102"/>
        <v>0.26</v>
      </c>
      <c r="K109" s="384">
        <f t="shared" si="102"/>
        <v>0.26</v>
      </c>
      <c r="L109" s="384">
        <f t="shared" si="102"/>
        <v>0.26</v>
      </c>
      <c r="M109" s="384">
        <f t="shared" si="103"/>
        <v>0.26</v>
      </c>
      <c r="N109" s="384">
        <f t="shared" si="104"/>
        <v>0.26</v>
      </c>
      <c r="O109" s="384">
        <f t="shared" si="104"/>
        <v>0.26</v>
      </c>
      <c r="P109" s="384">
        <f t="shared" si="104"/>
        <v>0.26</v>
      </c>
      <c r="Q109" s="384">
        <f t="shared" si="105"/>
        <v>0.26</v>
      </c>
      <c r="R109" s="384">
        <f t="shared" si="106"/>
        <v>0.26</v>
      </c>
      <c r="S109" s="384">
        <f>R109</f>
        <v>0.26</v>
      </c>
      <c r="T109" s="384">
        <f t="shared" si="107"/>
        <v>0.26</v>
      </c>
      <c r="U109" s="384">
        <f t="shared" si="108"/>
        <v>0.26</v>
      </c>
      <c r="V109" s="384">
        <f t="shared" si="109"/>
        <v>0.26</v>
      </c>
      <c r="W109" s="82"/>
    </row>
    <row r="110" spans="2:25" outlineLevel="1">
      <c r="B110" s="103" t="s">
        <v>600</v>
      </c>
      <c r="D110" s="383">
        <f>SUM('Cash Flow'!D32:D34)</f>
        <v>-0.06</v>
      </c>
      <c r="E110" s="383">
        <f>SUM('Cash Flow'!E32:E34)</f>
        <v>1.38</v>
      </c>
      <c r="F110" s="383">
        <f>SUM('Cash Flow'!F32:F34)</f>
        <v>-1.07</v>
      </c>
      <c r="G110" s="383">
        <f>SUM('Cash Flow'!G32:G34)</f>
        <v>-2.74</v>
      </c>
      <c r="H110" s="383">
        <f>SUM('Cash Flow'!H32:H34)</f>
        <v>-0.76</v>
      </c>
      <c r="I110" s="72">
        <v>0</v>
      </c>
      <c r="J110" s="384">
        <f t="shared" si="102"/>
        <v>0</v>
      </c>
      <c r="K110" s="384">
        <f t="shared" si="102"/>
        <v>0</v>
      </c>
      <c r="L110" s="384">
        <f t="shared" si="102"/>
        <v>0</v>
      </c>
      <c r="M110" s="384">
        <f t="shared" ref="M110" si="110">L110</f>
        <v>0</v>
      </c>
      <c r="N110" s="384">
        <f t="shared" si="104"/>
        <v>0</v>
      </c>
      <c r="O110" s="384">
        <f t="shared" si="104"/>
        <v>0</v>
      </c>
      <c r="P110" s="384">
        <f t="shared" si="104"/>
        <v>0</v>
      </c>
      <c r="Q110" s="384">
        <f t="shared" si="105"/>
        <v>0</v>
      </c>
      <c r="R110" s="384">
        <f t="shared" si="106"/>
        <v>0</v>
      </c>
      <c r="S110" s="384">
        <f>R110</f>
        <v>0</v>
      </c>
      <c r="T110" s="384">
        <f t="shared" si="107"/>
        <v>0</v>
      </c>
      <c r="U110" s="384">
        <f t="shared" si="108"/>
        <v>0</v>
      </c>
      <c r="V110" s="384">
        <f t="shared" si="109"/>
        <v>0</v>
      </c>
      <c r="W110" s="82"/>
    </row>
    <row r="111" spans="2:25" outlineLevel="1">
      <c r="B111" s="104" t="s">
        <v>116</v>
      </c>
      <c r="C111" s="46"/>
      <c r="D111" s="90">
        <f t="shared" ref="D111:V111" si="111">SUM(D107:D110)</f>
        <v>-196.73</v>
      </c>
      <c r="E111" s="90">
        <f t="shared" si="111"/>
        <v>-454.68</v>
      </c>
      <c r="F111" s="90">
        <f t="shared" si="111"/>
        <v>-437.21</v>
      </c>
      <c r="G111" s="90">
        <f t="shared" si="111"/>
        <v>-401.1</v>
      </c>
      <c r="H111" s="90">
        <f t="shared" si="111"/>
        <v>-261.56</v>
      </c>
      <c r="I111" s="90">
        <f t="shared" si="111"/>
        <v>-449.74</v>
      </c>
      <c r="J111" s="90">
        <f t="shared" si="111"/>
        <v>-599.74</v>
      </c>
      <c r="K111" s="90">
        <f t="shared" si="111"/>
        <v>-749.74</v>
      </c>
      <c r="L111" s="90">
        <f t="shared" si="111"/>
        <v>-899.74</v>
      </c>
      <c r="M111" s="382">
        <f t="shared" si="111"/>
        <v>-1049.74</v>
      </c>
      <c r="N111" s="382">
        <f t="shared" si="111"/>
        <v>-1199.74</v>
      </c>
      <c r="O111" s="90">
        <f t="shared" si="111"/>
        <v>-1349.74</v>
      </c>
      <c r="P111" s="90">
        <f t="shared" si="111"/>
        <v>-1499.74</v>
      </c>
      <c r="Q111" s="90">
        <f t="shared" si="111"/>
        <v>-1559.74</v>
      </c>
      <c r="R111" s="90">
        <f t="shared" si="111"/>
        <v>-1622.14</v>
      </c>
      <c r="S111" s="90">
        <f t="shared" si="111"/>
        <v>-1687.0360000000001</v>
      </c>
      <c r="T111" s="90">
        <f t="shared" si="111"/>
        <v>-1754.5278400000002</v>
      </c>
      <c r="U111" s="90">
        <f t="shared" si="111"/>
        <v>-1824.7193536000002</v>
      </c>
      <c r="V111" s="90">
        <f t="shared" si="111"/>
        <v>-1897.7185277440003</v>
      </c>
    </row>
    <row r="112" spans="2:25" outlineLevel="1">
      <c r="I112" s="275"/>
      <c r="J112" s="275"/>
      <c r="K112" s="275"/>
      <c r="L112" s="275"/>
      <c r="M112" s="71"/>
      <c r="N112" s="71"/>
      <c r="O112" s="71"/>
      <c r="P112" s="71"/>
      <c r="Q112" s="71"/>
      <c r="R112" s="71"/>
      <c r="S112" s="71"/>
      <c r="T112" s="71"/>
      <c r="U112" s="71"/>
      <c r="V112" s="71"/>
    </row>
    <row r="113" spans="2:22" outlineLevel="1">
      <c r="B113" s="57" t="s">
        <v>601</v>
      </c>
      <c r="D113" s="383">
        <f>SUM('Cash Flow'!D42:D43)</f>
        <v>-46.509999999999991</v>
      </c>
      <c r="E113" s="383">
        <f>SUM('Cash Flow'!E42:E43)</f>
        <v>239.25</v>
      </c>
      <c r="F113" s="383">
        <f>SUM('Cash Flow'!F42:F43)</f>
        <v>-64.349999999999994</v>
      </c>
      <c r="G113" s="383">
        <f>SUM('Cash Flow'!G42:G43)</f>
        <v>16.740000000000009</v>
      </c>
      <c r="H113" s="383">
        <f>SUM('Cash Flow'!H42:H43)</f>
        <v>-111.55000000000001</v>
      </c>
      <c r="I113" s="384">
        <f t="shared" ref="I113:V113" si="112">I75-H75</f>
        <v>13.470000000000027</v>
      </c>
      <c r="J113" s="384">
        <f t="shared" si="112"/>
        <v>18.498800000000017</v>
      </c>
      <c r="K113" s="384">
        <f t="shared" si="112"/>
        <v>19.238752000000034</v>
      </c>
      <c r="L113" s="384">
        <f t="shared" si="112"/>
        <v>20.008302080000021</v>
      </c>
      <c r="M113" s="384">
        <f t="shared" si="112"/>
        <v>20.808634163200054</v>
      </c>
      <c r="N113" s="384">
        <f t="shared" si="112"/>
        <v>10.820489764863964</v>
      </c>
      <c r="O113" s="384">
        <f t="shared" si="112"/>
        <v>5.5184497800806867</v>
      </c>
      <c r="P113" s="384">
        <f t="shared" si="112"/>
        <v>5.5736342778814105</v>
      </c>
      <c r="Q113" s="384">
        <f t="shared" si="112"/>
        <v>0</v>
      </c>
      <c r="R113" s="384">
        <f t="shared" si="112"/>
        <v>0</v>
      </c>
      <c r="S113" s="384">
        <f t="shared" si="112"/>
        <v>0</v>
      </c>
      <c r="T113" s="384">
        <f t="shared" si="112"/>
        <v>0</v>
      </c>
      <c r="U113" s="384">
        <f t="shared" si="112"/>
        <v>0</v>
      </c>
      <c r="V113" s="384">
        <f t="shared" si="112"/>
        <v>0</v>
      </c>
    </row>
    <row r="114" spans="2:22" outlineLevel="1">
      <c r="B114" s="57" t="s">
        <v>602</v>
      </c>
      <c r="D114" s="383">
        <f>'Cash Flow'!D44</f>
        <v>55.32</v>
      </c>
      <c r="E114" s="383">
        <f>'Cash Flow'!E44</f>
        <v>5.1100000000000003</v>
      </c>
      <c r="F114" s="383">
        <f>'Cash Flow'!F44</f>
        <v>11.57</v>
      </c>
      <c r="G114" s="383">
        <f>'Cash Flow'!G44</f>
        <v>129.24</v>
      </c>
      <c r="H114" s="383">
        <f>'Cash Flow'!H44</f>
        <v>-171.55</v>
      </c>
      <c r="I114" s="384">
        <f t="shared" ref="I114:V114" si="113">I72-H72</f>
        <v>38.739999999999995</v>
      </c>
      <c r="J114" s="384">
        <f t="shared" si="113"/>
        <v>19.522799999999989</v>
      </c>
      <c r="K114" s="384">
        <f t="shared" si="113"/>
        <v>27.065700000000007</v>
      </c>
      <c r="L114" s="384">
        <f t="shared" si="113"/>
        <v>33.832124999999991</v>
      </c>
      <c r="M114" s="384">
        <f t="shared" si="113"/>
        <v>4.5814335937500346</v>
      </c>
      <c r="N114" s="384">
        <f t="shared" si="113"/>
        <v>-47.084097878906292</v>
      </c>
      <c r="O114" s="384">
        <f t="shared" si="113"/>
        <v>-25.542688744160145</v>
      </c>
      <c r="P114" s="384">
        <f t="shared" si="113"/>
        <v>0</v>
      </c>
      <c r="Q114" s="384">
        <f t="shared" si="113"/>
        <v>0</v>
      </c>
      <c r="R114" s="384">
        <f t="shared" si="113"/>
        <v>0</v>
      </c>
      <c r="S114" s="384">
        <f t="shared" si="113"/>
        <v>0</v>
      </c>
      <c r="T114" s="384">
        <f t="shared" si="113"/>
        <v>0</v>
      </c>
      <c r="U114" s="384">
        <f t="shared" si="113"/>
        <v>0</v>
      </c>
      <c r="V114" s="384">
        <f t="shared" si="113"/>
        <v>0</v>
      </c>
    </row>
    <row r="115" spans="2:22" outlineLevel="1">
      <c r="B115" s="57" t="s">
        <v>603</v>
      </c>
      <c r="D115" s="383">
        <f>SUM('Cash Flow'!D48:D49)</f>
        <v>0</v>
      </c>
      <c r="E115" s="383">
        <f>SUM('Cash Flow'!E48:E49)</f>
        <v>0</v>
      </c>
      <c r="F115" s="383">
        <f>SUM('Cash Flow'!F48:F49)</f>
        <v>0</v>
      </c>
      <c r="G115" s="383">
        <f>SUM('Cash Flow'!G48:G49)</f>
        <v>0</v>
      </c>
      <c r="H115" s="383">
        <f>SUM('Cash Flow'!H48:H49)</f>
        <v>324.72000000000003</v>
      </c>
      <c r="I115" s="72">
        <v>0</v>
      </c>
      <c r="J115" s="384">
        <f>I115</f>
        <v>0</v>
      </c>
      <c r="K115" s="384">
        <f>J115</f>
        <v>0</v>
      </c>
      <c r="L115" s="384">
        <f>K115</f>
        <v>0</v>
      </c>
      <c r="M115" s="384">
        <f t="shared" ref="M115" si="114">L115</f>
        <v>0</v>
      </c>
      <c r="N115" s="384">
        <f>M115</f>
        <v>0</v>
      </c>
      <c r="O115" s="384">
        <f>N115</f>
        <v>0</v>
      </c>
      <c r="P115" s="384">
        <f>O115</f>
        <v>0</v>
      </c>
      <c r="Q115" s="384">
        <f t="shared" ref="Q115" si="115">P115</f>
        <v>0</v>
      </c>
      <c r="R115" s="384">
        <f>Q115</f>
        <v>0</v>
      </c>
      <c r="S115" s="384">
        <f>R115</f>
        <v>0</v>
      </c>
      <c r="T115" s="384">
        <f t="shared" ref="T115" si="116">S115</f>
        <v>0</v>
      </c>
      <c r="U115" s="384">
        <f t="shared" ref="U115" si="117">T115</f>
        <v>0</v>
      </c>
      <c r="V115" s="384">
        <f t="shared" ref="V115" si="118">U115</f>
        <v>0</v>
      </c>
    </row>
    <row r="116" spans="2:22" outlineLevel="1">
      <c r="B116" s="57" t="s">
        <v>157</v>
      </c>
      <c r="D116" s="383">
        <f>'Cash Flow'!D41</f>
        <v>-39.72</v>
      </c>
      <c r="E116" s="383">
        <f>'Cash Flow'!E41</f>
        <v>-48.04</v>
      </c>
      <c r="F116" s="383">
        <f>'Cash Flow'!F41</f>
        <v>-60.45</v>
      </c>
      <c r="G116" s="383">
        <f>'Cash Flow'!G41</f>
        <v>-72.02</v>
      </c>
      <c r="H116" s="383">
        <f>'Cash Flow'!H41</f>
        <v>-65.94</v>
      </c>
      <c r="I116" s="384">
        <f t="shared" ref="I116:V116" si="119">I99*-1</f>
        <v>-40.433084999999998</v>
      </c>
      <c r="J116" s="384">
        <f t="shared" si="119"/>
        <v>-43.907001600000001</v>
      </c>
      <c r="K116" s="384">
        <f t="shared" si="119"/>
        <v>-47.153554602</v>
      </c>
      <c r="L116" s="384">
        <f t="shared" si="119"/>
        <v>-51.009132446579997</v>
      </c>
      <c r="M116" s="384">
        <f t="shared" si="119"/>
        <v>-54.05950649780258</v>
      </c>
      <c r="N116" s="384">
        <f t="shared" si="119"/>
        <v>-53.64087519405453</v>
      </c>
      <c r="O116" s="384">
        <f t="shared" si="119"/>
        <v>-51.473793081546852</v>
      </c>
      <c r="P116" s="384">
        <f t="shared" si="119"/>
        <v>-50.917444801128219</v>
      </c>
      <c r="Q116" s="384">
        <f t="shared" si="119"/>
        <v>-51.132029720826651</v>
      </c>
      <c r="R116" s="384">
        <f t="shared" si="119"/>
        <v>-51.132029720826651</v>
      </c>
      <c r="S116" s="384">
        <f t="shared" si="119"/>
        <v>-51.132029720826651</v>
      </c>
      <c r="T116" s="384">
        <f t="shared" si="119"/>
        <v>-51.132029720826651</v>
      </c>
      <c r="U116" s="384">
        <f t="shared" si="119"/>
        <v>-51.132029720826651</v>
      </c>
      <c r="V116" s="384">
        <f t="shared" si="119"/>
        <v>-51.132029720826651</v>
      </c>
    </row>
    <row r="117" spans="2:22" outlineLevel="1">
      <c r="B117" s="57" t="s">
        <v>275</v>
      </c>
      <c r="D117" s="383">
        <f>'Cash Flow'!D46</f>
        <v>0</v>
      </c>
      <c r="E117" s="383">
        <f>'Cash Flow'!E46</f>
        <v>0</v>
      </c>
      <c r="F117" s="383">
        <f>'Cash Flow'!F46</f>
        <v>-13.85</v>
      </c>
      <c r="G117" s="383">
        <f>'Cash Flow'!G46</f>
        <v>-14.75</v>
      </c>
      <c r="H117" s="383">
        <f>'Cash Flow'!H46</f>
        <v>-10.32</v>
      </c>
      <c r="I117" s="72">
        <v>0</v>
      </c>
      <c r="J117" s="384">
        <f>I117</f>
        <v>0</v>
      </c>
      <c r="K117" s="384">
        <f>J117</f>
        <v>0</v>
      </c>
      <c r="L117" s="384">
        <f>K117</f>
        <v>0</v>
      </c>
      <c r="M117" s="384">
        <f t="shared" ref="M117" si="120">L117</f>
        <v>0</v>
      </c>
      <c r="N117" s="384">
        <f>M117</f>
        <v>0</v>
      </c>
      <c r="O117" s="384">
        <f>N117</f>
        <v>0</v>
      </c>
      <c r="P117" s="384">
        <f>O117</f>
        <v>0</v>
      </c>
      <c r="Q117" s="384">
        <f t="shared" ref="Q117" si="121">P117</f>
        <v>0</v>
      </c>
      <c r="R117" s="384">
        <f>Q117</f>
        <v>0</v>
      </c>
      <c r="S117" s="384">
        <f>R117</f>
        <v>0</v>
      </c>
      <c r="T117" s="384">
        <f t="shared" ref="T117" si="122">S117</f>
        <v>0</v>
      </c>
      <c r="U117" s="384">
        <f t="shared" ref="U117" si="123">T117</f>
        <v>0</v>
      </c>
      <c r="V117" s="384">
        <f t="shared" ref="V117" si="124">U117</f>
        <v>0</v>
      </c>
    </row>
    <row r="118" spans="2:22" outlineLevel="1">
      <c r="B118" s="57" t="s">
        <v>276</v>
      </c>
      <c r="D118" s="383">
        <f>'Cash Flow'!D47</f>
        <v>0</v>
      </c>
      <c r="E118" s="383">
        <f>'Cash Flow'!E47</f>
        <v>0</v>
      </c>
      <c r="F118" s="383">
        <f>'Cash Flow'!F47</f>
        <v>-10.37</v>
      </c>
      <c r="G118" s="383">
        <f>'Cash Flow'!G47</f>
        <v>-10.37</v>
      </c>
      <c r="H118" s="383">
        <f>'Cash Flow'!H47</f>
        <v>-31.54</v>
      </c>
      <c r="I118" s="383">
        <f>Schedules!I120*-1</f>
        <v>-30.314668684614986</v>
      </c>
      <c r="J118" s="383">
        <f>Schedules!J120*-1</f>
        <v>-43.491612557657589</v>
      </c>
      <c r="K118" s="383">
        <f>Schedules!K120*-1</f>
        <v>-68.408273992632331</v>
      </c>
      <c r="L118" s="383">
        <f>Schedules!L120*-1</f>
        <v>-105.84467670527688</v>
      </c>
      <c r="M118" s="383">
        <f>Schedules!M120*-1</f>
        <v>-201.44891431048788</v>
      </c>
      <c r="N118" s="383">
        <f>Schedules!N120*-1</f>
        <v>-307.86815191758257</v>
      </c>
      <c r="O118" s="383">
        <f>Schedules!O120*-1</f>
        <v>-517.12649857548104</v>
      </c>
      <c r="P118" s="383">
        <f>Schedules!P120*-1</f>
        <v>-832.83764063221122</v>
      </c>
      <c r="Q118" s="383">
        <f>Schedules!Q120*-1</f>
        <v>-1350.8322165228308</v>
      </c>
      <c r="R118" s="383">
        <f>Schedules!R120*-1</f>
        <v>-1849.2759700978002</v>
      </c>
      <c r="S118" s="383">
        <f>Schedules!S120*-1</f>
        <v>-2241.4871190855265</v>
      </c>
      <c r="T118" s="383">
        <f>Schedules!T120*-1</f>
        <v>-2747.4464513990388</v>
      </c>
      <c r="U118" s="383">
        <f>Schedules!U120*-1</f>
        <v>-3160.3908806667337</v>
      </c>
      <c r="V118" s="383">
        <f>Schedules!V120*-1</f>
        <v>-3279.9592183893087</v>
      </c>
    </row>
    <row r="119" spans="2:22" outlineLevel="1">
      <c r="B119" s="57" t="s">
        <v>274</v>
      </c>
      <c r="D119" s="383">
        <f>'Cash Flow'!D45</f>
        <v>-0.99</v>
      </c>
      <c r="E119" s="383">
        <f>'Cash Flow'!E45</f>
        <v>-1.1100000000000001</v>
      </c>
      <c r="F119" s="383">
        <f>'Cash Flow'!F45</f>
        <v>-1.41</v>
      </c>
      <c r="G119" s="383">
        <f>'Cash Flow'!G45</f>
        <v>-1.44</v>
      </c>
      <c r="H119" s="383">
        <f>'Cash Flow'!H45</f>
        <v>-2.36</v>
      </c>
      <c r="I119" s="72">
        <v>0</v>
      </c>
      <c r="J119" s="384">
        <f t="shared" ref="J119:L120" si="125">I119</f>
        <v>0</v>
      </c>
      <c r="K119" s="384">
        <f t="shared" si="125"/>
        <v>0</v>
      </c>
      <c r="L119" s="384">
        <f t="shared" si="125"/>
        <v>0</v>
      </c>
      <c r="M119" s="384">
        <f t="shared" ref="M119:M120" si="126">L119</f>
        <v>0</v>
      </c>
      <c r="N119" s="384">
        <f t="shared" ref="N119:P120" si="127">M119</f>
        <v>0</v>
      </c>
      <c r="O119" s="384">
        <f t="shared" si="127"/>
        <v>0</v>
      </c>
      <c r="P119" s="384">
        <f t="shared" si="127"/>
        <v>0</v>
      </c>
      <c r="Q119" s="384">
        <f t="shared" ref="Q119:Q120" si="128">P119</f>
        <v>0</v>
      </c>
      <c r="R119" s="384">
        <f>Q119</f>
        <v>0</v>
      </c>
      <c r="S119" s="384">
        <f>R119</f>
        <v>0</v>
      </c>
      <c r="T119" s="384">
        <f t="shared" ref="T119:T120" si="129">S119</f>
        <v>0</v>
      </c>
      <c r="U119" s="384">
        <f t="shared" ref="U119:U120" si="130">T119</f>
        <v>0</v>
      </c>
      <c r="V119" s="384">
        <f t="shared" ref="V119:V120" si="131">U119</f>
        <v>0</v>
      </c>
    </row>
    <row r="120" spans="2:22" outlineLevel="1">
      <c r="B120" s="57" t="s">
        <v>279</v>
      </c>
      <c r="D120" s="383">
        <f>'Cash Flow'!D50</f>
        <v>0</v>
      </c>
      <c r="E120" s="383">
        <f>'Cash Flow'!E50</f>
        <v>0</v>
      </c>
      <c r="F120" s="383">
        <f>'Cash Flow'!F50</f>
        <v>-60.92</v>
      </c>
      <c r="G120" s="383">
        <f>'Cash Flow'!G50</f>
        <v>-55</v>
      </c>
      <c r="H120" s="383">
        <f>'Cash Flow'!H50</f>
        <v>-95</v>
      </c>
      <c r="I120" s="72">
        <v>0</v>
      </c>
      <c r="J120" s="384">
        <f t="shared" si="125"/>
        <v>0</v>
      </c>
      <c r="K120" s="384">
        <f t="shared" si="125"/>
        <v>0</v>
      </c>
      <c r="L120" s="384">
        <f t="shared" si="125"/>
        <v>0</v>
      </c>
      <c r="M120" s="384">
        <f t="shared" si="126"/>
        <v>0</v>
      </c>
      <c r="N120" s="384">
        <f t="shared" si="127"/>
        <v>0</v>
      </c>
      <c r="O120" s="384">
        <f t="shared" si="127"/>
        <v>0</v>
      </c>
      <c r="P120" s="384">
        <f t="shared" si="127"/>
        <v>0</v>
      </c>
      <c r="Q120" s="384">
        <f t="shared" si="128"/>
        <v>0</v>
      </c>
      <c r="R120" s="384">
        <f>Q120</f>
        <v>0</v>
      </c>
      <c r="S120" s="384">
        <f>R120</f>
        <v>0</v>
      </c>
      <c r="T120" s="384">
        <f t="shared" si="129"/>
        <v>0</v>
      </c>
      <c r="U120" s="384">
        <f t="shared" si="130"/>
        <v>0</v>
      </c>
      <c r="V120" s="384">
        <f t="shared" si="131"/>
        <v>0</v>
      </c>
    </row>
    <row r="121" spans="2:22" outlineLevel="1">
      <c r="B121" s="104" t="s">
        <v>117</v>
      </c>
      <c r="C121" s="46"/>
      <c r="D121" s="90">
        <f>SUM(D113:D120)</f>
        <v>-31.899999999999988</v>
      </c>
      <c r="E121" s="90">
        <f t="shared" ref="E121:H121" si="132">SUM(E113:E120)</f>
        <v>195.21</v>
      </c>
      <c r="F121" s="90">
        <f t="shared" si="132"/>
        <v>-199.77999999999997</v>
      </c>
      <c r="G121" s="90">
        <f t="shared" si="132"/>
        <v>-7.599999999999973</v>
      </c>
      <c r="H121" s="90">
        <f t="shared" si="132"/>
        <v>-163.54</v>
      </c>
      <c r="I121" s="90">
        <f>SUM(I113:I120)</f>
        <v>-18.537753684614962</v>
      </c>
      <c r="J121" s="90">
        <f t="shared" ref="J121:P121" si="133">SUM(J113:J120)</f>
        <v>-49.377014157657584</v>
      </c>
      <c r="K121" s="90">
        <f t="shared" si="133"/>
        <v>-69.257376594632291</v>
      </c>
      <c r="L121" s="90">
        <f t="shared" si="133"/>
        <v>-103.01338207185687</v>
      </c>
      <c r="M121" s="382">
        <f t="shared" si="133"/>
        <v>-230.11835305134036</v>
      </c>
      <c r="N121" s="382">
        <f t="shared" si="133"/>
        <v>-397.77263522567944</v>
      </c>
      <c r="O121" s="90">
        <f t="shared" si="133"/>
        <v>-588.6245306211074</v>
      </c>
      <c r="P121" s="90">
        <f t="shared" si="133"/>
        <v>-878.18145115545803</v>
      </c>
      <c r="Q121" s="90">
        <f t="shared" ref="Q121:V121" si="134">SUM(Q113:Q120)</f>
        <v>-1401.9642462436575</v>
      </c>
      <c r="R121" s="90">
        <f t="shared" si="134"/>
        <v>-1900.4079998186269</v>
      </c>
      <c r="S121" s="90">
        <f t="shared" si="134"/>
        <v>-2292.6191488063532</v>
      </c>
      <c r="T121" s="90">
        <f t="shared" si="134"/>
        <v>-2798.5784811198655</v>
      </c>
      <c r="U121" s="90">
        <f t="shared" si="134"/>
        <v>-3211.5229103875604</v>
      </c>
      <c r="V121" s="90">
        <f t="shared" si="134"/>
        <v>-3331.0912481101354</v>
      </c>
    </row>
    <row r="122" spans="2:22" outlineLevel="1">
      <c r="B122" s="115"/>
      <c r="C122" s="39"/>
      <c r="D122" s="349"/>
      <c r="E122" s="349"/>
      <c r="F122" s="349"/>
      <c r="G122" s="349"/>
      <c r="H122" s="349"/>
      <c r="I122" s="325"/>
      <c r="J122" s="325"/>
      <c r="K122" s="325"/>
      <c r="L122" s="325"/>
      <c r="M122" s="73"/>
      <c r="N122" s="73"/>
      <c r="O122" s="73"/>
      <c r="P122" s="73"/>
      <c r="Q122" s="73"/>
      <c r="R122" s="73"/>
      <c r="S122" s="73"/>
      <c r="T122" s="73"/>
      <c r="U122" s="73"/>
      <c r="V122" s="73"/>
    </row>
    <row r="123" spans="2:22" outlineLevel="1">
      <c r="B123" s="57" t="s">
        <v>119</v>
      </c>
      <c r="D123" s="383">
        <f>'3 Statement Model'!D121+'3 Statement Model'!D111+'3 Statement Model'!D105</f>
        <v>0.57600000000005025</v>
      </c>
      <c r="E123" s="383">
        <f>'3 Statement Model'!E121+'3 Statement Model'!E111+'3 Statement Model'!E105</f>
        <v>24.349999999999966</v>
      </c>
      <c r="F123" s="383">
        <f>'3 Statement Model'!F121+'3 Statement Model'!F111+'3 Statement Model'!F105</f>
        <v>-10.824999999999932</v>
      </c>
      <c r="G123" s="383">
        <f>'3 Statement Model'!G121+'3 Statement Model'!G111+'3 Statement Model'!G105</f>
        <v>-11.060000000000002</v>
      </c>
      <c r="H123" s="383">
        <f>'3 Statement Model'!H121+'3 Statement Model'!H111+'3 Statement Model'!H105</f>
        <v>15.45999999999998</v>
      </c>
      <c r="I123" s="383">
        <f>'3 Statement Model'!I121+'3 Statement Model'!I111+'3 Statement Model'!I105</f>
        <v>129.42269217192</v>
      </c>
      <c r="J123" s="383">
        <f>'3 Statement Model'!J121+'3 Statement Model'!J111+'3 Statement Model'!J105</f>
        <v>9.4269581116924428</v>
      </c>
      <c r="K123" s="383">
        <f>'3 Statement Model'!K121+'3 Statement Model'!K111+'3 Statement Model'!K105</f>
        <v>-37.182282262003923</v>
      </c>
      <c r="L123" s="383">
        <f>'3 Statement Model'!L121+'3 Statement Model'!L111+'3 Statement Model'!L105</f>
        <v>-17.28343388169435</v>
      </c>
      <c r="M123" s="383">
        <f>'3 Statement Model'!M121+'3 Statement Model'!M111+'3 Statement Model'!M105</f>
        <v>23.128321554508375</v>
      </c>
      <c r="N123" s="383">
        <f>'3 Statement Model'!N121+'3 Statement Model'!N111+'3 Statement Model'!N105</f>
        <v>37.437886385121828</v>
      </c>
      <c r="O123" s="383">
        <f>'3 Statement Model'!O121+'3 Statement Model'!O111+'3 Statement Model'!O105</f>
        <v>109.29473644371569</v>
      </c>
      <c r="P123" s="383">
        <f>'3 Statement Model'!P121+'3 Statement Model'!P111+'3 Statement Model'!P105</f>
        <v>54.363151527795253</v>
      </c>
      <c r="Q123" s="383">
        <f>'3 Statement Model'!Q121+'3 Statement Model'!Q111+'3 Statement Model'!Q105</f>
        <v>158.39046004476222</v>
      </c>
      <c r="R123" s="383">
        <f>'3 Statement Model'!R121+'3 Statement Model'!R111+'3 Statement Model'!R105</f>
        <v>114.97104412626732</v>
      </c>
      <c r="S123" s="383">
        <f>'3 Statement Model'!S121+'3 Statement Model'!S111+'3 Statement Model'!S105</f>
        <v>154.05321130377706</v>
      </c>
      <c r="T123" s="383">
        <f>'3 Statement Model'!T121+'3 Statement Model'!T111+'3 Statement Model'!T105</f>
        <v>182.68294208770476</v>
      </c>
      <c r="U123" s="383">
        <f>'3 Statement Model'!U121+'3 Statement Model'!U111+'3 Statement Model'!U105</f>
        <v>187.90334677548526</v>
      </c>
      <c r="V123" s="383">
        <f>'3 Statement Model'!V121+'3 Statement Model'!V111+'3 Statement Model'!V105</f>
        <v>397.74816244139947</v>
      </c>
    </row>
    <row r="124" spans="2:22" outlineLevel="1">
      <c r="B124" s="57" t="s">
        <v>120</v>
      </c>
      <c r="D124" s="383">
        <f>'Cash Flow'!D53</f>
        <v>0.1</v>
      </c>
      <c r="E124" s="384">
        <f>D125</f>
        <v>0.67600000000005023</v>
      </c>
      <c r="F124" s="384">
        <f t="shared" ref="F124:H124" si="135">E125</f>
        <v>25.026000000000018</v>
      </c>
      <c r="G124" s="384">
        <f>F125</f>
        <v>14.201000000000086</v>
      </c>
      <c r="H124" s="384">
        <f t="shared" si="135"/>
        <v>3.1410000000000835</v>
      </c>
      <c r="I124" s="384">
        <f t="shared" ref="I124" si="136">H125</f>
        <v>18.601000000000063</v>
      </c>
      <c r="J124" s="384">
        <f>I125</f>
        <v>148.02369217192006</v>
      </c>
      <c r="K124" s="384">
        <f>J125</f>
        <v>157.4506502836125</v>
      </c>
      <c r="L124" s="384">
        <f>K125</f>
        <v>120.26836802160858</v>
      </c>
      <c r="M124" s="384">
        <f t="shared" ref="M124" si="137">L125</f>
        <v>102.98493413991423</v>
      </c>
      <c r="N124" s="384">
        <f>M125</f>
        <v>126.11325569442261</v>
      </c>
      <c r="O124" s="384">
        <f>N125</f>
        <v>163.55114207954443</v>
      </c>
      <c r="P124" s="384">
        <f>O125</f>
        <v>272.84587852326013</v>
      </c>
      <c r="Q124" s="384">
        <f t="shared" ref="Q124" si="138">P125</f>
        <v>327.20903005105538</v>
      </c>
      <c r="R124" s="384">
        <f>Q125</f>
        <v>485.5994900958176</v>
      </c>
      <c r="S124" s="384">
        <f>R125</f>
        <v>600.57053422208492</v>
      </c>
      <c r="T124" s="384">
        <f t="shared" ref="T124" si="139">S125</f>
        <v>754.62374552586198</v>
      </c>
      <c r="U124" s="384">
        <f t="shared" ref="U124" si="140">T125</f>
        <v>937.30668761356674</v>
      </c>
      <c r="V124" s="384">
        <f t="shared" ref="V124" si="141">U125</f>
        <v>1125.210034389052</v>
      </c>
    </row>
    <row r="125" spans="2:22" ht="15.75" outlineLevel="1" thickBot="1">
      <c r="B125" s="108" t="s">
        <v>121</v>
      </c>
      <c r="C125" s="49"/>
      <c r="D125" s="371">
        <f t="shared" ref="D125:F125" si="142">SUM(D123:D124)</f>
        <v>0.67600000000005023</v>
      </c>
      <c r="E125" s="371">
        <f t="shared" si="142"/>
        <v>25.026000000000018</v>
      </c>
      <c r="F125" s="371">
        <f t="shared" si="142"/>
        <v>14.201000000000086</v>
      </c>
      <c r="G125" s="371">
        <f>SUM(G123:G124)</f>
        <v>3.1410000000000835</v>
      </c>
      <c r="H125" s="371">
        <f>SUM(H123:H124)</f>
        <v>18.601000000000063</v>
      </c>
      <c r="I125" s="371">
        <f>SUM(I123:I124)</f>
        <v>148.02369217192006</v>
      </c>
      <c r="J125" s="371">
        <f>SUM(J123:J124)</f>
        <v>157.4506502836125</v>
      </c>
      <c r="K125" s="371">
        <f t="shared" ref="K125:P125" si="143">SUM(K123:K124)</f>
        <v>120.26836802160858</v>
      </c>
      <c r="L125" s="371">
        <f>SUM(L123:L124)</f>
        <v>102.98493413991423</v>
      </c>
      <c r="M125" s="510">
        <f>SUM(M123:M124)</f>
        <v>126.11325569442261</v>
      </c>
      <c r="N125" s="510">
        <f>SUM(N123:N124)</f>
        <v>163.55114207954443</v>
      </c>
      <c r="O125" s="371">
        <f>SUM(O123:O124)</f>
        <v>272.84587852326013</v>
      </c>
      <c r="P125" s="371">
        <f t="shared" si="143"/>
        <v>327.20903005105538</v>
      </c>
      <c r="Q125" s="371">
        <f t="shared" ref="Q125:V125" si="144">SUM(Q123:Q124)</f>
        <v>485.5994900958176</v>
      </c>
      <c r="R125" s="371">
        <f t="shared" si="144"/>
        <v>600.57053422208492</v>
      </c>
      <c r="S125" s="371">
        <f t="shared" si="144"/>
        <v>754.62374552586198</v>
      </c>
      <c r="T125" s="371">
        <f t="shared" si="144"/>
        <v>937.30668761356674</v>
      </c>
      <c r="U125" s="371">
        <f t="shared" si="144"/>
        <v>1125.210034389052</v>
      </c>
      <c r="V125" s="371">
        <f t="shared" si="144"/>
        <v>1522.9581968304515</v>
      </c>
    </row>
    <row r="128" spans="2:22">
      <c r="D128" s="58"/>
      <c r="E128" s="58"/>
      <c r="F128" s="58"/>
      <c r="G128" s="58"/>
      <c r="H128" s="58"/>
    </row>
  </sheetData>
  <sheetProtection algorithmName="SHA-512" hashValue="mYNoZNBtzCykEvf1ohoKm96clqVpAOAvjQBEd/tevEaTb3n0msWeedXSuMmWw81zH/YPdods/FnGkZvrIBtXOA==" saltValue="qcjRwkJLrSupgecEieUGmg==" spinCount="100000" sheet="1" objects="1" scenarios="1"/>
  <mergeCells count="3">
    <mergeCell ref="D7:H7"/>
    <mergeCell ref="I7:P7"/>
    <mergeCell ref="Q7:V7"/>
  </mergeCells>
  <pageMargins left="0.7" right="0.7" top="0.75" bottom="0.75" header="0.3" footer="0.3"/>
  <pageSetup orientation="portrait" r:id="rId1"/>
  <ignoredErrors>
    <ignoredError sqref="D102:H102 D107 D110:H110 D115:H115 D113:H113 E107:H107" formulaRange="1"/>
  </ignoredErrors>
  <drawing r:id="rId2"/>
  <legacyDrawing r:id="rId3"/>
  <mc:AlternateContent xmlns:mc="http://schemas.openxmlformats.org/markup-compatibility/2006">
    <mc:Choice Requires="x14">
      <controls>
        <mc:AlternateContent xmlns:mc="http://schemas.openxmlformats.org/markup-compatibility/2006">
          <mc:Choice Requires="x14">
            <control shapeId="18433" r:id="rId4" name="Drop Down 1">
              <controlPr defaultSize="0" autoLine="0" autoPict="0">
                <anchor moveWithCells="1">
                  <from>
                    <xdr:col>7</xdr:col>
                    <xdr:colOff>828675</xdr:colOff>
                    <xdr:row>2</xdr:row>
                    <xdr:rowOff>28575</xdr:rowOff>
                  </from>
                  <to>
                    <xdr:col>10</xdr:col>
                    <xdr:colOff>123825</xdr:colOff>
                    <xdr:row>3</xdr:row>
                    <xdr:rowOff>38100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BA954-DA55-4D4C-96A3-914FE821B6F0}">
  <sheetPr>
    <pageSetUpPr autoPageBreaks="0"/>
  </sheetPr>
  <dimension ref="A1:X71"/>
  <sheetViews>
    <sheetView showGridLines="0" zoomScaleNormal="100" workbookViewId="0">
      <pane xSplit="2" ySplit="8" topLeftCell="C9" activePane="bottomRight" state="frozen"/>
      <selection activeCell="I6" sqref="I6"/>
      <selection pane="topRight" activeCell="I6" sqref="I6"/>
      <selection pane="bottomLeft" activeCell="I6" sqref="I6"/>
      <selection pane="bottomRight"/>
    </sheetView>
  </sheetViews>
  <sheetFormatPr defaultColWidth="9.7109375" defaultRowHeight="15" outlineLevelRow="1"/>
  <cols>
    <col min="1" max="1" width="1.85546875" customWidth="1"/>
    <col min="2" max="2" width="42.85546875" customWidth="1"/>
    <col min="3" max="3" width="19.5703125" customWidth="1"/>
    <col min="4" max="8" width="10" style="275" customWidth="1"/>
    <col min="9" max="16" width="10" customWidth="1"/>
    <col min="17" max="17" width="9.7109375" customWidth="1"/>
  </cols>
  <sheetData>
    <row r="1" spans="1:24">
      <c r="D1"/>
      <c r="E1"/>
      <c r="F1"/>
      <c r="G1"/>
      <c r="H1"/>
    </row>
    <row r="2" spans="1:24" ht="21">
      <c r="B2" s="29" t="str">
        <f>'Input Sheet'!C5</f>
        <v>Epigral Ltd.</v>
      </c>
      <c r="C2" s="29"/>
      <c r="D2" s="29"/>
      <c r="E2" s="29"/>
      <c r="F2" s="29"/>
      <c r="G2"/>
      <c r="H2"/>
    </row>
    <row r="3" spans="1:24">
      <c r="B3" t="s">
        <v>122</v>
      </c>
      <c r="D3"/>
      <c r="E3"/>
      <c r="F3"/>
      <c r="G3"/>
      <c r="H3" t="s">
        <v>39</v>
      </c>
      <c r="I3">
        <v>2</v>
      </c>
    </row>
    <row r="4" spans="1:24">
      <c r="D4"/>
      <c r="E4"/>
      <c r="F4"/>
      <c r="G4"/>
      <c r="H4"/>
    </row>
    <row r="5" spans="1:24">
      <c r="D5"/>
      <c r="E5"/>
      <c r="F5"/>
      <c r="G5"/>
      <c r="H5"/>
    </row>
    <row r="6" spans="1:24">
      <c r="D6"/>
      <c r="E6"/>
      <c r="F6"/>
      <c r="G6"/>
      <c r="H6"/>
    </row>
    <row r="7" spans="1:24">
      <c r="D7" s="577" t="s">
        <v>91</v>
      </c>
      <c r="E7" s="577"/>
      <c r="F7" s="577"/>
      <c r="G7" s="577"/>
      <c r="H7" s="577"/>
      <c r="I7" s="584" t="s">
        <v>1123</v>
      </c>
      <c r="J7" s="584"/>
      <c r="K7" s="584"/>
      <c r="L7" s="584"/>
      <c r="M7" s="584"/>
      <c r="N7" s="584"/>
      <c r="O7" s="584"/>
      <c r="P7" s="584"/>
      <c r="Q7" s="585" t="s">
        <v>183</v>
      </c>
      <c r="R7" s="585"/>
      <c r="S7" s="585"/>
      <c r="T7" s="585"/>
      <c r="U7" s="585"/>
      <c r="V7" s="585"/>
    </row>
    <row r="8" spans="1:24">
      <c r="B8" s="30" t="s">
        <v>34</v>
      </c>
      <c r="C8" s="30"/>
      <c r="D8" s="483">
        <f>Schedules!D8</f>
        <v>2021</v>
      </c>
      <c r="E8" s="483">
        <f>Schedules!E8</f>
        <v>2022</v>
      </c>
      <c r="F8" s="483">
        <f>Schedules!F8</f>
        <v>2023</v>
      </c>
      <c r="G8" s="483">
        <f>Schedules!G8</f>
        <v>2024</v>
      </c>
      <c r="H8" s="483">
        <f>Schedules!H8</f>
        <v>2025</v>
      </c>
      <c r="I8" s="483">
        <f t="shared" ref="I8:P8" si="0">H8+1</f>
        <v>2026</v>
      </c>
      <c r="J8" s="483">
        <f t="shared" si="0"/>
        <v>2027</v>
      </c>
      <c r="K8" s="483">
        <f t="shared" si="0"/>
        <v>2028</v>
      </c>
      <c r="L8" s="483">
        <f t="shared" si="0"/>
        <v>2029</v>
      </c>
      <c r="M8" s="483">
        <f t="shared" si="0"/>
        <v>2030</v>
      </c>
      <c r="N8" s="483">
        <f t="shared" si="0"/>
        <v>2031</v>
      </c>
      <c r="O8" s="483">
        <f t="shared" si="0"/>
        <v>2032</v>
      </c>
      <c r="P8" s="483">
        <f t="shared" si="0"/>
        <v>2033</v>
      </c>
      <c r="Q8" s="509">
        <f>'3 Statement Model'!Q8</f>
        <v>2034</v>
      </c>
      <c r="R8" s="509">
        <f>'3 Statement Model'!R8</f>
        <v>2035</v>
      </c>
      <c r="S8" s="509">
        <f>'3 Statement Model'!S8</f>
        <v>2036</v>
      </c>
      <c r="T8" s="509">
        <f>'3 Statement Model'!T8</f>
        <v>2037</v>
      </c>
      <c r="U8" s="509">
        <f>'3 Statement Model'!U8</f>
        <v>2038</v>
      </c>
      <c r="V8" s="509">
        <f>'3 Statement Model'!V8</f>
        <v>2039</v>
      </c>
    </row>
    <row r="9" spans="1:24">
      <c r="B9" s="94"/>
      <c r="C9" s="94"/>
      <c r="D9" s="95"/>
      <c r="E9" s="95"/>
      <c r="F9" s="95"/>
      <c r="G9" s="95"/>
      <c r="H9" s="95"/>
      <c r="I9" s="96"/>
      <c r="J9" s="96"/>
      <c r="K9" s="96"/>
      <c r="L9" s="96"/>
      <c r="M9" s="96"/>
      <c r="N9" s="96"/>
      <c r="O9" s="96"/>
      <c r="P9" s="96"/>
    </row>
    <row r="10" spans="1:24" ht="15" customHeight="1">
      <c r="A10" t="s">
        <v>35</v>
      </c>
      <c r="B10" s="131" t="s">
        <v>661</v>
      </c>
      <c r="C10" s="141"/>
      <c r="D10" s="141"/>
      <c r="E10" s="141"/>
      <c r="F10" s="141"/>
      <c r="G10" s="141"/>
      <c r="H10" s="141"/>
      <c r="I10" s="141"/>
      <c r="J10" s="141"/>
      <c r="K10" s="141"/>
      <c r="L10" s="141"/>
      <c r="M10" s="141"/>
      <c r="N10" s="141"/>
      <c r="O10" s="141"/>
      <c r="P10" s="141"/>
      <c r="Q10" s="141"/>
      <c r="R10" s="141"/>
      <c r="S10" s="141"/>
      <c r="T10" s="141"/>
      <c r="U10" s="141"/>
      <c r="V10" s="141"/>
    </row>
    <row r="11" spans="1:24" outlineLevel="1">
      <c r="D11"/>
      <c r="E11"/>
      <c r="F11"/>
      <c r="G11"/>
      <c r="H11"/>
    </row>
    <row r="12" spans="1:24" outlineLevel="1">
      <c r="B12" s="66" t="s">
        <v>285</v>
      </c>
      <c r="D12" s="109">
        <f>'3 Statement Model'!D12/'3 Statement Model'!D$12</f>
        <v>1</v>
      </c>
      <c r="E12" s="109">
        <f>'3 Statement Model'!E12/'3 Statement Model'!E$12</f>
        <v>1</v>
      </c>
      <c r="F12" s="109">
        <f>'3 Statement Model'!F12/'3 Statement Model'!F$12</f>
        <v>1</v>
      </c>
      <c r="G12" s="109">
        <f>'3 Statement Model'!G12/'3 Statement Model'!G$12</f>
        <v>1</v>
      </c>
      <c r="H12" s="109">
        <f>'3 Statement Model'!H12/'3 Statement Model'!H$12</f>
        <v>1</v>
      </c>
      <c r="I12" s="109">
        <f>'3 Statement Model'!I12/'3 Statement Model'!I$12</f>
        <v>1</v>
      </c>
      <c r="J12" s="109">
        <f>'3 Statement Model'!J12/'3 Statement Model'!J$12</f>
        <v>1</v>
      </c>
      <c r="K12" s="109">
        <f>'3 Statement Model'!K12/'3 Statement Model'!K$12</f>
        <v>1</v>
      </c>
      <c r="L12" s="109">
        <f>'3 Statement Model'!L12/'3 Statement Model'!L$12</f>
        <v>1</v>
      </c>
      <c r="M12" s="109">
        <f>'3 Statement Model'!M12/'3 Statement Model'!M$12</f>
        <v>1</v>
      </c>
      <c r="N12" s="109">
        <f>'3 Statement Model'!N12/'3 Statement Model'!N$12</f>
        <v>1</v>
      </c>
      <c r="O12" s="109">
        <f>'3 Statement Model'!O12/'3 Statement Model'!O$12</f>
        <v>1</v>
      </c>
      <c r="P12" s="109">
        <f>'3 Statement Model'!P12/'3 Statement Model'!P$12</f>
        <v>1</v>
      </c>
      <c r="Q12" s="109">
        <f>'3 Statement Model'!Q12/'3 Statement Model'!Q$12</f>
        <v>1</v>
      </c>
      <c r="R12" s="109">
        <f>'3 Statement Model'!R12/'3 Statement Model'!R$12</f>
        <v>1</v>
      </c>
      <c r="S12" s="109">
        <f>'3 Statement Model'!S12/'3 Statement Model'!S$12</f>
        <v>1</v>
      </c>
      <c r="T12" s="109">
        <f>'3 Statement Model'!T12/'3 Statement Model'!T$12</f>
        <v>1</v>
      </c>
      <c r="U12" s="109">
        <f>'3 Statement Model'!U12/'3 Statement Model'!U$12</f>
        <v>1</v>
      </c>
      <c r="V12" s="109">
        <f>'3 Statement Model'!V12/'3 Statement Model'!V$12</f>
        <v>1</v>
      </c>
    </row>
    <row r="13" spans="1:24" outlineLevel="1">
      <c r="B13" s="78" t="s">
        <v>3</v>
      </c>
      <c r="D13" s="109">
        <f>'3 Statement Model'!D13/'3 Statement Model'!D$12</f>
        <v>0.46441495778045838</v>
      </c>
      <c r="E13" s="109">
        <f>'3 Statement Model'!E13/'3 Statement Model'!E$12</f>
        <v>0.49065119277885233</v>
      </c>
      <c r="F13" s="109">
        <f>'3 Statement Model'!F13/'3 Statement Model'!F$12</f>
        <v>0.50959780621572215</v>
      </c>
      <c r="G13" s="109">
        <f>'3 Statement Model'!G13/'3 Statement Model'!G$12</f>
        <v>0.55002592016588903</v>
      </c>
      <c r="H13" s="109">
        <f>'3 Statement Model'!H13/'3 Statement Model'!H$12</f>
        <v>0.53058823529411769</v>
      </c>
      <c r="I13" s="109">
        <f>'3 Statement Model'!I13/'3 Statement Model'!I$12</f>
        <v>0.55000000000000004</v>
      </c>
      <c r="J13" s="109">
        <f>'3 Statement Model'!J13/'3 Statement Model'!J$12</f>
        <v>0.54400000000000004</v>
      </c>
      <c r="K13" s="109">
        <f>'3 Statement Model'!K13/'3 Statement Model'!K$12</f>
        <v>0.54400000000000004</v>
      </c>
      <c r="L13" s="109">
        <f>'3 Statement Model'!L13/'3 Statement Model'!L$12</f>
        <v>0.53920000000000001</v>
      </c>
      <c r="M13" s="109">
        <f>'3 Statement Model'!M13/'3 Statement Model'!M$12</f>
        <v>0.53439999999999999</v>
      </c>
      <c r="N13" s="109">
        <f>'3 Statement Model'!N13/'3 Statement Model'!N$12</f>
        <v>0.52960000000000007</v>
      </c>
      <c r="O13" s="109">
        <f>'3 Statement Model'!O13/'3 Statement Model'!O$12</f>
        <v>0.52480000000000016</v>
      </c>
      <c r="P13" s="109">
        <f>'3 Statement Model'!P13/'3 Statement Model'!P$12</f>
        <v>0.52</v>
      </c>
      <c r="Q13" s="109">
        <f>'3 Statement Model'!Q13/'3 Statement Model'!Q$12</f>
        <v>0.49</v>
      </c>
      <c r="R13" s="109">
        <f>'3 Statement Model'!R13/'3 Statement Model'!R$12</f>
        <v>0.49</v>
      </c>
      <c r="S13" s="109">
        <f>'3 Statement Model'!S13/'3 Statement Model'!S$12</f>
        <v>0.48999999999999994</v>
      </c>
      <c r="T13" s="109">
        <f>'3 Statement Model'!T13/'3 Statement Model'!T$12</f>
        <v>0.48000000000000004</v>
      </c>
      <c r="U13" s="109">
        <f>'3 Statement Model'!U13/'3 Statement Model'!U$12</f>
        <v>0.48</v>
      </c>
      <c r="V13" s="109">
        <f>'3 Statement Model'!V13/'3 Statement Model'!V$12</f>
        <v>0.48</v>
      </c>
    </row>
    <row r="14" spans="1:24" s="58" customFormat="1" outlineLevel="1">
      <c r="A14"/>
      <c r="B14" s="86" t="s">
        <v>4</v>
      </c>
      <c r="C14" s="87"/>
      <c r="D14" s="389">
        <f>D12-D13</f>
        <v>0.53558504221954162</v>
      </c>
      <c r="E14" s="389">
        <f t="shared" ref="E14:P14" si="1">E12-E13</f>
        <v>0.50934880722114761</v>
      </c>
      <c r="F14" s="389">
        <f t="shared" si="1"/>
        <v>0.49040219378427785</v>
      </c>
      <c r="G14" s="389">
        <f t="shared" si="1"/>
        <v>0.44997407983411097</v>
      </c>
      <c r="H14" s="389">
        <f>H12-H13</f>
        <v>0.46941176470588231</v>
      </c>
      <c r="I14" s="389">
        <f>I12-I13</f>
        <v>0.44999999999999996</v>
      </c>
      <c r="J14" s="389">
        <f t="shared" si="1"/>
        <v>0.45599999999999996</v>
      </c>
      <c r="K14" s="389">
        <f t="shared" si="1"/>
        <v>0.45599999999999996</v>
      </c>
      <c r="L14" s="389">
        <f>L12-L13</f>
        <v>0.46079999999999999</v>
      </c>
      <c r="M14" s="389">
        <f t="shared" si="1"/>
        <v>0.46560000000000001</v>
      </c>
      <c r="N14" s="389">
        <f t="shared" si="1"/>
        <v>0.47039999999999993</v>
      </c>
      <c r="O14" s="389">
        <f t="shared" si="1"/>
        <v>0.47519999999999984</v>
      </c>
      <c r="P14" s="389">
        <f t="shared" si="1"/>
        <v>0.48</v>
      </c>
      <c r="Q14" s="389">
        <f t="shared" ref="Q14:V14" si="2">Q12-Q13</f>
        <v>0.51</v>
      </c>
      <c r="R14" s="389">
        <f t="shared" si="2"/>
        <v>0.51</v>
      </c>
      <c r="S14" s="389">
        <f t="shared" si="2"/>
        <v>0.51</v>
      </c>
      <c r="T14" s="389">
        <f t="shared" si="2"/>
        <v>0.52</v>
      </c>
      <c r="U14" s="389">
        <f t="shared" si="2"/>
        <v>0.52</v>
      </c>
      <c r="V14" s="389">
        <f t="shared" si="2"/>
        <v>0.52</v>
      </c>
    </row>
    <row r="15" spans="1:24" outlineLevel="1">
      <c r="B15" s="76"/>
      <c r="D15" s="109"/>
      <c r="E15" s="109"/>
      <c r="F15" s="109"/>
      <c r="G15" s="109"/>
      <c r="H15" s="109"/>
      <c r="I15" s="109"/>
      <c r="J15" s="109"/>
      <c r="K15" s="109"/>
      <c r="L15" s="109"/>
      <c r="M15" s="109"/>
      <c r="N15" s="109"/>
      <c r="O15" s="109"/>
      <c r="P15" s="109"/>
      <c r="Q15" s="109"/>
      <c r="R15" s="109"/>
      <c r="S15" s="109"/>
      <c r="T15" s="109"/>
      <c r="U15" s="109"/>
      <c r="V15" s="109"/>
      <c r="X15" s="248"/>
    </row>
    <row r="16" spans="1:24" outlineLevel="1">
      <c r="B16" s="77" t="s">
        <v>92</v>
      </c>
      <c r="D16" s="83"/>
      <c r="E16" s="83"/>
      <c r="F16" s="83"/>
      <c r="G16" s="83"/>
      <c r="H16" s="83"/>
      <c r="I16" s="54"/>
      <c r="J16" s="54"/>
      <c r="K16" s="54"/>
      <c r="L16" s="54"/>
      <c r="M16" s="54"/>
      <c r="N16" s="54"/>
      <c r="O16" s="54"/>
      <c r="P16" s="54"/>
      <c r="Q16" s="54"/>
      <c r="R16" s="54"/>
      <c r="S16" s="54"/>
      <c r="T16" s="54"/>
      <c r="U16" s="54"/>
      <c r="V16" s="54"/>
      <c r="X16" s="248"/>
    </row>
    <row r="17" spans="2:24" outlineLevel="1">
      <c r="B17" s="78" t="str">
        <f>Schedules!B24</f>
        <v xml:space="preserve">Salaries, Wages &amp; Bonus </v>
      </c>
      <c r="D17" s="109">
        <f>'3 Statement Model'!D19/'3 Statement Model'!D$12</f>
        <v>4.9457177322074788E-2</v>
      </c>
      <c r="E17" s="109">
        <f>'3 Statement Model'!E19/'3 Statement Model'!E$12</f>
        <v>3.3526756931012251E-2</v>
      </c>
      <c r="F17" s="109">
        <f>'3 Statement Model'!F19/'3 Statement Model'!F$12</f>
        <v>3.1535648994515539E-2</v>
      </c>
      <c r="G17" s="109">
        <f>'3 Statement Model'!G19/'3 Statement Model'!G$12</f>
        <v>4.1990668740279936E-2</v>
      </c>
      <c r="H17" s="109">
        <f>'3 Statement Model'!H19/'3 Statement Model'!H$12</f>
        <v>3.8431372549019606E-2</v>
      </c>
      <c r="I17" s="109">
        <f>'3 Statement Model'!I19/'3 Statement Model'!I$12</f>
        <v>3.7999999999999999E-2</v>
      </c>
      <c r="J17" s="109">
        <f>'3 Statement Model'!J19/'3 Statement Model'!J$12</f>
        <v>3.7999999999999999E-2</v>
      </c>
      <c r="K17" s="109">
        <f>'3 Statement Model'!K19/'3 Statement Model'!K$12</f>
        <v>3.7999999999999999E-2</v>
      </c>
      <c r="L17" s="109">
        <f>'3 Statement Model'!L19/'3 Statement Model'!L$12</f>
        <v>3.7999999999999999E-2</v>
      </c>
      <c r="M17" s="109">
        <f>'3 Statement Model'!M19/'3 Statement Model'!M$12</f>
        <v>3.7999999999999999E-2</v>
      </c>
      <c r="N17" s="109">
        <f>'3 Statement Model'!N19/'3 Statement Model'!N$12</f>
        <v>3.7999999999999999E-2</v>
      </c>
      <c r="O17" s="109">
        <f>'3 Statement Model'!O19/'3 Statement Model'!O$12</f>
        <v>3.7999999999999999E-2</v>
      </c>
      <c r="P17" s="109">
        <f>'3 Statement Model'!P19/'3 Statement Model'!P$12</f>
        <v>3.7999999999999999E-2</v>
      </c>
      <c r="Q17" s="109">
        <f>'3 Statement Model'!Q19/'3 Statement Model'!Q$12</f>
        <v>3.7999999999999999E-2</v>
      </c>
      <c r="R17" s="109">
        <f>'3 Statement Model'!R19/'3 Statement Model'!R$12</f>
        <v>3.7999999999999999E-2</v>
      </c>
      <c r="S17" s="109">
        <f>'3 Statement Model'!S19/'3 Statement Model'!S$12</f>
        <v>3.7999999999999999E-2</v>
      </c>
      <c r="T17" s="109">
        <f>'3 Statement Model'!T19/'3 Statement Model'!T$12</f>
        <v>3.7999999999999999E-2</v>
      </c>
      <c r="U17" s="109">
        <f>'3 Statement Model'!U19/'3 Statement Model'!U$12</f>
        <v>3.7999999999999999E-2</v>
      </c>
      <c r="V17" s="109">
        <f>'3 Statement Model'!V19/'3 Statement Model'!V$12</f>
        <v>3.7999999999999999E-2</v>
      </c>
      <c r="X17" s="248"/>
    </row>
    <row r="18" spans="2:24" outlineLevel="1">
      <c r="B18" s="78" t="str">
        <f>Schedules!B29</f>
        <v>Power &amp; Fuel Cost</v>
      </c>
      <c r="D18" s="109">
        <f>'3 Statement Model'!D20/'3 Statement Model'!D$12</f>
        <v>3.1363088057901084E-2</v>
      </c>
      <c r="E18" s="109">
        <f>'3 Statement Model'!E20/'3 Statement Model'!E$12</f>
        <v>6.4474532559638947E-2</v>
      </c>
      <c r="F18" s="109">
        <f>'3 Statement Model'!F20/'3 Statement Model'!F$12</f>
        <v>7.0383912248628888E-2</v>
      </c>
      <c r="G18" s="109">
        <f>'3 Statement Model'!G20/'3 Statement Model'!G$12</f>
        <v>7.3094867807153963E-2</v>
      </c>
      <c r="H18" s="109">
        <f>'3 Statement Model'!H20/'3 Statement Model'!H$12</f>
        <v>7.0588235294117646E-2</v>
      </c>
      <c r="I18" s="109">
        <f>'3 Statement Model'!I20/'3 Statement Model'!I$12</f>
        <v>7.0000000000000007E-2</v>
      </c>
      <c r="J18" s="109">
        <f>'3 Statement Model'!J20/'3 Statement Model'!J$12</f>
        <v>7.0000000000000007E-2</v>
      </c>
      <c r="K18" s="109">
        <f>'3 Statement Model'!K20/'3 Statement Model'!K$12</f>
        <v>7.0000000000000007E-2</v>
      </c>
      <c r="L18" s="109">
        <f>'3 Statement Model'!L20/'3 Statement Model'!L$12</f>
        <v>7.0000000000000007E-2</v>
      </c>
      <c r="M18" s="109">
        <f>'3 Statement Model'!M20/'3 Statement Model'!M$12</f>
        <v>7.0000000000000007E-2</v>
      </c>
      <c r="N18" s="109">
        <f>'3 Statement Model'!N20/'3 Statement Model'!N$12</f>
        <v>7.0000000000000007E-2</v>
      </c>
      <c r="O18" s="109">
        <f>'3 Statement Model'!O20/'3 Statement Model'!O$12</f>
        <v>7.0000000000000007E-2</v>
      </c>
      <c r="P18" s="109">
        <f>'3 Statement Model'!P20/'3 Statement Model'!P$12</f>
        <v>7.0000000000000007E-2</v>
      </c>
      <c r="Q18" s="109">
        <f>'3 Statement Model'!Q20/'3 Statement Model'!Q$12</f>
        <v>7.0000000000000007E-2</v>
      </c>
      <c r="R18" s="109">
        <f>'3 Statement Model'!R20/'3 Statement Model'!R$12</f>
        <v>7.0000000000000007E-2</v>
      </c>
      <c r="S18" s="109">
        <f>'3 Statement Model'!S20/'3 Statement Model'!S$12</f>
        <v>7.0000000000000007E-2</v>
      </c>
      <c r="T18" s="109">
        <f>'3 Statement Model'!T20/'3 Statement Model'!T$12</f>
        <v>7.0000000000000007E-2</v>
      </c>
      <c r="U18" s="109">
        <f>'3 Statement Model'!U20/'3 Statement Model'!U$12</f>
        <v>7.0000000000000007E-2</v>
      </c>
      <c r="V18" s="109">
        <f>'3 Statement Model'!V20/'3 Statement Model'!V$12</f>
        <v>7.0000000000000007E-2</v>
      </c>
      <c r="X18" s="248"/>
    </row>
    <row r="19" spans="2:24" outlineLevel="1">
      <c r="B19" s="79" t="str">
        <f>Schedules!B34</f>
        <v xml:space="preserve">Other Operating Expenses </v>
      </c>
      <c r="D19" s="109">
        <f>'3 Statement Model'!D21/'3 Statement Model'!D$12</f>
        <v>5.3075995174909532E-2</v>
      </c>
      <c r="E19" s="109">
        <f>'3 Statement Model'!E21/'3 Statement Model'!E$12</f>
        <v>4.0618955512572531E-2</v>
      </c>
      <c r="F19" s="109">
        <f>'3 Statement Model'!F21/'3 Statement Model'!F$12</f>
        <v>3.6563071297989032E-2</v>
      </c>
      <c r="G19" s="109">
        <f>'3 Statement Model'!G21/'3 Statement Model'!G$12</f>
        <v>4.4582685329186106E-2</v>
      </c>
      <c r="H19" s="109">
        <f>'3 Statement Model'!H21/'3 Statement Model'!H$12</f>
        <v>3.6862745098039218E-2</v>
      </c>
      <c r="I19" s="109">
        <f>'3 Statement Model'!I21/'3 Statement Model'!I$12</f>
        <v>4.1000000000000002E-2</v>
      </c>
      <c r="J19" s="109">
        <f>'3 Statement Model'!J21/'3 Statement Model'!J$12</f>
        <v>4.1000000000000002E-2</v>
      </c>
      <c r="K19" s="109">
        <f>'3 Statement Model'!K21/'3 Statement Model'!K$12</f>
        <v>4.1000000000000002E-2</v>
      </c>
      <c r="L19" s="109">
        <f>'3 Statement Model'!L21/'3 Statement Model'!L$12</f>
        <v>4.1000000000000002E-2</v>
      </c>
      <c r="M19" s="109">
        <f>'3 Statement Model'!M21/'3 Statement Model'!M$12</f>
        <v>4.1000000000000002E-2</v>
      </c>
      <c r="N19" s="109">
        <f>'3 Statement Model'!N21/'3 Statement Model'!N$12</f>
        <v>4.1000000000000002E-2</v>
      </c>
      <c r="O19" s="109">
        <f>'3 Statement Model'!O21/'3 Statement Model'!O$12</f>
        <v>4.1000000000000002E-2</v>
      </c>
      <c r="P19" s="109">
        <f>'3 Statement Model'!P21/'3 Statement Model'!P$12</f>
        <v>4.1000000000000002E-2</v>
      </c>
      <c r="Q19" s="109">
        <f>'3 Statement Model'!Q21/'3 Statement Model'!Q$12</f>
        <v>4.1000000000000002E-2</v>
      </c>
      <c r="R19" s="109">
        <f>'3 Statement Model'!R21/'3 Statement Model'!R$12</f>
        <v>4.1000000000000002E-2</v>
      </c>
      <c r="S19" s="109">
        <f>'3 Statement Model'!S21/'3 Statement Model'!S$12</f>
        <v>4.1000000000000002E-2</v>
      </c>
      <c r="T19" s="109">
        <f>'3 Statement Model'!T21/'3 Statement Model'!T$12</f>
        <v>4.1000000000000002E-2</v>
      </c>
      <c r="U19" s="109">
        <f>'3 Statement Model'!U21/'3 Statement Model'!U$12</f>
        <v>4.1000000000000002E-2</v>
      </c>
      <c r="V19" s="109">
        <f>'3 Statement Model'!V21/'3 Statement Model'!V$12</f>
        <v>4.1000000000000002E-2</v>
      </c>
      <c r="X19" s="248"/>
    </row>
    <row r="20" spans="2:24" outlineLevel="1">
      <c r="B20" s="78" t="str">
        <f>Schedules!B39</f>
        <v xml:space="preserve">Other SG&amp;A Expenses </v>
      </c>
      <c r="D20" s="109">
        <f>'3 Statement Model'!D22/'3 Statement Model'!D$12</f>
        <v>8.5886610373944516E-2</v>
      </c>
      <c r="E20" s="109">
        <f>'3 Statement Model'!E22/'3 Statement Model'!E$12</f>
        <v>4.1779497098646035E-2</v>
      </c>
      <c r="F20" s="109">
        <f>'3 Statement Model'!F22/'3 Statement Model'!F$12</f>
        <v>3.6837294332723945E-2</v>
      </c>
      <c r="G20" s="109">
        <f>'3 Statement Model'!G22/'3 Statement Model'!G$12</f>
        <v>4.1109383100051841E-2</v>
      </c>
      <c r="H20" s="109">
        <f>'3 Statement Model'!H22/'3 Statement Model'!H$12</f>
        <v>4.4549019607843132E-2</v>
      </c>
      <c r="I20" s="109">
        <f>'3 Statement Model'!I22/'3 Statement Model'!I$12</f>
        <v>4.1000000000000002E-2</v>
      </c>
      <c r="J20" s="109">
        <f>'3 Statement Model'!J22/'3 Statement Model'!J$12</f>
        <v>4.1000000000000002E-2</v>
      </c>
      <c r="K20" s="109">
        <f>'3 Statement Model'!K22/'3 Statement Model'!K$12</f>
        <v>4.1000000000000002E-2</v>
      </c>
      <c r="L20" s="109">
        <f>'3 Statement Model'!L22/'3 Statement Model'!L$12</f>
        <v>4.1000000000000002E-2</v>
      </c>
      <c r="M20" s="109">
        <f>'3 Statement Model'!M22/'3 Statement Model'!M$12</f>
        <v>4.1000000000000002E-2</v>
      </c>
      <c r="N20" s="109">
        <f>'3 Statement Model'!N22/'3 Statement Model'!N$12</f>
        <v>4.1000000000000002E-2</v>
      </c>
      <c r="O20" s="109">
        <f>'3 Statement Model'!O22/'3 Statement Model'!O$12</f>
        <v>4.1000000000000002E-2</v>
      </c>
      <c r="P20" s="109">
        <f>'3 Statement Model'!P22/'3 Statement Model'!P$12</f>
        <v>4.1000000000000002E-2</v>
      </c>
      <c r="Q20" s="109">
        <f>'3 Statement Model'!Q22/'3 Statement Model'!Q$12</f>
        <v>4.1000000000000002E-2</v>
      </c>
      <c r="R20" s="109">
        <f>'3 Statement Model'!R22/'3 Statement Model'!R$12</f>
        <v>4.1000000000000002E-2</v>
      </c>
      <c r="S20" s="109">
        <f>'3 Statement Model'!S22/'3 Statement Model'!S$12</f>
        <v>4.1000000000000002E-2</v>
      </c>
      <c r="T20" s="109">
        <f>'3 Statement Model'!T22/'3 Statement Model'!T$12</f>
        <v>4.1000000000000002E-2</v>
      </c>
      <c r="U20" s="109">
        <f>'3 Statement Model'!U22/'3 Statement Model'!U$12</f>
        <v>4.1000000000000002E-2</v>
      </c>
      <c r="V20" s="109">
        <f>'3 Statement Model'!V22/'3 Statement Model'!V$12</f>
        <v>4.1000000000000002E-2</v>
      </c>
      <c r="X20" s="248"/>
    </row>
    <row r="21" spans="2:24" outlineLevel="1">
      <c r="B21" s="85" t="s">
        <v>93</v>
      </c>
      <c r="C21" s="41"/>
      <c r="D21" s="389">
        <f>'3 Statement Model'!D24/'3 Statement Model'!D$12</f>
        <v>0.3158021712907117</v>
      </c>
      <c r="E21" s="389">
        <f>'3 Statement Model'!E24/'3 Statement Model'!E$12</f>
        <v>0.32894906511927785</v>
      </c>
      <c r="F21" s="389">
        <f>'3 Statement Model'!F24/'3 Statement Model'!F$12</f>
        <v>0.31508226691042046</v>
      </c>
      <c r="G21" s="389">
        <f>'3 Statement Model'!G24/'3 Statement Model'!G$12</f>
        <v>0.24919647485743909</v>
      </c>
      <c r="H21" s="389">
        <f>'3 Statement Model'!H24/'3 Statement Model'!H$12</f>
        <v>0.27898039215686271</v>
      </c>
      <c r="I21" s="389">
        <f>'3 Statement Model'!I24/'3 Statement Model'!I$12</f>
        <v>0.25999999999999995</v>
      </c>
      <c r="J21" s="389">
        <f>'3 Statement Model'!J24/'3 Statement Model'!J$12</f>
        <v>0.26599999999999996</v>
      </c>
      <c r="K21" s="389">
        <f>'3 Statement Model'!K24/'3 Statement Model'!K$12</f>
        <v>0.26599999999999996</v>
      </c>
      <c r="L21" s="389">
        <f>'3 Statement Model'!L24/'3 Statement Model'!L$12</f>
        <v>0.27079999999999993</v>
      </c>
      <c r="M21" s="389">
        <f>'3 Statement Model'!M24/'3 Statement Model'!M$12</f>
        <v>0.27560000000000001</v>
      </c>
      <c r="N21" s="389">
        <f>'3 Statement Model'!N24/'3 Statement Model'!N$12</f>
        <v>0.28039999999999982</v>
      </c>
      <c r="O21" s="389">
        <f>'3 Statement Model'!O24/'3 Statement Model'!O$12</f>
        <v>0.28519999999999979</v>
      </c>
      <c r="P21" s="389">
        <f>'3 Statement Model'!P24/'3 Statement Model'!P$12</f>
        <v>0.28999999999999998</v>
      </c>
      <c r="Q21" s="389">
        <f>'3 Statement Model'!Q24/'3 Statement Model'!Q$12</f>
        <v>0.32</v>
      </c>
      <c r="R21" s="389">
        <f>'3 Statement Model'!R24/'3 Statement Model'!R$12</f>
        <v>0.32</v>
      </c>
      <c r="S21" s="389">
        <f>'3 Statement Model'!S24/'3 Statement Model'!S$12</f>
        <v>0.32000000000000006</v>
      </c>
      <c r="T21" s="389">
        <f>'3 Statement Model'!T24/'3 Statement Model'!T$12</f>
        <v>0.32999999999999996</v>
      </c>
      <c r="U21" s="389">
        <f>'3 Statement Model'!U24/'3 Statement Model'!U$12</f>
        <v>0.33</v>
      </c>
      <c r="V21" s="389">
        <f>'3 Statement Model'!V24/'3 Statement Model'!V$12</f>
        <v>0.33</v>
      </c>
    </row>
    <row r="22" spans="2:24" outlineLevel="1">
      <c r="B22" s="80"/>
      <c r="D22" s="387"/>
      <c r="E22" s="387"/>
      <c r="F22" s="387"/>
      <c r="G22" s="387"/>
      <c r="H22" s="387"/>
      <c r="I22" s="387"/>
      <c r="J22" s="387"/>
      <c r="K22" s="387"/>
      <c r="L22" s="387"/>
      <c r="M22" s="387"/>
      <c r="N22" s="387"/>
      <c r="O22" s="387"/>
      <c r="P22" s="387"/>
      <c r="Q22" s="387"/>
      <c r="R22" s="387"/>
      <c r="S22" s="387"/>
      <c r="T22" s="387"/>
      <c r="U22" s="387"/>
      <c r="V22" s="387"/>
    </row>
    <row r="23" spans="2:24" outlineLevel="1">
      <c r="B23" s="80" t="s">
        <v>95</v>
      </c>
      <c r="D23" s="88"/>
      <c r="E23" s="88"/>
      <c r="F23" s="88"/>
      <c r="G23" s="88"/>
      <c r="H23" s="88"/>
      <c r="I23" s="88"/>
      <c r="J23" s="88"/>
      <c r="K23" s="88"/>
      <c r="L23" s="88"/>
      <c r="M23" s="88"/>
      <c r="N23" s="88"/>
      <c r="O23" s="88"/>
      <c r="P23" s="88"/>
      <c r="Q23" s="88"/>
      <c r="R23" s="88"/>
      <c r="S23" s="88"/>
      <c r="T23" s="88"/>
      <c r="U23" s="88"/>
      <c r="V23" s="88"/>
    </row>
    <row r="24" spans="2:24" outlineLevel="1">
      <c r="B24" s="78" t="s">
        <v>6</v>
      </c>
      <c r="D24" s="109">
        <f>'3 Statement Model'!D29/'3 Statement Model'!D$12</f>
        <v>8.5367913148371527E-2</v>
      </c>
      <c r="E24" s="109">
        <f>'3 Statement Model'!E29/'3 Statement Model'!E$12</f>
        <v>5.3301096067053515E-2</v>
      </c>
      <c r="F24" s="109">
        <f>'3 Statement Model'!F29/'3 Statement Model'!F$12</f>
        <v>4.8318098720292503E-2</v>
      </c>
      <c r="G24" s="109">
        <f>'3 Statement Model'!G29/'3 Statement Model'!G$12</f>
        <v>6.2379471228615861E-2</v>
      </c>
      <c r="H24" s="109">
        <f>'3 Statement Model'!H29/'3 Statement Model'!H$12</f>
        <v>5.0717647058823534E-2</v>
      </c>
      <c r="I24" s="109">
        <f>'3 Statement Model'!I29/'3 Statement Model'!I$12</f>
        <v>5.4588525065198498E-2</v>
      </c>
      <c r="J24" s="109">
        <f>'3 Statement Model'!J29/'3 Statement Model'!J$12</f>
        <v>5.6620556645495965E-2</v>
      </c>
      <c r="K24" s="109">
        <f>'3 Statement Model'!K29/'3 Statement Model'!K$12</f>
        <v>5.717230928550053E-2</v>
      </c>
      <c r="L24" s="109">
        <f>'3 Statement Model'!L29/'3 Statement Model'!L$12</f>
        <v>5.7138676838740021E-2</v>
      </c>
      <c r="M24" s="109">
        <f>'3 Statement Model'!M29/'3 Statement Model'!M$12</f>
        <v>5.7151841366439131E-2</v>
      </c>
      <c r="N24" s="109">
        <f>'3 Statement Model'!N29/'3 Statement Model'!N$12</f>
        <v>5.7189626200278162E-2</v>
      </c>
      <c r="O24" s="109">
        <f>'3 Statement Model'!O29/'3 Statement Model'!O$12</f>
        <v>5.7294015899790648E-2</v>
      </c>
      <c r="P24" s="109">
        <f>'3 Statement Model'!P29/'3 Statement Model'!P$12</f>
        <v>5.7534005225670641E-2</v>
      </c>
      <c r="Q24" s="109">
        <f>'3 Statement Model'!Q29/'3 Statement Model'!Q$12</f>
        <v>5.8150391188984595E-2</v>
      </c>
      <c r="R24" s="109">
        <f>'3 Statement Model'!R29/'3 Statement Model'!R$12</f>
        <v>5.8417583748787479E-2</v>
      </c>
      <c r="S24" s="109">
        <f>'3 Statement Model'!S29/'3 Statement Model'!S$12</f>
        <v>5.9037849255667428E-2</v>
      </c>
      <c r="T24" s="109">
        <f>'3 Statement Model'!T29/'3 Statement Model'!T$12</f>
        <v>6.0174830260235367E-2</v>
      </c>
      <c r="U24" s="109">
        <f>'3 Statement Model'!U29/'3 Statement Model'!U$12</f>
        <v>6.1980602590971406E-2</v>
      </c>
      <c r="V24" s="109">
        <f>'3 Statement Model'!V29/'3 Statement Model'!V$12</f>
        <v>6.5232663278468633E-2</v>
      </c>
    </row>
    <row r="25" spans="2:24" outlineLevel="1">
      <c r="B25" s="78" t="s">
        <v>7</v>
      </c>
      <c r="D25" s="109">
        <f>'3 Statement Model'!D30/'3 Statement Model'!D$12</f>
        <v>3.896260554885404E-3</v>
      </c>
      <c r="E25" s="109">
        <f>'3 Statement Model'!E30/'3 Statement Model'!E$12</f>
        <v>2.0825274016763378E-3</v>
      </c>
      <c r="F25" s="109">
        <f>'3 Statement Model'!F30/'3 Statement Model'!F$12</f>
        <v>1.4762340036563071E-3</v>
      </c>
      <c r="G25" s="109">
        <f>'3 Statement Model'!G30/'3 Statement Model'!G$12</f>
        <v>1.6744427164333852E-3</v>
      </c>
      <c r="H25" s="109">
        <f>'3 Statement Model'!H30/'3 Statement Model'!H$12</f>
        <v>1.2666666666666666E-3</v>
      </c>
      <c r="I25" s="109">
        <f>'3 Statement Model'!I30/'3 Statement Model'!I$12</f>
        <v>1.0919540229885056E-3</v>
      </c>
      <c r="J25" s="109">
        <f>'3 Statement Model'!J30/'3 Statement Model'!J$12</f>
        <v>8.9504428113811952E-4</v>
      </c>
      <c r="K25" s="109">
        <f>'3 Statement Model'!K30/'3 Statement Model'!K$12</f>
        <v>7.1603542491049563E-4</v>
      </c>
      <c r="L25" s="109">
        <f>'3 Statement Model'!L30/'3 Statement Model'!L$12</f>
        <v>5.7282833992839646E-4</v>
      </c>
      <c r="M25" s="109">
        <f>'3 Statement Model'!M30/'3 Statement Model'!M$12</f>
        <v>4.6476944416097077E-4</v>
      </c>
      <c r="N25" s="109">
        <f>'3 Statement Model'!N30/'3 Statement Model'!N$12</f>
        <v>3.8252629149051099E-4</v>
      </c>
      <c r="O25" s="109">
        <f>'3 Statement Model'!O30/'3 Statement Model'!O$12</f>
        <v>0</v>
      </c>
      <c r="P25" s="109">
        <f>'3 Statement Model'!P30/'3 Statement Model'!P$12</f>
        <v>0</v>
      </c>
      <c r="Q25" s="109">
        <f>'3 Statement Model'!Q30/'3 Statement Model'!Q$12</f>
        <v>0</v>
      </c>
      <c r="R25" s="109">
        <f>'3 Statement Model'!R30/'3 Statement Model'!R$12</f>
        <v>0</v>
      </c>
      <c r="S25" s="109">
        <f>'3 Statement Model'!S30/'3 Statement Model'!S$12</f>
        <v>0</v>
      </c>
      <c r="T25" s="109">
        <f>'3 Statement Model'!T30/'3 Statement Model'!T$12</f>
        <v>0</v>
      </c>
      <c r="U25" s="109">
        <f>'3 Statement Model'!U30/'3 Statement Model'!U$12</f>
        <v>0</v>
      </c>
      <c r="V25" s="109">
        <f>'3 Statement Model'!V30/'3 Statement Model'!V$12</f>
        <v>0</v>
      </c>
    </row>
    <row r="26" spans="2:24" outlineLevel="1">
      <c r="B26" s="85" t="s">
        <v>94</v>
      </c>
      <c r="C26" s="41"/>
      <c r="D26" s="389">
        <f>'3 Statement Model'!D31/'3 Statement Model'!D$12</f>
        <v>0.22653799758745477</v>
      </c>
      <c r="E26" s="389">
        <f>'3 Statement Model'!E31/'3 Statement Model'!E$12</f>
        <v>0.27356544165054802</v>
      </c>
      <c r="F26" s="389">
        <f>'3 Statement Model'!F31/'3 Statement Model'!F$12</f>
        <v>0.26528793418647162</v>
      </c>
      <c r="G26" s="389">
        <f>'3 Statement Model'!G31/'3 Statement Model'!G$12</f>
        <v>0.18514256091238984</v>
      </c>
      <c r="H26" s="389">
        <f>'3 Statement Model'!H31/'3 Statement Model'!H$12</f>
        <v>0.22699607843137251</v>
      </c>
      <c r="I26" s="389">
        <f>'3 Statement Model'!I31/'3 Statement Model'!I$12</f>
        <v>0.20431952091181294</v>
      </c>
      <c r="J26" s="389">
        <f>'3 Statement Model'!J31/'3 Statement Model'!J$12</f>
        <v>0.20848439907336586</v>
      </c>
      <c r="K26" s="389">
        <f>'3 Statement Model'!K31/'3 Statement Model'!K$12</f>
        <v>0.20811165528958894</v>
      </c>
      <c r="L26" s="389">
        <f>'3 Statement Model'!L31/'3 Statement Model'!L$12</f>
        <v>0.21308849482133155</v>
      </c>
      <c r="M26" s="389">
        <f>'3 Statement Model'!M31/'3 Statement Model'!M$12</f>
        <v>0.21798338918939988</v>
      </c>
      <c r="N26" s="389">
        <f>'3 Statement Model'!N31/'3 Statement Model'!N$12</f>
        <v>0.22282784750823115</v>
      </c>
      <c r="O26" s="389">
        <f>'3 Statement Model'!O31/'3 Statement Model'!O$12</f>
        <v>0.22790598410020915</v>
      </c>
      <c r="P26" s="389">
        <f>'3 Statement Model'!P31/'3 Statement Model'!P$12</f>
        <v>0.23246599477432936</v>
      </c>
      <c r="Q26" s="389">
        <f>'3 Statement Model'!Q31/'3 Statement Model'!Q$12</f>
        <v>0.26184960881101543</v>
      </c>
      <c r="R26" s="389">
        <f>'3 Statement Model'!R31/'3 Statement Model'!R$12</f>
        <v>0.26158241625121254</v>
      </c>
      <c r="S26" s="389">
        <f>'3 Statement Model'!S31/'3 Statement Model'!S$12</f>
        <v>0.26096215074433265</v>
      </c>
      <c r="T26" s="389">
        <f>'3 Statement Model'!T31/'3 Statement Model'!T$12</f>
        <v>0.26982516973976461</v>
      </c>
      <c r="U26" s="389">
        <f>'3 Statement Model'!U31/'3 Statement Model'!U$12</f>
        <v>0.26801939740902858</v>
      </c>
      <c r="V26" s="389">
        <f>'3 Statement Model'!V31/'3 Statement Model'!V$12</f>
        <v>0.26476733672153135</v>
      </c>
    </row>
    <row r="27" spans="2:24" outlineLevel="1">
      <c r="B27" s="80"/>
      <c r="D27" s="88"/>
      <c r="E27" s="88"/>
      <c r="F27" s="88"/>
      <c r="G27" s="88"/>
      <c r="H27" s="88"/>
      <c r="I27" s="88"/>
      <c r="J27" s="88"/>
      <c r="K27" s="88"/>
      <c r="L27" s="88"/>
      <c r="M27" s="88"/>
      <c r="N27" s="88"/>
      <c r="O27" s="88"/>
      <c r="P27" s="88"/>
      <c r="Q27" s="88"/>
      <c r="R27" s="88"/>
      <c r="S27" s="88"/>
      <c r="T27" s="88"/>
      <c r="U27" s="88"/>
      <c r="V27" s="88"/>
    </row>
    <row r="28" spans="2:24" outlineLevel="1">
      <c r="B28" s="66" t="s">
        <v>587</v>
      </c>
      <c r="D28" s="109">
        <f>'3 Statement Model'!D35/'3 Statement Model'!D$12</f>
        <v>4.1013268998793727E-2</v>
      </c>
      <c r="E28" s="109">
        <f>'3 Statement Model'!E35/'3 Statement Model'!E$12</f>
        <v>3.0947775628626693E-2</v>
      </c>
      <c r="F28" s="109">
        <f>'3 Statement Model'!F35/'3 Statement Model'!F$12</f>
        <v>3.0621572212065813E-2</v>
      </c>
      <c r="G28" s="109">
        <f>'3 Statement Model'!G35/'3 Statement Model'!G$12</f>
        <v>3.7843442198030069E-2</v>
      </c>
      <c r="H28" s="109">
        <f>'3 Statement Model'!H35/'3 Statement Model'!H$12</f>
        <v>2.0784313725490194E-2</v>
      </c>
      <c r="I28" s="109">
        <f>'3 Statement Model'!I35/'3 Statement Model'!I$12</f>
        <v>1.3669061866125759E-2</v>
      </c>
      <c r="J28" s="109">
        <f>'3 Statement Model'!J35/'3 Statement Model'!J$12</f>
        <v>1.2166783493499153E-2</v>
      </c>
      <c r="K28" s="109">
        <f>'3 Statement Model'!K35/'3 Statement Model'!K$12</f>
        <v>1.0453131735443754E-2</v>
      </c>
      <c r="L28" s="109">
        <f>'3 Statement Model'!L35/'3 Statement Model'!L$12</f>
        <v>9.0462776038892027E-3</v>
      </c>
      <c r="M28" s="109">
        <f>'3 Statement Model'!M35/'3 Statement Model'!M$12</f>
        <v>7.7787017915170566E-3</v>
      </c>
      <c r="N28" s="109">
        <f>'3 Statement Model'!N35/'3 Statement Model'!N$12</f>
        <v>6.3526455295006262E-3</v>
      </c>
      <c r="O28" s="109">
        <f>'3 Statement Model'!O35/'3 Statement Model'!O$12</f>
        <v>5.0906052150530429E-3</v>
      </c>
      <c r="P28" s="109">
        <f>'3 Statement Model'!P35/'3 Statement Model'!P$12</f>
        <v>4.2674440872412711E-3</v>
      </c>
      <c r="Q28" s="109">
        <f>'3 Statement Model'!Q35/'3 Statement Model'!Q$12</f>
        <v>3.7264597155520457E-3</v>
      </c>
      <c r="R28" s="109">
        <f>'3 Statement Model'!R35/'3 Statement Model'!R$12</f>
        <v>3.2688243118877591E-3</v>
      </c>
      <c r="S28" s="109">
        <f>'3 Statement Model'!S35/'3 Statement Model'!S$12</f>
        <v>2.9185931356140705E-3</v>
      </c>
      <c r="T28" s="109">
        <f>'3 Statement Model'!T35/'3 Statement Model'!T$12</f>
        <v>2.6532664869218818E-3</v>
      </c>
      <c r="U28" s="109">
        <f>'3 Statement Model'!U35/'3 Statement Model'!U$12</f>
        <v>2.4567282286313717E-3</v>
      </c>
      <c r="V28" s="109">
        <f>'3 Statement Model'!V35/'3 Statement Model'!V$12</f>
        <v>2.339741170125116E-3</v>
      </c>
    </row>
    <row r="29" spans="2:24" outlineLevel="1">
      <c r="B29" s="66" t="s">
        <v>588</v>
      </c>
      <c r="D29" s="109">
        <f>'3 Statement Model'!D36/'3 Statement Model'!D$12</f>
        <v>9.0470446320868522E-3</v>
      </c>
      <c r="E29" s="109">
        <f>'3 Statement Model'!E36/'3 Statement Model'!E$12</f>
        <v>5.3513862024500329E-3</v>
      </c>
      <c r="F29" s="109">
        <f>'3 Statement Model'!F36/'3 Statement Model'!F$12</f>
        <v>4.2504570383912251E-3</v>
      </c>
      <c r="G29" s="109">
        <f>'3 Statement Model'!G36/'3 Statement Model'!G$12</f>
        <v>3.4214618973561427E-3</v>
      </c>
      <c r="H29" s="109">
        <f>'3 Statement Model'!H36/'3 Statement Model'!H$12</f>
        <v>5.8823529411764705E-3</v>
      </c>
      <c r="I29" s="109">
        <f>'3 Statement Model'!I36/'3 Statement Model'!I$12</f>
        <v>5.0000000000000001E-3</v>
      </c>
      <c r="J29" s="109">
        <f>'3 Statement Model'!J36/'3 Statement Model'!J$12</f>
        <v>5.000000000000001E-3</v>
      </c>
      <c r="K29" s="109">
        <f>'3 Statement Model'!K36/'3 Statement Model'!K$12</f>
        <v>5.0000000000000001E-3</v>
      </c>
      <c r="L29" s="109">
        <f>'3 Statement Model'!L36/'3 Statement Model'!L$12</f>
        <v>5.0000000000000001E-3</v>
      </c>
      <c r="M29" s="109">
        <f>'3 Statement Model'!M36/'3 Statement Model'!M$12</f>
        <v>5.0000000000000001E-3</v>
      </c>
      <c r="N29" s="109">
        <f>'3 Statement Model'!N36/'3 Statement Model'!N$12</f>
        <v>5.0000000000000001E-3</v>
      </c>
      <c r="O29" s="109">
        <f>'3 Statement Model'!O36/'3 Statement Model'!O$12</f>
        <v>5.0000000000000001E-3</v>
      </c>
      <c r="P29" s="109">
        <f>'3 Statement Model'!P36/'3 Statement Model'!P$12</f>
        <v>5.0000000000000001E-3</v>
      </c>
      <c r="Q29" s="109">
        <f>'3 Statement Model'!Q36/'3 Statement Model'!Q$12</f>
        <v>5.0000000000000001E-3</v>
      </c>
      <c r="R29" s="109">
        <f>'3 Statement Model'!R36/'3 Statement Model'!R$12</f>
        <v>5.0000000000000001E-3</v>
      </c>
      <c r="S29" s="109">
        <f>'3 Statement Model'!S36/'3 Statement Model'!S$12</f>
        <v>5.0000000000000001E-3</v>
      </c>
      <c r="T29" s="109">
        <f>'3 Statement Model'!T36/'3 Statement Model'!T$12</f>
        <v>5.0000000000000001E-3</v>
      </c>
      <c r="U29" s="109">
        <f>'3 Statement Model'!U36/'3 Statement Model'!U$12</f>
        <v>5.0000000000000001E-3</v>
      </c>
      <c r="V29" s="109">
        <f>'3 Statement Model'!V36/'3 Statement Model'!V$12</f>
        <v>5.0000000000000001E-3</v>
      </c>
    </row>
    <row r="30" spans="2:24" outlineLevel="1">
      <c r="B30" s="89" t="s">
        <v>96</v>
      </c>
      <c r="C30" s="46"/>
      <c r="D30" s="389">
        <f>'3 Statement Model'!D37/'3 Statement Model'!D$12</f>
        <v>0.1945717732207479</v>
      </c>
      <c r="E30" s="389">
        <f>'3 Statement Model'!E37/'3 Statement Model'!E$12</f>
        <v>0.24796905222437135</v>
      </c>
      <c r="F30" s="389">
        <f>'3 Statement Model'!F37/'3 Statement Model'!F$12</f>
        <v>0.23891681901279702</v>
      </c>
      <c r="G30" s="389">
        <f>'3 Statement Model'!G37/'3 Statement Model'!G$12</f>
        <v>0.15072058061171592</v>
      </c>
      <c r="H30" s="389">
        <f>'3 Statement Model'!H37/'3 Statement Model'!H$12</f>
        <v>0.21209411764705879</v>
      </c>
      <c r="I30" s="389">
        <f>'3 Statement Model'!I37/'3 Statement Model'!I$12</f>
        <v>0.19565045904568715</v>
      </c>
      <c r="J30" s="389">
        <f>'3 Statement Model'!J37/'3 Statement Model'!J$12</f>
        <v>0.20131761557986669</v>
      </c>
      <c r="K30" s="389">
        <f>'3 Statement Model'!K37/'3 Statement Model'!K$12</f>
        <v>0.20265852355414521</v>
      </c>
      <c r="L30" s="389">
        <f>'3 Statement Model'!L37/'3 Statement Model'!L$12</f>
        <v>0.20904221721744234</v>
      </c>
      <c r="M30" s="389">
        <f>'3 Statement Model'!M37/'3 Statement Model'!M$12</f>
        <v>0.21520468739788284</v>
      </c>
      <c r="N30" s="389">
        <f>'3 Statement Model'!N37/'3 Statement Model'!N$12</f>
        <v>0.22147520197873052</v>
      </c>
      <c r="O30" s="389">
        <f>'3 Statement Model'!O37/'3 Statement Model'!O$12</f>
        <v>0.2278153788851561</v>
      </c>
      <c r="P30" s="389">
        <f>'3 Statement Model'!P37/'3 Statement Model'!P$12</f>
        <v>0.23319855068708809</v>
      </c>
      <c r="Q30" s="389">
        <f>'3 Statement Model'!Q37/'3 Statement Model'!Q$12</f>
        <v>0.26312314909546336</v>
      </c>
      <c r="R30" s="389">
        <f>'3 Statement Model'!R37/'3 Statement Model'!R$12</f>
        <v>0.26331359193932474</v>
      </c>
      <c r="S30" s="389">
        <f>'3 Statement Model'!S37/'3 Statement Model'!S$12</f>
        <v>0.26304355760871856</v>
      </c>
      <c r="T30" s="389">
        <f>'3 Statement Model'!T37/'3 Statement Model'!T$12</f>
        <v>0.27217190325284274</v>
      </c>
      <c r="U30" s="389">
        <f>'3 Statement Model'!U37/'3 Statement Model'!U$12</f>
        <v>0.27056266918039723</v>
      </c>
      <c r="V30" s="389">
        <f>'3 Statement Model'!V37/'3 Statement Model'!V$12</f>
        <v>0.26742759555140627</v>
      </c>
    </row>
    <row r="31" spans="2:24" outlineLevel="1">
      <c r="B31" s="78" t="s">
        <v>8</v>
      </c>
      <c r="D31" s="109">
        <f>'3 Statement Model'!D38/'3 Statement Model'!D$12</f>
        <v>7.2376357056694818E-2</v>
      </c>
      <c r="E31" s="109">
        <f>'3 Statement Model'!E38/'3 Statement Model'!E$12</f>
        <v>8.4461637653127017E-2</v>
      </c>
      <c r="F31" s="109">
        <f>'3 Statement Model'!F38/'3 Statement Model'!F$12</f>
        <v>7.7239488117001834E-2</v>
      </c>
      <c r="G31" s="109">
        <f>'3 Statement Model'!G38/'3 Statement Model'!G$12</f>
        <v>4.9248315189217212E-2</v>
      </c>
      <c r="H31" s="109">
        <f>'3 Statement Model'!H38/'3 Statement Model'!H$12</f>
        <v>7.1764705882352939E-2</v>
      </c>
      <c r="I31" s="109">
        <f>'3 Statement Model'!I38/'3 Statement Model'!I$12</f>
        <v>4.9245220541799466E-2</v>
      </c>
      <c r="J31" s="109">
        <f>'3 Statement Model'!J38/'3 Statement Model'!J$12</f>
        <v>5.0671643841452445E-2</v>
      </c>
      <c r="K31" s="109">
        <f>'3 Statement Model'!K38/'3 Statement Model'!K$12</f>
        <v>5.1009150378578338E-2</v>
      </c>
      <c r="L31" s="109">
        <f>'3 Statement Model'!L38/'3 Statement Model'!L$12</f>
        <v>5.2615926073630234E-2</v>
      </c>
      <c r="M31" s="109">
        <f>'3 Statement Model'!M38/'3 Statement Model'!M$12</f>
        <v>5.4167019818047106E-2</v>
      </c>
      <c r="N31" s="109">
        <f>'3 Statement Model'!N38/'3 Statement Model'!N$12</f>
        <v>5.574530833804648E-2</v>
      </c>
      <c r="O31" s="109">
        <f>'3 Statement Model'!O38/'3 Statement Model'!O$12</f>
        <v>5.7341130865393802E-2</v>
      </c>
      <c r="P31" s="109">
        <f>'3 Statement Model'!P38/'3 Statement Model'!P$12</f>
        <v>5.8696075207940061E-2</v>
      </c>
      <c r="Q31" s="109">
        <f>'3 Statement Model'!Q38/'3 Statement Model'!Q$12</f>
        <v>6.622809662732812E-2</v>
      </c>
      <c r="R31" s="109">
        <f>'3 Statement Model'!R38/'3 Statement Model'!R$12</f>
        <v>6.6276031091128035E-2</v>
      </c>
      <c r="S31" s="109">
        <f>'3 Statement Model'!S38/'3 Statement Model'!S$12</f>
        <v>6.6208063450114457E-2</v>
      </c>
      <c r="T31" s="109">
        <f>'3 Statement Model'!T38/'3 Statement Model'!T$12</f>
        <v>6.8505668048740517E-2</v>
      </c>
      <c r="U31" s="109">
        <f>'3 Statement Model'!U38/'3 Statement Model'!U$12</f>
        <v>6.8100623832705973E-2</v>
      </c>
      <c r="V31" s="109">
        <f>'3 Statement Model'!V38/'3 Statement Model'!V$12</f>
        <v>6.7311525800288943E-2</v>
      </c>
    </row>
    <row r="32" spans="2:24" ht="15.75" outlineLevel="1" thickBot="1">
      <c r="B32" s="81" t="s">
        <v>9</v>
      </c>
      <c r="C32" s="45"/>
      <c r="D32" s="390">
        <f>'3 Statement Model'!D39/'3 Statement Model'!D$12</f>
        <v>0.12219541616405309</v>
      </c>
      <c r="E32" s="390">
        <f>'3 Statement Model'!E39/'3 Statement Model'!E$12</f>
        <v>0.16350741457124435</v>
      </c>
      <c r="F32" s="390">
        <f>'3 Statement Model'!F39/'3 Statement Model'!F$12</f>
        <v>0.1616773308957952</v>
      </c>
      <c r="G32" s="390">
        <f>'3 Statement Model'!G39/'3 Statement Model'!G$12</f>
        <v>0.10147226542249871</v>
      </c>
      <c r="H32" s="390">
        <f>'3 Statement Model'!H39/'3 Statement Model'!H$12</f>
        <v>0.14032941176470584</v>
      </c>
      <c r="I32" s="390">
        <f>'3 Statement Model'!I39/'3 Statement Model'!I$12</f>
        <v>0.14640523850388767</v>
      </c>
      <c r="J32" s="390">
        <f>'3 Statement Model'!J39/'3 Statement Model'!J$12</f>
        <v>0.15064597173841424</v>
      </c>
      <c r="K32" s="390">
        <f>'3 Statement Model'!K39/'3 Statement Model'!K$12</f>
        <v>0.15164937317556684</v>
      </c>
      <c r="L32" s="390">
        <f>'3 Statement Model'!L39/'3 Statement Model'!L$12</f>
        <v>0.15642629114381212</v>
      </c>
      <c r="M32" s="390">
        <f>'3 Statement Model'!M39/'3 Statement Model'!M$12</f>
        <v>0.16103766757983573</v>
      </c>
      <c r="N32" s="390">
        <f>'3 Statement Model'!N39/'3 Statement Model'!N$12</f>
        <v>0.16572989364068402</v>
      </c>
      <c r="O32" s="390">
        <f>'3 Statement Model'!O39/'3 Statement Model'!O$12</f>
        <v>0.1704742480197623</v>
      </c>
      <c r="P32" s="390">
        <f>'3 Statement Model'!P39/'3 Statement Model'!P$12</f>
        <v>0.17450247547914802</v>
      </c>
      <c r="Q32" s="390">
        <f>'3 Statement Model'!Q39/'3 Statement Model'!Q$12</f>
        <v>0.19689505246813524</v>
      </c>
      <c r="R32" s="390">
        <f>'3 Statement Model'!R39/'3 Statement Model'!R$12</f>
        <v>0.19703756084819668</v>
      </c>
      <c r="S32" s="390">
        <f>'3 Statement Model'!S39/'3 Statement Model'!S$12</f>
        <v>0.19683549415860413</v>
      </c>
      <c r="T32" s="390">
        <f>'3 Statement Model'!T39/'3 Statement Model'!T$12</f>
        <v>0.20366623520410224</v>
      </c>
      <c r="U32" s="390">
        <f>'3 Statement Model'!U39/'3 Statement Model'!U$12</f>
        <v>0.20246204534769122</v>
      </c>
      <c r="V32" s="390">
        <f>'3 Statement Model'!V39/'3 Statement Model'!V$12</f>
        <v>0.20011606975111731</v>
      </c>
    </row>
    <row r="33" spans="1:22" ht="15" customHeight="1">
      <c r="D33"/>
      <c r="E33"/>
      <c r="F33"/>
      <c r="G33"/>
      <c r="H33"/>
    </row>
    <row r="34" spans="1:22" ht="15" customHeight="1">
      <c r="A34" t="s">
        <v>35</v>
      </c>
      <c r="B34" s="131" t="s">
        <v>662</v>
      </c>
      <c r="C34" s="141"/>
      <c r="D34" s="141"/>
      <c r="E34" s="141"/>
      <c r="F34" s="141"/>
      <c r="G34" s="141"/>
      <c r="H34" s="141"/>
      <c r="I34" s="141"/>
      <c r="J34" s="141"/>
      <c r="K34" s="141"/>
      <c r="L34" s="141"/>
      <c r="M34" s="141"/>
      <c r="N34" s="141"/>
      <c r="O34" s="141"/>
      <c r="P34" s="141"/>
      <c r="Q34" s="141"/>
      <c r="R34" s="141"/>
      <c r="S34" s="141"/>
      <c r="T34" s="141"/>
      <c r="U34" s="141"/>
      <c r="V34" s="141"/>
    </row>
    <row r="35" spans="1:22" ht="15" customHeight="1" outlineLevel="1">
      <c r="F35"/>
      <c r="G35"/>
      <c r="H35"/>
    </row>
    <row r="36" spans="1:22" ht="15" customHeight="1" outlineLevel="1">
      <c r="B36" s="27" t="s">
        <v>11</v>
      </c>
      <c r="C36" s="4"/>
      <c r="D36" s="4"/>
      <c r="E36" s="4"/>
      <c r="F36" s="4"/>
      <c r="G36" s="348"/>
      <c r="H36" s="348"/>
      <c r="I36" s="4"/>
    </row>
    <row r="37" spans="1:22" ht="15" customHeight="1" outlineLevel="1">
      <c r="B37" s="78" t="s">
        <v>12</v>
      </c>
      <c r="C37" s="4"/>
      <c r="D37" s="109">
        <f>'3 Statement Model'!D51/'3 Statement Model'!D$64</f>
        <v>4.6653636775215748E-4</v>
      </c>
      <c r="E37" s="109">
        <f>'3 Statement Model'!E51/'3 Statement Model'!E$64</f>
        <v>1.1782341647418638E-2</v>
      </c>
      <c r="F37" s="109">
        <f>'3 Statement Model'!F51/'3 Statement Model'!F$64</f>
        <v>5.8387444129823505E-3</v>
      </c>
      <c r="G37" s="109">
        <f>'3 Statement Model'!G51/'3 Statement Model'!G$64</f>
        <v>1.1242103952059759E-3</v>
      </c>
      <c r="H37" s="109">
        <f>'3 Statement Model'!H51/'3 Statement Model'!H$64</f>
        <v>5.9014055059691617E-3</v>
      </c>
      <c r="I37" s="109">
        <f>'3 Statement Model'!I51/'3 Statement Model'!I$64</f>
        <v>4.0626160412030071E-2</v>
      </c>
      <c r="J37" s="109">
        <f>'3 Statement Model'!J51/'3 Statement Model'!J$64</f>
        <v>3.7240380367237889E-2</v>
      </c>
      <c r="K37" s="109">
        <f>'3 Statement Model'!K51/'3 Statement Model'!K$64</f>
        <v>2.4260736296103622E-2</v>
      </c>
      <c r="L37" s="109">
        <f>'3 Statement Model'!L51/'3 Statement Model'!L$64</f>
        <v>1.7550703307487085E-2</v>
      </c>
      <c r="M37" s="109">
        <f>'3 Statement Model'!M51/'3 Statement Model'!M$64</f>
        <v>1.8268338756001277E-2</v>
      </c>
      <c r="N37" s="109">
        <f>'3 Statement Model'!N51/'3 Statement Model'!N$64</f>
        <v>2.0285645662030487E-2</v>
      </c>
      <c r="O37" s="109">
        <f>'3 Statement Model'!O51/'3 Statement Model'!O$64</f>
        <v>2.9142390055625089E-2</v>
      </c>
      <c r="P37" s="109">
        <f>'3 Statement Model'!P51/'3 Statement Model'!P$64</f>
        <v>3.0465626438273104E-2</v>
      </c>
      <c r="Q37" s="109">
        <f>'3 Statement Model'!Q51/'3 Statement Model'!Q$64</f>
        <v>3.9927172426441525E-2</v>
      </c>
      <c r="R37" s="109">
        <f>'3 Statement Model'!R51/'3 Statement Model'!R$64</f>
        <v>4.4408237255947794E-2</v>
      </c>
      <c r="S37" s="109">
        <f>'3 Statement Model'!S51/'3 Statement Model'!S$64</f>
        <v>5.0793378115934602E-2</v>
      </c>
      <c r="T37" s="109">
        <f>'3 Statement Model'!T51/'3 Statement Model'!T$64</f>
        <v>5.8126325504036624E-2</v>
      </c>
      <c r="U37" s="109">
        <f>'3 Statement Model'!U51/'3 Statement Model'!U$64</f>
        <v>6.5115925997556987E-2</v>
      </c>
      <c r="V37" s="109">
        <f>'3 Statement Model'!V51/'3 Statement Model'!V$64</f>
        <v>8.2581947075639109E-2</v>
      </c>
    </row>
    <row r="38" spans="1:22" ht="15" customHeight="1" outlineLevel="1">
      <c r="B38" s="78" t="s">
        <v>604</v>
      </c>
      <c r="C38" s="4"/>
      <c r="D38" s="109">
        <f>'3 Statement Model'!D52/'3 Statement Model'!D$64</f>
        <v>0</v>
      </c>
      <c r="E38" s="109">
        <f>'3 Statement Model'!E52/'3 Statement Model'!E$64</f>
        <v>0</v>
      </c>
      <c r="F38" s="109">
        <f>'3 Statement Model'!F52/'3 Statement Model'!F$64</f>
        <v>4.1115022977130592E-4</v>
      </c>
      <c r="G38" s="109">
        <f>'3 Statement Model'!G52/'3 Statement Model'!G$64</f>
        <v>1.2956515856878468E-3</v>
      </c>
      <c r="H38" s="109">
        <f>'3 Statement Model'!H52/'3 Statement Model'!H$64</f>
        <v>1.0660030374741378E-3</v>
      </c>
      <c r="I38" s="109">
        <f>'3 Statement Model'!I52/'3 Statement Model'!I$64</f>
        <v>9.2217601778154081E-4</v>
      </c>
      <c r="J38" s="109">
        <f>'3 Statement Model'!J52/'3 Statement Model'!J$64</f>
        <v>7.9471045567947962E-4</v>
      </c>
      <c r="K38" s="109">
        <f>'3 Statement Model'!K52/'3 Statement Model'!K$64</f>
        <v>6.7778481820143018E-4</v>
      </c>
      <c r="L38" s="109">
        <f>'3 Statement Model'!L52/'3 Statement Model'!L$64</f>
        <v>5.7261155338547351E-4</v>
      </c>
      <c r="M38" s="109">
        <f>'3 Statement Model'!M52/'3 Statement Model'!M$64</f>
        <v>4.8671821119973898E-4</v>
      </c>
      <c r="N38" s="109">
        <f>'3 Statement Model'!N52/'3 Statement Model'!N$64</f>
        <v>4.167489664564543E-4</v>
      </c>
      <c r="O38" s="109">
        <f>'3 Statement Model'!O52/'3 Statement Model'!O$64</f>
        <v>3.5887817370330318E-4</v>
      </c>
      <c r="P38" s="109">
        <f>'3 Statement Model'!P52/'3 Statement Model'!P$64</f>
        <v>3.1284131986402097E-4</v>
      </c>
      <c r="Q38" s="109">
        <f>'3 Statement Model'!Q52/'3 Statement Model'!Q$64</f>
        <v>2.7626738101881672E-4</v>
      </c>
      <c r="R38" s="109">
        <f>'3 Statement Model'!R52/'3 Statement Model'!R$64</f>
        <v>2.4844988003492116E-4</v>
      </c>
      <c r="S38" s="109">
        <f>'3 Statement Model'!S52/'3 Statement Model'!S$64</f>
        <v>2.261600585476042E-4</v>
      </c>
      <c r="T38" s="109">
        <f>'3 Statement Model'!T52/'3 Statement Model'!T$64</f>
        <v>2.083677160042674E-4</v>
      </c>
      <c r="U38" s="109">
        <f>'3 Statement Model'!U52/'3 Statement Model'!U$64</f>
        <v>1.9444326362641048E-4</v>
      </c>
      <c r="V38" s="109">
        <f>'3 Statement Model'!V52/'3 Statement Model'!V$64</f>
        <v>1.8219498260137735E-4</v>
      </c>
    </row>
    <row r="39" spans="1:22" ht="15" customHeight="1" outlineLevel="1">
      <c r="B39" s="78" t="s">
        <v>13</v>
      </c>
      <c r="C39" s="4"/>
      <c r="D39" s="109">
        <f>'3 Statement Model'!D53/'3 Statement Model'!D$64</f>
        <v>3.7267698015702122E-2</v>
      </c>
      <c r="E39" s="109">
        <f>'3 Statement Model'!E53/'3 Statement Model'!E$64</f>
        <v>7.2503820574701075E-2</v>
      </c>
      <c r="F39" s="109">
        <f>'3 Statement Model'!F53/'3 Statement Model'!F$64</f>
        <v>8.7163848711516848E-2</v>
      </c>
      <c r="G39" s="109">
        <f>'3 Statement Model'!G53/'3 Statement Model'!G$64</f>
        <v>9.4131593103840755E-2</v>
      </c>
      <c r="H39" s="109">
        <f>'3 Statement Model'!H53/'3 Statement Model'!H$64</f>
        <v>0.1230979698035604</v>
      </c>
      <c r="I39" s="109">
        <f>'3 Statement Model'!I53/'3 Statement Model'!I$64</f>
        <v>0.10898730949876979</v>
      </c>
      <c r="J39" s="109">
        <f>'3 Statement Model'!J53/'3 Statement Model'!J$64</f>
        <v>0.11458581694215199</v>
      </c>
      <c r="K39" s="109">
        <f>'3 Statement Model'!K53/'3 Statement Model'!K$64</f>
        <v>0.12714458961917144</v>
      </c>
      <c r="L39" s="109">
        <f>'3 Statement Model'!L53/'3 Statement Model'!L$64</f>
        <v>0.13953458353457462</v>
      </c>
      <c r="M39" s="109">
        <f>'3 Statement Model'!M53/'3 Statement Model'!M$64</f>
        <v>0.1434213322368984</v>
      </c>
      <c r="N39" s="109">
        <f>'3 Statement Model'!N53/'3 Statement Model'!N$64</f>
        <v>0.14633688221847374</v>
      </c>
      <c r="O39" s="109">
        <f>'3 Statement Model'!O53/'3 Statement Model'!O$64</f>
        <v>0.1449865576303998</v>
      </c>
      <c r="P39" s="109">
        <f>'3 Statement Model'!P53/'3 Statement Model'!P$64</f>
        <v>0.14913748303115859</v>
      </c>
      <c r="Q39" s="109">
        <f>'3 Statement Model'!Q53/'3 Statement Model'!Q$64</f>
        <v>0.15145727919401716</v>
      </c>
      <c r="R39" s="109">
        <f>'3 Statement Model'!R53/'3 Statement Model'!R$64</f>
        <v>0.15527594566696612</v>
      </c>
      <c r="S39" s="109">
        <f>'3 Statement Model'!S53/'3 Statement Model'!S$64</f>
        <v>0.15830670955895207</v>
      </c>
      <c r="T39" s="109">
        <f>'3 Statement Model'!T53/'3 Statement Model'!T$64</f>
        <v>0.16043773813052511</v>
      </c>
      <c r="U39" s="109">
        <f>'3 Statement Model'!U53/'3 Statement Model'!U$64</f>
        <v>0.16169357254520078</v>
      </c>
      <c r="V39" s="109">
        <f>'3 Statement Model'!V53/'3 Statement Model'!V$64</f>
        <v>0.15908365731759552</v>
      </c>
    </row>
    <row r="40" spans="1:22" ht="15" customHeight="1" outlineLevel="1">
      <c r="B40" s="78" t="s">
        <v>494</v>
      </c>
      <c r="C40" s="4"/>
      <c r="D40" s="109">
        <f>'3 Statement Model'!D54/'3 Statement Model'!D$64</f>
        <v>8.2126964145713938E-2</v>
      </c>
      <c r="E40" s="109">
        <f>'3 Statement Model'!E54/'3 Statement Model'!E$64</f>
        <v>0.12052583160469788</v>
      </c>
      <c r="F40" s="109">
        <f>'3 Statement Model'!F54/'3 Statement Model'!F$64</f>
        <v>6.8250938142036782E-2</v>
      </c>
      <c r="G40" s="109">
        <f>'3 Statement Model'!G54/'3 Statement Model'!G$64</f>
        <v>6.40667496790399E-2</v>
      </c>
      <c r="H40" s="109">
        <f>'3 Statement Model'!H54/'3 Statement Model'!H$64</f>
        <v>7.3604971635118588E-2</v>
      </c>
      <c r="I40" s="109">
        <f>'3 Statement Model'!I54/'3 Statement Model'!I$64</f>
        <v>7.7848078213407002E-2</v>
      </c>
      <c r="J40" s="109">
        <f>'3 Statement Model'!J54/'3 Statement Model'!J$64</f>
        <v>8.1847012101537137E-2</v>
      </c>
      <c r="K40" s="109">
        <f>'3 Statement Model'!K54/'3 Statement Model'!K$64</f>
        <v>8.7256090915117657E-2</v>
      </c>
      <c r="L40" s="109">
        <f>'3 Statement Model'!L54/'3 Statement Model'!L$64</f>
        <v>9.2145479692643611E-2</v>
      </c>
      <c r="M40" s="109">
        <f>'3 Statement Model'!M54/'3 Statement Model'!M$64</f>
        <v>9.6533589005604686E-2</v>
      </c>
      <c r="N40" s="109">
        <f>'3 Statement Model'!N54/'3 Statement Model'!N$64</f>
        <v>0.10042727211071727</v>
      </c>
      <c r="O40" s="109">
        <f>'3 Statement Model'!O54/'3 Statement Model'!O$64</f>
        <v>0.10356182687885701</v>
      </c>
      <c r="P40" s="109">
        <f>'3 Statement Model'!P54/'3 Statement Model'!P$64</f>
        <v>0.1065267735936847</v>
      </c>
      <c r="Q40" s="109">
        <f>'3 Statement Model'!Q54/'3 Statement Model'!Q$64</f>
        <v>0.10818377085286943</v>
      </c>
      <c r="R40" s="109">
        <f>'3 Statement Model'!R54/'3 Statement Model'!R$64</f>
        <v>0.11091138976211866</v>
      </c>
      <c r="S40" s="109">
        <f>'3 Statement Model'!S54/'3 Statement Model'!S$64</f>
        <v>0.11307622111353717</v>
      </c>
      <c r="T40" s="109">
        <f>'3 Statement Model'!T54/'3 Statement Model'!T$64</f>
        <v>0.11459838437894651</v>
      </c>
      <c r="U40" s="109">
        <f>'3 Statement Model'!U54/'3 Statement Model'!U$64</f>
        <v>0.11549540896085769</v>
      </c>
      <c r="V40" s="109">
        <f>'3 Statement Model'!V54/'3 Statement Model'!V$64</f>
        <v>0.11363118379828252</v>
      </c>
    </row>
    <row r="41" spans="1:22" ht="15" customHeight="1" outlineLevel="1">
      <c r="B41" s="97" t="s">
        <v>16</v>
      </c>
      <c r="C41" s="13"/>
      <c r="D41" s="109">
        <f>'3 Statement Model'!D55/'3 Statement Model'!D$64</f>
        <v>5.590154702355318E-3</v>
      </c>
      <c r="E41" s="109">
        <f>'3 Statement Model'!E55/'3 Statement Model'!E$64</f>
        <v>5.7438091624113828E-3</v>
      </c>
      <c r="F41" s="109">
        <f>'3 Statement Model'!F55/'3 Statement Model'!F$64</f>
        <v>1.0689905974053953E-2</v>
      </c>
      <c r="G41" s="109">
        <f>'3 Statement Model'!G55/'3 Statement Model'!G$64</f>
        <v>1.8611569739162431E-2</v>
      </c>
      <c r="H41" s="109">
        <f>'3 Statement Model'!H55/'3 Statement Model'!H$64</f>
        <v>4.1754958262491197E-2</v>
      </c>
      <c r="I41" s="109">
        <f>'3 Statement Model'!I55/'3 Statement Model'!I$64</f>
        <v>4.0592212211276506E-2</v>
      </c>
      <c r="J41" s="109">
        <f>'3 Statement Model'!J55/'3 Statement Model'!J$64</f>
        <v>4.2677370595801505E-2</v>
      </c>
      <c r="K41" s="109">
        <f>'3 Statement Model'!K55/'3 Statement Model'!K$64</f>
        <v>4.5497818834311352E-2</v>
      </c>
      <c r="L41" s="109">
        <f>'3 Statement Model'!L55/'3 Statement Model'!L$64</f>
        <v>4.8047285839735596E-2</v>
      </c>
      <c r="M41" s="109">
        <f>'3 Statement Model'!M55/'3 Statement Model'!M$64</f>
        <v>5.0335371410065312E-2</v>
      </c>
      <c r="N41" s="109">
        <f>'3 Statement Model'!N55/'3 Statement Model'!N$64</f>
        <v>5.2365649029159717E-2</v>
      </c>
      <c r="O41" s="109">
        <f>'3 Statement Model'!O55/'3 Statement Model'!O$64</f>
        <v>5.4000095443975445E-2</v>
      </c>
      <c r="P41" s="109">
        <f>'3 Statement Model'!P55/'3 Statement Model'!P$64</f>
        <v>5.5546103373849881E-2</v>
      </c>
      <c r="Q41" s="109">
        <f>'3 Statement Model'!Q55/'3 Statement Model'!Q$64</f>
        <v>5.6410109087567627E-2</v>
      </c>
      <c r="R41" s="109">
        <f>'3 Statement Model'!R55/'3 Statement Model'!R$64</f>
        <v>5.7832367518819018E-2</v>
      </c>
      <c r="S41" s="109">
        <f>'3 Statement Model'!S55/'3 Statement Model'!S$64</f>
        <v>5.896117243777297E-2</v>
      </c>
      <c r="T41" s="109">
        <f>'3 Statement Model'!T55/'3 Statement Model'!T$64</f>
        <v>5.9754871854736401E-2</v>
      </c>
      <c r="U41" s="109">
        <f>'3 Statement Model'!U55/'3 Statement Model'!U$64</f>
        <v>6.0222606101018664E-2</v>
      </c>
      <c r="V41" s="109">
        <f>'3 Statement Model'!V55/'3 Statement Model'!V$64</f>
        <v>5.9250545837675882E-2</v>
      </c>
    </row>
    <row r="42" spans="1:22" ht="15" customHeight="1" outlineLevel="1">
      <c r="B42" s="2" t="s">
        <v>17</v>
      </c>
      <c r="C42" s="15"/>
      <c r="D42" s="389">
        <f>'3 Statement Model'!D56/'3 Statement Model'!D$64</f>
        <v>0.12545135323152351</v>
      </c>
      <c r="E42" s="389">
        <f>'3 Statement Model'!E56/'3 Statement Model'!E$64</f>
        <v>0.21055580298922896</v>
      </c>
      <c r="F42" s="389">
        <f>'3 Statement Model'!F56/'3 Statement Model'!F$64</f>
        <v>0.17235458747036123</v>
      </c>
      <c r="G42" s="389">
        <f>'3 Statement Model'!G56/'3 Statement Model'!G$64</f>
        <v>0.17922977450293692</v>
      </c>
      <c r="H42" s="389">
        <f>'3 Statement Model'!H56/'3 Statement Model'!H$64</f>
        <v>0.24542530824461345</v>
      </c>
      <c r="I42" s="389">
        <f>'3 Statement Model'!I56/'3 Statement Model'!I$64</f>
        <v>0.26897593635326489</v>
      </c>
      <c r="J42" s="389">
        <f>'3 Statement Model'!J56/'3 Statement Model'!J$64</f>
        <v>0.27714529046240799</v>
      </c>
      <c r="K42" s="389">
        <f>'3 Statement Model'!K56/'3 Statement Model'!K$64</f>
        <v>0.28483702048290549</v>
      </c>
      <c r="L42" s="389">
        <f>'3 Statement Model'!L56/'3 Statement Model'!L$64</f>
        <v>0.29785066392782639</v>
      </c>
      <c r="M42" s="389">
        <f>'3 Statement Model'!M56/'3 Statement Model'!M$64</f>
        <v>0.30904534961976943</v>
      </c>
      <c r="N42" s="389">
        <f>'3 Statement Model'!N56/'3 Statement Model'!N$64</f>
        <v>0.31983219798683765</v>
      </c>
      <c r="O42" s="389">
        <f>'3 Statement Model'!O56/'3 Statement Model'!O$64</f>
        <v>0.33204974818256061</v>
      </c>
      <c r="P42" s="389">
        <f>'3 Statement Model'!P56/'3 Statement Model'!P$64</f>
        <v>0.34198882775683026</v>
      </c>
      <c r="Q42" s="389">
        <f>'3 Statement Model'!Q56/'3 Statement Model'!Q$64</f>
        <v>0.35625459894191458</v>
      </c>
      <c r="R42" s="389">
        <f>'3 Statement Model'!R56/'3 Statement Model'!R$64</f>
        <v>0.36867639008388653</v>
      </c>
      <c r="S42" s="389">
        <f>'3 Statement Model'!S56/'3 Statement Model'!S$64</f>
        <v>0.38136364128474443</v>
      </c>
      <c r="T42" s="389">
        <f>'3 Statement Model'!T56/'3 Statement Model'!T$64</f>
        <v>0.39312568758424893</v>
      </c>
      <c r="U42" s="389">
        <f>'3 Statement Model'!U56/'3 Statement Model'!U$64</f>
        <v>0.40272195686826051</v>
      </c>
      <c r="V42" s="389">
        <f>'3 Statement Model'!V56/'3 Statement Model'!V$64</f>
        <v>0.41472952901179444</v>
      </c>
    </row>
    <row r="43" spans="1:22" ht="15" customHeight="1" outlineLevel="1">
      <c r="B43" s="76"/>
      <c r="C43" s="4"/>
      <c r="D43" s="109"/>
      <c r="E43" s="109"/>
      <c r="F43" s="109"/>
      <c r="G43" s="109"/>
      <c r="H43" s="109"/>
      <c r="I43" s="109"/>
      <c r="J43" s="109"/>
      <c r="K43" s="109"/>
      <c r="L43" s="109"/>
      <c r="M43" s="109"/>
      <c r="N43" s="109"/>
      <c r="O43" s="109"/>
      <c r="P43" s="109"/>
      <c r="Q43" s="109"/>
      <c r="R43" s="109"/>
      <c r="S43" s="109"/>
      <c r="T43" s="109"/>
      <c r="U43" s="109"/>
      <c r="V43" s="109"/>
    </row>
    <row r="44" spans="1:22" ht="15" customHeight="1" outlineLevel="1">
      <c r="B44" s="78" t="s">
        <v>537</v>
      </c>
      <c r="D44" s="109">
        <f>'3 Statement Model'!D58/'3 Statement Model'!D$64</f>
        <v>0.73890112741687919</v>
      </c>
      <c r="E44" s="109">
        <f>'3 Statement Model'!E58/'3 Statement Model'!E$64</f>
        <v>0.4893537084762617</v>
      </c>
      <c r="F44" s="109">
        <f>'3 Statement Model'!F58/'3 Statement Model'!F$64</f>
        <v>0.73137458622868745</v>
      </c>
      <c r="G44" s="109">
        <f>'3 Statement Model'!G58/'3 Statement Model'!G$64</f>
        <v>0.62444679793311364</v>
      </c>
      <c r="H44" s="109">
        <f>'3 Statement Model'!H58/'3 Statement Model'!H$64</f>
        <v>0.70412990516062857</v>
      </c>
      <c r="I44" s="109">
        <f>'3 Statement Model'!I58/'3 Statement Model'!I$64</f>
        <v>0.68820874853544955</v>
      </c>
      <c r="J44" s="109">
        <f>'3 Statement Model'!J58/'3 Statement Model'!J$64</f>
        <v>0.68666700128790148</v>
      </c>
      <c r="K44" s="109">
        <f>'3 Statement Model'!K58/'3 Statement Model'!K$64</f>
        <v>0.6849047287045309</v>
      </c>
      <c r="L44" s="109">
        <f>'3 Statement Model'!L58/'3 Statement Model'!L$64</f>
        <v>0.67709758061155934</v>
      </c>
      <c r="M44" s="109">
        <f>'3 Statement Model'!M58/'3 Statement Model'!M$64</f>
        <v>0.67009529847167038</v>
      </c>
      <c r="N44" s="109">
        <f>'3 Statement Model'!N58/'3 Statement Model'!N$64</f>
        <v>0.6627077567726638</v>
      </c>
      <c r="O44" s="109">
        <f>'3 Statement Model'!O58/'3 Statement Model'!O$64</f>
        <v>0.65299699457980176</v>
      </c>
      <c r="P44" s="109">
        <f>'3 Statement Model'!P58/'3 Statement Model'!P$64</f>
        <v>0.64497611724883552</v>
      </c>
      <c r="Q44" s="109">
        <f>'3 Statement Model'!Q58/'3 Statement Model'!Q$64</f>
        <v>0.63223426018230144</v>
      </c>
      <c r="R44" s="109">
        <f>'3 Statement Model'!R58/'3 Statement Model'!R$64</f>
        <v>0.62097153158132512</v>
      </c>
      <c r="S44" s="109">
        <f>'3 Statement Model'!S58/'3 Statement Model'!S$64</f>
        <v>0.60921302294243884</v>
      </c>
      <c r="T44" s="109">
        <f>'3 Statement Model'!T58/'3 Statement Model'!T$64</f>
        <v>0.59819232424890667</v>
      </c>
      <c r="U44" s="109">
        <f>'3 Statement Model'!U58/'3 Statement Model'!U$64</f>
        <v>0.58917624048063921</v>
      </c>
      <c r="V44" s="109">
        <f>'3 Statement Model'!V58/'3 Statement Model'!V$64</f>
        <v>0.57767901337981487</v>
      </c>
    </row>
    <row r="45" spans="1:22" ht="15" customHeight="1" outlineLevel="1">
      <c r="B45" s="78" t="s">
        <v>538</v>
      </c>
      <c r="D45" s="109">
        <f>'3 Statement Model'!D59/'3 Statement Model'!D$64</f>
        <v>2.1635969125782622E-2</v>
      </c>
      <c r="E45" s="109">
        <f>'3 Statement Model'!E59/'3 Statement Model'!E$64</f>
        <v>1.3464995249587343E-2</v>
      </c>
      <c r="F45" s="109">
        <f>'3 Statement Model'!F59/'3 Statement Model'!F$64</f>
        <v>1.0340428278748343E-2</v>
      </c>
      <c r="G45" s="109">
        <f>'3 Statement Model'!G59/'3 Statement Model'!G$64</f>
        <v>7.9886583957327981E-3</v>
      </c>
      <c r="H45" s="109">
        <f>'3 Statement Model'!H59/'3 Statement Model'!H$64</f>
        <v>6.0279933666691947E-3</v>
      </c>
      <c r="I45" s="109">
        <f>'3 Statement Model'!I59/'3 Statement Model'!I$64</f>
        <v>4.3913143703882629E-3</v>
      </c>
      <c r="J45" s="109">
        <f>'3 Statement Model'!J59/'3 Statement Model'!J$64</f>
        <v>3.0747725963789201E-3</v>
      </c>
      <c r="K45" s="109">
        <f>'3 Statement Model'!K59/'3 Statement Model'!K$64</f>
        <v>2.0172167208375776E-3</v>
      </c>
      <c r="L45" s="109">
        <f>'3 Statement Model'!L59/'3 Statement Model'!L$64</f>
        <v>1.192940736219729E-3</v>
      </c>
      <c r="M45" s="109">
        <f>'3 Statement Model'!M59/'3 Statement Model'!M$64</f>
        <v>5.7942644190444757E-4</v>
      </c>
      <c r="N45" s="109">
        <f>'3 Statement Model'!N59/'3 Statement Model'!N$64</f>
        <v>9.5504971479603521E-5</v>
      </c>
      <c r="O45" s="109">
        <f>'3 Statement Model'!O59/'3 Statement Model'!O$64</f>
        <v>0</v>
      </c>
      <c r="P45" s="109">
        <f>'3 Statement Model'!P59/'3 Statement Model'!P$64</f>
        <v>0</v>
      </c>
      <c r="Q45" s="109">
        <f>'3 Statement Model'!Q59/'3 Statement Model'!Q$64</f>
        <v>0</v>
      </c>
      <c r="R45" s="109">
        <f>'3 Statement Model'!R59/'3 Statement Model'!R$64</f>
        <v>0</v>
      </c>
      <c r="S45" s="109">
        <f>'3 Statement Model'!S59/'3 Statement Model'!S$64</f>
        <v>0</v>
      </c>
      <c r="T45" s="109">
        <f>'3 Statement Model'!T59/'3 Statement Model'!T$64</f>
        <v>0</v>
      </c>
      <c r="U45" s="109">
        <f>'3 Statement Model'!U59/'3 Statement Model'!U$64</f>
        <v>0</v>
      </c>
      <c r="V45" s="109">
        <f>'3 Statement Model'!V59/'3 Statement Model'!V$64</f>
        <v>0</v>
      </c>
    </row>
    <row r="46" spans="1:22" ht="15" customHeight="1" outlineLevel="1">
      <c r="B46" s="78" t="s">
        <v>216</v>
      </c>
      <c r="D46" s="109">
        <f>'3 Statement Model'!D60/'3 Statement Model'!D$64</f>
        <v>8.6957962036638276E-2</v>
      </c>
      <c r="E46" s="109">
        <f>'3 Statement Model'!E60/'3 Statement Model'!E$64</f>
        <v>0.27730357349674628</v>
      </c>
      <c r="F46" s="109">
        <f>'3 Statement Model'!F60/'3 Statement Model'!F$64</f>
        <v>6.4961736303866327E-2</v>
      </c>
      <c r="G46" s="109">
        <f>'3 Statement Model'!G60/'3 Statement Model'!G$64</f>
        <v>0.17287284969260489</v>
      </c>
      <c r="H46" s="109">
        <f>'3 Statement Model'!H60/'3 Statement Model'!H$64</f>
        <v>2.0304819761412025E-2</v>
      </c>
      <c r="I46" s="109">
        <f>'3 Statement Model'!I60/'3 Statement Model'!I$64</f>
        <v>1.7565257481553052E-2</v>
      </c>
      <c r="J46" s="109">
        <f>'3 Statement Model'!J60/'3 Statement Model'!J$64</f>
        <v>1.5137342012942376E-2</v>
      </c>
      <c r="K46" s="109">
        <f>'3 Statement Model'!K60/'3 Statement Model'!K$64</f>
        <v>1.2910187013360497E-2</v>
      </c>
      <c r="L46" s="109">
        <f>'3 Statement Model'!L60/'3 Statement Model'!L$64</f>
        <v>1.0906886731151809E-2</v>
      </c>
      <c r="M46" s="109">
        <f>'3 Statement Model'!M60/'3 Statement Model'!M$64</f>
        <v>9.2708230704711611E-3</v>
      </c>
      <c r="N46" s="109">
        <f>'3 Statement Model'!N60/'3 Statement Model'!N$64</f>
        <v>7.9380755515514618E-3</v>
      </c>
      <c r="O46" s="109">
        <f>'3 Statement Model'!O60/'3 Statement Model'!O$64</f>
        <v>6.8357747372057324E-3</v>
      </c>
      <c r="P46" s="109">
        <f>'3 Statement Model'!P60/'3 Statement Model'!P$64</f>
        <v>5.9588822831241721E-3</v>
      </c>
      <c r="Q46" s="109">
        <f>'3 Statement Model'!Q60/'3 Statement Model'!Q$64</f>
        <v>5.2622358289298099E-3</v>
      </c>
      <c r="R46" s="109">
        <f>'3 Statement Model'!R60/'3 Statement Model'!R$64</f>
        <v>4.7323786673318024E-3</v>
      </c>
      <c r="S46" s="109">
        <f>'3 Statement Model'!S60/'3 Statement Model'!S$64</f>
        <v>4.3078106390019577E-3</v>
      </c>
      <c r="T46" s="109">
        <f>'3 Statement Model'!T60/'3 Statement Model'!T$64</f>
        <v>3.9689088762717359E-3</v>
      </c>
      <c r="U46" s="109">
        <f>'3 Statement Model'!U60/'3 Statement Model'!U$64</f>
        <v>3.7036812119316054E-3</v>
      </c>
      <c r="V46" s="109">
        <f>'3 Statement Model'!V60/'3 Statement Model'!V$64</f>
        <v>3.4703806209785948E-3</v>
      </c>
    </row>
    <row r="47" spans="1:22" ht="15" customHeight="1" outlineLevel="1">
      <c r="B47" s="78" t="s">
        <v>18</v>
      </c>
      <c r="C47" s="13"/>
      <c r="D47" s="109">
        <f>'3 Statement Model'!D61/'3 Statement Model'!D$64</f>
        <v>2.7053588189176355E-2</v>
      </c>
      <c r="E47" s="109">
        <f>'3 Statement Model'!E61/'3 Statement Model'!E$64</f>
        <v>9.3219197881758524E-3</v>
      </c>
      <c r="F47" s="109">
        <f>'3 Statement Model'!F61/'3 Statement Model'!F$64</f>
        <v>2.0968661718336602E-2</v>
      </c>
      <c r="G47" s="109">
        <f>'3 Statement Model'!G61/'3 Statement Model'!G$64</f>
        <v>1.5461919475611867E-2</v>
      </c>
      <c r="H47" s="109">
        <f>'3 Statement Model'!H61/'3 Statement Model'!H$64</f>
        <v>2.4111973466676779E-2</v>
      </c>
      <c r="I47" s="109">
        <f>'3 Statement Model'!I61/'3 Statement Model'!I$64</f>
        <v>2.0858743259344247E-2</v>
      </c>
      <c r="J47" s="109">
        <f>'3 Statement Model'!J61/'3 Statement Model'!J$64</f>
        <v>1.7975593640369072E-2</v>
      </c>
      <c r="K47" s="109">
        <f>'3 Statement Model'!K61/'3 Statement Model'!K$64</f>
        <v>1.5330847078365588E-2</v>
      </c>
      <c r="L47" s="109">
        <f>'3 Statement Model'!L61/'3 Statement Model'!L$64</f>
        <v>1.2951927993242773E-2</v>
      </c>
      <c r="M47" s="109">
        <f>'3 Statement Model'!M61/'3 Statement Model'!M$64</f>
        <v>1.1009102396184503E-2</v>
      </c>
      <c r="N47" s="109">
        <f>'3 Statement Model'!N61/'3 Statement Model'!N$64</f>
        <v>9.4264647174673605E-3</v>
      </c>
      <c r="O47" s="109">
        <f>'3 Statement Model'!O61/'3 Statement Model'!O$64</f>
        <v>8.1174825004318076E-3</v>
      </c>
      <c r="P47" s="109">
        <f>'3 Statement Model'!P61/'3 Statement Model'!P$64</f>
        <v>7.0761727112099541E-3</v>
      </c>
      <c r="Q47" s="109">
        <f>'3 Statement Model'!Q61/'3 Statement Model'!Q$64</f>
        <v>6.2489050468541489E-3</v>
      </c>
      <c r="R47" s="109">
        <f>'3 Statement Model'!R61/'3 Statement Model'!R$64</f>
        <v>5.6196996674565151E-3</v>
      </c>
      <c r="S47" s="109">
        <f>'3 Statement Model'!S61/'3 Statement Model'!S$64</f>
        <v>5.1155251338148248E-3</v>
      </c>
      <c r="T47" s="109">
        <f>'3 Statement Model'!T61/'3 Statement Model'!T$64</f>
        <v>4.7130792905726859E-3</v>
      </c>
      <c r="U47" s="109">
        <f>'3 Statement Model'!U61/'3 Statement Model'!U$64</f>
        <v>4.3981214391687808E-3</v>
      </c>
      <c r="V47" s="109">
        <f>'3 Statement Model'!V61/'3 Statement Model'!V$64</f>
        <v>4.1210769874120813E-3</v>
      </c>
    </row>
    <row r="48" spans="1:22" ht="15" customHeight="1" outlineLevel="1">
      <c r="B48" s="375" t="s">
        <v>19</v>
      </c>
      <c r="C48" s="4"/>
      <c r="D48" s="389">
        <f>'3 Statement Model'!D62/'3 Statement Model'!D$64</f>
        <v>0.87454864676847643</v>
      </c>
      <c r="E48" s="389">
        <f>'3 Statement Model'!E62/'3 Statement Model'!E$64</f>
        <v>0.78944419701077106</v>
      </c>
      <c r="F48" s="389">
        <f>'3 Statement Model'!F62/'3 Statement Model'!F$64</f>
        <v>0.82764541252963875</v>
      </c>
      <c r="G48" s="389">
        <f>'3 Statement Model'!G62/'3 Statement Model'!G$64</f>
        <v>0.82077022549706313</v>
      </c>
      <c r="H48" s="389">
        <f>'3 Statement Model'!H62/'3 Statement Model'!H$64</f>
        <v>0.75457469175538661</v>
      </c>
      <c r="I48" s="389">
        <f>'3 Statement Model'!I62/'3 Statement Model'!I$64</f>
        <v>0.73102406364673511</v>
      </c>
      <c r="J48" s="389">
        <f>'3 Statement Model'!J62/'3 Statement Model'!J$64</f>
        <v>0.7228547095375919</v>
      </c>
      <c r="K48" s="389">
        <f>'3 Statement Model'!K62/'3 Statement Model'!K$64</f>
        <v>0.71516297951709451</v>
      </c>
      <c r="L48" s="389">
        <f>'3 Statement Model'!L62/'3 Statement Model'!L$64</f>
        <v>0.70214933607217367</v>
      </c>
      <c r="M48" s="389">
        <f>'3 Statement Model'!M62/'3 Statement Model'!M$64</f>
        <v>0.69095465038023052</v>
      </c>
      <c r="N48" s="389">
        <f>'3 Statement Model'!N62/'3 Statement Model'!N$64</f>
        <v>0.68016780201316229</v>
      </c>
      <c r="O48" s="389">
        <f>'3 Statement Model'!O62/'3 Statement Model'!O$64</f>
        <v>0.66795025181743928</v>
      </c>
      <c r="P48" s="389">
        <f>'3 Statement Model'!P62/'3 Statement Model'!P$64</f>
        <v>0.65801117224316974</v>
      </c>
      <c r="Q48" s="389">
        <f>'3 Statement Model'!Q62/'3 Statement Model'!Q$64</f>
        <v>0.64374540105808542</v>
      </c>
      <c r="R48" s="389">
        <f>'3 Statement Model'!R62/'3 Statement Model'!R$64</f>
        <v>0.63132360991611347</v>
      </c>
      <c r="S48" s="389">
        <f>'3 Statement Model'!S62/'3 Statement Model'!S$64</f>
        <v>0.61863635871525557</v>
      </c>
      <c r="T48" s="389">
        <f>'3 Statement Model'!T62/'3 Statement Model'!T$64</f>
        <v>0.60687431241575107</v>
      </c>
      <c r="U48" s="389">
        <f>'3 Statement Model'!U62/'3 Statement Model'!U$64</f>
        <v>0.5972780431317396</v>
      </c>
      <c r="V48" s="389">
        <f>'3 Statement Model'!V62/'3 Statement Model'!V$64</f>
        <v>0.5852704709882055</v>
      </c>
    </row>
    <row r="49" spans="2:22" ht="15" customHeight="1" outlineLevel="1">
      <c r="B49" s="78"/>
      <c r="C49" s="4"/>
      <c r="D49" s="16"/>
      <c r="E49" s="16"/>
      <c r="F49" s="16"/>
      <c r="G49" s="16"/>
      <c r="H49" s="16"/>
    </row>
    <row r="50" spans="2:22" ht="15.75" customHeight="1" outlineLevel="1" thickBot="1">
      <c r="B50" s="99" t="s">
        <v>20</v>
      </c>
      <c r="C50" s="24"/>
      <c r="D50" s="388">
        <f>'3 Statement Model'!D64/'3 Statement Model'!D$64</f>
        <v>1</v>
      </c>
      <c r="E50" s="388">
        <f>'3 Statement Model'!E64/'3 Statement Model'!E$64</f>
        <v>1</v>
      </c>
      <c r="F50" s="388">
        <f>'3 Statement Model'!F64/'3 Statement Model'!F$64</f>
        <v>1</v>
      </c>
      <c r="G50" s="388">
        <f>'3 Statement Model'!G64/'3 Statement Model'!G$64</f>
        <v>1</v>
      </c>
      <c r="H50" s="388">
        <f>'3 Statement Model'!H64/'3 Statement Model'!H$64</f>
        <v>1</v>
      </c>
      <c r="I50" s="388">
        <f>'3 Statement Model'!I64/'3 Statement Model'!I$64</f>
        <v>1</v>
      </c>
      <c r="J50" s="388">
        <f>'3 Statement Model'!J64/'3 Statement Model'!J$64</f>
        <v>1</v>
      </c>
      <c r="K50" s="388">
        <f>'3 Statement Model'!K64/'3 Statement Model'!K$64</f>
        <v>1</v>
      </c>
      <c r="L50" s="388">
        <f>'3 Statement Model'!L64/'3 Statement Model'!L$64</f>
        <v>1</v>
      </c>
      <c r="M50" s="388">
        <f>'3 Statement Model'!M64/'3 Statement Model'!M$64</f>
        <v>1</v>
      </c>
      <c r="N50" s="388">
        <f>'3 Statement Model'!N64/'3 Statement Model'!N$64</f>
        <v>1</v>
      </c>
      <c r="O50" s="388">
        <f>'3 Statement Model'!O64/'3 Statement Model'!O$64</f>
        <v>1</v>
      </c>
      <c r="P50" s="388">
        <f>'3 Statement Model'!P64/'3 Statement Model'!P$64</f>
        <v>1</v>
      </c>
      <c r="Q50" s="388">
        <f>'3 Statement Model'!Q64/'3 Statement Model'!Q$64</f>
        <v>1</v>
      </c>
      <c r="R50" s="388">
        <f>'3 Statement Model'!R64/'3 Statement Model'!R$64</f>
        <v>1</v>
      </c>
      <c r="S50" s="388">
        <f>'3 Statement Model'!S64/'3 Statement Model'!S$64</f>
        <v>1</v>
      </c>
      <c r="T50" s="388">
        <f>'3 Statement Model'!T64/'3 Statement Model'!T$64</f>
        <v>1</v>
      </c>
      <c r="U50" s="388">
        <f>'3 Statement Model'!U64/'3 Statement Model'!U$64</f>
        <v>1</v>
      </c>
      <c r="V50" s="388">
        <f>'3 Statement Model'!V64/'3 Statement Model'!V$64</f>
        <v>1</v>
      </c>
    </row>
    <row r="51" spans="2:22" ht="15" customHeight="1" outlineLevel="1">
      <c r="B51" s="6"/>
      <c r="C51" s="4"/>
      <c r="D51" s="16"/>
      <c r="E51" s="16"/>
      <c r="F51" s="16"/>
      <c r="G51" s="16"/>
      <c r="H51" s="16"/>
      <c r="I51" s="19"/>
    </row>
    <row r="52" spans="2:22" ht="15" customHeight="1" outlineLevel="1">
      <c r="B52" s="98" t="s">
        <v>590</v>
      </c>
      <c r="C52" s="4"/>
      <c r="D52" s="16"/>
      <c r="E52" s="16"/>
      <c r="F52" s="16"/>
      <c r="G52" s="16"/>
      <c r="H52" s="16"/>
      <c r="I52" s="19"/>
    </row>
    <row r="53" spans="2:22" ht="15" customHeight="1" outlineLevel="1">
      <c r="B53" s="98"/>
      <c r="C53" s="4"/>
      <c r="D53" s="16"/>
      <c r="E53" s="16"/>
      <c r="F53" s="16"/>
      <c r="G53" s="16"/>
      <c r="H53" s="16"/>
      <c r="I53" s="19"/>
    </row>
    <row r="54" spans="2:22" ht="15" customHeight="1" outlineLevel="1">
      <c r="B54" s="27" t="s">
        <v>21</v>
      </c>
      <c r="C54" s="4"/>
      <c r="D54" s="16"/>
      <c r="E54" s="16"/>
      <c r="F54" s="16"/>
      <c r="G54" s="16"/>
      <c r="H54" s="16"/>
      <c r="I54" s="19"/>
    </row>
    <row r="55" spans="2:22" ht="15" customHeight="1" outlineLevel="1">
      <c r="B55" s="79" t="s">
        <v>22</v>
      </c>
      <c r="C55" s="4"/>
      <c r="D55" s="109">
        <f>'3 Statement Model'!D69/'3 Statement Model'!D$83</f>
        <v>5.0379572118702552E-2</v>
      </c>
      <c r="E55" s="109">
        <f>'3 Statement Model'!E69/'3 Statement Model'!E$83</f>
        <v>4.1431261770244823E-2</v>
      </c>
      <c r="F55" s="109">
        <f>'3 Statement Model'!F69/'3 Statement Model'!F$83</f>
        <v>4.5230263157894739E-2</v>
      </c>
      <c r="G55" s="109">
        <f>'3 Statement Model'!G69/'3 Statement Model'!G$83</f>
        <v>6.5855404438081605E-2</v>
      </c>
      <c r="H55" s="109">
        <f>'3 Statement Model'!H69/'3 Statement Model'!H$83</f>
        <v>5.9010152284263963E-2</v>
      </c>
      <c r="I55" s="109">
        <f>'3 Statement Model'!I69/'3 Statement Model'!I$83</f>
        <v>6.1161831652468253E-2</v>
      </c>
      <c r="J55" s="109">
        <f>'3 Statement Model'!J69/'3 Statement Model'!J$83</f>
        <v>6.3605181041658077E-2</v>
      </c>
      <c r="K55" s="109">
        <f>'3 Statement Model'!K69/'3 Statement Model'!K$83</f>
        <v>6.7811145424751113E-2</v>
      </c>
      <c r="L55" s="109">
        <f>'3 Statement Model'!L69/'3 Statement Model'!L$83</f>
        <v>7.0980899019998045E-2</v>
      </c>
      <c r="M55" s="109">
        <f>'3 Statement Model'!M69/'3 Statement Model'!M$83</f>
        <v>7.3700460745026161E-2</v>
      </c>
      <c r="N55" s="109">
        <f>'3 Statement Model'!N69/'3 Statement Model'!N$83</f>
        <v>7.5983241468557894E-2</v>
      </c>
      <c r="O55" s="109">
        <f>'3 Statement Model'!O69/'3 Statement Model'!O$83</f>
        <v>7.7637311482592924E-2</v>
      </c>
      <c r="P55" s="109">
        <f>'3 Statement Model'!P69/'3 Statement Model'!P$83</f>
        <v>7.9129687819323349E-2</v>
      </c>
      <c r="Q55" s="109">
        <f>'3 Statement Model'!Q69/'3 Statement Model'!Q$83</f>
        <v>7.5724411976294689E-2</v>
      </c>
      <c r="R55" s="109">
        <f>'3 Statement Model'!R69/'3 Statement Model'!R$83</f>
        <v>7.7633673199697911E-2</v>
      </c>
      <c r="S55" s="109">
        <f>'3 Statement Model'!S69/'3 Statement Model'!S$83</f>
        <v>7.9148991571462615E-2</v>
      </c>
      <c r="T55" s="109">
        <f>'3 Statement Model'!T69/'3 Statement Model'!T$83</f>
        <v>7.8577417266306737E-2</v>
      </c>
      <c r="U55" s="109">
        <f>'3 Statement Model'!U69/'3 Statement Model'!U$83</f>
        <v>7.9192456887522314E-2</v>
      </c>
      <c r="V55" s="109">
        <f>'3 Statement Model'!V69/'3 Statement Model'!V$83</f>
        <v>7.7914178639053935E-2</v>
      </c>
    </row>
    <row r="56" spans="2:22" ht="15" customHeight="1" outlineLevel="1">
      <c r="B56" s="79" t="s">
        <v>23</v>
      </c>
      <c r="C56" s="4"/>
      <c r="D56" s="109">
        <f>'3 Statement Model'!D70/'3 Statement Model'!D$83</f>
        <v>3.3816425120772949E-3</v>
      </c>
      <c r="E56" s="109">
        <f>'3 Statement Model'!E70/'3 Statement Model'!E$83</f>
        <v>1.3370998116760829E-2</v>
      </c>
      <c r="F56" s="109">
        <f>'3 Statement Model'!F70/'3 Statement Model'!F$83</f>
        <v>8.9638157894736843E-3</v>
      </c>
      <c r="G56" s="109">
        <f>'3 Statement Model'!G70/'3 Statement Model'!G$83</f>
        <v>1.0021474588403722E-2</v>
      </c>
      <c r="H56" s="109">
        <f>'3 Statement Model'!H70/'3 Statement Model'!H$83</f>
        <v>3.8388324873096444E-3</v>
      </c>
      <c r="I56" s="109">
        <f>'3 Statement Model'!I70/'3 Statement Model'!I$83</f>
        <v>3.3206863297452335E-3</v>
      </c>
      <c r="J56" s="109">
        <f>'3 Statement Model'!J70/'3 Statement Model'!J$83</f>
        <v>2.8618299440976601E-3</v>
      </c>
      <c r="K56" s="109">
        <f>'3 Statement Model'!K70/'3 Statement Model'!K$83</f>
        <v>2.4408573432785226E-3</v>
      </c>
      <c r="L56" s="109">
        <f>'3 Statement Model'!L70/'3 Statement Model'!L$83</f>
        <v>2.0621574249893764E-3</v>
      </c>
      <c r="M56" s="109">
        <f>'3 Statement Model'!M70/'3 Statement Model'!M$83</f>
        <v>1.7528591885732523E-3</v>
      </c>
      <c r="N56" s="109">
        <f>'3 Statement Model'!N70/'3 Statement Model'!N$83</f>
        <v>1.5008484412830701E-3</v>
      </c>
      <c r="O56" s="109">
        <f>'3 Statement Model'!O70/'3 Statement Model'!O$83</f>
        <v>1.2923142626686925E-3</v>
      </c>
      <c r="P56" s="109">
        <f>'3 Statement Model'!P70/'3 Statement Model'!P$83</f>
        <v>1.1265373041838109E-3</v>
      </c>
      <c r="Q56" s="109">
        <f>'3 Statement Model'!Q70/'3 Statement Model'!Q$83</f>
        <v>9.9483592067935037E-4</v>
      </c>
      <c r="R56" s="109">
        <f>'3 Statement Model'!R70/'3 Statement Model'!R$83</f>
        <v>8.9466579196298272E-4</v>
      </c>
      <c r="S56" s="109">
        <f>'3 Statement Model'!S70/'3 Statement Model'!S$83</f>
        <v>8.1440055387255216E-4</v>
      </c>
      <c r="T56" s="109">
        <f>'3 Statement Model'!T70/'3 Statement Model'!T$83</f>
        <v>7.5033046823256026E-4</v>
      </c>
      <c r="U56" s="109">
        <f>'3 Statement Model'!U70/'3 Statement Model'!U$83</f>
        <v>7.001883705330421E-4</v>
      </c>
      <c r="V56" s="109">
        <f>'3 Statement Model'!V70/'3 Statement Model'!V$83</f>
        <v>6.560822285936348E-4</v>
      </c>
    </row>
    <row r="57" spans="2:22" ht="15" customHeight="1" outlineLevel="1">
      <c r="B57" s="79" t="s">
        <v>24</v>
      </c>
      <c r="C57" s="4"/>
      <c r="D57" s="109">
        <f>'3 Statement Model'!D71/'3 Statement Model'!D$83</f>
        <v>0.16314699792960663</v>
      </c>
      <c r="E57" s="109">
        <f>'3 Statement Model'!E71/'3 Statement Model'!E$83</f>
        <v>0.15823917137476459</v>
      </c>
      <c r="F57" s="109">
        <f>'3 Statement Model'!F71/'3 Statement Model'!F$83</f>
        <v>0.17360197368421051</v>
      </c>
      <c r="G57" s="109">
        <f>'3 Statement Model'!G71/'3 Statement Model'!G$83</f>
        <v>0.12347888332140301</v>
      </c>
      <c r="H57" s="109">
        <f>'3 Statement Model'!H71/'3 Statement Model'!H$83</f>
        <v>7.7506345177664984E-2</v>
      </c>
      <c r="I57" s="109">
        <f>'3 Statement Model'!I71/'3 Statement Model'!I$83</f>
        <v>6.7044931434443025E-2</v>
      </c>
      <c r="J57" s="109">
        <f>'3 Statement Model'!J71/'3 Statement Model'!J$83</f>
        <v>5.7780583086203173E-2</v>
      </c>
      <c r="K57" s="109">
        <f>'3 Statement Model'!K71/'3 Statement Model'!K$83</f>
        <v>4.9281111484540757E-2</v>
      </c>
      <c r="L57" s="109">
        <f>'3 Statement Model'!L71/'3 Statement Model'!L$83</f>
        <v>4.1635128836768981E-2</v>
      </c>
      <c r="M57" s="109">
        <f>'3 Statement Model'!M71/'3 Statement Model'!M$83</f>
        <v>3.5390371881689718E-2</v>
      </c>
      <c r="N57" s="109">
        <f>'3 Statement Model'!N71/'3 Statement Model'!N$83</f>
        <v>3.0302254066566451E-2</v>
      </c>
      <c r="O57" s="109">
        <f>'3 Statement Model'!O71/'3 Statement Model'!O$83</f>
        <v>2.6091931766112526E-2</v>
      </c>
      <c r="P57" s="109">
        <f>'3 Statement Model'!P71/'3 Statement Model'!P$83</f>
        <v>2.2744881273727688E-2</v>
      </c>
      <c r="Q57" s="109">
        <f>'3 Statement Model'!Q71/'3 Statement Model'!Q$83</f>
        <v>2.008581945636077E-2</v>
      </c>
      <c r="R57" s="109">
        <f>'3 Statement Model'!R71/'3 Statement Model'!R$83</f>
        <v>1.8063376279054272E-2</v>
      </c>
      <c r="S57" s="109">
        <f>'3 Statement Model'!S71/'3 Statement Model'!S$83</f>
        <v>1.6442814488517726E-2</v>
      </c>
      <c r="T57" s="109">
        <f>'3 Statement Model'!T71/'3 Statement Model'!T$83</f>
        <v>1.5149234164397892E-2</v>
      </c>
      <c r="U57" s="109">
        <f>'3 Statement Model'!U71/'3 Statement Model'!U$83</f>
        <v>1.4136861067869603E-2</v>
      </c>
      <c r="V57" s="109">
        <f>'3 Statement Model'!V71/'3 Statement Model'!V$83</f>
        <v>1.3246354416977271E-2</v>
      </c>
    </row>
    <row r="58" spans="2:22" ht="15" customHeight="1" outlineLevel="1">
      <c r="B58" s="79" t="s">
        <v>591</v>
      </c>
      <c r="C58" s="4"/>
      <c r="D58" s="109">
        <f>'3 Statement Model'!D72/'3 Statement Model'!D$83</f>
        <v>5.1759834368530024E-2</v>
      </c>
      <c r="E58" s="109">
        <f>'3 Statement Model'!E72/'3 Statement Model'!E$83</f>
        <v>3.7664783427495289E-2</v>
      </c>
      <c r="F58" s="109">
        <f>'3 Statement Model'!F72/'3 Statement Model'!F$83</f>
        <v>3.7828947368421052E-2</v>
      </c>
      <c r="G58" s="109">
        <f>'3 Statement Model'!G72/'3 Statement Model'!G$83</f>
        <v>7.9098067287043661E-2</v>
      </c>
      <c r="H58" s="109">
        <f>'3 Statement Model'!H72/'3 Statement Model'!H$83</f>
        <v>1.5862944162436547E-2</v>
      </c>
      <c r="I58" s="109">
        <f>'3 Statement Model'!I72/'3 Statement Model'!I$83</f>
        <v>2.4353529330710087E-2</v>
      </c>
      <c r="J58" s="109">
        <f>'3 Statement Model'!J72/'3 Statement Model'!J$83</f>
        <v>2.5605762220814555E-2</v>
      </c>
      <c r="K58" s="109">
        <f>'3 Statement Model'!K72/'3 Statement Model'!K$83</f>
        <v>2.7298972147096492E-2</v>
      </c>
      <c r="L58" s="109">
        <f>'3 Statement Model'!L72/'3 Statement Model'!L$83</f>
        <v>2.8829408170214336E-2</v>
      </c>
      <c r="M58" s="109">
        <f>'3 Statement Model'!M72/'3 Statement Model'!M$83</f>
        <v>2.5169038334519597E-2</v>
      </c>
      <c r="N58" s="109">
        <f>'3 Statement Model'!N72/'3 Statement Model'!N$83</f>
        <v>1.571028123264178E-2</v>
      </c>
      <c r="O58" s="109">
        <f>'3 Statement Model'!O72/'3 Statement Model'!O$83</f>
        <v>1.0799397367052748E-2</v>
      </c>
      <c r="P58" s="109">
        <f>'3 Statement Model'!P72/'3 Statement Model'!P$83</f>
        <v>9.4140599915427062E-3</v>
      </c>
      <c r="Q58" s="109">
        <f>'3 Statement Model'!Q72/'3 Statement Model'!Q$83</f>
        <v>8.3134797260907365E-3</v>
      </c>
      <c r="R58" s="109">
        <f>'3 Statement Model'!R72/'3 Statement Model'!R$83</f>
        <v>7.4763946179507452E-3</v>
      </c>
      <c r="S58" s="109">
        <f>'3 Statement Model'!S72/'3 Statement Model'!S$83</f>
        <v>6.8056473965205332E-3</v>
      </c>
      <c r="T58" s="109">
        <f>'3 Statement Model'!T72/'3 Statement Model'!T$83</f>
        <v>6.270237137456669E-3</v>
      </c>
      <c r="U58" s="109">
        <f>'3 Statement Model'!U72/'3 Statement Model'!U$83</f>
        <v>5.8512179766246541E-3</v>
      </c>
      <c r="V58" s="109">
        <f>'3 Statement Model'!V72/'3 Statement Model'!V$83</f>
        <v>5.4826390892047583E-3</v>
      </c>
    </row>
    <row r="59" spans="2:22" ht="15" customHeight="1" outlineLevel="1">
      <c r="B59" s="334" t="s">
        <v>25</v>
      </c>
      <c r="C59" s="164"/>
      <c r="D59" s="389">
        <f>'3 Statement Model'!D73/'3 Statement Model'!D$83</f>
        <v>0.26866804692891649</v>
      </c>
      <c r="E59" s="389">
        <f>'3 Statement Model'!E73/'3 Statement Model'!E$83</f>
        <v>0.25070621468926552</v>
      </c>
      <c r="F59" s="389">
        <f>'3 Statement Model'!F73/'3 Statement Model'!F$83</f>
        <v>0.265625</v>
      </c>
      <c r="G59" s="389">
        <f>'3 Statement Model'!G73/'3 Statement Model'!G$83</f>
        <v>0.27845382963493198</v>
      </c>
      <c r="H59" s="389">
        <f>'3 Statement Model'!H73/'3 Statement Model'!H$83</f>
        <v>0.15621827411167513</v>
      </c>
      <c r="I59" s="389">
        <f>'3 Statement Model'!I73/'3 Statement Model'!I$83</f>
        <v>0.15588097874736662</v>
      </c>
      <c r="J59" s="389">
        <f>'3 Statement Model'!J73/'3 Statement Model'!J$83</f>
        <v>0.14985335629277347</v>
      </c>
      <c r="K59" s="389">
        <f>'3 Statement Model'!K73/'3 Statement Model'!K$83</f>
        <v>0.14683208639966688</v>
      </c>
      <c r="L59" s="389">
        <f>'3 Statement Model'!L73/'3 Statement Model'!L$83</f>
        <v>0.14350759345197073</v>
      </c>
      <c r="M59" s="389">
        <f>'3 Statement Model'!M73/'3 Statement Model'!M$83</f>
        <v>0.13601273014980875</v>
      </c>
      <c r="N59" s="389">
        <f>'3 Statement Model'!N73/'3 Statement Model'!N$83</f>
        <v>0.12349662520904918</v>
      </c>
      <c r="O59" s="389">
        <f>'3 Statement Model'!O73/'3 Statement Model'!O$83</f>
        <v>0.11582095487842689</v>
      </c>
      <c r="P59" s="389">
        <f>'3 Statement Model'!P73/'3 Statement Model'!P$83</f>
        <v>0.11241516638877755</v>
      </c>
      <c r="Q59" s="389">
        <f>'3 Statement Model'!Q73/'3 Statement Model'!Q$83</f>
        <v>0.10511854707942556</v>
      </c>
      <c r="R59" s="389">
        <f>'3 Statement Model'!R73/'3 Statement Model'!R$83</f>
        <v>0.1040681098886659</v>
      </c>
      <c r="S59" s="389">
        <f>'3 Statement Model'!S73/'3 Statement Model'!S$83</f>
        <v>0.10321185401037342</v>
      </c>
      <c r="T59" s="389">
        <f>'3 Statement Model'!T73/'3 Statement Model'!T$83</f>
        <v>0.10074721903639386</v>
      </c>
      <c r="U59" s="389">
        <f>'3 Statement Model'!U73/'3 Statement Model'!U$83</f>
        <v>9.9880724302549601E-2</v>
      </c>
      <c r="V59" s="389">
        <f>'3 Statement Model'!V73/'3 Statement Model'!V$83</f>
        <v>9.7299254373829594E-2</v>
      </c>
    </row>
    <row r="60" spans="2:22" ht="15" customHeight="1" outlineLevel="1">
      <c r="B60" s="6"/>
      <c r="C60" s="4"/>
      <c r="D60" s="109"/>
      <c r="E60" s="109"/>
      <c r="F60" s="109"/>
      <c r="G60" s="109"/>
      <c r="H60" s="109"/>
      <c r="I60" s="109"/>
      <c r="J60" s="109"/>
      <c r="K60" s="109"/>
      <c r="L60" s="109"/>
      <c r="M60" s="109"/>
      <c r="N60" s="109"/>
      <c r="O60" s="109"/>
      <c r="P60" s="109"/>
      <c r="Q60" s="109"/>
      <c r="R60" s="109"/>
      <c r="S60" s="109"/>
      <c r="T60" s="109"/>
      <c r="U60" s="109"/>
      <c r="V60" s="109"/>
    </row>
    <row r="61" spans="2:22" ht="15" customHeight="1" outlineLevel="1">
      <c r="B61" s="79" t="s">
        <v>638</v>
      </c>
      <c r="C61" s="4"/>
      <c r="D61" s="109">
        <f>'3 Statement Model'!D75/'3 Statement Model'!D$83</f>
        <v>0.23464458247066944</v>
      </c>
      <c r="E61" s="109">
        <f>'3 Statement Model'!E75/'3 Statement Model'!E$83</f>
        <v>0.3615819209039548</v>
      </c>
      <c r="F61" s="109">
        <f>'3 Statement Model'!F75/'3 Statement Model'!F$83</f>
        <v>0.22409539473684212</v>
      </c>
      <c r="G61" s="109">
        <f>'3 Statement Model'!G75/'3 Statement Model'!G$83</f>
        <v>0.19577666428060128</v>
      </c>
      <c r="H61" s="109">
        <f>'3 Statement Model'!H75/'3 Statement Model'!H$83</f>
        <v>0.14244923857868019</v>
      </c>
      <c r="I61" s="109">
        <f>'3 Statement Model'!I75/'3 Statement Model'!I$83</f>
        <v>0.1269188270179569</v>
      </c>
      <c r="J61" s="109">
        <f>'3 Statement Model'!J75/'3 Statement Model'!J$83</f>
        <v>0.11375627388567924</v>
      </c>
      <c r="K61" s="109">
        <f>'3 Statement Model'!K75/'3 Statement Model'!K$83</f>
        <v>0.10090374185641106</v>
      </c>
      <c r="L61" s="109">
        <f>'3 Statement Model'!L75/'3 Statement Model'!L$83</f>
        <v>8.8658428602335707E-2</v>
      </c>
      <c r="M61" s="109">
        <f>'3 Statement Model'!M75/'3 Statement Model'!M$83</f>
        <v>7.8375185575226033E-2</v>
      </c>
      <c r="N61" s="109">
        <f>'3 Statement Model'!N75/'3 Statement Model'!N$83</f>
        <v>6.8449229344900261E-2</v>
      </c>
      <c r="O61" s="109">
        <f>'3 Statement Model'!O75/'3 Statement Model'!O$83</f>
        <v>5.952799233227532E-2</v>
      </c>
      <c r="P61" s="109">
        <f>'3 Statement Model'!P75/'3 Statement Model'!P$83</f>
        <v>5.2410710770662464E-2</v>
      </c>
      <c r="Q61" s="109">
        <f>'3 Statement Model'!Q75/'3 Statement Model'!Q$83</f>
        <v>4.6283471935949075E-2</v>
      </c>
      <c r="R61" s="109">
        <f>'3 Statement Model'!R75/'3 Statement Model'!R$83</f>
        <v>4.1623184500712077E-2</v>
      </c>
      <c r="S61" s="109">
        <f>'3 Statement Model'!S75/'3 Statement Model'!S$83</f>
        <v>3.7888946705947023E-2</v>
      </c>
      <c r="T61" s="109">
        <f>'3 Statement Model'!T75/'3 Statement Model'!T$83</f>
        <v>3.4908167716153994E-2</v>
      </c>
      <c r="U61" s="109">
        <f>'3 Statement Model'!U75/'3 Statement Model'!U$83</f>
        <v>3.2575370595096603E-2</v>
      </c>
      <c r="V61" s="109">
        <f>'3 Statement Model'!V75/'3 Statement Model'!V$83</f>
        <v>3.0523388614729897E-2</v>
      </c>
    </row>
    <row r="62" spans="2:22" ht="15" customHeight="1" outlineLevel="1">
      <c r="B62" s="100" t="s">
        <v>26</v>
      </c>
      <c r="C62" s="13"/>
      <c r="D62" s="109">
        <f>'3 Statement Model'!D76/'3 Statement Model'!D$83</f>
        <v>2.4637681159420291E-2</v>
      </c>
      <c r="E62" s="109">
        <f>'3 Statement Model'!E76/'3 Statement Model'!E$83</f>
        <v>4.5903954802259887E-2</v>
      </c>
      <c r="F62" s="109">
        <f>'3 Statement Model'!F76/'3 Statement Model'!F$83</f>
        <v>7.03125E-2</v>
      </c>
      <c r="G62" s="109">
        <f>'3 Statement Model'!G76/'3 Statement Model'!G$83</f>
        <v>7.6592698639942738E-2</v>
      </c>
      <c r="H62" s="109">
        <f>'3 Statement Model'!H76/'3 Statement Model'!H$83</f>
        <v>9.7271573604060926E-2</v>
      </c>
      <c r="I62" s="109">
        <f>'3 Statement Model'!I76/'3 Statement Model'!I$83</f>
        <v>8.4142349479329651E-2</v>
      </c>
      <c r="J62" s="109">
        <f>'3 Statement Model'!J76/'3 Statement Model'!J$83</f>
        <v>7.2515459575234933E-2</v>
      </c>
      <c r="K62" s="109">
        <f>'3 Statement Model'!K76/'3 Statement Model'!K$83</f>
        <v>6.1848500946214476E-2</v>
      </c>
      <c r="L62" s="109">
        <f>'3 Statement Model'!L76/'3 Statement Model'!L$83</f>
        <v>5.2252683181962217E-2</v>
      </c>
      <c r="M62" s="109">
        <f>'3 Statement Model'!M76/'3 Statement Model'!M$83</f>
        <v>4.4415423736905726E-2</v>
      </c>
      <c r="N62" s="109">
        <f>'3 Statement Model'!N76/'3 Statement Model'!N$83</f>
        <v>3.8029762983255319E-2</v>
      </c>
      <c r="O62" s="109">
        <f>'3 Statement Model'!O76/'3 Statement Model'!O$83</f>
        <v>3.2745748176381914E-2</v>
      </c>
      <c r="P62" s="109">
        <f>'3 Statement Model'!P76/'3 Statement Model'!P$83</f>
        <v>2.8545151856426153E-2</v>
      </c>
      <c r="Q62" s="109">
        <f>'3 Statement Model'!Q76/'3 Statement Model'!Q$83</f>
        <v>2.5207991180189161E-2</v>
      </c>
      <c r="R62" s="109">
        <f>'3 Statement Model'!R76/'3 Statement Model'!R$83</f>
        <v>2.2669796017838886E-2</v>
      </c>
      <c r="S62" s="109">
        <f>'3 Statement Model'!S76/'3 Statement Model'!S$83</f>
        <v>2.0635967753497894E-2</v>
      </c>
      <c r="T62" s="109">
        <f>'3 Statement Model'!T76/'3 Statement Model'!T$83</f>
        <v>1.9012505914058099E-2</v>
      </c>
      <c r="U62" s="109">
        <f>'3 Statement Model'!U76/'3 Statement Model'!U$83</f>
        <v>1.7741963174002538E-2</v>
      </c>
      <c r="V62" s="109">
        <f>'3 Statement Model'!V76/'3 Statement Model'!V$83</f>
        <v>1.662436456915772E-2</v>
      </c>
    </row>
    <row r="63" spans="2:22" ht="15" customHeight="1" outlineLevel="1">
      <c r="B63" s="2" t="s">
        <v>27</v>
      </c>
      <c r="C63" s="4"/>
      <c r="D63" s="389">
        <f>'3 Statement Model'!D77/'3 Statement Model'!D$83</f>
        <v>0.25928226363008972</v>
      </c>
      <c r="E63" s="389">
        <f>'3 Statement Model'!E77/'3 Statement Model'!E$83</f>
        <v>0.4074858757062147</v>
      </c>
      <c r="F63" s="389">
        <f>'3 Statement Model'!F77/'3 Statement Model'!F$83</f>
        <v>0.29440789473684209</v>
      </c>
      <c r="G63" s="389">
        <f>'3 Statement Model'!G77/'3 Statement Model'!G$83</f>
        <v>0.27236936292054403</v>
      </c>
      <c r="H63" s="389">
        <f>'3 Statement Model'!H77/'3 Statement Model'!H$83</f>
        <v>0.23972081218274113</v>
      </c>
      <c r="I63" s="389">
        <f>'3 Statement Model'!I77/'3 Statement Model'!I$83</f>
        <v>0.21106117649728653</v>
      </c>
      <c r="J63" s="389">
        <f>'3 Statement Model'!J77/'3 Statement Model'!J$83</f>
        <v>0.18627173346091416</v>
      </c>
      <c r="K63" s="389">
        <f>'3 Statement Model'!K77/'3 Statement Model'!K$83</f>
        <v>0.16275224280262554</v>
      </c>
      <c r="L63" s="389">
        <f>'3 Statement Model'!L77/'3 Statement Model'!L$83</f>
        <v>0.14091111178429794</v>
      </c>
      <c r="M63" s="389">
        <f>'3 Statement Model'!M77/'3 Statement Model'!M$83</f>
        <v>0.12279060931213176</v>
      </c>
      <c r="N63" s="389">
        <f>'3 Statement Model'!N77/'3 Statement Model'!N$83</f>
        <v>0.10647899232815558</v>
      </c>
      <c r="O63" s="389">
        <f>'3 Statement Model'!O77/'3 Statement Model'!O$83</f>
        <v>9.2273740508657234E-2</v>
      </c>
      <c r="P63" s="389">
        <f>'3 Statement Model'!P77/'3 Statement Model'!P$83</f>
        <v>8.0955862627088621E-2</v>
      </c>
      <c r="Q63" s="389">
        <f>'3 Statement Model'!Q77/'3 Statement Model'!Q$83</f>
        <v>7.1491463116138229E-2</v>
      </c>
      <c r="R63" s="389">
        <f>'3 Statement Model'!R77/'3 Statement Model'!R$83</f>
        <v>6.4292980518550966E-2</v>
      </c>
      <c r="S63" s="389">
        <f>'3 Statement Model'!S77/'3 Statement Model'!S$83</f>
        <v>5.8524914459444917E-2</v>
      </c>
      <c r="T63" s="389">
        <f>'3 Statement Model'!T77/'3 Statement Model'!T$83</f>
        <v>5.3920673630212093E-2</v>
      </c>
      <c r="U63" s="389">
        <f>'3 Statement Model'!U77/'3 Statement Model'!U$83</f>
        <v>5.0317333769099137E-2</v>
      </c>
      <c r="V63" s="389">
        <f>'3 Statement Model'!V77/'3 Statement Model'!V$83</f>
        <v>4.7147753183887621E-2</v>
      </c>
    </row>
    <row r="64" spans="2:22" ht="15" customHeight="1" outlineLevel="1">
      <c r="B64" s="6"/>
      <c r="C64" s="4"/>
      <c r="D64" s="109"/>
      <c r="E64" s="109"/>
      <c r="F64" s="109"/>
      <c r="G64" s="109"/>
      <c r="H64" s="109"/>
      <c r="I64" s="109"/>
      <c r="J64" s="109"/>
      <c r="K64" s="109"/>
      <c r="L64" s="109"/>
      <c r="M64" s="109"/>
      <c r="N64" s="109"/>
      <c r="O64" s="109"/>
      <c r="P64" s="109"/>
      <c r="Q64" s="109"/>
      <c r="R64" s="109"/>
      <c r="S64" s="109"/>
      <c r="T64" s="109"/>
      <c r="U64" s="109"/>
      <c r="V64" s="109"/>
    </row>
    <row r="65" spans="2:22" ht="15" customHeight="1" outlineLevel="1">
      <c r="B65" s="79" t="s">
        <v>28</v>
      </c>
      <c r="C65" s="4"/>
      <c r="D65" s="109">
        <f>'3 Statement Model'!D79/'3 Statement Model'!D$83</f>
        <v>0.17391304347826086</v>
      </c>
      <c r="E65" s="109">
        <f>'3 Statement Model'!E79/'3 Statement Model'!E$83</f>
        <v>1.977401129943503E-2</v>
      </c>
      <c r="F65" s="109">
        <f>'3 Statement Model'!F79/'3 Statement Model'!F$83</f>
        <v>1.7269736842105265E-2</v>
      </c>
      <c r="G65" s="109">
        <f>'3 Statement Model'!G79/'3 Statement Model'!G$83</f>
        <v>1.5032211882605583E-2</v>
      </c>
      <c r="H65" s="109">
        <f>'3 Statement Model'!H79/'3 Statement Model'!H$83</f>
        <v>1.3642131979695431E-2</v>
      </c>
      <c r="I65" s="109">
        <f>'3 Statement Model'!I79/'3 Statement Model'!I$83</f>
        <v>1.1800786130499591E-2</v>
      </c>
      <c r="J65" s="109">
        <f>'3 Statement Model'!J79/'3 Statement Model'!J$83</f>
        <v>1.017013947076028E-2</v>
      </c>
      <c r="K65" s="109">
        <f>'3 Statement Model'!K79/'3 Statement Model'!K$83</f>
        <v>8.6741211372707832E-3</v>
      </c>
      <c r="L65" s="109">
        <f>'3 Statement Model'!L79/'3 Statement Model'!L$83</f>
        <v>7.3283280392184447E-3</v>
      </c>
      <c r="M65" s="109">
        <f>'3 Statement Model'!M79/'3 Statement Model'!M$83</f>
        <v>6.2291690172437894E-3</v>
      </c>
      <c r="N65" s="109">
        <f>'3 Statement Model'!N79/'3 Statement Model'!N$83</f>
        <v>5.333593634311737E-3</v>
      </c>
      <c r="O65" s="109">
        <f>'3 Statement Model'!O79/'3 Statement Model'!O$83</f>
        <v>4.592521759897006E-3</v>
      </c>
      <c r="P65" s="109">
        <f>'3 Statement Model'!P79/'3 Statement Model'!P$83</f>
        <v>4.003397031397014E-3</v>
      </c>
      <c r="Q65" s="109">
        <f>'3 Statement Model'!Q79/'3 Statement Model'!Q$83</f>
        <v>3.5353673214224847E-3</v>
      </c>
      <c r="R65" s="109">
        <f>'3 Statement Model'!R79/'3 Statement Model'!R$83</f>
        <v>3.1793908309428313E-3</v>
      </c>
      <c r="S65" s="109">
        <f>'3 Statement Model'!S79/'3 Statement Model'!S$83</f>
        <v>2.8941507286379953E-3</v>
      </c>
      <c r="T65" s="109">
        <f>'3 Statement Model'!T79/'3 Statement Model'!T$83</f>
        <v>2.6664636474380242E-3</v>
      </c>
      <c r="U65" s="109">
        <f>'3 Statement Model'!U79/'3 Statement Model'!U$83</f>
        <v>2.4882727217289927E-3</v>
      </c>
      <c r="V65" s="109">
        <f>'3 Statement Model'!V79/'3 Statement Model'!V$83</f>
        <v>2.3315318867377101E-3</v>
      </c>
    </row>
    <row r="66" spans="2:22" ht="15" customHeight="1" outlineLevel="1">
      <c r="B66" s="100" t="s">
        <v>29</v>
      </c>
      <c r="C66" s="13"/>
      <c r="D66" s="109">
        <f>'3 Statement Model'!D80/'3 Statement Model'!D$83</f>
        <v>0.29813664596273293</v>
      </c>
      <c r="E66" s="109">
        <f>'3 Statement Model'!E80/'3 Statement Model'!E$83</f>
        <v>0.32203389830508472</v>
      </c>
      <c r="F66" s="109">
        <f>'3 Statement Model'!F80/'3 Statement Model'!F$83</f>
        <v>0.42269736842105265</v>
      </c>
      <c r="G66" s="109">
        <f>'3 Statement Model'!G80/'3 Statement Model'!G$83</f>
        <v>0.43414459556191842</v>
      </c>
      <c r="H66" s="109">
        <f>'3 Statement Model'!H80/'3 Statement Model'!H$83</f>
        <v>0.59041878172588835</v>
      </c>
      <c r="I66" s="109">
        <f>'3 Statement Model'!I80/'3 Statement Model'!I$83</f>
        <v>0.62125705862484726</v>
      </c>
      <c r="J66" s="109">
        <f>'3 Statement Model'!J80/'3 Statement Model'!J$83</f>
        <v>0.653704770775552</v>
      </c>
      <c r="K66" s="109">
        <f>'3 Statement Model'!K80/'3 Statement Model'!K$83</f>
        <v>0.68174154966043665</v>
      </c>
      <c r="L66" s="109">
        <f>'3 Statement Model'!L80/'3 Statement Model'!L$83</f>
        <v>0.70825296672451288</v>
      </c>
      <c r="M66" s="109">
        <f>'3 Statement Model'!M80/'3 Statement Model'!M$83</f>
        <v>0.73496749152081564</v>
      </c>
      <c r="N66" s="109">
        <f>'3 Statement Model'!N80/'3 Statement Model'!N$83</f>
        <v>0.76469078882848351</v>
      </c>
      <c r="O66" s="109">
        <f>'3 Statement Model'!O80/'3 Statement Model'!O$83</f>
        <v>0.78731278285301887</v>
      </c>
      <c r="P66" s="109">
        <f>'3 Statement Model'!P80/'3 Statement Model'!P$83</f>
        <v>0.8026255739527367</v>
      </c>
      <c r="Q66" s="109">
        <f>'3 Statement Model'!Q80/'3 Statement Model'!Q$83</f>
        <v>0.81985462248301377</v>
      </c>
      <c r="R66" s="109">
        <f>'3 Statement Model'!R80/'3 Statement Model'!R$83</f>
        <v>0.82845951876184021</v>
      </c>
      <c r="S66" s="109">
        <f>'3 Statement Model'!S80/'3 Statement Model'!S$83</f>
        <v>0.8353690808015436</v>
      </c>
      <c r="T66" s="109">
        <f>'3 Statement Model'!T80/'3 Statement Model'!T$83</f>
        <v>0.84266564368595598</v>
      </c>
      <c r="U66" s="109">
        <f>'3 Statement Model'!U80/'3 Statement Model'!U$83</f>
        <v>0.84731366920662232</v>
      </c>
      <c r="V66" s="109">
        <f>'3 Statement Model'!V80/'3 Statement Model'!V$83</f>
        <v>0.85322146055554515</v>
      </c>
    </row>
    <row r="67" spans="2:22" ht="15" customHeight="1" outlineLevel="1">
      <c r="B67" s="2" t="s">
        <v>30</v>
      </c>
      <c r="C67" s="4"/>
      <c r="D67" s="389">
        <f>'3 Statement Model'!D81/'3 Statement Model'!D$83</f>
        <v>0.47204968944099379</v>
      </c>
      <c r="E67" s="389">
        <f>'3 Statement Model'!E81/'3 Statement Model'!E$83</f>
        <v>0.34180790960451979</v>
      </c>
      <c r="F67" s="389">
        <f>'3 Statement Model'!F81/'3 Statement Model'!F$83</f>
        <v>0.43996710526315791</v>
      </c>
      <c r="G67" s="389">
        <f>'3 Statement Model'!G81/'3 Statement Model'!G$83</f>
        <v>0.44917680744452398</v>
      </c>
      <c r="H67" s="389">
        <f>'3 Statement Model'!H81/'3 Statement Model'!H$83</f>
        <v>0.60406091370558379</v>
      </c>
      <c r="I67" s="389">
        <f>'3 Statement Model'!I81/'3 Statement Model'!I$83</f>
        <v>0.63305784475534677</v>
      </c>
      <c r="J67" s="389">
        <f>'3 Statement Model'!J81/'3 Statement Model'!J$83</f>
        <v>0.66387491024631229</v>
      </c>
      <c r="K67" s="389">
        <f>'3 Statement Model'!K81/'3 Statement Model'!K$83</f>
        <v>0.69041567079770749</v>
      </c>
      <c r="L67" s="389">
        <f>'3 Statement Model'!L81/'3 Statement Model'!L$83</f>
        <v>0.71558129476373133</v>
      </c>
      <c r="M67" s="389">
        <f>'3 Statement Model'!M81/'3 Statement Model'!M$83</f>
        <v>0.74119666053805944</v>
      </c>
      <c r="N67" s="389">
        <f>'3 Statement Model'!N81/'3 Statement Model'!N$83</f>
        <v>0.77002438246279525</v>
      </c>
      <c r="O67" s="389">
        <f>'3 Statement Model'!O81/'3 Statement Model'!O$83</f>
        <v>0.79190530461291586</v>
      </c>
      <c r="P67" s="389">
        <f>'3 Statement Model'!P81/'3 Statement Model'!P$83</f>
        <v>0.80662897098413366</v>
      </c>
      <c r="Q67" s="389">
        <f>'3 Statement Model'!Q81/'3 Statement Model'!Q$83</f>
        <v>0.82338998980443623</v>
      </c>
      <c r="R67" s="389">
        <f>'3 Statement Model'!R81/'3 Statement Model'!R$83</f>
        <v>0.83163890959278297</v>
      </c>
      <c r="S67" s="389">
        <f>'3 Statement Model'!S81/'3 Statement Model'!S$83</f>
        <v>0.83826323153018156</v>
      </c>
      <c r="T67" s="389">
        <f>'3 Statement Model'!T81/'3 Statement Model'!T$83</f>
        <v>0.84533210733339403</v>
      </c>
      <c r="U67" s="389">
        <f>'3 Statement Model'!U81/'3 Statement Model'!U$83</f>
        <v>0.84980194192835135</v>
      </c>
      <c r="V67" s="389">
        <f>'3 Statement Model'!V81/'3 Statement Model'!V$83</f>
        <v>0.85555299244228278</v>
      </c>
    </row>
    <row r="68" spans="2:22" ht="15" customHeight="1" outlineLevel="1">
      <c r="B68" s="4"/>
      <c r="C68" s="4"/>
      <c r="D68" s="58"/>
      <c r="E68" s="58"/>
      <c r="F68" s="58"/>
      <c r="G68" s="58"/>
      <c r="H68" s="58"/>
    </row>
    <row r="69" spans="2:22" ht="15.75" customHeight="1" outlineLevel="1" thickBot="1">
      <c r="B69" s="24" t="s">
        <v>31</v>
      </c>
      <c r="C69" s="24"/>
      <c r="D69" s="388">
        <f>'3 Statement Model'!D83/'3 Statement Model'!D$83</f>
        <v>1</v>
      </c>
      <c r="E69" s="388">
        <f>'3 Statement Model'!E83/'3 Statement Model'!E$83</f>
        <v>1</v>
      </c>
      <c r="F69" s="388">
        <f>'3 Statement Model'!F83/'3 Statement Model'!F$83</f>
        <v>1</v>
      </c>
      <c r="G69" s="388">
        <f>'3 Statement Model'!G83/'3 Statement Model'!G$83</f>
        <v>1</v>
      </c>
      <c r="H69" s="388">
        <f>'3 Statement Model'!H83/'3 Statement Model'!H$83</f>
        <v>1</v>
      </c>
      <c r="I69" s="388">
        <f>'3 Statement Model'!I83/'3 Statement Model'!I$83</f>
        <v>1</v>
      </c>
      <c r="J69" s="388">
        <f>'3 Statement Model'!J83/'3 Statement Model'!J$83</f>
        <v>1</v>
      </c>
      <c r="K69" s="388">
        <f>'3 Statement Model'!K83/'3 Statement Model'!K$83</f>
        <v>1</v>
      </c>
      <c r="L69" s="388">
        <f>'3 Statement Model'!L83/'3 Statement Model'!L$83</f>
        <v>1</v>
      </c>
      <c r="M69" s="388">
        <f>'3 Statement Model'!M83/'3 Statement Model'!M$83</f>
        <v>1</v>
      </c>
      <c r="N69" s="388">
        <f>'3 Statement Model'!N83/'3 Statement Model'!N$83</f>
        <v>1</v>
      </c>
      <c r="O69" s="388">
        <f>'3 Statement Model'!O83/'3 Statement Model'!O$83</f>
        <v>1</v>
      </c>
      <c r="P69" s="388">
        <f>'3 Statement Model'!P83/'3 Statement Model'!P$83</f>
        <v>1</v>
      </c>
      <c r="Q69" s="388">
        <f>'3 Statement Model'!Q83/'3 Statement Model'!Q$83</f>
        <v>1</v>
      </c>
      <c r="R69" s="388">
        <f>'3 Statement Model'!R83/'3 Statement Model'!R$83</f>
        <v>1</v>
      </c>
      <c r="S69" s="388">
        <f>'3 Statement Model'!S83/'3 Statement Model'!S$83</f>
        <v>1</v>
      </c>
      <c r="T69" s="388">
        <f>'3 Statement Model'!T83/'3 Statement Model'!T$83</f>
        <v>1</v>
      </c>
      <c r="U69" s="388">
        <f>'3 Statement Model'!U83/'3 Statement Model'!U$83</f>
        <v>1</v>
      </c>
      <c r="V69" s="388">
        <f>'3 Statement Model'!V83/'3 Statement Model'!V$83</f>
        <v>1</v>
      </c>
    </row>
    <row r="71" spans="2:22">
      <c r="D71" s="58"/>
      <c r="E71" s="58"/>
      <c r="F71" s="58"/>
      <c r="G71" s="58"/>
      <c r="H71" s="58"/>
    </row>
  </sheetData>
  <mergeCells count="3">
    <mergeCell ref="D7:H7"/>
    <mergeCell ref="I7:P7"/>
    <mergeCell ref="Q7:V7"/>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3793" r:id="rId4" name="Drop Down 1">
              <controlPr defaultSize="0" autoLine="0" autoPict="0">
                <anchor moveWithCells="1">
                  <from>
                    <xdr:col>7</xdr:col>
                    <xdr:colOff>828675</xdr:colOff>
                    <xdr:row>2</xdr:row>
                    <xdr:rowOff>28575</xdr:rowOff>
                  </from>
                  <to>
                    <xdr:col>10</xdr:col>
                    <xdr:colOff>114300</xdr:colOff>
                    <xdr:row>3</xdr:row>
                    <xdr:rowOff>38100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D7694-F71B-40CC-BBD6-3F58919D5953}">
  <dimension ref="A2:W100"/>
  <sheetViews>
    <sheetView showGridLines="0" zoomScale="104" zoomScaleNormal="100" workbookViewId="0">
      <pane xSplit="2" ySplit="8" topLeftCell="E10" activePane="bottomRight" state="frozen"/>
      <selection activeCell="I6" sqref="I6"/>
      <selection pane="topRight" activeCell="I6" sqref="I6"/>
      <selection pane="bottomLeft" activeCell="I6" sqref="I6"/>
      <selection pane="bottomRight"/>
    </sheetView>
  </sheetViews>
  <sheetFormatPr defaultColWidth="9.7109375" defaultRowHeight="15" outlineLevelRow="1"/>
  <cols>
    <col min="1" max="1" width="1.85546875" customWidth="1"/>
    <col min="2" max="2" width="42.85546875" customWidth="1"/>
    <col min="3" max="3" width="10.140625" customWidth="1"/>
    <col min="4" max="22" width="10" customWidth="1"/>
  </cols>
  <sheetData>
    <row r="2" spans="1:23" ht="21">
      <c r="B2" s="29" t="str">
        <f>'Input Sheet'!C5</f>
        <v>Epigral Ltd.</v>
      </c>
      <c r="C2" s="29"/>
      <c r="D2" s="29"/>
    </row>
    <row r="3" spans="1:23">
      <c r="B3" t="s">
        <v>123</v>
      </c>
      <c r="F3" t="s">
        <v>39</v>
      </c>
      <c r="G3">
        <v>2</v>
      </c>
    </row>
    <row r="7" spans="1:23">
      <c r="D7" s="577" t="s">
        <v>91</v>
      </c>
      <c r="E7" s="577"/>
      <c r="F7" s="577"/>
      <c r="G7" s="577"/>
      <c r="H7" s="577"/>
      <c r="I7" s="584" t="s">
        <v>1123</v>
      </c>
      <c r="J7" s="584"/>
      <c r="K7" s="584"/>
      <c r="L7" s="584"/>
      <c r="M7" s="584"/>
      <c r="N7" s="584"/>
      <c r="O7" s="584"/>
      <c r="P7" s="584"/>
      <c r="Q7" s="585" t="str">
        <f>Schedules!Q7</f>
        <v>Terminal Value</v>
      </c>
      <c r="R7" s="585"/>
      <c r="S7" s="585"/>
      <c r="T7" s="585"/>
      <c r="U7" s="585"/>
      <c r="V7" s="585"/>
    </row>
    <row r="8" spans="1:23">
      <c r="B8" s="30" t="s">
        <v>34</v>
      </c>
      <c r="C8" s="30"/>
      <c r="D8" s="483">
        <f>Schedules!D8</f>
        <v>2021</v>
      </c>
      <c r="E8" s="483">
        <f>Schedules!E8</f>
        <v>2022</v>
      </c>
      <c r="F8" s="483">
        <f>Schedules!F8</f>
        <v>2023</v>
      </c>
      <c r="G8" s="483">
        <f>Schedules!G8</f>
        <v>2024</v>
      </c>
      <c r="H8" s="483">
        <f>Schedules!H8</f>
        <v>2025</v>
      </c>
      <c r="I8" s="483">
        <f>Schedules!I8</f>
        <v>2026</v>
      </c>
      <c r="J8" s="483">
        <f>Schedules!J8</f>
        <v>2027</v>
      </c>
      <c r="K8" s="483">
        <f>Schedules!K8</f>
        <v>2028</v>
      </c>
      <c r="L8" s="483">
        <f>Schedules!L8</f>
        <v>2029</v>
      </c>
      <c r="M8" s="483">
        <f>Schedules!M8</f>
        <v>2030</v>
      </c>
      <c r="N8" s="483">
        <f>Schedules!N8</f>
        <v>2031</v>
      </c>
      <c r="O8" s="483">
        <f>Schedules!O8</f>
        <v>2032</v>
      </c>
      <c r="P8" s="483">
        <f>Schedules!P8</f>
        <v>2033</v>
      </c>
      <c r="Q8" s="483">
        <f>Schedules!Q8</f>
        <v>2034</v>
      </c>
      <c r="R8" s="483">
        <f>Schedules!R8</f>
        <v>2035</v>
      </c>
      <c r="S8" s="483">
        <f>Schedules!S8</f>
        <v>2036</v>
      </c>
      <c r="T8" s="483">
        <f>Schedules!T8</f>
        <v>2037</v>
      </c>
      <c r="U8" s="483">
        <f>Schedules!U8</f>
        <v>2038</v>
      </c>
      <c r="V8" s="483">
        <f>Schedules!V8</f>
        <v>2039</v>
      </c>
      <c r="W8" s="75"/>
    </row>
    <row r="9" spans="1:23">
      <c r="B9" s="94"/>
      <c r="C9" s="94"/>
      <c r="D9" s="95"/>
      <c r="E9" s="95"/>
      <c r="F9" s="95"/>
      <c r="G9" s="95"/>
      <c r="H9" s="95"/>
      <c r="I9" s="96"/>
      <c r="J9" s="96"/>
      <c r="K9" s="96"/>
      <c r="L9" s="96"/>
      <c r="M9" s="96"/>
      <c r="N9" s="96"/>
      <c r="O9" s="96"/>
      <c r="P9" s="96"/>
    </row>
    <row r="10" spans="1:23" ht="15" customHeight="1">
      <c r="A10" t="s">
        <v>35</v>
      </c>
      <c r="B10" s="131" t="s">
        <v>124</v>
      </c>
      <c r="C10" s="141"/>
      <c r="D10" s="141">
        <v>2021</v>
      </c>
      <c r="E10" s="141">
        <v>2022</v>
      </c>
      <c r="F10" s="141">
        <v>2023</v>
      </c>
      <c r="G10" s="141">
        <v>2024</v>
      </c>
      <c r="H10" s="141">
        <v>2025</v>
      </c>
      <c r="I10" s="141">
        <v>2026</v>
      </c>
      <c r="J10" s="141">
        <v>2027</v>
      </c>
      <c r="K10" s="141">
        <v>2028</v>
      </c>
      <c r="L10" s="141">
        <v>2029</v>
      </c>
      <c r="M10" s="141">
        <v>2030</v>
      </c>
      <c r="N10" s="141">
        <v>2031</v>
      </c>
      <c r="O10" s="141">
        <v>2032</v>
      </c>
      <c r="P10" s="141">
        <v>2033</v>
      </c>
      <c r="Q10" s="141">
        <v>2034</v>
      </c>
      <c r="R10" s="141">
        <v>2035</v>
      </c>
      <c r="S10" s="141">
        <v>2036</v>
      </c>
      <c r="T10" s="141">
        <v>2037</v>
      </c>
      <c r="U10" s="141">
        <v>2038</v>
      </c>
      <c r="V10" s="141">
        <v>2039</v>
      </c>
    </row>
    <row r="11" spans="1:23" ht="15" customHeight="1" outlineLevel="1"/>
    <row r="12" spans="1:23" outlineLevel="1">
      <c r="B12" t="s">
        <v>125</v>
      </c>
      <c r="D12" s="83">
        <f>'3 Statement Model'!D56</f>
        <v>181.77600000000004</v>
      </c>
      <c r="E12" s="83">
        <f>'3 Statement Model'!E56</f>
        <v>447.226</v>
      </c>
      <c r="F12" s="83">
        <f>'3 Statement Model'!F56</f>
        <v>419.20100000000008</v>
      </c>
      <c r="G12" s="83">
        <f>'3 Statement Model'!G56</f>
        <v>500.76100000000008</v>
      </c>
      <c r="H12" s="83">
        <f>'3 Statement Model'!H56</f>
        <v>773.57100000000003</v>
      </c>
      <c r="I12" s="83">
        <f>'3 Statement Model'!I56</f>
        <v>980.02889765137218</v>
      </c>
      <c r="J12" s="83">
        <f>'3 Statement Model'!J56</f>
        <v>1171.757800968544</v>
      </c>
      <c r="K12" s="83">
        <f>'3 Statement Model'!K56</f>
        <v>1412.0298406243483</v>
      </c>
      <c r="L12" s="83">
        <f>'3 Statement Model'!L56</f>
        <v>1747.7436927015581</v>
      </c>
      <c r="M12" s="83">
        <f>'3 Statement Model'!M56</f>
        <v>2133.4570000223334</v>
      </c>
      <c r="N12" s="83">
        <f>'3 Statement Model'!N56</f>
        <v>2578.6175173347883</v>
      </c>
      <c r="O12" s="83">
        <f>'3 Statement Model'!O56</f>
        <v>3108.8186344143269</v>
      </c>
      <c r="P12" s="83">
        <f>'3 Statement Model'!P56</f>
        <v>3673.0520820025145</v>
      </c>
      <c r="Q12" s="83">
        <f>'3 Statement Model'!Q56</f>
        <v>4332.8149998399958</v>
      </c>
      <c r="R12" s="83">
        <f>'3 Statement Model'!R56</f>
        <v>4985.9258153304481</v>
      </c>
      <c r="S12" s="83">
        <f>'3 Statement Model'!S56</f>
        <v>5665.8184603672289</v>
      </c>
      <c r="T12" s="83">
        <f>'3 Statement Model'!T56</f>
        <v>6339.2848739390711</v>
      </c>
      <c r="U12" s="83">
        <f>'3 Statement Model'!U56</f>
        <v>6959.0776756205978</v>
      </c>
      <c r="V12" s="83">
        <f>'3 Statement Model'!V56</f>
        <v>7648.3512201235744</v>
      </c>
    </row>
    <row r="13" spans="1:23" outlineLevel="1">
      <c r="B13" t="s">
        <v>126</v>
      </c>
      <c r="D13" s="83">
        <f>'3 Statement Model'!D73</f>
        <v>389.3</v>
      </c>
      <c r="E13" s="83">
        <f>'3 Statement Model'!E73</f>
        <v>532.5</v>
      </c>
      <c r="F13" s="83">
        <f>'3 Statement Model'!F73</f>
        <v>646</v>
      </c>
      <c r="G13" s="83">
        <f>'3 Statement Model'!G73</f>
        <v>778</v>
      </c>
      <c r="H13" s="83">
        <f>'3 Statement Model'!H73</f>
        <v>492.4</v>
      </c>
      <c r="I13" s="83">
        <f>'3 Statement Model'!I73</f>
        <v>568.00301369863018</v>
      </c>
      <c r="J13" s="83">
        <f>'3 Statement Model'!J73</f>
        <v>633.58957260273974</v>
      </c>
      <c r="K13" s="83">
        <f>'3 Statement Model'!K73</f>
        <v>727.88696575342465</v>
      </c>
      <c r="L13" s="83">
        <f>'3 Statement Model'!L73</f>
        <v>842.05107705479452</v>
      </c>
      <c r="M13" s="83">
        <f>'3 Statement Model'!M73</f>
        <v>938.89688660744878</v>
      </c>
      <c r="N13" s="83">
        <f>'3 Statement Model'!N73</f>
        <v>995.64294696672732</v>
      </c>
      <c r="O13" s="83">
        <f>'3 Statement Model'!O73</f>
        <v>1084.4371175900637</v>
      </c>
      <c r="P13" s="83">
        <f>'3 Statement Model'!P73</f>
        <v>1207.4376128091965</v>
      </c>
      <c r="Q13" s="83">
        <f>'3 Statement Model'!Q73</f>
        <v>1278.5368855524182</v>
      </c>
      <c r="R13" s="83">
        <f>'3 Statement Model'!R73</f>
        <v>1407.479911453861</v>
      </c>
      <c r="S13" s="83">
        <f>'3 Statement Model'!S73</f>
        <v>1533.4756681918423</v>
      </c>
      <c r="T13" s="83">
        <f>'3 Statement Model'!T73</f>
        <v>1624.6725968783815</v>
      </c>
      <c r="U13" s="83">
        <f>'3 Statement Model'!U73</f>
        <v>1726.0451828709972</v>
      </c>
      <c r="V13" s="83">
        <f>'3 Statement Model'!V73</f>
        <v>1794.471678416013</v>
      </c>
    </row>
    <row r="14" spans="1:23" outlineLevel="1">
      <c r="B14" s="46" t="s">
        <v>127</v>
      </c>
      <c r="C14" s="46"/>
      <c r="D14" s="112">
        <f>D12/D13</f>
        <v>0.46693038787567437</v>
      </c>
      <c r="E14" s="112">
        <f t="shared" ref="E14:M14" si="0">E12/E13</f>
        <v>0.83986103286384972</v>
      </c>
      <c r="F14" s="112">
        <f t="shared" si="0"/>
        <v>0.64891795665634688</v>
      </c>
      <c r="G14" s="112">
        <f t="shared" si="0"/>
        <v>0.64365167095115694</v>
      </c>
      <c r="H14" s="112">
        <f t="shared" si="0"/>
        <v>1.5710215272136476</v>
      </c>
      <c r="I14" s="112">
        <f t="shared" si="0"/>
        <v>1.7253938342153829</v>
      </c>
      <c r="J14" s="112">
        <f t="shared" si="0"/>
        <v>1.8493956523858945</v>
      </c>
      <c r="K14" s="112">
        <f t="shared" si="0"/>
        <v>1.9399026319461261</v>
      </c>
      <c r="L14" s="112">
        <f t="shared" si="0"/>
        <v>2.0755791902963479</v>
      </c>
      <c r="M14" s="112">
        <f t="shared" si="0"/>
        <v>2.2723017090100632</v>
      </c>
      <c r="N14" s="112">
        <f>N12/N13</f>
        <v>2.5899018570770442</v>
      </c>
      <c r="O14" s="112">
        <f>O12/O13</f>
        <v>2.8667578635845947</v>
      </c>
      <c r="P14" s="112">
        <f>P12/P13</f>
        <v>3.0420222486335144</v>
      </c>
      <c r="Q14" s="112">
        <f t="shared" ref="Q14:V14" si="1">Q12/Q13</f>
        <v>3.3888854117555738</v>
      </c>
      <c r="R14" s="112">
        <f t="shared" si="1"/>
        <v>3.5424490074463799</v>
      </c>
      <c r="S14" s="112">
        <f t="shared" si="1"/>
        <v>3.6947560224727467</v>
      </c>
      <c r="T14" s="112">
        <f t="shared" si="1"/>
        <v>3.9018845311475472</v>
      </c>
      <c r="U14" s="112">
        <f t="shared" si="1"/>
        <v>4.0318050446659202</v>
      </c>
      <c r="V14" s="112">
        <f t="shared" si="1"/>
        <v>4.2621743837577881</v>
      </c>
    </row>
    <row r="15" spans="1:23" outlineLevel="1"/>
    <row r="16" spans="1:23" outlineLevel="1">
      <c r="B16" t="s">
        <v>125</v>
      </c>
      <c r="D16" s="88">
        <f t="shared" ref="D16:P16" si="2">D12</f>
        <v>181.77600000000004</v>
      </c>
      <c r="E16" s="88">
        <f t="shared" si="2"/>
        <v>447.226</v>
      </c>
      <c r="F16" s="88">
        <f t="shared" si="2"/>
        <v>419.20100000000008</v>
      </c>
      <c r="G16" s="88">
        <f t="shared" si="2"/>
        <v>500.76100000000008</v>
      </c>
      <c r="H16" s="88">
        <f t="shared" si="2"/>
        <v>773.57100000000003</v>
      </c>
      <c r="I16" s="88">
        <f t="shared" si="2"/>
        <v>980.02889765137218</v>
      </c>
      <c r="J16" s="88">
        <f t="shared" si="2"/>
        <v>1171.757800968544</v>
      </c>
      <c r="K16" s="88">
        <f t="shared" si="2"/>
        <v>1412.0298406243483</v>
      </c>
      <c r="L16" s="88">
        <f t="shared" si="2"/>
        <v>1747.7436927015581</v>
      </c>
      <c r="M16" s="88">
        <f t="shared" si="2"/>
        <v>2133.4570000223334</v>
      </c>
      <c r="N16" s="88">
        <f t="shared" si="2"/>
        <v>2578.6175173347883</v>
      </c>
      <c r="O16" s="88">
        <f t="shared" si="2"/>
        <v>3108.8186344143269</v>
      </c>
      <c r="P16" s="88">
        <f t="shared" si="2"/>
        <v>3673.0520820025145</v>
      </c>
      <c r="Q16" s="88">
        <f t="shared" ref="Q16:V16" si="3">Q12</f>
        <v>4332.8149998399958</v>
      </c>
      <c r="R16" s="88">
        <f t="shared" si="3"/>
        <v>4985.9258153304481</v>
      </c>
      <c r="S16" s="88">
        <f t="shared" si="3"/>
        <v>5665.8184603672289</v>
      </c>
      <c r="T16" s="88">
        <f t="shared" si="3"/>
        <v>6339.2848739390711</v>
      </c>
      <c r="U16" s="88">
        <f t="shared" si="3"/>
        <v>6959.0776756205978</v>
      </c>
      <c r="V16" s="88">
        <f t="shared" si="3"/>
        <v>7648.3512201235744</v>
      </c>
    </row>
    <row r="17" spans="1:22" outlineLevel="1">
      <c r="B17" t="s">
        <v>13</v>
      </c>
      <c r="D17" s="83">
        <f>'3 Statement Model'!D53</f>
        <v>54</v>
      </c>
      <c r="E17" s="83">
        <f>'3 Statement Model'!E53</f>
        <v>154</v>
      </c>
      <c r="F17" s="83">
        <f>'3 Statement Model'!F53</f>
        <v>212</v>
      </c>
      <c r="G17" s="83">
        <f>'3 Statement Model'!G53</f>
        <v>263</v>
      </c>
      <c r="H17" s="83">
        <f>'3 Statement Model'!H53</f>
        <v>388</v>
      </c>
      <c r="I17" s="83">
        <f>'3 Statement Model'!I53</f>
        <v>397.1013698630137</v>
      </c>
      <c r="J17" s="83">
        <f>'3 Statement Model'!J53</f>
        <v>484.46367123287666</v>
      </c>
      <c r="K17" s="83">
        <f>'3 Statement Model'!K53</f>
        <v>630.29712328767118</v>
      </c>
      <c r="L17" s="83">
        <f>'3 Statement Model'!L53</f>
        <v>818.76832191780829</v>
      </c>
      <c r="M17" s="83">
        <f>'3 Statement Model'!M53</f>
        <v>990.09173116438353</v>
      </c>
      <c r="N17" s="83">
        <f>'3 Statement Model'!N53</f>
        <v>1179.8275792615582</v>
      </c>
      <c r="O17" s="83">
        <f>'3 Statement Model'!O53</f>
        <v>1357.4378976886287</v>
      </c>
      <c r="P17" s="83">
        <f>'3 Statement Model'!P53</f>
        <v>1601.7767192725821</v>
      </c>
      <c r="Q17" s="83">
        <f>'3 Statement Model'!Q53</f>
        <v>1842.0432271634691</v>
      </c>
      <c r="R17" s="83">
        <f>'3 Statement Model'!R53</f>
        <v>2099.929278966355</v>
      </c>
      <c r="S17" s="83">
        <f>'3 Statement Model'!S53</f>
        <v>2351.9207924423176</v>
      </c>
      <c r="T17" s="83">
        <f>'3 Statement Model'!T53</f>
        <v>2587.1128716865496</v>
      </c>
      <c r="U17" s="83">
        <f>'3 Statement Model'!U53</f>
        <v>2794.0819014214744</v>
      </c>
      <c r="V17" s="83">
        <f>'3 Statement Model'!V53</f>
        <v>2933.7859964925478</v>
      </c>
    </row>
    <row r="18" spans="1:22" outlineLevel="1">
      <c r="B18" t="s">
        <v>126</v>
      </c>
      <c r="D18" s="82">
        <f>D13</f>
        <v>389.3</v>
      </c>
      <c r="E18" s="82">
        <f t="shared" ref="E18:P18" si="4">E13</f>
        <v>532.5</v>
      </c>
      <c r="F18" s="82">
        <f t="shared" si="4"/>
        <v>646</v>
      </c>
      <c r="G18" s="82">
        <f t="shared" si="4"/>
        <v>778</v>
      </c>
      <c r="H18" s="82">
        <f t="shared" si="4"/>
        <v>492.4</v>
      </c>
      <c r="I18" s="82">
        <f t="shared" si="4"/>
        <v>568.00301369863018</v>
      </c>
      <c r="J18" s="82">
        <f t="shared" si="4"/>
        <v>633.58957260273974</v>
      </c>
      <c r="K18" s="82">
        <f t="shared" si="4"/>
        <v>727.88696575342465</v>
      </c>
      <c r="L18" s="82">
        <f t="shared" si="4"/>
        <v>842.05107705479452</v>
      </c>
      <c r="M18" s="82">
        <f t="shared" si="4"/>
        <v>938.89688660744878</v>
      </c>
      <c r="N18" s="82">
        <f t="shared" si="4"/>
        <v>995.64294696672732</v>
      </c>
      <c r="O18" s="82">
        <f t="shared" si="4"/>
        <v>1084.4371175900637</v>
      </c>
      <c r="P18" s="82">
        <f t="shared" si="4"/>
        <v>1207.4376128091965</v>
      </c>
      <c r="Q18" s="82">
        <f t="shared" ref="Q18:V18" si="5">Q13</f>
        <v>1278.5368855524182</v>
      </c>
      <c r="R18" s="82">
        <f t="shared" si="5"/>
        <v>1407.479911453861</v>
      </c>
      <c r="S18" s="82">
        <f t="shared" si="5"/>
        <v>1533.4756681918423</v>
      </c>
      <c r="T18" s="82">
        <f t="shared" si="5"/>
        <v>1624.6725968783815</v>
      </c>
      <c r="U18" s="82">
        <f t="shared" si="5"/>
        <v>1726.0451828709972</v>
      </c>
      <c r="V18" s="82">
        <f t="shared" si="5"/>
        <v>1794.471678416013</v>
      </c>
    </row>
    <row r="19" spans="1:22" outlineLevel="1">
      <c r="B19" s="46" t="s">
        <v>128</v>
      </c>
      <c r="C19" s="46"/>
      <c r="D19" s="113">
        <f>(D16-D17)/D18</f>
        <v>0.32821988183919865</v>
      </c>
      <c r="E19" s="113">
        <f t="shared" ref="E19:P19" si="6">(E16-E17)/E18</f>
        <v>0.55065915492957751</v>
      </c>
      <c r="F19" s="113">
        <f t="shared" si="6"/>
        <v>0.32074458204334377</v>
      </c>
      <c r="G19" s="113">
        <f t="shared" si="6"/>
        <v>0.30560539845758367</v>
      </c>
      <c r="H19" s="113">
        <f t="shared" si="6"/>
        <v>0.78304427294882217</v>
      </c>
      <c r="I19" s="113">
        <f t="shared" si="6"/>
        <v>1.0262754135625889</v>
      </c>
      <c r="J19" s="113">
        <f t="shared" si="6"/>
        <v>1.0847623752902265</v>
      </c>
      <c r="K19" s="113">
        <f t="shared" si="6"/>
        <v>1.073975430412492</v>
      </c>
      <c r="L19" s="113">
        <f t="shared" si="6"/>
        <v>1.1032292411916229</v>
      </c>
      <c r="M19" s="113">
        <f t="shared" si="6"/>
        <v>1.2177751201085718</v>
      </c>
      <c r="N19" s="113">
        <f t="shared" si="6"/>
        <v>1.4049112107254</v>
      </c>
      <c r="O19" s="113">
        <f t="shared" si="6"/>
        <v>1.6150136400880284</v>
      </c>
      <c r="P19" s="113">
        <f t="shared" si="6"/>
        <v>1.7154305454432144</v>
      </c>
      <c r="Q19" s="113">
        <f t="shared" ref="Q19:V19" si="7">(Q16-Q17)/Q18</f>
        <v>1.9481422873461625</v>
      </c>
      <c r="R19" s="113">
        <f t="shared" si="7"/>
        <v>2.0504708542397552</v>
      </c>
      <c r="S19" s="113">
        <f t="shared" si="7"/>
        <v>2.161037006757601</v>
      </c>
      <c r="T19" s="113">
        <f t="shared" si="7"/>
        <v>2.3094942386926949</v>
      </c>
      <c r="U19" s="113">
        <f t="shared" si="7"/>
        <v>2.4130282425581271</v>
      </c>
      <c r="V19" s="113">
        <f t="shared" si="7"/>
        <v>2.6272720156790617</v>
      </c>
    </row>
    <row r="20" spans="1:22" outlineLevel="1"/>
    <row r="21" spans="1:22" outlineLevel="1">
      <c r="B21" t="s">
        <v>76</v>
      </c>
      <c r="D21" s="391">
        <f>'3 Statement Model'!D89</f>
        <v>51.194805194805191</v>
      </c>
      <c r="E21" s="391">
        <f>'3 Statement Model'!E89</f>
        <v>73.863337713534833</v>
      </c>
      <c r="F21" s="391">
        <f>'3 Statement Model'!F89</f>
        <v>69.399103139013448</v>
      </c>
      <c r="G21" s="391">
        <f>'3 Statement Model'!G89</f>
        <v>90.475966069745525</v>
      </c>
      <c r="H21" s="391">
        <f>'3 Statement Model'!H89</f>
        <v>104.6711012564671</v>
      </c>
      <c r="I21" s="391">
        <f>'3 Statement Model'!I89</f>
        <v>89.090909090909079</v>
      </c>
      <c r="J21" s="391">
        <f>'3 Statement Model'!J89</f>
        <v>90.073529411764696</v>
      </c>
      <c r="K21" s="391">
        <f>'3 Statement Model'!K89</f>
        <v>93.749999999999986</v>
      </c>
      <c r="L21" s="391">
        <f>'3 Statement Model'!L89</f>
        <v>98.29376854599407</v>
      </c>
      <c r="M21" s="391">
        <f>'3 Statement Model'!M89</f>
        <v>97.305389221556879</v>
      </c>
      <c r="N21" s="391">
        <f>'3 Statement Model'!N89</f>
        <v>96.299093655589104</v>
      </c>
      <c r="O21" s="391">
        <f>'3 Statement Model'!O89</f>
        <v>93.368902439024367</v>
      </c>
      <c r="P21" s="391">
        <f>'3 Statement Model'!P89</f>
        <v>94.230769230769255</v>
      </c>
      <c r="Q21" s="391">
        <f>'3 Statement Model'!Q89</f>
        <v>100</v>
      </c>
      <c r="R21" s="391">
        <f>'3 Statement Model'!R89</f>
        <v>100</v>
      </c>
      <c r="S21" s="391">
        <f>'3 Statement Model'!S89</f>
        <v>100.00000000000001</v>
      </c>
      <c r="T21" s="391">
        <f>'3 Statement Model'!T89</f>
        <v>102.08333333333333</v>
      </c>
      <c r="U21" s="391">
        <f>'3 Statement Model'!U89</f>
        <v>102.08333333333334</v>
      </c>
      <c r="V21" s="391">
        <f>'3 Statement Model'!V89</f>
        <v>102.08333333333334</v>
      </c>
    </row>
    <row r="22" spans="1:22" outlineLevel="1">
      <c r="B22" t="s">
        <v>129</v>
      </c>
      <c r="D22" s="391">
        <f>'3 Statement Model'!D88</f>
        <v>52.394451145958989</v>
      </c>
      <c r="E22" s="391">
        <f>'3 Statement Model'!E88</f>
        <v>60.245003223726627</v>
      </c>
      <c r="F22" s="391">
        <f>'3 Statement Model'!F88</f>
        <v>27.691956124314441</v>
      </c>
      <c r="G22" s="391">
        <f>'3 Statement Model'!G88</f>
        <v>33.869880767236914</v>
      </c>
      <c r="H22" s="391">
        <f>'3 Statement Model'!H88</f>
        <v>33.207843137254898</v>
      </c>
      <c r="I22" s="391">
        <f>'3 Statement Model'!I88</f>
        <v>35</v>
      </c>
      <c r="J22" s="391">
        <f>'3 Statement Model'!J88</f>
        <v>35</v>
      </c>
      <c r="K22" s="391">
        <f>'3 Statement Model'!K88</f>
        <v>35</v>
      </c>
      <c r="L22" s="391">
        <f>'3 Statement Model'!L88</f>
        <v>35</v>
      </c>
      <c r="M22" s="391">
        <f>'3 Statement Model'!M88</f>
        <v>35</v>
      </c>
      <c r="N22" s="391">
        <f>'3 Statement Model'!N88</f>
        <v>35</v>
      </c>
      <c r="O22" s="391">
        <f>'3 Statement Model'!O88</f>
        <v>35</v>
      </c>
      <c r="P22" s="391">
        <f>'3 Statement Model'!P88</f>
        <v>35</v>
      </c>
      <c r="Q22" s="391">
        <f>'3 Statement Model'!Q88</f>
        <v>35</v>
      </c>
      <c r="R22" s="391">
        <f>'3 Statement Model'!R88</f>
        <v>35</v>
      </c>
      <c r="S22" s="391">
        <f>'3 Statement Model'!S88</f>
        <v>35</v>
      </c>
      <c r="T22" s="391">
        <f>'3 Statement Model'!T88</f>
        <v>35</v>
      </c>
      <c r="U22" s="391">
        <f>'3 Statement Model'!U88</f>
        <v>35</v>
      </c>
      <c r="V22" s="391">
        <f>'3 Statement Model'!V88</f>
        <v>35</v>
      </c>
    </row>
    <row r="23" spans="1:22" outlineLevel="1">
      <c r="B23" t="s">
        <v>79</v>
      </c>
      <c r="D23" s="391">
        <f>'3 Statement Model'!D90</f>
        <v>69.20779220779221</v>
      </c>
      <c r="E23" s="391">
        <f>'3 Statement Model'!E90</f>
        <v>42.207621550591327</v>
      </c>
      <c r="F23" s="391">
        <f>'3 Statement Model'!F90</f>
        <v>36.00896860986547</v>
      </c>
      <c r="G23" s="391">
        <f>'3 Statement Model'!G90</f>
        <v>63.298774740810558</v>
      </c>
      <c r="H23" s="391">
        <f>'3 Statement Model'!H90</f>
        <v>50.17738359201774</v>
      </c>
      <c r="I23" s="391">
        <f>'3 Statement Model'!I90</f>
        <v>50</v>
      </c>
      <c r="J23" s="391">
        <f>'3 Statement Model'!J90</f>
        <v>50</v>
      </c>
      <c r="K23" s="391">
        <f>'3 Statement Model'!K90</f>
        <v>50</v>
      </c>
      <c r="L23" s="391">
        <f>'3 Statement Model'!L90</f>
        <v>50</v>
      </c>
      <c r="M23" s="391">
        <f>'3 Statement Model'!M90</f>
        <v>50.000000000000007</v>
      </c>
      <c r="N23" s="391">
        <f>'3 Statement Model'!N90</f>
        <v>50</v>
      </c>
      <c r="O23" s="391">
        <f>'3 Statement Model'!O90</f>
        <v>50</v>
      </c>
      <c r="P23" s="391">
        <f>'3 Statement Model'!P90</f>
        <v>50.000000000000007</v>
      </c>
      <c r="Q23" s="391">
        <f>'3 Statement Model'!Q90</f>
        <v>50</v>
      </c>
      <c r="R23" s="391">
        <f>'3 Statement Model'!R90</f>
        <v>50</v>
      </c>
      <c r="S23" s="391">
        <f>'3 Statement Model'!S90</f>
        <v>50.000000000000007</v>
      </c>
      <c r="T23" s="391">
        <f>'3 Statement Model'!T90</f>
        <v>50.000000000000007</v>
      </c>
      <c r="U23" s="391">
        <f>'3 Statement Model'!U90</f>
        <v>50</v>
      </c>
      <c r="V23" s="391">
        <f>'3 Statement Model'!V90</f>
        <v>50.000000000000007</v>
      </c>
    </row>
    <row r="24" spans="1:22" outlineLevel="1">
      <c r="B24" s="46" t="s">
        <v>130</v>
      </c>
      <c r="C24" s="46"/>
      <c r="D24" s="392">
        <f>D21+D22-D23</f>
        <v>34.381464132971971</v>
      </c>
      <c r="E24" s="392">
        <f t="shared" ref="E24:P24" si="8">E21+E22-E23</f>
        <v>91.900719386670133</v>
      </c>
      <c r="F24" s="392">
        <f t="shared" si="8"/>
        <v>61.082090653462423</v>
      </c>
      <c r="G24" s="392">
        <f t="shared" si="8"/>
        <v>61.047072096171888</v>
      </c>
      <c r="H24" s="392">
        <f t="shared" si="8"/>
        <v>87.701560801704261</v>
      </c>
      <c r="I24" s="392">
        <f t="shared" si="8"/>
        <v>74.090909090909079</v>
      </c>
      <c r="J24" s="392">
        <f t="shared" si="8"/>
        <v>75.073529411764696</v>
      </c>
      <c r="K24" s="392">
        <f t="shared" si="8"/>
        <v>78.75</v>
      </c>
      <c r="L24" s="392">
        <f t="shared" si="8"/>
        <v>83.293768545994055</v>
      </c>
      <c r="M24" s="392">
        <f t="shared" si="8"/>
        <v>82.305389221556879</v>
      </c>
      <c r="N24" s="392">
        <f t="shared" si="8"/>
        <v>81.299093655589104</v>
      </c>
      <c r="O24" s="392">
        <f t="shared" si="8"/>
        <v>78.368902439024367</v>
      </c>
      <c r="P24" s="392">
        <f t="shared" si="8"/>
        <v>79.230769230769255</v>
      </c>
      <c r="Q24" s="392">
        <f t="shared" ref="Q24:V24" si="9">Q21+Q22-Q23</f>
        <v>85</v>
      </c>
      <c r="R24" s="392">
        <f t="shared" si="9"/>
        <v>85</v>
      </c>
      <c r="S24" s="392">
        <f t="shared" si="9"/>
        <v>85</v>
      </c>
      <c r="T24" s="392">
        <f t="shared" si="9"/>
        <v>87.083333333333314</v>
      </c>
      <c r="U24" s="392">
        <f t="shared" si="9"/>
        <v>87.083333333333343</v>
      </c>
      <c r="V24" s="392">
        <f t="shared" si="9"/>
        <v>87.083333333333343</v>
      </c>
    </row>
    <row r="26" spans="1:22" ht="15" customHeight="1">
      <c r="A26" t="s">
        <v>35</v>
      </c>
      <c r="B26" s="131" t="s">
        <v>131</v>
      </c>
      <c r="C26" s="131"/>
      <c r="D26" s="131"/>
      <c r="E26" s="131"/>
      <c r="F26" s="131"/>
      <c r="G26" s="131"/>
      <c r="H26" s="131"/>
      <c r="I26" s="131"/>
      <c r="J26" s="131"/>
      <c r="K26" s="131"/>
      <c r="L26" s="131"/>
      <c r="M26" s="131"/>
      <c r="N26" s="131"/>
      <c r="O26" s="131"/>
      <c r="P26" s="131"/>
      <c r="Q26" s="131"/>
      <c r="R26" s="131"/>
      <c r="S26" s="131"/>
      <c r="T26" s="131"/>
      <c r="U26" s="131"/>
      <c r="V26" s="131"/>
    </row>
    <row r="27" spans="1:22" outlineLevel="1"/>
    <row r="28" spans="1:22" outlineLevel="1">
      <c r="B28" t="s">
        <v>132</v>
      </c>
      <c r="D28" s="83">
        <f>SUM('3 Statement Model'!D75,'3 Statement Model'!D72)</f>
        <v>415</v>
      </c>
      <c r="E28" s="83">
        <f>SUM('3 Statement Model'!E75,'3 Statement Model'!E72)</f>
        <v>848</v>
      </c>
      <c r="F28" s="83">
        <f>SUM('3 Statement Model'!F75,'3 Statement Model'!F72)</f>
        <v>637</v>
      </c>
      <c r="G28" s="83">
        <f>SUM('3 Statement Model'!G75,'3 Statement Model'!G72)</f>
        <v>768</v>
      </c>
      <c r="H28" s="83">
        <f>SUM('3 Statement Model'!H75,'3 Statement Model'!H72)</f>
        <v>499</v>
      </c>
      <c r="I28" s="83">
        <f>SUM('3 Statement Model'!I75,'3 Statement Model'!I72)</f>
        <v>551.21</v>
      </c>
      <c r="J28" s="83">
        <f>SUM('3 Statement Model'!J75,'3 Statement Model'!J72)</f>
        <v>589.23160000000007</v>
      </c>
      <c r="K28" s="83">
        <f>SUM('3 Statement Model'!K75,'3 Statement Model'!K72)</f>
        <v>635.53605200000004</v>
      </c>
      <c r="L28" s="83">
        <f>SUM('3 Statement Model'!L75,'3 Statement Model'!L72)</f>
        <v>689.37647908000008</v>
      </c>
      <c r="M28" s="83">
        <f>SUM('3 Statement Model'!M75,'3 Statement Model'!M72)</f>
        <v>714.76654683695017</v>
      </c>
      <c r="N28" s="83">
        <f>SUM('3 Statement Model'!N75,'3 Statement Model'!N72)</f>
        <v>678.50293872290786</v>
      </c>
      <c r="O28" s="83">
        <f>SUM('3 Statement Model'!O75,'3 Statement Model'!O72)</f>
        <v>658.47869975882838</v>
      </c>
      <c r="P28" s="83">
        <f>SUM('3 Statement Model'!P75,'3 Statement Model'!P72)</f>
        <v>664.05233403670979</v>
      </c>
      <c r="Q28" s="83">
        <f>SUM('3 Statement Model'!Q75,'3 Statement Model'!Q72)</f>
        <v>664.05233403670979</v>
      </c>
      <c r="R28" s="83">
        <f>SUM('3 Statement Model'!R75,'3 Statement Model'!R72)</f>
        <v>664.05233403670979</v>
      </c>
      <c r="S28" s="83">
        <f>SUM('3 Statement Model'!S75,'3 Statement Model'!S72)</f>
        <v>664.05233403670979</v>
      </c>
      <c r="T28" s="83">
        <f>SUM('3 Statement Model'!T75,'3 Statement Model'!T72)</f>
        <v>664.05233403670979</v>
      </c>
      <c r="U28" s="83">
        <f>SUM('3 Statement Model'!U75,'3 Statement Model'!U72)</f>
        <v>664.05233403670979</v>
      </c>
      <c r="V28" s="83">
        <f>SUM('3 Statement Model'!V75,'3 Statement Model'!V72)</f>
        <v>664.05233403670979</v>
      </c>
    </row>
    <row r="29" spans="1:22" outlineLevel="1">
      <c r="B29" t="s">
        <v>133</v>
      </c>
      <c r="D29" s="83">
        <f>'3 Statement Model'!D81</f>
        <v>684</v>
      </c>
      <c r="E29" s="83">
        <f>'3 Statement Model'!E81</f>
        <v>726</v>
      </c>
      <c r="F29" s="83">
        <f>'3 Statement Model'!F81</f>
        <v>1070</v>
      </c>
      <c r="G29" s="83">
        <f>'3 Statement Model'!G81</f>
        <v>1255</v>
      </c>
      <c r="H29" s="83">
        <f>'3 Statement Model'!H81</f>
        <v>1904</v>
      </c>
      <c r="I29" s="83">
        <f>'3 Statement Model'!I81</f>
        <v>2306.7520268098851</v>
      </c>
      <c r="J29" s="83">
        <f>'3 Statement Model'!J81</f>
        <v>2806.9055712229474</v>
      </c>
      <c r="K29" s="83">
        <f>'3 Statement Model'!K81</f>
        <v>3422.5800371566384</v>
      </c>
      <c r="L29" s="83">
        <f>'3 Statement Model'!L81</f>
        <v>4198.7743329953364</v>
      </c>
      <c r="M29" s="83">
        <f>'3 Statement Model'!M81</f>
        <v>5116.486053743115</v>
      </c>
      <c r="N29" s="83">
        <f>'3 Statement Model'!N81</f>
        <v>6208.0185923599984</v>
      </c>
      <c r="O29" s="83">
        <f>'3 Statement Model'!O81</f>
        <v>7414.6470890361215</v>
      </c>
      <c r="P29" s="83">
        <f>'3 Statement Model'!P81</f>
        <v>8663.9035499844376</v>
      </c>
      <c r="Q29" s="83">
        <f>'3 Statement Model'!Q81</f>
        <v>10014.735766507269</v>
      </c>
      <c r="R29" s="83">
        <f>'3 Statement Model'!R81</f>
        <v>11247.586413239134</v>
      </c>
      <c r="S29" s="83">
        <f>'3 Statement Model'!S81</f>
        <v>12454.541015823648</v>
      </c>
      <c r="T29" s="83">
        <f>'3 Statement Model'!T81</f>
        <v>13632.018066423236</v>
      </c>
      <c r="U29" s="83">
        <f>'3 Statement Model'!U81</f>
        <v>14685.481693312146</v>
      </c>
      <c r="V29" s="83">
        <f>'3 Statement Model'!V81</f>
        <v>15778.801432775248</v>
      </c>
    </row>
    <row r="30" spans="1:22" outlineLevel="1">
      <c r="B30" s="46" t="s">
        <v>134</v>
      </c>
      <c r="C30" s="46"/>
      <c r="D30" s="112">
        <f>D28/D29</f>
        <v>0.60672514619883045</v>
      </c>
      <c r="E30" s="112">
        <f t="shared" ref="E30:P30" si="10">E28/E29</f>
        <v>1.1680440771349863</v>
      </c>
      <c r="F30" s="112">
        <f t="shared" si="10"/>
        <v>0.59532710280373835</v>
      </c>
      <c r="G30" s="112">
        <f t="shared" si="10"/>
        <v>0.61195219123505973</v>
      </c>
      <c r="H30" s="112">
        <f t="shared" si="10"/>
        <v>0.26207983193277312</v>
      </c>
      <c r="I30" s="112">
        <f t="shared" si="10"/>
        <v>0.23895503010017685</v>
      </c>
      <c r="J30" s="112">
        <f t="shared" si="10"/>
        <v>0.20992213134668308</v>
      </c>
      <c r="K30" s="112">
        <f t="shared" si="10"/>
        <v>0.18568917164840987</v>
      </c>
      <c r="L30" s="112">
        <f t="shared" si="10"/>
        <v>0.16418517033950961</v>
      </c>
      <c r="M30" s="112">
        <f t="shared" si="10"/>
        <v>0.13969871887250465</v>
      </c>
      <c r="N30" s="112">
        <f t="shared" si="10"/>
        <v>0.10929460481286554</v>
      </c>
      <c r="O30" s="112">
        <f t="shared" si="10"/>
        <v>8.8807827513801244E-2</v>
      </c>
      <c r="P30" s="112">
        <f t="shared" si="10"/>
        <v>7.6645859479576334E-2</v>
      </c>
      <c r="Q30" s="112">
        <f t="shared" ref="Q30:V30" si="11">Q28/Q29</f>
        <v>6.630752418426554E-2</v>
      </c>
      <c r="R30" s="112">
        <f t="shared" si="11"/>
        <v>5.9039540541344707E-2</v>
      </c>
      <c r="S30" s="112">
        <f t="shared" si="11"/>
        <v>5.3318089618318583E-2</v>
      </c>
      <c r="T30" s="112">
        <f t="shared" si="11"/>
        <v>4.8712694686953537E-2</v>
      </c>
      <c r="U30" s="112">
        <f t="shared" si="11"/>
        <v>4.5218287551243422E-2</v>
      </c>
      <c r="V30" s="112">
        <f t="shared" si="11"/>
        <v>4.2085093526645211E-2</v>
      </c>
    </row>
    <row r="31" spans="1:22" outlineLevel="1"/>
    <row r="32" spans="1:22" outlineLevel="1">
      <c r="B32" t="s">
        <v>132</v>
      </c>
      <c r="D32" s="82">
        <f>D28</f>
        <v>415</v>
      </c>
      <c r="E32" s="82">
        <f t="shared" ref="E32:P32" si="12">E28</f>
        <v>848</v>
      </c>
      <c r="F32" s="82">
        <f t="shared" si="12"/>
        <v>637</v>
      </c>
      <c r="G32" s="82">
        <f t="shared" si="12"/>
        <v>768</v>
      </c>
      <c r="H32" s="82">
        <f t="shared" si="12"/>
        <v>499</v>
      </c>
      <c r="I32" s="82">
        <f t="shared" si="12"/>
        <v>551.21</v>
      </c>
      <c r="J32" s="82">
        <f t="shared" si="12"/>
        <v>589.23160000000007</v>
      </c>
      <c r="K32" s="82">
        <f t="shared" si="12"/>
        <v>635.53605200000004</v>
      </c>
      <c r="L32" s="82">
        <f t="shared" si="12"/>
        <v>689.37647908000008</v>
      </c>
      <c r="M32" s="82">
        <f t="shared" si="12"/>
        <v>714.76654683695017</v>
      </c>
      <c r="N32" s="82">
        <f t="shared" si="12"/>
        <v>678.50293872290786</v>
      </c>
      <c r="O32" s="82">
        <f t="shared" si="12"/>
        <v>658.47869975882838</v>
      </c>
      <c r="P32" s="82">
        <f t="shared" si="12"/>
        <v>664.05233403670979</v>
      </c>
      <c r="Q32" s="82">
        <f t="shared" ref="Q32:V32" si="13">Q28</f>
        <v>664.05233403670979</v>
      </c>
      <c r="R32" s="82">
        <f t="shared" si="13"/>
        <v>664.05233403670979</v>
      </c>
      <c r="S32" s="82">
        <f t="shared" si="13"/>
        <v>664.05233403670979</v>
      </c>
      <c r="T32" s="82">
        <f t="shared" si="13"/>
        <v>664.05233403670979</v>
      </c>
      <c r="U32" s="82">
        <f t="shared" si="13"/>
        <v>664.05233403670979</v>
      </c>
      <c r="V32" s="82">
        <f t="shared" si="13"/>
        <v>664.05233403670979</v>
      </c>
    </row>
    <row r="33" spans="1:22" outlineLevel="1">
      <c r="B33" t="s">
        <v>20</v>
      </c>
      <c r="D33" s="83">
        <f>'3 Statement Model'!D64</f>
        <v>1448.9760000000001</v>
      </c>
      <c r="E33" s="83">
        <f>'3 Statement Model'!E64</f>
        <v>2124.0259999999998</v>
      </c>
      <c r="F33" s="83">
        <f>'3 Statement Model'!F64</f>
        <v>2432.201</v>
      </c>
      <c r="G33" s="83">
        <f>'3 Statement Model'!G64</f>
        <v>2793.9609999999998</v>
      </c>
      <c r="H33" s="83">
        <f>'3 Statement Model'!H64</f>
        <v>3151.9609999999998</v>
      </c>
      <c r="I33" s="83">
        <f>'3 Statement Model'!I64</f>
        <v>3643.5560405085148</v>
      </c>
      <c r="J33" s="83">
        <f>'3 Statement Model'!J64</f>
        <v>4227.9549438256872</v>
      </c>
      <c r="K33" s="83">
        <f>'3 Statement Model'!K64</f>
        <v>4957.3255549100622</v>
      </c>
      <c r="L33" s="83">
        <f>'3 Statement Model'!L64</f>
        <v>5867.8522641301288</v>
      </c>
      <c r="M33" s="83">
        <f>'3 Statement Model'!M64</f>
        <v>6903.3784285937618</v>
      </c>
      <c r="N33" s="83">
        <f>'3 Statement Model'!N64</f>
        <v>8062.4075173347883</v>
      </c>
      <c r="O33" s="83">
        <f>'3 Statement Model'!O64</f>
        <v>9362.5086344143274</v>
      </c>
      <c r="P33" s="83">
        <f>'3 Statement Model'!P64</f>
        <v>10740.269224859658</v>
      </c>
      <c r="Q33" s="83">
        <f>'3 Statement Model'!Q64</f>
        <v>12162.130714125709</v>
      </c>
      <c r="R33" s="83">
        <f>'3 Statement Model'!R64</f>
        <v>13523.85438675902</v>
      </c>
      <c r="S33" s="83">
        <f>'3 Statement Model'!S64</f>
        <v>14856.734746081514</v>
      </c>
      <c r="T33" s="83">
        <f>'3 Statement Model'!T64</f>
        <v>16125.338725367645</v>
      </c>
      <c r="U33" s="83">
        <f>'3 Statement Model'!U64</f>
        <v>17280.104938249169</v>
      </c>
      <c r="V33" s="83">
        <f>'3 Statement Model'!V64</f>
        <v>18441.781173257292</v>
      </c>
    </row>
    <row r="34" spans="1:22" outlineLevel="1">
      <c r="B34" s="46" t="s">
        <v>135</v>
      </c>
      <c r="C34" s="46"/>
      <c r="D34" s="112">
        <f>D32/D33</f>
        <v>0.28640916067622924</v>
      </c>
      <c r="E34" s="112">
        <f t="shared" ref="E34:O34" si="14">E32/E33</f>
        <v>0.39924181719056173</v>
      </c>
      <c r="F34" s="112">
        <f t="shared" si="14"/>
        <v>0.26190269636432184</v>
      </c>
      <c r="G34" s="112">
        <f t="shared" si="14"/>
        <v>0.27487856845532205</v>
      </c>
      <c r="H34" s="112">
        <f t="shared" si="14"/>
        <v>0.15831414157725937</v>
      </c>
      <c r="I34" s="112">
        <f t="shared" si="14"/>
        <v>0.15128352463135716</v>
      </c>
      <c r="J34" s="112">
        <f t="shared" si="14"/>
        <v>0.13936562896926966</v>
      </c>
      <c r="K34" s="112">
        <f t="shared" si="14"/>
        <v>0.12820139507895001</v>
      </c>
      <c r="L34" s="112">
        <f t="shared" si="14"/>
        <v>0.11748361206946571</v>
      </c>
      <c r="M34" s="112">
        <f t="shared" si="14"/>
        <v>0.10353865925651567</v>
      </c>
      <c r="N34" s="112">
        <f t="shared" si="14"/>
        <v>8.41563685864396E-2</v>
      </c>
      <c r="O34" s="112">
        <f t="shared" si="14"/>
        <v>7.0331438449991832E-2</v>
      </c>
      <c r="P34" s="112">
        <f>P32/P33</f>
        <v>6.1828276380603196E-2</v>
      </c>
      <c r="Q34" s="112">
        <f t="shared" ref="Q34:V34" si="15">Q32/Q33</f>
        <v>5.4599999757069383E-2</v>
      </c>
      <c r="R34" s="112">
        <f t="shared" si="15"/>
        <v>4.9102298431050274E-2</v>
      </c>
      <c r="S34" s="112">
        <f t="shared" si="15"/>
        <v>4.4697057959647193E-2</v>
      </c>
      <c r="T34" s="112">
        <f t="shared" si="15"/>
        <v>4.1180675044800955E-2</v>
      </c>
      <c r="U34" s="112">
        <f t="shared" si="15"/>
        <v>3.8428721145485824E-2</v>
      </c>
      <c r="V34" s="112">
        <f t="shared" si="15"/>
        <v>3.600803673994691E-2</v>
      </c>
    </row>
    <row r="35" spans="1:22" outlineLevel="1"/>
    <row r="36" spans="1:22" outlineLevel="1">
      <c r="B36" t="s">
        <v>133</v>
      </c>
      <c r="D36" s="82">
        <f>D29</f>
        <v>684</v>
      </c>
      <c r="E36" s="82">
        <f t="shared" ref="E36:P36" si="16">E29</f>
        <v>726</v>
      </c>
      <c r="F36" s="82">
        <f t="shared" si="16"/>
        <v>1070</v>
      </c>
      <c r="G36" s="82">
        <f t="shared" si="16"/>
        <v>1255</v>
      </c>
      <c r="H36" s="82">
        <f t="shared" si="16"/>
        <v>1904</v>
      </c>
      <c r="I36" s="82">
        <f t="shared" si="16"/>
        <v>2306.7520268098851</v>
      </c>
      <c r="J36" s="82">
        <f t="shared" si="16"/>
        <v>2806.9055712229474</v>
      </c>
      <c r="K36" s="82">
        <f t="shared" si="16"/>
        <v>3422.5800371566384</v>
      </c>
      <c r="L36" s="82">
        <f t="shared" si="16"/>
        <v>4198.7743329953364</v>
      </c>
      <c r="M36" s="82">
        <f t="shared" si="16"/>
        <v>5116.486053743115</v>
      </c>
      <c r="N36" s="82">
        <f t="shared" si="16"/>
        <v>6208.0185923599984</v>
      </c>
      <c r="O36" s="82">
        <f t="shared" si="16"/>
        <v>7414.6470890361215</v>
      </c>
      <c r="P36" s="82">
        <f t="shared" si="16"/>
        <v>8663.9035499844376</v>
      </c>
      <c r="Q36" s="82">
        <f t="shared" ref="Q36:V36" si="17">Q29</f>
        <v>10014.735766507269</v>
      </c>
      <c r="R36" s="82">
        <f t="shared" si="17"/>
        <v>11247.586413239134</v>
      </c>
      <c r="S36" s="82">
        <f t="shared" si="17"/>
        <v>12454.541015823648</v>
      </c>
      <c r="T36" s="82">
        <f t="shared" si="17"/>
        <v>13632.018066423236</v>
      </c>
      <c r="U36" s="82">
        <f t="shared" si="17"/>
        <v>14685.481693312146</v>
      </c>
      <c r="V36" s="82">
        <f t="shared" si="17"/>
        <v>15778.801432775248</v>
      </c>
    </row>
    <row r="37" spans="1:22" outlineLevel="1">
      <c r="B37" t="s">
        <v>20</v>
      </c>
      <c r="D37" s="82">
        <f>D33</f>
        <v>1448.9760000000001</v>
      </c>
      <c r="E37" s="82">
        <f t="shared" ref="E37:P37" si="18">E33</f>
        <v>2124.0259999999998</v>
      </c>
      <c r="F37" s="82">
        <f t="shared" si="18"/>
        <v>2432.201</v>
      </c>
      <c r="G37" s="82">
        <f t="shared" si="18"/>
        <v>2793.9609999999998</v>
      </c>
      <c r="H37" s="82">
        <f t="shared" si="18"/>
        <v>3151.9609999999998</v>
      </c>
      <c r="I37" s="82">
        <f t="shared" si="18"/>
        <v>3643.5560405085148</v>
      </c>
      <c r="J37" s="82">
        <f t="shared" si="18"/>
        <v>4227.9549438256872</v>
      </c>
      <c r="K37" s="82">
        <f t="shared" si="18"/>
        <v>4957.3255549100622</v>
      </c>
      <c r="L37" s="82">
        <f t="shared" si="18"/>
        <v>5867.8522641301288</v>
      </c>
      <c r="M37" s="82">
        <f t="shared" si="18"/>
        <v>6903.3784285937618</v>
      </c>
      <c r="N37" s="82">
        <f t="shared" si="18"/>
        <v>8062.4075173347883</v>
      </c>
      <c r="O37" s="82">
        <f t="shared" si="18"/>
        <v>9362.5086344143274</v>
      </c>
      <c r="P37" s="82">
        <f t="shared" si="18"/>
        <v>10740.269224859658</v>
      </c>
      <c r="Q37" s="82">
        <f t="shared" ref="Q37:V37" si="19">Q33</f>
        <v>12162.130714125709</v>
      </c>
      <c r="R37" s="82">
        <f t="shared" si="19"/>
        <v>13523.85438675902</v>
      </c>
      <c r="S37" s="82">
        <f t="shared" si="19"/>
        <v>14856.734746081514</v>
      </c>
      <c r="T37" s="82">
        <f t="shared" si="19"/>
        <v>16125.338725367645</v>
      </c>
      <c r="U37" s="82">
        <f t="shared" si="19"/>
        <v>17280.104938249169</v>
      </c>
      <c r="V37" s="82">
        <f t="shared" si="19"/>
        <v>18441.781173257292</v>
      </c>
    </row>
    <row r="38" spans="1:22" outlineLevel="1">
      <c r="B38" s="46" t="s">
        <v>136</v>
      </c>
      <c r="C38" s="46"/>
      <c r="D38" s="112">
        <f>D36/D37</f>
        <v>0.47205750819889353</v>
      </c>
      <c r="E38" s="112">
        <f t="shared" ref="E38:P38" si="20">E36/E37</f>
        <v>0.34180372556644789</v>
      </c>
      <c r="F38" s="112">
        <f t="shared" si="20"/>
        <v>0.43993074585529734</v>
      </c>
      <c r="G38" s="112">
        <f t="shared" si="20"/>
        <v>0.44918307735863172</v>
      </c>
      <c r="H38" s="112">
        <f t="shared" si="20"/>
        <v>0.60406838790200768</v>
      </c>
      <c r="I38" s="112">
        <f t="shared" si="20"/>
        <v>0.63310458276578119</v>
      </c>
      <c r="J38" s="112">
        <f t="shared" si="20"/>
        <v>0.66389202546304904</v>
      </c>
      <c r="K38" s="112">
        <f t="shared" si="20"/>
        <v>0.6904085679357268</v>
      </c>
      <c r="L38" s="112">
        <f t="shared" si="20"/>
        <v>0.71555556343199411</v>
      </c>
      <c r="M38" s="112">
        <f t="shared" si="20"/>
        <v>0.74115682729352528</v>
      </c>
      <c r="N38" s="112">
        <f t="shared" si="20"/>
        <v>0.76999563455609099</v>
      </c>
      <c r="O38" s="112">
        <f t="shared" si="20"/>
        <v>0.79195089463326784</v>
      </c>
      <c r="P38" s="112">
        <f t="shared" si="20"/>
        <v>0.80667470885467008</v>
      </c>
      <c r="Q38" s="112">
        <f t="shared" ref="Q38:V38" si="21">Q36/Q37</f>
        <v>0.82343595887155296</v>
      </c>
      <c r="R38" s="112">
        <f t="shared" si="21"/>
        <v>0.83168496876537346</v>
      </c>
      <c r="S38" s="112">
        <f t="shared" si="21"/>
        <v>0.83830944206017755</v>
      </c>
      <c r="T38" s="112">
        <f t="shared" si="21"/>
        <v>0.84537871102068507</v>
      </c>
      <c r="U38" s="112">
        <f t="shared" si="21"/>
        <v>0.84984910368258948</v>
      </c>
      <c r="V38" s="112">
        <f t="shared" si="21"/>
        <v>0.85560072991519542</v>
      </c>
    </row>
    <row r="40" spans="1:22" ht="15" customHeight="1">
      <c r="A40" t="s">
        <v>35</v>
      </c>
      <c r="B40" s="131" t="s">
        <v>137</v>
      </c>
      <c r="C40" s="131"/>
      <c r="D40" s="131"/>
      <c r="E40" s="131"/>
      <c r="F40" s="131"/>
      <c r="G40" s="131"/>
      <c r="H40" s="131"/>
      <c r="I40" s="131"/>
      <c r="J40" s="131"/>
      <c r="K40" s="131"/>
      <c r="L40" s="131"/>
      <c r="M40" s="131"/>
      <c r="N40" s="131"/>
      <c r="O40" s="131"/>
      <c r="P40" s="131"/>
      <c r="Q40" s="131"/>
      <c r="R40" s="131"/>
      <c r="S40" s="131"/>
      <c r="T40" s="131"/>
      <c r="U40" s="131"/>
      <c r="V40" s="131"/>
    </row>
    <row r="41" spans="1:22" outlineLevel="1"/>
    <row r="42" spans="1:22" outlineLevel="1">
      <c r="B42" t="s">
        <v>4</v>
      </c>
      <c r="D42" s="83">
        <f>'3 Statement Model'!D14</f>
        <v>444</v>
      </c>
      <c r="E42" s="83">
        <f>'3 Statement Model'!E14</f>
        <v>790</v>
      </c>
      <c r="F42" s="83">
        <f>'3 Statement Model'!F14</f>
        <v>1073</v>
      </c>
      <c r="G42" s="83">
        <f>'3 Statement Model'!G14</f>
        <v>868</v>
      </c>
      <c r="H42" s="83">
        <f>'3 Statement Model'!H14</f>
        <v>1197</v>
      </c>
      <c r="I42" s="83">
        <f>'3 Statement Model'!I14</f>
        <v>1331.1</v>
      </c>
      <c r="J42" s="83">
        <f>'3 Statement Model'!J14</f>
        <v>1645.5945599999998</v>
      </c>
      <c r="K42" s="83">
        <f>'3 Statement Model'!K14</f>
        <v>2056.9931999999999</v>
      </c>
      <c r="L42" s="83">
        <f>'3 Statement Model'!L14</f>
        <v>2598.3071999999997</v>
      </c>
      <c r="M42" s="83">
        <f>'3 Statement Model'!M14</f>
        <v>3235.7720992499999</v>
      </c>
      <c r="N42" s="83">
        <f>'3 Statement Model'!N14</f>
        <v>3971.9936480174983</v>
      </c>
      <c r="O42" s="83">
        <f>'3 Statement Model'!O14</f>
        <v>4804.9977240468816</v>
      </c>
      <c r="P42" s="83">
        <f>'3 Statement Model'!P14</f>
        <v>5727.1690044195175</v>
      </c>
      <c r="Q42" s="83">
        <f>'3 Statement Model'!Q14</f>
        <v>6997.884627275098</v>
      </c>
      <c r="R42" s="83">
        <f>'3 Statement Model'!R14</f>
        <v>7977.588475093612</v>
      </c>
      <c r="S42" s="83">
        <f>'3 Statement Model'!S14</f>
        <v>8934.8990921048462</v>
      </c>
      <c r="T42" s="83">
        <f>'3 Statement Model'!T14</f>
        <v>10021.102511145044</v>
      </c>
      <c r="U42" s="83">
        <f>'3 Statement Model'!U14</f>
        <v>10822.790712036649</v>
      </c>
      <c r="V42" s="83">
        <f>'3 Statement Model'!V14</f>
        <v>11363.930247638482</v>
      </c>
    </row>
    <row r="43" spans="1:22" outlineLevel="1">
      <c r="B43" t="s">
        <v>40</v>
      </c>
      <c r="D43" s="83">
        <f>'3 Statement Model'!D12</f>
        <v>829</v>
      </c>
      <c r="E43" s="83">
        <f>'3 Statement Model'!E12</f>
        <v>1551</v>
      </c>
      <c r="F43" s="83">
        <f>'3 Statement Model'!F12</f>
        <v>2188</v>
      </c>
      <c r="G43" s="83">
        <f>'3 Statement Model'!G12</f>
        <v>1929</v>
      </c>
      <c r="H43" s="83">
        <f>'3 Statement Model'!H12</f>
        <v>2550</v>
      </c>
      <c r="I43" s="83">
        <f>'3 Statement Model'!I12</f>
        <v>2958</v>
      </c>
      <c r="J43" s="83">
        <f>'3 Statement Model'!J12</f>
        <v>3608.7599999999998</v>
      </c>
      <c r="K43" s="83">
        <f>'3 Statement Model'!K12</f>
        <v>4510.95</v>
      </c>
      <c r="L43" s="83">
        <f>'3 Statement Model'!L12</f>
        <v>5638.6875</v>
      </c>
      <c r="M43" s="83">
        <f>'3 Statement Model'!M12</f>
        <v>6949.6823437499997</v>
      </c>
      <c r="N43" s="83">
        <f>'3 Statement Model'!N12</f>
        <v>8443.8640476562487</v>
      </c>
      <c r="O43" s="83">
        <f>'3 Statement Model'!O12</f>
        <v>10111.527197068357</v>
      </c>
      <c r="P43" s="83">
        <f>'3 Statement Model'!P12</f>
        <v>11931.602092540661</v>
      </c>
      <c r="Q43" s="83">
        <f>'3 Statement Model'!Q12</f>
        <v>13721.34240642176</v>
      </c>
      <c r="R43" s="83">
        <f>'3 Statement Model'!R12</f>
        <v>15642.330343320808</v>
      </c>
      <c r="S43" s="83">
        <f>'3 Statement Model'!S12</f>
        <v>17519.409984519305</v>
      </c>
      <c r="T43" s="83">
        <f>'3 Statement Model'!T12</f>
        <v>19271.350982971238</v>
      </c>
      <c r="U43" s="83">
        <f>'3 Statement Model'!U12</f>
        <v>20813.059061608939</v>
      </c>
      <c r="V43" s="83">
        <f>'3 Statement Model'!V12</f>
        <v>21853.712014689387</v>
      </c>
    </row>
    <row r="44" spans="1:22" outlineLevel="1">
      <c r="B44" s="46" t="s">
        <v>138</v>
      </c>
      <c r="C44" s="46"/>
      <c r="D44" s="112">
        <f>D42/D43</f>
        <v>0.53558504221954162</v>
      </c>
      <c r="E44" s="112">
        <f t="shared" ref="E44:P44" si="22">E42/E43</f>
        <v>0.50934880722114761</v>
      </c>
      <c r="F44" s="112">
        <f t="shared" si="22"/>
        <v>0.49040219378427791</v>
      </c>
      <c r="G44" s="112">
        <f t="shared" si="22"/>
        <v>0.44997407983411092</v>
      </c>
      <c r="H44" s="112">
        <f t="shared" si="22"/>
        <v>0.46941176470588236</v>
      </c>
      <c r="I44" s="112">
        <f t="shared" si="22"/>
        <v>0.44999999999999996</v>
      </c>
      <c r="J44" s="112">
        <f t="shared" si="22"/>
        <v>0.45599999999999996</v>
      </c>
      <c r="K44" s="112">
        <f t="shared" si="22"/>
        <v>0.45600000000000002</v>
      </c>
      <c r="L44" s="112">
        <f t="shared" si="22"/>
        <v>0.46079999999999993</v>
      </c>
      <c r="M44" s="112">
        <f t="shared" si="22"/>
        <v>0.46560000000000001</v>
      </c>
      <c r="N44" s="112">
        <f t="shared" si="22"/>
        <v>0.47039999999999987</v>
      </c>
      <c r="O44" s="112">
        <f t="shared" si="22"/>
        <v>0.47519999999999984</v>
      </c>
      <c r="P44" s="112">
        <f t="shared" si="22"/>
        <v>0.48000000000000004</v>
      </c>
      <c r="Q44" s="112">
        <f t="shared" ref="Q44:V44" si="23">Q42/Q43</f>
        <v>0.51</v>
      </c>
      <c r="R44" s="112">
        <f t="shared" si="23"/>
        <v>0.51</v>
      </c>
      <c r="S44" s="112">
        <f t="shared" si="23"/>
        <v>0.51</v>
      </c>
      <c r="T44" s="112">
        <f t="shared" si="23"/>
        <v>0.52</v>
      </c>
      <c r="U44" s="112">
        <f t="shared" si="23"/>
        <v>0.52</v>
      </c>
      <c r="V44" s="112">
        <f t="shared" si="23"/>
        <v>0.52</v>
      </c>
    </row>
    <row r="45" spans="1:22" outlineLevel="1"/>
    <row r="46" spans="1:22" outlineLevel="1">
      <c r="B46" t="s">
        <v>141</v>
      </c>
      <c r="D46" s="83">
        <f>'3 Statement Model'!D24</f>
        <v>261.8</v>
      </c>
      <c r="E46" s="83">
        <f>'3 Statement Model'!E24</f>
        <v>510.2</v>
      </c>
      <c r="F46" s="83">
        <f>'3 Statement Model'!F24</f>
        <v>689.4</v>
      </c>
      <c r="G46" s="83">
        <f>'3 Statement Model'!G24</f>
        <v>480.7</v>
      </c>
      <c r="H46" s="83">
        <f>'3 Statement Model'!H24</f>
        <v>711.4</v>
      </c>
      <c r="I46" s="83">
        <f>'3 Statement Model'!I24</f>
        <v>769.07999999999981</v>
      </c>
      <c r="J46" s="83">
        <f>'3 Statement Model'!J24</f>
        <v>959.93015999999977</v>
      </c>
      <c r="K46" s="83">
        <f>'3 Statement Model'!K24</f>
        <v>1199.9126999999999</v>
      </c>
      <c r="L46" s="83">
        <f>'3 Statement Model'!L24</f>
        <v>1526.9565749999997</v>
      </c>
      <c r="M46" s="83">
        <f>'3 Statement Model'!M24</f>
        <v>1915.3324539374998</v>
      </c>
      <c r="N46" s="83">
        <f>'3 Statement Model'!N24</f>
        <v>2367.6594789628107</v>
      </c>
      <c r="O46" s="83">
        <f>'3 Statement Model'!O24</f>
        <v>2883.8075566038933</v>
      </c>
      <c r="P46" s="83">
        <f>'3 Statement Model'!P24</f>
        <v>3460.1646068367918</v>
      </c>
      <c r="Q46" s="83">
        <f>'3 Statement Model'!Q24</f>
        <v>4390.8295700549634</v>
      </c>
      <c r="R46" s="83">
        <f>'3 Statement Model'!R24</f>
        <v>5005.5457098626584</v>
      </c>
      <c r="S46" s="83">
        <f>'3 Statement Model'!S24</f>
        <v>5606.2111950461785</v>
      </c>
      <c r="T46" s="83">
        <f>'3 Statement Model'!T24</f>
        <v>6359.5458243805078</v>
      </c>
      <c r="U46" s="83">
        <f>'3 Statement Model'!U24</f>
        <v>6868.3094903309502</v>
      </c>
      <c r="V46" s="83">
        <f>'3 Statement Model'!V24</f>
        <v>7211.7249648474981</v>
      </c>
    </row>
    <row r="47" spans="1:22" outlineLevel="1">
      <c r="B47" t="s">
        <v>40</v>
      </c>
      <c r="D47" s="82">
        <f>D43</f>
        <v>829</v>
      </c>
      <c r="E47" s="82">
        <f t="shared" ref="E47:P47" si="24">E43</f>
        <v>1551</v>
      </c>
      <c r="F47" s="82">
        <f t="shared" si="24"/>
        <v>2188</v>
      </c>
      <c r="G47" s="82">
        <f t="shared" si="24"/>
        <v>1929</v>
      </c>
      <c r="H47" s="82">
        <f t="shared" si="24"/>
        <v>2550</v>
      </c>
      <c r="I47" s="82">
        <f t="shared" si="24"/>
        <v>2958</v>
      </c>
      <c r="J47" s="82">
        <f t="shared" si="24"/>
        <v>3608.7599999999998</v>
      </c>
      <c r="K47" s="82">
        <f t="shared" si="24"/>
        <v>4510.95</v>
      </c>
      <c r="L47" s="82">
        <f t="shared" si="24"/>
        <v>5638.6875</v>
      </c>
      <c r="M47" s="82">
        <f t="shared" si="24"/>
        <v>6949.6823437499997</v>
      </c>
      <c r="N47" s="82">
        <f t="shared" si="24"/>
        <v>8443.8640476562487</v>
      </c>
      <c r="O47" s="82">
        <f t="shared" si="24"/>
        <v>10111.527197068357</v>
      </c>
      <c r="P47" s="82">
        <f t="shared" si="24"/>
        <v>11931.602092540661</v>
      </c>
      <c r="Q47" s="82">
        <f t="shared" ref="Q47:V47" si="25">Q43</f>
        <v>13721.34240642176</v>
      </c>
      <c r="R47" s="82">
        <f t="shared" si="25"/>
        <v>15642.330343320808</v>
      </c>
      <c r="S47" s="82">
        <f t="shared" si="25"/>
        <v>17519.409984519305</v>
      </c>
      <c r="T47" s="82">
        <f t="shared" si="25"/>
        <v>19271.350982971238</v>
      </c>
      <c r="U47" s="82">
        <f t="shared" si="25"/>
        <v>20813.059061608939</v>
      </c>
      <c r="V47" s="82">
        <f t="shared" si="25"/>
        <v>21853.712014689387</v>
      </c>
    </row>
    <row r="48" spans="1:22" outlineLevel="1">
      <c r="B48" s="46" t="s">
        <v>140</v>
      </c>
      <c r="C48" s="46"/>
      <c r="D48" s="112">
        <f>D46/D47</f>
        <v>0.3158021712907117</v>
      </c>
      <c r="E48" s="112">
        <f t="shared" ref="E48:P48" si="26">E46/E47</f>
        <v>0.32894906511927785</v>
      </c>
      <c r="F48" s="112">
        <f t="shared" si="26"/>
        <v>0.31508226691042046</v>
      </c>
      <c r="G48" s="112">
        <f t="shared" si="26"/>
        <v>0.24919647485743909</v>
      </c>
      <c r="H48" s="112">
        <f t="shared" si="26"/>
        <v>0.27898039215686271</v>
      </c>
      <c r="I48" s="112">
        <f t="shared" si="26"/>
        <v>0.25999999999999995</v>
      </c>
      <c r="J48" s="112">
        <f t="shared" si="26"/>
        <v>0.26599999999999996</v>
      </c>
      <c r="K48" s="112">
        <f t="shared" si="26"/>
        <v>0.26599999999999996</v>
      </c>
      <c r="L48" s="112">
        <f t="shared" si="26"/>
        <v>0.27079999999999993</v>
      </c>
      <c r="M48" s="112">
        <f t="shared" si="26"/>
        <v>0.27560000000000001</v>
      </c>
      <c r="N48" s="112">
        <f t="shared" si="26"/>
        <v>0.28039999999999982</v>
      </c>
      <c r="O48" s="112">
        <f t="shared" si="26"/>
        <v>0.28519999999999979</v>
      </c>
      <c r="P48" s="112">
        <f t="shared" si="26"/>
        <v>0.28999999999999998</v>
      </c>
      <c r="Q48" s="112">
        <f t="shared" ref="Q48:V48" si="27">Q46/Q47</f>
        <v>0.32</v>
      </c>
      <c r="R48" s="112">
        <f t="shared" si="27"/>
        <v>0.32</v>
      </c>
      <c r="S48" s="112">
        <f t="shared" si="27"/>
        <v>0.32000000000000006</v>
      </c>
      <c r="T48" s="112">
        <f t="shared" si="27"/>
        <v>0.32999999999999996</v>
      </c>
      <c r="U48" s="112">
        <f t="shared" si="27"/>
        <v>0.33</v>
      </c>
      <c r="V48" s="112">
        <f t="shared" si="27"/>
        <v>0.33</v>
      </c>
    </row>
    <row r="49" spans="2:22" outlineLevel="1"/>
    <row r="50" spans="2:22" outlineLevel="1">
      <c r="B50" t="s">
        <v>94</v>
      </c>
      <c r="D50" s="83">
        <f>'3 Statement Model'!D31</f>
        <v>187.8</v>
      </c>
      <c r="E50" s="83">
        <f>'3 Statement Model'!E31</f>
        <v>424.29999999999995</v>
      </c>
      <c r="F50" s="83">
        <f>'3 Statement Model'!F31</f>
        <v>580.44999999999993</v>
      </c>
      <c r="G50" s="83">
        <f>'3 Statement Model'!G31</f>
        <v>357.14</v>
      </c>
      <c r="H50" s="83">
        <f>'3 Statement Model'!H31</f>
        <v>578.83999999999992</v>
      </c>
      <c r="I50" s="83">
        <f>'3 Statement Model'!I31</f>
        <v>604.37714285714264</v>
      </c>
      <c r="J50" s="83">
        <f>'3 Statement Model'!J31</f>
        <v>752.37015999999971</v>
      </c>
      <c r="K50" s="83">
        <f>'3 Statement Model'!K31</f>
        <v>938.78127142857124</v>
      </c>
      <c r="L50" s="83">
        <f>'3 Statement Model'!L31</f>
        <v>1201.5394321428569</v>
      </c>
      <c r="M50" s="83">
        <f>'3 Statement Model'!M31</f>
        <v>1514.915311080357</v>
      </c>
      <c r="N50" s="83">
        <f>'3 Statement Model'!N31</f>
        <v>1881.5280503913821</v>
      </c>
      <c r="O50" s="83">
        <f>'3 Statement Model'!O31</f>
        <v>2304.4775566038934</v>
      </c>
      <c r="P50" s="83">
        <f>'3 Statement Model'!P31</f>
        <v>2773.6917496939345</v>
      </c>
      <c r="Q50" s="83">
        <f>'3 Statement Model'!Q31</f>
        <v>3592.928141483535</v>
      </c>
      <c r="R50" s="83">
        <f>'3 Statement Model'!R31</f>
        <v>4091.7585670055155</v>
      </c>
      <c r="S50" s="83">
        <f>'3 Statement Model'!S31</f>
        <v>4571.9029093318932</v>
      </c>
      <c r="T50" s="83">
        <f>'3 Statement Model'!T31</f>
        <v>5199.8955500947941</v>
      </c>
      <c r="U50" s="83">
        <f>'3 Statement Model'!U31</f>
        <v>5578.3035479309501</v>
      </c>
      <c r="V50" s="83">
        <f>'3 Statement Model'!V31</f>
        <v>5786.1491276086408</v>
      </c>
    </row>
    <row r="51" spans="2:22" outlineLevel="1">
      <c r="B51" t="s">
        <v>40</v>
      </c>
      <c r="D51" s="82">
        <f>D47</f>
        <v>829</v>
      </c>
      <c r="E51" s="82">
        <f t="shared" ref="E51:P51" si="28">E47</f>
        <v>1551</v>
      </c>
      <c r="F51" s="82">
        <f t="shared" si="28"/>
        <v>2188</v>
      </c>
      <c r="G51" s="82">
        <f t="shared" si="28"/>
        <v>1929</v>
      </c>
      <c r="H51" s="82">
        <f t="shared" si="28"/>
        <v>2550</v>
      </c>
      <c r="I51" s="82">
        <f t="shared" si="28"/>
        <v>2958</v>
      </c>
      <c r="J51" s="82">
        <f t="shared" si="28"/>
        <v>3608.7599999999998</v>
      </c>
      <c r="K51" s="82">
        <f t="shared" si="28"/>
        <v>4510.95</v>
      </c>
      <c r="L51" s="82">
        <f t="shared" si="28"/>
        <v>5638.6875</v>
      </c>
      <c r="M51" s="82">
        <f t="shared" si="28"/>
        <v>6949.6823437499997</v>
      </c>
      <c r="N51" s="82">
        <f t="shared" si="28"/>
        <v>8443.8640476562487</v>
      </c>
      <c r="O51" s="82">
        <f t="shared" si="28"/>
        <v>10111.527197068357</v>
      </c>
      <c r="P51" s="82">
        <f t="shared" si="28"/>
        <v>11931.602092540661</v>
      </c>
      <c r="Q51" s="82">
        <f t="shared" ref="Q51:V51" si="29">Q47</f>
        <v>13721.34240642176</v>
      </c>
      <c r="R51" s="82">
        <f t="shared" si="29"/>
        <v>15642.330343320808</v>
      </c>
      <c r="S51" s="82">
        <f t="shared" si="29"/>
        <v>17519.409984519305</v>
      </c>
      <c r="T51" s="82">
        <f t="shared" si="29"/>
        <v>19271.350982971238</v>
      </c>
      <c r="U51" s="82">
        <f t="shared" si="29"/>
        <v>20813.059061608939</v>
      </c>
      <c r="V51" s="82">
        <f t="shared" si="29"/>
        <v>21853.712014689387</v>
      </c>
    </row>
    <row r="52" spans="2:22" outlineLevel="1">
      <c r="B52" s="46" t="s">
        <v>139</v>
      </c>
      <c r="C52" s="46"/>
      <c r="D52" s="112">
        <f>D50/D51</f>
        <v>0.22653799758745477</v>
      </c>
      <c r="E52" s="112">
        <f t="shared" ref="E52:P52" si="30">E50/E51</f>
        <v>0.27356544165054802</v>
      </c>
      <c r="F52" s="112">
        <f t="shared" si="30"/>
        <v>0.26528793418647162</v>
      </c>
      <c r="G52" s="112">
        <f t="shared" si="30"/>
        <v>0.18514256091238984</v>
      </c>
      <c r="H52" s="112">
        <f t="shared" si="30"/>
        <v>0.22699607843137251</v>
      </c>
      <c r="I52" s="112">
        <f t="shared" si="30"/>
        <v>0.20431952091181294</v>
      </c>
      <c r="J52" s="112">
        <f t="shared" si="30"/>
        <v>0.20848439907336586</v>
      </c>
      <c r="K52" s="112">
        <f t="shared" si="30"/>
        <v>0.20811165528958894</v>
      </c>
      <c r="L52" s="112">
        <f t="shared" si="30"/>
        <v>0.21308849482133155</v>
      </c>
      <c r="M52" s="112">
        <f t="shared" si="30"/>
        <v>0.21798338918939988</v>
      </c>
      <c r="N52" s="112">
        <f t="shared" si="30"/>
        <v>0.22282784750823115</v>
      </c>
      <c r="O52" s="112">
        <f t="shared" si="30"/>
        <v>0.22790598410020915</v>
      </c>
      <c r="P52" s="112">
        <f t="shared" si="30"/>
        <v>0.23246599477432936</v>
      </c>
      <c r="Q52" s="112">
        <f t="shared" ref="Q52:V52" si="31">Q50/Q51</f>
        <v>0.26184960881101543</v>
      </c>
      <c r="R52" s="112">
        <f t="shared" si="31"/>
        <v>0.26158241625121254</v>
      </c>
      <c r="S52" s="112">
        <f t="shared" si="31"/>
        <v>0.26096215074433265</v>
      </c>
      <c r="T52" s="112">
        <f t="shared" si="31"/>
        <v>0.26982516973976461</v>
      </c>
      <c r="U52" s="112">
        <f t="shared" si="31"/>
        <v>0.26801939740902858</v>
      </c>
      <c r="V52" s="112">
        <f t="shared" si="31"/>
        <v>0.26476733672153135</v>
      </c>
    </row>
    <row r="53" spans="2:22" outlineLevel="1"/>
    <row r="54" spans="2:22" outlineLevel="1">
      <c r="B54" t="s">
        <v>142</v>
      </c>
      <c r="D54" s="83">
        <f>'3 Statement Model'!D39</f>
        <v>101.30000000000001</v>
      </c>
      <c r="E54" s="83">
        <f>'3 Statement Model'!E39</f>
        <v>253.59999999999997</v>
      </c>
      <c r="F54" s="83">
        <f>'3 Statement Model'!F39</f>
        <v>353.74999999999989</v>
      </c>
      <c r="G54" s="83">
        <f>'3 Statement Model'!G39</f>
        <v>195.74</v>
      </c>
      <c r="H54" s="83">
        <f>'3 Statement Model'!H39</f>
        <v>357.83999999999992</v>
      </c>
      <c r="I54" s="83">
        <f>'3 Statement Model'!I39</f>
        <v>433.06669549449975</v>
      </c>
      <c r="J54" s="83">
        <f>'3 Statement Model'!J39</f>
        <v>543.64515697071977</v>
      </c>
      <c r="K54" s="83">
        <f>'3 Statement Model'!K39</f>
        <v>684.08273992632326</v>
      </c>
      <c r="L54" s="83">
        <f>'3 Statement Model'!L39</f>
        <v>882.03897254397407</v>
      </c>
      <c r="M54" s="83">
        <f>'3 Statement Model'!M39</f>
        <v>1119.1606350582661</v>
      </c>
      <c r="N54" s="83">
        <f>'3 Statement Model'!N39</f>
        <v>1399.4006905344659</v>
      </c>
      <c r="O54" s="83">
        <f>'3 Statement Model'!O39</f>
        <v>1723.7549952516031</v>
      </c>
      <c r="P54" s="83">
        <f>'3 Statement Model'!P39</f>
        <v>2082.0941015805279</v>
      </c>
      <c r="Q54" s="83">
        <f>'3 Statement Model'!Q39</f>
        <v>2701.6644330456616</v>
      </c>
      <c r="R54" s="83">
        <f>'3 Statement Model'!R39</f>
        <v>3082.126616829667</v>
      </c>
      <c r="S54" s="83">
        <f>'3 Statement Model'!S39</f>
        <v>3448.4417216700404</v>
      </c>
      <c r="T54" s="83">
        <f>'3 Statement Model'!T39</f>
        <v>3924.9235019986272</v>
      </c>
      <c r="U54" s="83">
        <f>'3 Statement Model'!U39</f>
        <v>4213.8545075556449</v>
      </c>
      <c r="V54" s="83">
        <f>'3 Statement Model'!V39</f>
        <v>4373.2789578524116</v>
      </c>
    </row>
    <row r="55" spans="2:22" outlineLevel="1">
      <c r="B55" t="s">
        <v>40</v>
      </c>
      <c r="D55" s="82">
        <f t="shared" ref="D55" si="32">D51</f>
        <v>829</v>
      </c>
      <c r="E55" s="82">
        <f t="shared" ref="E55:P55" si="33">E51</f>
        <v>1551</v>
      </c>
      <c r="F55" s="82">
        <f t="shared" si="33"/>
        <v>2188</v>
      </c>
      <c r="G55" s="82">
        <f t="shared" si="33"/>
        <v>1929</v>
      </c>
      <c r="H55" s="82">
        <f t="shared" si="33"/>
        <v>2550</v>
      </c>
      <c r="I55" s="82">
        <f t="shared" si="33"/>
        <v>2958</v>
      </c>
      <c r="J55" s="82">
        <f t="shared" si="33"/>
        <v>3608.7599999999998</v>
      </c>
      <c r="K55" s="82">
        <f t="shared" si="33"/>
        <v>4510.95</v>
      </c>
      <c r="L55" s="82">
        <f t="shared" si="33"/>
        <v>5638.6875</v>
      </c>
      <c r="M55" s="82">
        <f t="shared" si="33"/>
        <v>6949.6823437499997</v>
      </c>
      <c r="N55" s="82">
        <f t="shared" si="33"/>
        <v>8443.8640476562487</v>
      </c>
      <c r="O55" s="82">
        <f t="shared" si="33"/>
        <v>10111.527197068357</v>
      </c>
      <c r="P55" s="82">
        <f t="shared" si="33"/>
        <v>11931.602092540661</v>
      </c>
      <c r="Q55" s="82">
        <f t="shared" ref="Q55:V55" si="34">Q51</f>
        <v>13721.34240642176</v>
      </c>
      <c r="R55" s="82">
        <f t="shared" si="34"/>
        <v>15642.330343320808</v>
      </c>
      <c r="S55" s="82">
        <f t="shared" si="34"/>
        <v>17519.409984519305</v>
      </c>
      <c r="T55" s="82">
        <f t="shared" si="34"/>
        <v>19271.350982971238</v>
      </c>
      <c r="U55" s="82">
        <f t="shared" si="34"/>
        <v>20813.059061608939</v>
      </c>
      <c r="V55" s="82">
        <f t="shared" si="34"/>
        <v>21853.712014689387</v>
      </c>
    </row>
    <row r="56" spans="2:22" outlineLevel="1">
      <c r="B56" s="46" t="s">
        <v>143</v>
      </c>
      <c r="C56" s="46"/>
      <c r="D56" s="112">
        <f t="shared" ref="D56" si="35">D54/D55</f>
        <v>0.12219541616405309</v>
      </c>
      <c r="E56" s="112">
        <f t="shared" ref="E56:P56" si="36">E54/E55</f>
        <v>0.16350741457124435</v>
      </c>
      <c r="F56" s="112">
        <f t="shared" si="36"/>
        <v>0.1616773308957952</v>
      </c>
      <c r="G56" s="112">
        <f t="shared" si="36"/>
        <v>0.10147226542249871</v>
      </c>
      <c r="H56" s="112">
        <f t="shared" si="36"/>
        <v>0.14032941176470584</v>
      </c>
      <c r="I56" s="112">
        <f t="shared" si="36"/>
        <v>0.14640523850388767</v>
      </c>
      <c r="J56" s="112">
        <f t="shared" si="36"/>
        <v>0.15064597173841424</v>
      </c>
      <c r="K56" s="112">
        <f t="shared" si="36"/>
        <v>0.15164937317556684</v>
      </c>
      <c r="L56" s="112">
        <f t="shared" si="36"/>
        <v>0.15642629114381212</v>
      </c>
      <c r="M56" s="112">
        <f t="shared" si="36"/>
        <v>0.16103766757983573</v>
      </c>
      <c r="N56" s="112">
        <f t="shared" si="36"/>
        <v>0.16572989364068402</v>
      </c>
      <c r="O56" s="112">
        <f t="shared" si="36"/>
        <v>0.1704742480197623</v>
      </c>
      <c r="P56" s="112">
        <f t="shared" si="36"/>
        <v>0.17450247547914802</v>
      </c>
      <c r="Q56" s="112">
        <f t="shared" ref="Q56:V56" si="37">Q54/Q55</f>
        <v>0.19689505246813524</v>
      </c>
      <c r="R56" s="112">
        <f t="shared" si="37"/>
        <v>0.19703756084819668</v>
      </c>
      <c r="S56" s="112">
        <f t="shared" si="37"/>
        <v>0.19683549415860413</v>
      </c>
      <c r="T56" s="112">
        <f t="shared" si="37"/>
        <v>0.20366623520410224</v>
      </c>
      <c r="U56" s="112">
        <f t="shared" si="37"/>
        <v>0.20246204534769122</v>
      </c>
      <c r="V56" s="112">
        <f t="shared" si="37"/>
        <v>0.20011606975111731</v>
      </c>
    </row>
    <row r="57" spans="2:22" outlineLevel="1"/>
    <row r="58" spans="2:22" outlineLevel="1">
      <c r="B58" t="s">
        <v>9</v>
      </c>
      <c r="D58" s="82">
        <f>D54</f>
        <v>101.30000000000001</v>
      </c>
      <c r="E58" s="82">
        <f t="shared" ref="E58:P58" si="38">E54</f>
        <v>253.59999999999997</v>
      </c>
      <c r="F58" s="82">
        <f t="shared" si="38"/>
        <v>353.74999999999989</v>
      </c>
      <c r="G58" s="82">
        <f t="shared" si="38"/>
        <v>195.74</v>
      </c>
      <c r="H58" s="82">
        <f t="shared" si="38"/>
        <v>357.83999999999992</v>
      </c>
      <c r="I58" s="82">
        <f t="shared" si="38"/>
        <v>433.06669549449975</v>
      </c>
      <c r="J58" s="82">
        <f t="shared" si="38"/>
        <v>543.64515697071977</v>
      </c>
      <c r="K58" s="82">
        <f t="shared" si="38"/>
        <v>684.08273992632326</v>
      </c>
      <c r="L58" s="82">
        <f t="shared" si="38"/>
        <v>882.03897254397407</v>
      </c>
      <c r="M58" s="82">
        <f t="shared" si="38"/>
        <v>1119.1606350582661</v>
      </c>
      <c r="N58" s="82">
        <f t="shared" si="38"/>
        <v>1399.4006905344659</v>
      </c>
      <c r="O58" s="82">
        <f t="shared" si="38"/>
        <v>1723.7549952516031</v>
      </c>
      <c r="P58" s="82">
        <f t="shared" si="38"/>
        <v>2082.0941015805279</v>
      </c>
      <c r="Q58" s="82">
        <f t="shared" ref="Q58:V58" si="39">Q54</f>
        <v>2701.6644330456616</v>
      </c>
      <c r="R58" s="82">
        <f t="shared" si="39"/>
        <v>3082.126616829667</v>
      </c>
      <c r="S58" s="82">
        <f t="shared" si="39"/>
        <v>3448.4417216700404</v>
      </c>
      <c r="T58" s="82">
        <f t="shared" si="39"/>
        <v>3924.9235019986272</v>
      </c>
      <c r="U58" s="82">
        <f t="shared" si="39"/>
        <v>4213.8545075556449</v>
      </c>
      <c r="V58" s="82">
        <f t="shared" si="39"/>
        <v>4373.2789578524116</v>
      </c>
    </row>
    <row r="59" spans="2:22" outlineLevel="1">
      <c r="B59" t="s">
        <v>20</v>
      </c>
      <c r="D59" s="82">
        <f>D37</f>
        <v>1448.9760000000001</v>
      </c>
      <c r="E59" s="82">
        <f t="shared" ref="E59:P59" si="40">E37</f>
        <v>2124.0259999999998</v>
      </c>
      <c r="F59" s="82">
        <f t="shared" si="40"/>
        <v>2432.201</v>
      </c>
      <c r="G59" s="82">
        <f t="shared" si="40"/>
        <v>2793.9609999999998</v>
      </c>
      <c r="H59" s="82">
        <f t="shared" si="40"/>
        <v>3151.9609999999998</v>
      </c>
      <c r="I59" s="82">
        <f t="shared" si="40"/>
        <v>3643.5560405085148</v>
      </c>
      <c r="J59" s="82">
        <f t="shared" si="40"/>
        <v>4227.9549438256872</v>
      </c>
      <c r="K59" s="82">
        <f t="shared" si="40"/>
        <v>4957.3255549100622</v>
      </c>
      <c r="L59" s="82">
        <f t="shared" si="40"/>
        <v>5867.8522641301288</v>
      </c>
      <c r="M59" s="82">
        <f t="shared" si="40"/>
        <v>6903.3784285937618</v>
      </c>
      <c r="N59" s="82">
        <f t="shared" si="40"/>
        <v>8062.4075173347883</v>
      </c>
      <c r="O59" s="82">
        <f t="shared" si="40"/>
        <v>9362.5086344143274</v>
      </c>
      <c r="P59" s="82">
        <f t="shared" si="40"/>
        <v>10740.269224859658</v>
      </c>
      <c r="Q59" s="82">
        <f t="shared" ref="Q59:V59" si="41">Q37</f>
        <v>12162.130714125709</v>
      </c>
      <c r="R59" s="82">
        <f t="shared" si="41"/>
        <v>13523.85438675902</v>
      </c>
      <c r="S59" s="82">
        <f t="shared" si="41"/>
        <v>14856.734746081514</v>
      </c>
      <c r="T59" s="82">
        <f t="shared" si="41"/>
        <v>16125.338725367645</v>
      </c>
      <c r="U59" s="82">
        <f t="shared" si="41"/>
        <v>17280.104938249169</v>
      </c>
      <c r="V59" s="82">
        <f t="shared" si="41"/>
        <v>18441.781173257292</v>
      </c>
    </row>
    <row r="60" spans="2:22" outlineLevel="1">
      <c r="B60" s="46" t="s">
        <v>144</v>
      </c>
      <c r="C60" s="46"/>
      <c r="D60" s="112">
        <f t="shared" ref="D60" si="42">D58/D59</f>
        <v>6.9911440907233807E-2</v>
      </c>
      <c r="E60" s="112">
        <f t="shared" ref="E60:P60" si="43">E58/E59</f>
        <v>0.11939590193340383</v>
      </c>
      <c r="F60" s="112">
        <f t="shared" si="43"/>
        <v>0.14544439378159943</v>
      </c>
      <c r="G60" s="112">
        <f t="shared" si="43"/>
        <v>7.0058243475839513E-2</v>
      </c>
      <c r="H60" s="112">
        <f t="shared" si="43"/>
        <v>0.11352932349099495</v>
      </c>
      <c r="I60" s="112">
        <f t="shared" si="43"/>
        <v>0.11885825020384716</v>
      </c>
      <c r="J60" s="112">
        <f t="shared" si="43"/>
        <v>0.1285834792928989</v>
      </c>
      <c r="K60" s="112">
        <f t="shared" si="43"/>
        <v>0.13799431414157631</v>
      </c>
      <c r="L60" s="112">
        <f t="shared" si="43"/>
        <v>0.15031717446872883</v>
      </c>
      <c r="M60" s="112">
        <f t="shared" si="43"/>
        <v>0.16211781617283327</v>
      </c>
      <c r="N60" s="112">
        <f t="shared" si="43"/>
        <v>0.17357106888056056</v>
      </c>
      <c r="O60" s="112">
        <f t="shared" si="43"/>
        <v>0.18411251327614211</v>
      </c>
      <c r="P60" s="112">
        <f t="shared" si="43"/>
        <v>0.19385865083914919</v>
      </c>
      <c r="Q60" s="112">
        <f t="shared" ref="Q60:V60" si="44">Q58/Q59</f>
        <v>0.2221374277705972</v>
      </c>
      <c r="R60" s="112">
        <f t="shared" si="44"/>
        <v>0.22790297267969151</v>
      </c>
      <c r="S60" s="112">
        <f t="shared" si="44"/>
        <v>0.23211303025919419</v>
      </c>
      <c r="T60" s="112">
        <f t="shared" si="44"/>
        <v>0.24340099571515464</v>
      </c>
      <c r="U60" s="112">
        <f t="shared" si="44"/>
        <v>0.24385584014761169</v>
      </c>
      <c r="V60" s="112">
        <f t="shared" si="44"/>
        <v>0.23713972727288241</v>
      </c>
    </row>
    <row r="61" spans="2:22" outlineLevel="1"/>
    <row r="62" spans="2:22" outlineLevel="1">
      <c r="B62" t="s">
        <v>9</v>
      </c>
      <c r="D62" s="82">
        <f>D58</f>
        <v>101.30000000000001</v>
      </c>
      <c r="E62" s="82">
        <f t="shared" ref="E62:P62" si="45">E58</f>
        <v>253.59999999999997</v>
      </c>
      <c r="F62" s="82">
        <f t="shared" si="45"/>
        <v>353.74999999999989</v>
      </c>
      <c r="G62" s="82">
        <f t="shared" si="45"/>
        <v>195.74</v>
      </c>
      <c r="H62" s="82">
        <f t="shared" si="45"/>
        <v>357.83999999999992</v>
      </c>
      <c r="I62" s="82">
        <f t="shared" si="45"/>
        <v>433.06669549449975</v>
      </c>
      <c r="J62" s="82">
        <f t="shared" si="45"/>
        <v>543.64515697071977</v>
      </c>
      <c r="K62" s="82">
        <f t="shared" si="45"/>
        <v>684.08273992632326</v>
      </c>
      <c r="L62" s="82">
        <f t="shared" si="45"/>
        <v>882.03897254397407</v>
      </c>
      <c r="M62" s="82">
        <f t="shared" si="45"/>
        <v>1119.1606350582661</v>
      </c>
      <c r="N62" s="82">
        <f t="shared" si="45"/>
        <v>1399.4006905344659</v>
      </c>
      <c r="O62" s="82">
        <f t="shared" si="45"/>
        <v>1723.7549952516031</v>
      </c>
      <c r="P62" s="82">
        <f t="shared" si="45"/>
        <v>2082.0941015805279</v>
      </c>
      <c r="Q62" s="82">
        <f t="shared" ref="Q62:V62" si="46">Q58</f>
        <v>2701.6644330456616</v>
      </c>
      <c r="R62" s="82">
        <f t="shared" si="46"/>
        <v>3082.126616829667</v>
      </c>
      <c r="S62" s="82">
        <f t="shared" si="46"/>
        <v>3448.4417216700404</v>
      </c>
      <c r="T62" s="82">
        <f t="shared" si="46"/>
        <v>3924.9235019986272</v>
      </c>
      <c r="U62" s="82">
        <f t="shared" si="46"/>
        <v>4213.8545075556449</v>
      </c>
      <c r="V62" s="82">
        <f t="shared" si="46"/>
        <v>4373.2789578524116</v>
      </c>
    </row>
    <row r="63" spans="2:22" outlineLevel="1">
      <c r="B63" t="s">
        <v>133</v>
      </c>
      <c r="D63" s="82">
        <f>D36</f>
        <v>684</v>
      </c>
      <c r="E63" s="82">
        <f t="shared" ref="E63:P63" si="47">E36</f>
        <v>726</v>
      </c>
      <c r="F63" s="82">
        <f t="shared" si="47"/>
        <v>1070</v>
      </c>
      <c r="G63" s="82">
        <f t="shared" si="47"/>
        <v>1255</v>
      </c>
      <c r="H63" s="82">
        <f t="shared" si="47"/>
        <v>1904</v>
      </c>
      <c r="I63" s="82">
        <f t="shared" si="47"/>
        <v>2306.7520268098851</v>
      </c>
      <c r="J63" s="82">
        <f t="shared" si="47"/>
        <v>2806.9055712229474</v>
      </c>
      <c r="K63" s="82">
        <f t="shared" si="47"/>
        <v>3422.5800371566384</v>
      </c>
      <c r="L63" s="82">
        <f t="shared" si="47"/>
        <v>4198.7743329953364</v>
      </c>
      <c r="M63" s="82">
        <f t="shared" si="47"/>
        <v>5116.486053743115</v>
      </c>
      <c r="N63" s="82">
        <f t="shared" si="47"/>
        <v>6208.0185923599984</v>
      </c>
      <c r="O63" s="82">
        <f t="shared" si="47"/>
        <v>7414.6470890361215</v>
      </c>
      <c r="P63" s="82">
        <f t="shared" si="47"/>
        <v>8663.9035499844376</v>
      </c>
      <c r="Q63" s="82">
        <f t="shared" ref="Q63:V63" si="48">Q36</f>
        <v>10014.735766507269</v>
      </c>
      <c r="R63" s="82">
        <f t="shared" si="48"/>
        <v>11247.586413239134</v>
      </c>
      <c r="S63" s="82">
        <f t="shared" si="48"/>
        <v>12454.541015823648</v>
      </c>
      <c r="T63" s="82">
        <f t="shared" si="48"/>
        <v>13632.018066423236</v>
      </c>
      <c r="U63" s="82">
        <f t="shared" si="48"/>
        <v>14685.481693312146</v>
      </c>
      <c r="V63" s="82">
        <f t="shared" si="48"/>
        <v>15778.801432775248</v>
      </c>
    </row>
    <row r="64" spans="2:22" outlineLevel="1">
      <c r="B64" s="46" t="s">
        <v>159</v>
      </c>
      <c r="C64" s="46"/>
      <c r="D64" s="112">
        <f>D62/D63</f>
        <v>0.14809941520467837</v>
      </c>
      <c r="E64" s="112">
        <f t="shared" ref="E64:P64" si="49">E62/E63</f>
        <v>0.34931129476584016</v>
      </c>
      <c r="F64" s="112">
        <f t="shared" si="49"/>
        <v>0.33060747663551393</v>
      </c>
      <c r="G64" s="112">
        <f t="shared" si="49"/>
        <v>0.15596812749003985</v>
      </c>
      <c r="H64" s="112">
        <f t="shared" si="49"/>
        <v>0.18794117647058819</v>
      </c>
      <c r="I64" s="112">
        <f t="shared" si="49"/>
        <v>0.18773872980764555</v>
      </c>
      <c r="J64" s="112">
        <f t="shared" si="49"/>
        <v>0.19368131316717496</v>
      </c>
      <c r="K64" s="112">
        <f t="shared" si="49"/>
        <v>0.19987340909480547</v>
      </c>
      <c r="L64" s="112">
        <f t="shared" si="49"/>
        <v>0.21007058312532409</v>
      </c>
      <c r="M64" s="112">
        <f t="shared" si="49"/>
        <v>0.21873618403386663</v>
      </c>
      <c r="N64" s="112">
        <f t="shared" si="49"/>
        <v>0.22541825056011619</v>
      </c>
      <c r="O64" s="112">
        <f t="shared" si="49"/>
        <v>0.23247970868370557</v>
      </c>
      <c r="P64" s="112">
        <f t="shared" si="49"/>
        <v>0.24031824564624427</v>
      </c>
      <c r="Q64" s="112">
        <f t="shared" ref="Q64:V64" si="50">Q62/Q63</f>
        <v>0.26976891812572423</v>
      </c>
      <c r="R64" s="112">
        <f t="shared" si="50"/>
        <v>0.27402560012357896</v>
      </c>
      <c r="S64" s="112">
        <f t="shared" si="50"/>
        <v>0.27688228071100757</v>
      </c>
      <c r="T64" s="112">
        <f t="shared" si="50"/>
        <v>0.28791947625612613</v>
      </c>
      <c r="U64" s="112">
        <f t="shared" si="50"/>
        <v>0.28694016277822598</v>
      </c>
      <c r="V64" s="112">
        <f t="shared" si="50"/>
        <v>0.27716167013600723</v>
      </c>
    </row>
    <row r="66" spans="1:22" ht="15" customHeight="1">
      <c r="A66" t="s">
        <v>35</v>
      </c>
      <c r="B66" s="131" t="s">
        <v>145</v>
      </c>
      <c r="C66" s="131"/>
      <c r="D66" s="131"/>
      <c r="E66" s="131"/>
      <c r="F66" s="131"/>
      <c r="G66" s="131"/>
      <c r="H66" s="131"/>
      <c r="I66" s="131"/>
      <c r="J66" s="131"/>
      <c r="K66" s="131"/>
      <c r="L66" s="131"/>
      <c r="M66" s="131"/>
      <c r="N66" s="131"/>
      <c r="O66" s="131"/>
      <c r="P66" s="131"/>
      <c r="Q66" s="131"/>
      <c r="R66" s="131"/>
      <c r="S66" s="131"/>
      <c r="T66" s="131"/>
      <c r="U66" s="131"/>
      <c r="V66" s="131"/>
    </row>
    <row r="67" spans="1:22" outlineLevel="1"/>
    <row r="68" spans="1:22" outlineLevel="1">
      <c r="B68" t="s">
        <v>2</v>
      </c>
      <c r="D68" s="82">
        <f>D47</f>
        <v>829</v>
      </c>
      <c r="E68" s="82">
        <f t="shared" ref="E68:P68" si="51">E47</f>
        <v>1551</v>
      </c>
      <c r="F68" s="82">
        <f t="shared" si="51"/>
        <v>2188</v>
      </c>
      <c r="G68" s="82">
        <f t="shared" si="51"/>
        <v>1929</v>
      </c>
      <c r="H68" s="82">
        <f t="shared" si="51"/>
        <v>2550</v>
      </c>
      <c r="I68" s="82">
        <f t="shared" si="51"/>
        <v>2958</v>
      </c>
      <c r="J68" s="82">
        <f t="shared" si="51"/>
        <v>3608.7599999999998</v>
      </c>
      <c r="K68" s="82">
        <f t="shared" si="51"/>
        <v>4510.95</v>
      </c>
      <c r="L68" s="82">
        <f t="shared" si="51"/>
        <v>5638.6875</v>
      </c>
      <c r="M68" s="82">
        <f t="shared" si="51"/>
        <v>6949.6823437499997</v>
      </c>
      <c r="N68" s="82">
        <f t="shared" si="51"/>
        <v>8443.8640476562487</v>
      </c>
      <c r="O68" s="82">
        <f t="shared" si="51"/>
        <v>10111.527197068357</v>
      </c>
      <c r="P68" s="82">
        <f t="shared" si="51"/>
        <v>11931.602092540661</v>
      </c>
      <c r="Q68" s="82">
        <f t="shared" ref="Q68:V68" si="52">Q47</f>
        <v>13721.34240642176</v>
      </c>
      <c r="R68" s="82">
        <f t="shared" si="52"/>
        <v>15642.330343320808</v>
      </c>
      <c r="S68" s="82">
        <f t="shared" si="52"/>
        <v>17519.409984519305</v>
      </c>
      <c r="T68" s="82">
        <f t="shared" si="52"/>
        <v>19271.350982971238</v>
      </c>
      <c r="U68" s="82">
        <f t="shared" si="52"/>
        <v>20813.059061608939</v>
      </c>
      <c r="V68" s="82">
        <f t="shared" si="52"/>
        <v>21853.712014689387</v>
      </c>
    </row>
    <row r="69" spans="1:22" outlineLevel="1">
      <c r="B69" t="s">
        <v>20</v>
      </c>
      <c r="D69" s="82">
        <f>D59</f>
        <v>1448.9760000000001</v>
      </c>
      <c r="E69" s="82">
        <f t="shared" ref="E69:P69" si="53">E59</f>
        <v>2124.0259999999998</v>
      </c>
      <c r="F69" s="82">
        <f t="shared" si="53"/>
        <v>2432.201</v>
      </c>
      <c r="G69" s="82">
        <f t="shared" si="53"/>
        <v>2793.9609999999998</v>
      </c>
      <c r="H69" s="82">
        <f t="shared" si="53"/>
        <v>3151.9609999999998</v>
      </c>
      <c r="I69" s="82">
        <f t="shared" si="53"/>
        <v>3643.5560405085148</v>
      </c>
      <c r="J69" s="82">
        <f t="shared" si="53"/>
        <v>4227.9549438256872</v>
      </c>
      <c r="K69" s="82">
        <f t="shared" si="53"/>
        <v>4957.3255549100622</v>
      </c>
      <c r="L69" s="82">
        <f t="shared" si="53"/>
        <v>5867.8522641301288</v>
      </c>
      <c r="M69" s="82">
        <f t="shared" si="53"/>
        <v>6903.3784285937618</v>
      </c>
      <c r="N69" s="82">
        <f t="shared" si="53"/>
        <v>8062.4075173347883</v>
      </c>
      <c r="O69" s="82">
        <f t="shared" si="53"/>
        <v>9362.5086344143274</v>
      </c>
      <c r="P69" s="82">
        <f t="shared" si="53"/>
        <v>10740.269224859658</v>
      </c>
      <c r="Q69" s="82">
        <f t="shared" ref="Q69:V69" si="54">Q59</f>
        <v>12162.130714125709</v>
      </c>
      <c r="R69" s="82">
        <f t="shared" si="54"/>
        <v>13523.85438675902</v>
      </c>
      <c r="S69" s="82">
        <f t="shared" si="54"/>
        <v>14856.734746081514</v>
      </c>
      <c r="T69" s="82">
        <f t="shared" si="54"/>
        <v>16125.338725367645</v>
      </c>
      <c r="U69" s="82">
        <f t="shared" si="54"/>
        <v>17280.104938249169</v>
      </c>
      <c r="V69" s="82">
        <f t="shared" si="54"/>
        <v>18441.781173257292</v>
      </c>
    </row>
    <row r="70" spans="1:22" outlineLevel="1">
      <c r="B70" s="46" t="s">
        <v>150</v>
      </c>
      <c r="C70" s="46"/>
      <c r="D70" s="112">
        <f>D68/D69</f>
        <v>0.57212817879661215</v>
      </c>
      <c r="E70" s="112">
        <f t="shared" ref="E70:O70" si="55">E68/E69</f>
        <v>0.73021705007377502</v>
      </c>
      <c r="F70" s="112">
        <f t="shared" si="55"/>
        <v>0.89959670273961734</v>
      </c>
      <c r="G70" s="112">
        <f t="shared" si="55"/>
        <v>0.69041765436239089</v>
      </c>
      <c r="H70" s="112">
        <f t="shared" si="55"/>
        <v>0.80902016236876029</v>
      </c>
      <c r="I70" s="112">
        <f t="shared" si="55"/>
        <v>0.81184424422553003</v>
      </c>
      <c r="J70" s="112">
        <f t="shared" si="55"/>
        <v>0.85354741191603012</v>
      </c>
      <c r="K70" s="112">
        <f t="shared" si="55"/>
        <v>0.90995637668622698</v>
      </c>
      <c r="L70" s="112">
        <f t="shared" si="55"/>
        <v>0.96094571679471197</v>
      </c>
      <c r="M70" s="112">
        <f t="shared" si="55"/>
        <v>1.006707428201306</v>
      </c>
      <c r="N70" s="112">
        <f t="shared" si="55"/>
        <v>1.0473129805831942</v>
      </c>
      <c r="O70" s="112">
        <f t="shared" si="55"/>
        <v>1.0800019088795088</v>
      </c>
      <c r="P70" s="112">
        <f>P68/P69</f>
        <v>1.1109220674769975</v>
      </c>
      <c r="Q70" s="112">
        <f t="shared" ref="Q70:V70" si="56">Q68/Q69</f>
        <v>1.1282021817513526</v>
      </c>
      <c r="R70" s="112">
        <f t="shared" si="56"/>
        <v>1.1566473503763803</v>
      </c>
      <c r="S70" s="112">
        <f t="shared" si="56"/>
        <v>1.1792234487554591</v>
      </c>
      <c r="T70" s="112">
        <f t="shared" si="56"/>
        <v>1.1950974370947278</v>
      </c>
      <c r="U70" s="112">
        <f t="shared" si="56"/>
        <v>1.204452122020373</v>
      </c>
      <c r="V70" s="112">
        <f t="shared" si="56"/>
        <v>1.1850109167535177</v>
      </c>
    </row>
    <row r="71" spans="1:22" outlineLevel="1"/>
    <row r="72" spans="1:22" outlineLevel="1">
      <c r="B72" t="s">
        <v>146</v>
      </c>
      <c r="D72">
        <v>0</v>
      </c>
      <c r="E72" s="82">
        <f>E68-D68</f>
        <v>722</v>
      </c>
      <c r="F72" s="82">
        <f t="shared" ref="F72:P72" si="57">F68-E68</f>
        <v>637</v>
      </c>
      <c r="G72" s="82">
        <f t="shared" si="57"/>
        <v>-259</v>
      </c>
      <c r="H72" s="82">
        <f t="shared" si="57"/>
        <v>621</v>
      </c>
      <c r="I72" s="82">
        <f t="shared" si="57"/>
        <v>408</v>
      </c>
      <c r="J72" s="82">
        <f t="shared" si="57"/>
        <v>650.75999999999976</v>
      </c>
      <c r="K72" s="82">
        <f t="shared" si="57"/>
        <v>902.19</v>
      </c>
      <c r="L72" s="82">
        <f t="shared" si="57"/>
        <v>1127.7375000000002</v>
      </c>
      <c r="M72" s="82">
        <f t="shared" si="57"/>
        <v>1310.9948437499997</v>
      </c>
      <c r="N72" s="82">
        <f t="shared" si="57"/>
        <v>1494.1817039062489</v>
      </c>
      <c r="O72" s="82">
        <f t="shared" si="57"/>
        <v>1667.6631494121084</v>
      </c>
      <c r="P72" s="82">
        <f t="shared" si="57"/>
        <v>1820.074895472304</v>
      </c>
      <c r="Q72" s="82">
        <f t="shared" ref="Q72:Q73" si="58">Q68-P68</f>
        <v>1789.7403138810987</v>
      </c>
      <c r="R72" s="82">
        <f t="shared" ref="R72:R73" si="59">R68-Q68</f>
        <v>1920.9879368990478</v>
      </c>
      <c r="S72" s="82">
        <f t="shared" ref="S72:S73" si="60">S68-R68</f>
        <v>1877.0796411984975</v>
      </c>
      <c r="T72" s="82">
        <f t="shared" ref="T72:T73" si="61">T68-S68</f>
        <v>1751.9409984519334</v>
      </c>
      <c r="U72" s="82">
        <f t="shared" ref="U72:U73" si="62">U68-T68</f>
        <v>1541.708078637701</v>
      </c>
      <c r="V72" s="82">
        <f t="shared" ref="V72:V73" si="63">V68-U68</f>
        <v>1040.6529530804473</v>
      </c>
    </row>
    <row r="73" spans="1:22" outlineLevel="1">
      <c r="B73" t="s">
        <v>147</v>
      </c>
      <c r="D73">
        <v>0</v>
      </c>
      <c r="E73" s="82">
        <f>E69-D69</f>
        <v>675.04999999999973</v>
      </c>
      <c r="F73" s="82">
        <f t="shared" ref="F73:P73" si="64">F69-E69</f>
        <v>308.17500000000018</v>
      </c>
      <c r="G73" s="82">
        <f t="shared" si="64"/>
        <v>361.75999999999976</v>
      </c>
      <c r="H73" s="82">
        <f t="shared" si="64"/>
        <v>358</v>
      </c>
      <c r="I73" s="82">
        <f t="shared" si="64"/>
        <v>491.59504050851501</v>
      </c>
      <c r="J73" s="82">
        <f t="shared" si="64"/>
        <v>584.39890331717243</v>
      </c>
      <c r="K73" s="82">
        <f t="shared" si="64"/>
        <v>729.37061108437501</v>
      </c>
      <c r="L73" s="82">
        <f t="shared" si="64"/>
        <v>910.52670922006655</v>
      </c>
      <c r="M73" s="82">
        <f t="shared" si="64"/>
        <v>1035.526164463633</v>
      </c>
      <c r="N73" s="82">
        <f t="shared" si="64"/>
        <v>1159.0290887410265</v>
      </c>
      <c r="O73" s="82">
        <f t="shared" si="64"/>
        <v>1300.1011170795391</v>
      </c>
      <c r="P73" s="82">
        <f t="shared" si="64"/>
        <v>1377.7605904453303</v>
      </c>
      <c r="Q73" s="82">
        <f t="shared" si="58"/>
        <v>1421.8614892660516</v>
      </c>
      <c r="R73" s="82">
        <f t="shared" si="59"/>
        <v>1361.7236726333103</v>
      </c>
      <c r="S73" s="82">
        <f t="shared" si="60"/>
        <v>1332.8803593224948</v>
      </c>
      <c r="T73" s="82">
        <f t="shared" si="61"/>
        <v>1268.6039792861302</v>
      </c>
      <c r="U73" s="82">
        <f t="shared" si="62"/>
        <v>1154.7662128815246</v>
      </c>
      <c r="V73" s="82">
        <f t="shared" si="63"/>
        <v>1161.6762350081226</v>
      </c>
    </row>
    <row r="74" spans="1:22" outlineLevel="1">
      <c r="B74" s="46" t="s">
        <v>148</v>
      </c>
      <c r="C74" s="46"/>
      <c r="D74" s="46"/>
      <c r="E74" s="114">
        <f>E72/E73</f>
        <v>1.0695504036738024</v>
      </c>
      <c r="F74" s="114">
        <f t="shared" ref="F74:P74" si="65">F72/F73</f>
        <v>2.067007382169221</v>
      </c>
      <c r="G74" s="114">
        <f t="shared" si="65"/>
        <v>-0.71594427244582093</v>
      </c>
      <c r="H74" s="114">
        <f t="shared" si="65"/>
        <v>1.73463687150838</v>
      </c>
      <c r="I74" s="114">
        <f t="shared" si="65"/>
        <v>0.82995141606383427</v>
      </c>
      <c r="J74" s="114">
        <f t="shared" si="65"/>
        <v>1.1135544510883708</v>
      </c>
      <c r="K74" s="114">
        <f t="shared" si="65"/>
        <v>1.2369431757864355</v>
      </c>
      <c r="L74" s="114">
        <f t="shared" si="65"/>
        <v>1.23855510066914</v>
      </c>
      <c r="M74" s="114">
        <f t="shared" si="65"/>
        <v>1.266018077321156</v>
      </c>
      <c r="N74" s="114">
        <f t="shared" si="65"/>
        <v>1.2891666985936268</v>
      </c>
      <c r="O74" s="114">
        <f t="shared" si="65"/>
        <v>1.282718034392768</v>
      </c>
      <c r="P74" s="114">
        <f t="shared" si="65"/>
        <v>1.3210385810817868</v>
      </c>
      <c r="Q74" s="114">
        <f t="shared" ref="Q74:V74" si="66">Q72/Q73</f>
        <v>1.2587304230350467</v>
      </c>
      <c r="R74" s="114">
        <f t="shared" si="66"/>
        <v>1.4107031958871865</v>
      </c>
      <c r="S74" s="114">
        <f t="shared" si="66"/>
        <v>1.4082881693542397</v>
      </c>
      <c r="T74" s="114">
        <f t="shared" si="66"/>
        <v>1.3809991353154882</v>
      </c>
      <c r="U74" s="114">
        <f t="shared" si="66"/>
        <v>1.3350824274557083</v>
      </c>
      <c r="V74" s="114">
        <f t="shared" si="66"/>
        <v>0.89582012760480634</v>
      </c>
    </row>
    <row r="75" spans="1:22" outlineLevel="1"/>
    <row r="76" spans="1:22" outlineLevel="1">
      <c r="B76" t="s">
        <v>78</v>
      </c>
      <c r="D76" s="83">
        <f>'3 Statement Model'!D13</f>
        <v>385</v>
      </c>
      <c r="E76" s="83">
        <f>'3 Statement Model'!E13</f>
        <v>761</v>
      </c>
      <c r="F76" s="83">
        <f>'3 Statement Model'!F13</f>
        <v>1115</v>
      </c>
      <c r="G76" s="83">
        <f>'3 Statement Model'!G13</f>
        <v>1061</v>
      </c>
      <c r="H76" s="83">
        <f>'3 Statement Model'!H13</f>
        <v>1353</v>
      </c>
      <c r="I76" s="83">
        <f>'3 Statement Model'!I13</f>
        <v>1626.9</v>
      </c>
      <c r="J76" s="83">
        <f>'3 Statement Model'!J13</f>
        <v>1963.16544</v>
      </c>
      <c r="K76" s="83">
        <f>'3 Statement Model'!K13</f>
        <v>2453.9567999999999</v>
      </c>
      <c r="L76" s="83">
        <f>'3 Statement Model'!L13</f>
        <v>3040.3803000000003</v>
      </c>
      <c r="M76" s="83">
        <f>'3 Statement Model'!M13</f>
        <v>3713.9102444999999</v>
      </c>
      <c r="N76" s="83">
        <f>'3 Statement Model'!N13</f>
        <v>4471.8703996387503</v>
      </c>
      <c r="O76" s="83">
        <f>'3 Statement Model'!O13</f>
        <v>5306.5294730214755</v>
      </c>
      <c r="P76" s="83">
        <f>'3 Statement Model'!P13</f>
        <v>6204.4330881211436</v>
      </c>
      <c r="Q76" s="83">
        <f>'3 Statement Model'!Q13</f>
        <v>6723.4577791466618</v>
      </c>
      <c r="R76" s="83">
        <f>'3 Statement Model'!R13</f>
        <v>7664.7418682271955</v>
      </c>
      <c r="S76" s="83">
        <f>'3 Statement Model'!S13</f>
        <v>8584.5108924144588</v>
      </c>
      <c r="T76" s="83">
        <f>'3 Statement Model'!T13</f>
        <v>9250.2484718261949</v>
      </c>
      <c r="U76" s="83">
        <f>'3 Statement Model'!U13</f>
        <v>9990.2683495722904</v>
      </c>
      <c r="V76" s="83">
        <f>'3 Statement Model'!V13</f>
        <v>10489.781767050905</v>
      </c>
    </row>
    <row r="77" spans="1:22" outlineLevel="1">
      <c r="B77" t="s">
        <v>13</v>
      </c>
      <c r="D77" s="83">
        <f>'3 Statement Model'!D53</f>
        <v>54</v>
      </c>
      <c r="E77" s="83">
        <f>'3 Statement Model'!E53</f>
        <v>154</v>
      </c>
      <c r="F77" s="83">
        <f>'3 Statement Model'!F53</f>
        <v>212</v>
      </c>
      <c r="G77" s="83">
        <f>'3 Statement Model'!G53</f>
        <v>263</v>
      </c>
      <c r="H77" s="83">
        <f>'3 Statement Model'!H53</f>
        <v>388</v>
      </c>
      <c r="I77" s="83">
        <f>'3 Statement Model'!I53</f>
        <v>397.1013698630137</v>
      </c>
      <c r="J77" s="83">
        <f>'3 Statement Model'!J53</f>
        <v>484.46367123287666</v>
      </c>
      <c r="K77" s="83">
        <f>'3 Statement Model'!K53</f>
        <v>630.29712328767118</v>
      </c>
      <c r="L77" s="83">
        <f>'3 Statement Model'!L53</f>
        <v>818.76832191780829</v>
      </c>
      <c r="M77" s="83">
        <f>'3 Statement Model'!M53</f>
        <v>990.09173116438353</v>
      </c>
      <c r="N77" s="83">
        <f>'3 Statement Model'!N53</f>
        <v>1179.8275792615582</v>
      </c>
      <c r="O77" s="83">
        <f>'3 Statement Model'!O53</f>
        <v>1357.4378976886287</v>
      </c>
      <c r="P77" s="83">
        <f>'3 Statement Model'!P53</f>
        <v>1601.7767192725821</v>
      </c>
      <c r="Q77" s="83">
        <f>'3 Statement Model'!Q53</f>
        <v>1842.0432271634691</v>
      </c>
      <c r="R77" s="83">
        <f>'3 Statement Model'!R53</f>
        <v>2099.929278966355</v>
      </c>
      <c r="S77" s="83">
        <f>'3 Statement Model'!S53</f>
        <v>2351.9207924423176</v>
      </c>
      <c r="T77" s="83">
        <f>'3 Statement Model'!T53</f>
        <v>2587.1128716865496</v>
      </c>
      <c r="U77" s="83">
        <f>'3 Statement Model'!U53</f>
        <v>2794.0819014214744</v>
      </c>
      <c r="V77" s="83">
        <f>'3 Statement Model'!V53</f>
        <v>2933.7859964925478</v>
      </c>
    </row>
    <row r="78" spans="1:22" outlineLevel="1">
      <c r="B78" s="46" t="s">
        <v>149</v>
      </c>
      <c r="C78" s="46"/>
      <c r="D78" s="511">
        <f>D76/D77</f>
        <v>7.1296296296296298</v>
      </c>
      <c r="E78" s="511">
        <f t="shared" ref="E78:P78" si="67">E76/E77</f>
        <v>4.9415584415584419</v>
      </c>
      <c r="F78" s="511">
        <f t="shared" si="67"/>
        <v>5.2594339622641506</v>
      </c>
      <c r="G78" s="511">
        <f t="shared" si="67"/>
        <v>4.0342205323193916</v>
      </c>
      <c r="H78" s="511">
        <f t="shared" si="67"/>
        <v>3.4871134020618557</v>
      </c>
      <c r="I78" s="511">
        <f t="shared" si="67"/>
        <v>4.0969387755102042</v>
      </c>
      <c r="J78" s="511">
        <f t="shared" si="67"/>
        <v>4.0522448979591843</v>
      </c>
      <c r="K78" s="511">
        <f t="shared" si="67"/>
        <v>3.8933333333333335</v>
      </c>
      <c r="L78" s="511">
        <f t="shared" si="67"/>
        <v>3.7133584905660375</v>
      </c>
      <c r="M78" s="511">
        <f t="shared" si="67"/>
        <v>3.7510769230769232</v>
      </c>
      <c r="N78" s="511">
        <f t="shared" si="67"/>
        <v>3.7902745098039219</v>
      </c>
      <c r="O78" s="511">
        <f t="shared" si="67"/>
        <v>3.9092244897959199</v>
      </c>
      <c r="P78" s="511">
        <f t="shared" si="67"/>
        <v>3.8734693877551014</v>
      </c>
      <c r="Q78" s="511">
        <f t="shared" ref="Q78:V78" si="68">Q76/Q77</f>
        <v>3.65</v>
      </c>
      <c r="R78" s="511">
        <f t="shared" si="68"/>
        <v>3.65</v>
      </c>
      <c r="S78" s="511">
        <f t="shared" si="68"/>
        <v>3.65</v>
      </c>
      <c r="T78" s="511">
        <f t="shared" si="68"/>
        <v>3.5755102040816329</v>
      </c>
      <c r="U78" s="511">
        <f t="shared" si="68"/>
        <v>3.575510204081632</v>
      </c>
      <c r="V78" s="511">
        <f t="shared" si="68"/>
        <v>3.5755102040816324</v>
      </c>
    </row>
    <row r="80" spans="1:22" ht="15" customHeight="1">
      <c r="A80" t="s">
        <v>35</v>
      </c>
      <c r="B80" s="131" t="s">
        <v>151</v>
      </c>
      <c r="C80" s="131"/>
      <c r="D80" s="131"/>
      <c r="E80" s="131"/>
      <c r="F80" s="131"/>
      <c r="G80" s="131"/>
      <c r="H80" s="131"/>
      <c r="I80" s="131"/>
      <c r="J80" s="131"/>
      <c r="K80" s="131"/>
      <c r="L80" s="131"/>
      <c r="M80" s="131"/>
      <c r="N80" s="131"/>
      <c r="O80" s="131"/>
      <c r="P80" s="131"/>
      <c r="Q80" s="131"/>
      <c r="R80" s="131"/>
      <c r="S80" s="131"/>
      <c r="T80" s="131"/>
      <c r="U80" s="131"/>
      <c r="V80" s="131"/>
    </row>
    <row r="81" spans="2:23" outlineLevel="1"/>
    <row r="82" spans="2:23" outlineLevel="1">
      <c r="B82" t="s">
        <v>152</v>
      </c>
      <c r="D82" s="82">
        <f>D32</f>
        <v>415</v>
      </c>
      <c r="E82" s="82">
        <f t="shared" ref="E82:P82" si="69">E32</f>
        <v>848</v>
      </c>
      <c r="F82" s="82">
        <f t="shared" si="69"/>
        <v>637</v>
      </c>
      <c r="G82" s="82">
        <f t="shared" si="69"/>
        <v>768</v>
      </c>
      <c r="H82" s="82">
        <f t="shared" si="69"/>
        <v>499</v>
      </c>
      <c r="I82" s="82">
        <f t="shared" si="69"/>
        <v>551.21</v>
      </c>
      <c r="J82" s="82">
        <f t="shared" si="69"/>
        <v>589.23160000000007</v>
      </c>
      <c r="K82" s="82">
        <f t="shared" si="69"/>
        <v>635.53605200000004</v>
      </c>
      <c r="L82" s="82">
        <f t="shared" si="69"/>
        <v>689.37647908000008</v>
      </c>
      <c r="M82" s="82">
        <f t="shared" si="69"/>
        <v>714.76654683695017</v>
      </c>
      <c r="N82" s="82">
        <f t="shared" si="69"/>
        <v>678.50293872290786</v>
      </c>
      <c r="O82" s="82">
        <f t="shared" si="69"/>
        <v>658.47869975882838</v>
      </c>
      <c r="P82" s="82">
        <f t="shared" si="69"/>
        <v>664.05233403670979</v>
      </c>
      <c r="Q82" s="82">
        <f t="shared" ref="Q82:V82" si="70">Q32</f>
        <v>664.05233403670979</v>
      </c>
      <c r="R82" s="82">
        <f t="shared" si="70"/>
        <v>664.05233403670979</v>
      </c>
      <c r="S82" s="82">
        <f t="shared" si="70"/>
        <v>664.05233403670979</v>
      </c>
      <c r="T82" s="82">
        <f t="shared" si="70"/>
        <v>664.05233403670979</v>
      </c>
      <c r="U82" s="82">
        <f t="shared" si="70"/>
        <v>664.05233403670979</v>
      </c>
      <c r="V82" s="82">
        <f t="shared" si="70"/>
        <v>664.05233403670979</v>
      </c>
    </row>
    <row r="83" spans="2:23" outlineLevel="1">
      <c r="B83" t="s">
        <v>93</v>
      </c>
      <c r="D83" s="82">
        <f>D46</f>
        <v>261.8</v>
      </c>
      <c r="E83" s="82">
        <f t="shared" ref="E83:P83" si="71">E46</f>
        <v>510.2</v>
      </c>
      <c r="F83" s="82">
        <f t="shared" si="71"/>
        <v>689.4</v>
      </c>
      <c r="G83" s="82">
        <f t="shared" si="71"/>
        <v>480.7</v>
      </c>
      <c r="H83" s="82">
        <f t="shared" si="71"/>
        <v>711.4</v>
      </c>
      <c r="I83" s="82">
        <f t="shared" si="71"/>
        <v>769.07999999999981</v>
      </c>
      <c r="J83" s="82">
        <f t="shared" si="71"/>
        <v>959.93015999999977</v>
      </c>
      <c r="K83" s="82">
        <f t="shared" si="71"/>
        <v>1199.9126999999999</v>
      </c>
      <c r="L83" s="82">
        <f t="shared" si="71"/>
        <v>1526.9565749999997</v>
      </c>
      <c r="M83" s="82">
        <f t="shared" si="71"/>
        <v>1915.3324539374998</v>
      </c>
      <c r="N83" s="82">
        <f t="shared" si="71"/>
        <v>2367.6594789628107</v>
      </c>
      <c r="O83" s="82">
        <f t="shared" si="71"/>
        <v>2883.8075566038933</v>
      </c>
      <c r="P83" s="82">
        <f t="shared" si="71"/>
        <v>3460.1646068367918</v>
      </c>
      <c r="Q83" s="82">
        <f t="shared" ref="Q83:V83" si="72">Q46</f>
        <v>4390.8295700549634</v>
      </c>
      <c r="R83" s="82">
        <f t="shared" si="72"/>
        <v>5005.5457098626584</v>
      </c>
      <c r="S83" s="82">
        <f t="shared" si="72"/>
        <v>5606.2111950461785</v>
      </c>
      <c r="T83" s="82">
        <f t="shared" si="72"/>
        <v>6359.5458243805078</v>
      </c>
      <c r="U83" s="82">
        <f t="shared" si="72"/>
        <v>6868.3094903309502</v>
      </c>
      <c r="V83" s="82">
        <f t="shared" si="72"/>
        <v>7211.7249648474981</v>
      </c>
    </row>
    <row r="84" spans="2:23" outlineLevel="1">
      <c r="B84" s="46" t="s">
        <v>153</v>
      </c>
      <c r="C84" s="46"/>
      <c r="D84" s="112">
        <f>D82/D83</f>
        <v>1.5851795263559969</v>
      </c>
      <c r="E84" s="112">
        <f t="shared" ref="E84:P84" si="73">E82/E83</f>
        <v>1.662093296746374</v>
      </c>
      <c r="F84" s="112">
        <f t="shared" si="73"/>
        <v>0.92399187699448804</v>
      </c>
      <c r="G84" s="112">
        <f t="shared" si="73"/>
        <v>1.5976700644892865</v>
      </c>
      <c r="H84" s="112">
        <f t="shared" si="73"/>
        <v>0.70143379252178806</v>
      </c>
      <c r="I84" s="112">
        <f t="shared" si="73"/>
        <v>0.7167134758412651</v>
      </c>
      <c r="J84" s="112">
        <f t="shared" si="73"/>
        <v>0.61382757262257515</v>
      </c>
      <c r="K84" s="112">
        <f t="shared" si="73"/>
        <v>0.52965190884303515</v>
      </c>
      <c r="L84" s="112">
        <f t="shared" si="73"/>
        <v>0.45147091303496972</v>
      </c>
      <c r="M84" s="112">
        <f t="shared" si="73"/>
        <v>0.37318145232048267</v>
      </c>
      <c r="N84" s="112">
        <f t="shared" si="73"/>
        <v>0.28657116648384606</v>
      </c>
      <c r="O84" s="112">
        <f t="shared" si="73"/>
        <v>0.22833656089530596</v>
      </c>
      <c r="P84" s="112">
        <f t="shared" si="73"/>
        <v>0.19191350975749452</v>
      </c>
      <c r="Q84" s="112">
        <f t="shared" ref="Q84:V84" si="74">Q82/Q83</f>
        <v>0.15123618975454731</v>
      </c>
      <c r="R84" s="112">
        <f t="shared" si="74"/>
        <v>0.13266332434609412</v>
      </c>
      <c r="S84" s="112">
        <f t="shared" si="74"/>
        <v>0.11844939673758402</v>
      </c>
      <c r="T84" s="112">
        <f t="shared" si="74"/>
        <v>0.10441820098079033</v>
      </c>
      <c r="U84" s="112">
        <f t="shared" si="74"/>
        <v>9.6683519426657691E-2</v>
      </c>
      <c r="V84" s="112">
        <f t="shared" si="74"/>
        <v>9.2079542311102561E-2</v>
      </c>
    </row>
    <row r="85" spans="2:23" outlineLevel="1">
      <c r="B85" s="39"/>
      <c r="C85" s="39"/>
      <c r="D85" s="39"/>
      <c r="E85" s="39"/>
      <c r="F85" s="39"/>
      <c r="G85" s="39"/>
      <c r="H85" s="39"/>
      <c r="I85" s="39"/>
      <c r="J85" s="39"/>
      <c r="K85" s="39"/>
    </row>
    <row r="86" spans="2:23" outlineLevel="1">
      <c r="B86" s="39"/>
      <c r="C86" s="39"/>
      <c r="D86" s="39"/>
      <c r="E86" s="39"/>
      <c r="F86" s="39"/>
      <c r="G86" s="39"/>
      <c r="H86" s="39"/>
      <c r="I86" s="39"/>
      <c r="J86" s="39"/>
      <c r="K86" s="39"/>
    </row>
    <row r="87" spans="2:23" outlineLevel="1">
      <c r="B87" t="s">
        <v>94</v>
      </c>
      <c r="D87" s="82">
        <f>'Ratio Analysis'!D50</f>
        <v>187.8</v>
      </c>
      <c r="E87" s="82">
        <f>'Ratio Analysis'!E50</f>
        <v>424.29999999999995</v>
      </c>
      <c r="F87" s="82">
        <f>'Ratio Analysis'!F50</f>
        <v>580.44999999999993</v>
      </c>
      <c r="G87" s="82">
        <f>'Ratio Analysis'!G50</f>
        <v>357.14</v>
      </c>
      <c r="H87" s="82">
        <f>'Ratio Analysis'!H50</f>
        <v>578.83999999999992</v>
      </c>
      <c r="I87" s="82">
        <f>'Ratio Analysis'!I50</f>
        <v>604.37714285714264</v>
      </c>
      <c r="J87" s="82">
        <f>'Ratio Analysis'!J50</f>
        <v>752.37015999999971</v>
      </c>
      <c r="K87" s="82">
        <f>'Ratio Analysis'!K50</f>
        <v>938.78127142857124</v>
      </c>
      <c r="L87" s="82">
        <f>'Ratio Analysis'!L50</f>
        <v>1201.5394321428569</v>
      </c>
      <c r="M87" s="82">
        <f>'Ratio Analysis'!M50</f>
        <v>1514.915311080357</v>
      </c>
      <c r="N87" s="82">
        <f>'Ratio Analysis'!N50</f>
        <v>1881.5280503913821</v>
      </c>
      <c r="O87" s="82">
        <f>'Ratio Analysis'!O50</f>
        <v>2304.4775566038934</v>
      </c>
      <c r="P87" s="82">
        <f>'Ratio Analysis'!P50</f>
        <v>2773.6917496939345</v>
      </c>
      <c r="Q87" s="82">
        <f>'Ratio Analysis'!Q50</f>
        <v>3592.928141483535</v>
      </c>
      <c r="R87" s="82">
        <f>'Ratio Analysis'!R50</f>
        <v>4091.7585670055155</v>
      </c>
      <c r="S87" s="82">
        <f>'Ratio Analysis'!S50</f>
        <v>4571.9029093318932</v>
      </c>
      <c r="T87" s="82">
        <f>'Ratio Analysis'!T50</f>
        <v>5199.8955500947941</v>
      </c>
      <c r="U87" s="82">
        <f>'Ratio Analysis'!U50</f>
        <v>5578.3035479309501</v>
      </c>
      <c r="V87" s="82">
        <f>'Ratio Analysis'!V50</f>
        <v>5786.1491276086408</v>
      </c>
    </row>
    <row r="88" spans="2:23" outlineLevel="1">
      <c r="B88" t="s">
        <v>1002</v>
      </c>
      <c r="D88" s="82">
        <f>'3 Statement Model'!D29</f>
        <v>70.77</v>
      </c>
      <c r="E88" s="82">
        <f>'3 Statement Model'!E29</f>
        <v>82.67</v>
      </c>
      <c r="F88" s="82">
        <f>'3 Statement Model'!F29</f>
        <v>105.72</v>
      </c>
      <c r="G88" s="82">
        <f>'3 Statement Model'!G29</f>
        <v>120.33</v>
      </c>
      <c r="H88" s="82">
        <f>'3 Statement Model'!H29</f>
        <v>129.33000000000001</v>
      </c>
      <c r="I88" s="82">
        <f>'3 Statement Model'!I29</f>
        <v>161.47285714285715</v>
      </c>
      <c r="J88" s="82">
        <f>'3 Statement Model'!J29</f>
        <v>204.33</v>
      </c>
      <c r="K88" s="82">
        <f>'3 Statement Model'!K29</f>
        <v>257.9014285714286</v>
      </c>
      <c r="L88" s="82">
        <f>'3 Statement Model'!L29</f>
        <v>322.18714285714287</v>
      </c>
      <c r="M88" s="82">
        <f>'3 Statement Model'!M29</f>
        <v>397.18714285714287</v>
      </c>
      <c r="N88" s="82">
        <f>'3 Statement Model'!N29</f>
        <v>482.9014285714286</v>
      </c>
      <c r="O88" s="82">
        <f>'3 Statement Model'!O29</f>
        <v>579.33000000000004</v>
      </c>
      <c r="P88" s="82">
        <f>'3 Statement Model'!P29</f>
        <v>686.47285714285715</v>
      </c>
      <c r="Q88" s="82">
        <f>'3 Statement Model'!Q29</f>
        <v>797.9014285714286</v>
      </c>
      <c r="R88" s="82">
        <f>'3 Statement Model'!R29</f>
        <v>913.78714285714284</v>
      </c>
      <c r="S88" s="82">
        <f>'3 Statement Model'!S29</f>
        <v>1034.3082857142856</v>
      </c>
      <c r="T88" s="82">
        <f>'3 Statement Model'!T29</f>
        <v>1159.6502742857142</v>
      </c>
      <c r="U88" s="82">
        <f>'3 Statement Model'!U29</f>
        <v>1290.0059423999999</v>
      </c>
      <c r="V88" s="82">
        <f>'3 Statement Model'!V29</f>
        <v>1425.575837238857</v>
      </c>
    </row>
    <row r="89" spans="2:23" outlineLevel="1">
      <c r="B89" t="s">
        <v>154</v>
      </c>
      <c r="D89" s="83">
        <f>'3 Statement Model'!D35</f>
        <v>34</v>
      </c>
      <c r="E89" s="83">
        <f>'3 Statement Model'!E35</f>
        <v>48</v>
      </c>
      <c r="F89" s="83">
        <f>'3 Statement Model'!F35</f>
        <v>67</v>
      </c>
      <c r="G89" s="83">
        <f>'3 Statement Model'!G35</f>
        <v>73</v>
      </c>
      <c r="H89" s="83">
        <f>'3 Statement Model'!H35</f>
        <v>53</v>
      </c>
      <c r="I89" s="83">
        <f>'3 Statement Model'!I35</f>
        <v>40.433084999999998</v>
      </c>
      <c r="J89" s="83">
        <f>'3 Statement Model'!J35</f>
        <v>43.907001600000001</v>
      </c>
      <c r="K89" s="83">
        <f>'3 Statement Model'!K35</f>
        <v>47.153554602</v>
      </c>
      <c r="L89" s="83">
        <f>'3 Statement Model'!L35</f>
        <v>51.009132446579997</v>
      </c>
      <c r="M89" s="83">
        <f>'3 Statement Model'!M35</f>
        <v>54.05950649780258</v>
      </c>
      <c r="N89" s="83">
        <f>'3 Statement Model'!N35</f>
        <v>53.64087519405453</v>
      </c>
      <c r="O89" s="83">
        <f>'3 Statement Model'!O35</f>
        <v>51.473793081546852</v>
      </c>
      <c r="P89" s="83">
        <f>'3 Statement Model'!P35</f>
        <v>50.917444801128219</v>
      </c>
      <c r="Q89" s="83">
        <f>'3 Statement Model'!Q35</f>
        <v>51.132029720826651</v>
      </c>
      <c r="R89" s="83">
        <f>'3 Statement Model'!R35</f>
        <v>51.132029720826651</v>
      </c>
      <c r="S89" s="83">
        <f>'3 Statement Model'!S35</f>
        <v>51.132029720826651</v>
      </c>
      <c r="T89" s="83">
        <f>'3 Statement Model'!T35</f>
        <v>51.132029720826651</v>
      </c>
      <c r="U89" s="83">
        <f>'3 Statement Model'!U35</f>
        <v>51.132029720826651</v>
      </c>
      <c r="V89" s="83">
        <f>'3 Statement Model'!V35</f>
        <v>51.132029720826651</v>
      </c>
    </row>
    <row r="90" spans="2:23" outlineLevel="1">
      <c r="B90" t="s">
        <v>155</v>
      </c>
      <c r="D90" s="83">
        <f t="shared" ref="D90:V90" si="75">D91-C91</f>
        <v>415</v>
      </c>
      <c r="E90" s="83">
        <f t="shared" si="75"/>
        <v>433</v>
      </c>
      <c r="F90" s="83">
        <f t="shared" si="75"/>
        <v>-211</v>
      </c>
      <c r="G90" s="83">
        <f t="shared" si="75"/>
        <v>131</v>
      </c>
      <c r="H90" s="83">
        <f t="shared" si="75"/>
        <v>-269</v>
      </c>
      <c r="I90" s="83">
        <f t="shared" si="75"/>
        <v>52.210000000000036</v>
      </c>
      <c r="J90" s="83">
        <f t="shared" si="75"/>
        <v>38.021600000000035</v>
      </c>
      <c r="K90" s="83">
        <f t="shared" si="75"/>
        <v>46.304451999999969</v>
      </c>
      <c r="L90" s="83">
        <f t="shared" si="75"/>
        <v>53.84042708000004</v>
      </c>
      <c r="M90" s="83">
        <f t="shared" si="75"/>
        <v>25.390067756950089</v>
      </c>
      <c r="N90" s="83">
        <f t="shared" si="75"/>
        <v>-36.263608114042313</v>
      </c>
      <c r="O90" s="83">
        <f t="shared" si="75"/>
        <v>-20.024238964079473</v>
      </c>
      <c r="P90" s="83">
        <f t="shared" si="75"/>
        <v>5.5736342778814105</v>
      </c>
      <c r="Q90" s="83">
        <f t="shared" si="75"/>
        <v>0</v>
      </c>
      <c r="R90" s="83">
        <f t="shared" si="75"/>
        <v>0</v>
      </c>
      <c r="S90" s="83">
        <f t="shared" si="75"/>
        <v>0</v>
      </c>
      <c r="T90" s="83">
        <f t="shared" si="75"/>
        <v>0</v>
      </c>
      <c r="U90" s="83">
        <f t="shared" si="75"/>
        <v>0</v>
      </c>
      <c r="V90" s="83">
        <f t="shared" si="75"/>
        <v>0</v>
      </c>
      <c r="W90" t="s">
        <v>42</v>
      </c>
    </row>
    <row r="91" spans="2:23" outlineLevel="1">
      <c r="B91" t="s">
        <v>152</v>
      </c>
      <c r="D91" s="83">
        <f>D32</f>
        <v>415</v>
      </c>
      <c r="E91" s="83">
        <f>E32</f>
        <v>848</v>
      </c>
      <c r="F91" s="83">
        <f t="shared" ref="F91:V91" si="76">F32</f>
        <v>637</v>
      </c>
      <c r="G91" s="83">
        <f t="shared" si="76"/>
        <v>768</v>
      </c>
      <c r="H91" s="83">
        <f t="shared" si="76"/>
        <v>499</v>
      </c>
      <c r="I91" s="83">
        <f t="shared" si="76"/>
        <v>551.21</v>
      </c>
      <c r="J91" s="83">
        <f t="shared" si="76"/>
        <v>589.23160000000007</v>
      </c>
      <c r="K91" s="83">
        <f t="shared" si="76"/>
        <v>635.53605200000004</v>
      </c>
      <c r="L91" s="83">
        <f t="shared" si="76"/>
        <v>689.37647908000008</v>
      </c>
      <c r="M91" s="83">
        <f t="shared" si="76"/>
        <v>714.76654683695017</v>
      </c>
      <c r="N91" s="83">
        <f t="shared" si="76"/>
        <v>678.50293872290786</v>
      </c>
      <c r="O91" s="83">
        <f t="shared" si="76"/>
        <v>658.47869975882838</v>
      </c>
      <c r="P91" s="83">
        <f t="shared" si="76"/>
        <v>664.05233403670979</v>
      </c>
      <c r="Q91" s="83">
        <f t="shared" si="76"/>
        <v>664.05233403670979</v>
      </c>
      <c r="R91" s="83">
        <f t="shared" si="76"/>
        <v>664.05233403670979</v>
      </c>
      <c r="S91" s="83">
        <f t="shared" si="76"/>
        <v>664.05233403670979</v>
      </c>
      <c r="T91" s="83">
        <f t="shared" si="76"/>
        <v>664.05233403670979</v>
      </c>
      <c r="U91" s="83">
        <f t="shared" si="76"/>
        <v>664.05233403670979</v>
      </c>
      <c r="V91" s="83">
        <f t="shared" si="76"/>
        <v>664.05233403670979</v>
      </c>
    </row>
    <row r="92" spans="2:23" outlineLevel="1">
      <c r="B92" s="46" t="s">
        <v>156</v>
      </c>
      <c r="C92" s="46"/>
      <c r="D92" s="46"/>
      <c r="E92" s="512" cm="1">
        <f t="array" ref="E92">SUM(E87:E88/SUM(IF(E90&gt;0,E89+E90,E89)))</f>
        <v>1.0539916839916839</v>
      </c>
      <c r="F92" s="512" cm="1">
        <f t="array" ref="F92">SUM(F87:F88/SUM(IF(F90&gt;0,F89+F90,F89)))</f>
        <v>10.241343283582088</v>
      </c>
      <c r="G92" s="512" cm="1">
        <f t="array" ref="G92">SUM(G87:G88/SUM(IF(G90&gt;0,G89+G90,G89)))</f>
        <v>2.3405392156862748</v>
      </c>
      <c r="H92" s="512" cm="1">
        <f t="array" ref="H92">SUM(H87:H88/SUM(IF(H90&gt;0,H89+H90,H89)))</f>
        <v>13.361698113207545</v>
      </c>
      <c r="I92" s="512" cm="1">
        <f t="array" ref="I92">SUM(I87:I88/SUM(IF(I90&gt;0,I89+I90,I89)))</f>
        <v>8.2666720349392442</v>
      </c>
      <c r="J92" s="512" cm="1">
        <f t="array" ref="J92">SUM(J87:J88/SUM(IF(J90&gt;0,J89+J90,J89)))</f>
        <v>11.677242639522841</v>
      </c>
      <c r="K92" s="512" cm="1">
        <f t="array" ref="K92">SUM(K87:K88/SUM(IF(K90&gt;0,K89+K90,K89)))</f>
        <v>12.804496302774677</v>
      </c>
      <c r="L92" s="512" cm="1">
        <f t="array" ref="L92">SUM(L87:L88/SUM(IF(L90&gt;0,L89+L90,L89)))</f>
        <v>14.532503349370058</v>
      </c>
      <c r="M92" s="512" cm="1">
        <f t="array" ref="M92">SUM(M87:M88/SUM(IF(M90&gt;0,M89+M90,M89)))</f>
        <v>24.066868474416253</v>
      </c>
      <c r="N92" s="512" cm="1">
        <f t="array" ref="N92">SUM(N87:N88/SUM(IF(N90&gt;0,N89+N90,N89)))</f>
        <v>44.078875864890442</v>
      </c>
      <c r="O92" s="512" cm="1">
        <f t="array" ref="O92">SUM(O87:O88/SUM(IF(O90&gt;0,O89+O90,O89)))</f>
        <v>56.02477268452413</v>
      </c>
      <c r="P92" s="512" cm="1">
        <f t="array" ref="P92">SUM(P87:P88/SUM(IF(P90&gt;0,P89+P90,P89)))</f>
        <v>61.251522598768759</v>
      </c>
      <c r="Q92" s="512" cm="1">
        <f t="array" ref="Q92">SUM(Q87:Q88/SUM(IF(Q90&gt;0,Q89+Q90,Q89)))</f>
        <v>85.872389459762232</v>
      </c>
      <c r="R92" s="512" cm="1">
        <f t="array" ref="R92">SUM(R87:R88/SUM(IF(R90&gt;0,R89+R90,R89)))</f>
        <v>97.894523984128938</v>
      </c>
      <c r="S92" s="512" cm="1">
        <f t="array" ref="S92">SUM(S87:S88/SUM(IF(S90&gt;0,S89+S90,S89)))</f>
        <v>109.64186686222445</v>
      </c>
      <c r="T92" s="512" cm="1">
        <f t="array" ref="T92">SUM(T87:T88/SUM(IF(T90&gt;0,T89+T90,T89)))</f>
        <v>124.37499272183584</v>
      </c>
      <c r="U92" s="512" cm="1">
        <f t="array" ref="U92">SUM(U87:U88/SUM(IF(U90&gt;0,U89+U90,U89)))</f>
        <v>134.32499213958272</v>
      </c>
      <c r="V92" s="512" cm="1">
        <f t="array" ref="V92">SUM(V87:V88/SUM(IF(V90&gt;0,V89+V90,V89)))</f>
        <v>141.04124174656187</v>
      </c>
    </row>
    <row r="93" spans="2:23" outlineLevel="1">
      <c r="B93" s="39"/>
      <c r="C93" s="39"/>
      <c r="D93" s="39"/>
      <c r="E93" s="513"/>
      <c r="F93" s="513"/>
      <c r="G93" s="513"/>
      <c r="H93" s="513"/>
    </row>
    <row r="94" spans="2:23" outlineLevel="1">
      <c r="B94" s="39"/>
      <c r="C94" s="39"/>
      <c r="D94" s="39"/>
      <c r="E94" s="513"/>
      <c r="F94" s="513"/>
      <c r="G94" s="513"/>
      <c r="H94" s="513"/>
    </row>
    <row r="95" spans="2:23" outlineLevel="1">
      <c r="B95" t="s">
        <v>94</v>
      </c>
      <c r="D95" s="82">
        <f>D50</f>
        <v>187.8</v>
      </c>
      <c r="E95" s="82">
        <f t="shared" ref="E95:P95" si="77">E50</f>
        <v>424.29999999999995</v>
      </c>
      <c r="F95" s="82">
        <f t="shared" si="77"/>
        <v>580.44999999999993</v>
      </c>
      <c r="G95" s="82">
        <f t="shared" si="77"/>
        <v>357.14</v>
      </c>
      <c r="H95" s="82">
        <f t="shared" si="77"/>
        <v>578.83999999999992</v>
      </c>
      <c r="I95" s="82">
        <f t="shared" si="77"/>
        <v>604.37714285714264</v>
      </c>
      <c r="J95" s="82">
        <f t="shared" si="77"/>
        <v>752.37015999999971</v>
      </c>
      <c r="K95" s="82">
        <f t="shared" si="77"/>
        <v>938.78127142857124</v>
      </c>
      <c r="L95" s="82">
        <f t="shared" si="77"/>
        <v>1201.5394321428569</v>
      </c>
      <c r="M95" s="82">
        <f t="shared" si="77"/>
        <v>1514.915311080357</v>
      </c>
      <c r="N95" s="82">
        <f t="shared" si="77"/>
        <v>1881.5280503913821</v>
      </c>
      <c r="O95" s="82">
        <f t="shared" si="77"/>
        <v>2304.4775566038934</v>
      </c>
      <c r="P95" s="82">
        <f t="shared" si="77"/>
        <v>2773.6917496939345</v>
      </c>
      <c r="Q95" s="82">
        <f t="shared" ref="Q95:V95" si="78">Q50</f>
        <v>3592.928141483535</v>
      </c>
      <c r="R95" s="82">
        <f t="shared" si="78"/>
        <v>4091.7585670055155</v>
      </c>
      <c r="S95" s="82">
        <f t="shared" si="78"/>
        <v>4571.9029093318932</v>
      </c>
      <c r="T95" s="82">
        <f t="shared" si="78"/>
        <v>5199.8955500947941</v>
      </c>
      <c r="U95" s="82">
        <f t="shared" si="78"/>
        <v>5578.3035479309501</v>
      </c>
      <c r="V95" s="82">
        <f t="shared" si="78"/>
        <v>5786.1491276086408</v>
      </c>
    </row>
    <row r="96" spans="2:23" outlineLevel="1">
      <c r="B96" t="s">
        <v>157</v>
      </c>
      <c r="D96" s="82">
        <f>D89</f>
        <v>34</v>
      </c>
      <c r="E96" s="82">
        <f t="shared" ref="E96:P96" si="79">E89</f>
        <v>48</v>
      </c>
      <c r="F96" s="82">
        <f t="shared" si="79"/>
        <v>67</v>
      </c>
      <c r="G96" s="82">
        <f t="shared" si="79"/>
        <v>73</v>
      </c>
      <c r="H96" s="82">
        <f t="shared" si="79"/>
        <v>53</v>
      </c>
      <c r="I96" s="82">
        <f t="shared" si="79"/>
        <v>40.433084999999998</v>
      </c>
      <c r="J96" s="82">
        <f t="shared" si="79"/>
        <v>43.907001600000001</v>
      </c>
      <c r="K96" s="82">
        <f t="shared" si="79"/>
        <v>47.153554602</v>
      </c>
      <c r="L96" s="82">
        <f t="shared" si="79"/>
        <v>51.009132446579997</v>
      </c>
      <c r="M96" s="82">
        <f t="shared" si="79"/>
        <v>54.05950649780258</v>
      </c>
      <c r="N96" s="82">
        <f t="shared" si="79"/>
        <v>53.64087519405453</v>
      </c>
      <c r="O96" s="82">
        <f t="shared" si="79"/>
        <v>51.473793081546852</v>
      </c>
      <c r="P96" s="82">
        <f t="shared" si="79"/>
        <v>50.917444801128219</v>
      </c>
      <c r="Q96" s="82">
        <f t="shared" ref="Q96:V96" si="80">Q89</f>
        <v>51.132029720826651</v>
      </c>
      <c r="R96" s="82">
        <f t="shared" si="80"/>
        <v>51.132029720826651</v>
      </c>
      <c r="S96" s="82">
        <f t="shared" si="80"/>
        <v>51.132029720826651</v>
      </c>
      <c r="T96" s="82">
        <f t="shared" si="80"/>
        <v>51.132029720826651</v>
      </c>
      <c r="U96" s="82">
        <f t="shared" si="80"/>
        <v>51.132029720826651</v>
      </c>
      <c r="V96" s="82">
        <f t="shared" si="80"/>
        <v>51.132029720826651</v>
      </c>
    </row>
    <row r="97" spans="2:22" outlineLevel="1">
      <c r="B97" s="46" t="s">
        <v>158</v>
      </c>
      <c r="C97" s="46"/>
      <c r="D97" s="112">
        <f t="shared" ref="D97:V97" si="81">D95/D96</f>
        <v>5.5235294117647058</v>
      </c>
      <c r="E97" s="112">
        <f t="shared" si="81"/>
        <v>8.8395833333333318</v>
      </c>
      <c r="F97" s="112">
        <f t="shared" si="81"/>
        <v>8.6634328358208936</v>
      </c>
      <c r="G97" s="112">
        <f t="shared" si="81"/>
        <v>4.8923287671232876</v>
      </c>
      <c r="H97" s="112">
        <f t="shared" si="81"/>
        <v>10.921509433962262</v>
      </c>
      <c r="I97" s="112">
        <f t="shared" si="81"/>
        <v>14.947589155196608</v>
      </c>
      <c r="J97" s="112">
        <f t="shared" si="81"/>
        <v>17.135539494457298</v>
      </c>
      <c r="K97" s="112">
        <f t="shared" si="81"/>
        <v>19.909024449002054</v>
      </c>
      <c r="L97" s="112">
        <f t="shared" si="81"/>
        <v>23.555378704022957</v>
      </c>
      <c r="M97" s="112">
        <f t="shared" si="81"/>
        <v>28.023106558361491</v>
      </c>
      <c r="N97" s="112">
        <f t="shared" si="81"/>
        <v>35.076386125033387</v>
      </c>
      <c r="O97" s="112">
        <f t="shared" si="81"/>
        <v>44.769919188839403</v>
      </c>
      <c r="P97" s="112">
        <f t="shared" si="81"/>
        <v>54.474291876336963</v>
      </c>
      <c r="Q97" s="112">
        <f t="shared" si="81"/>
        <v>70.267661211580943</v>
      </c>
      <c r="R97" s="112">
        <f t="shared" si="81"/>
        <v>80.023394129783512</v>
      </c>
      <c r="S97" s="112">
        <f t="shared" si="81"/>
        <v>89.413679337468309</v>
      </c>
      <c r="T97" s="112">
        <f t="shared" si="81"/>
        <v>101.69546521985257</v>
      </c>
      <c r="U97" s="112">
        <f t="shared" si="81"/>
        <v>109.09607106128323</v>
      </c>
      <c r="V97" s="112">
        <f t="shared" si="81"/>
        <v>113.16095134889349</v>
      </c>
    </row>
    <row r="100" spans="2:22">
      <c r="U100" s="275"/>
    </row>
  </sheetData>
  <mergeCells count="3">
    <mergeCell ref="D7:H7"/>
    <mergeCell ref="I7:P7"/>
    <mergeCell ref="Q7:V7"/>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6625" r:id="rId4" name="Drop Down 1">
              <controlPr defaultSize="0" autoLine="0" autoPict="0">
                <anchor moveWithCells="1">
                  <from>
                    <xdr:col>5</xdr:col>
                    <xdr:colOff>800100</xdr:colOff>
                    <xdr:row>2</xdr:row>
                    <xdr:rowOff>0</xdr:rowOff>
                  </from>
                  <to>
                    <xdr:col>8</xdr:col>
                    <xdr:colOff>114300</xdr:colOff>
                    <xdr:row>3</xdr:row>
                    <xdr:rowOff>9525</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BE353-96F6-4B1A-B41F-7526FF0C597B}">
  <sheetPr>
    <tabColor theme="9" tint="-0.249977111117893"/>
  </sheetPr>
  <dimension ref="A1"/>
  <sheetViews>
    <sheetView showGridLines="0" zoomScaleNormal="100" workbookViewId="0"/>
  </sheetViews>
  <sheetFormatPr defaultRowHeight="1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0AD8E-0003-4976-A4B6-424B2A158F0F}">
  <sheetPr>
    <pageSetUpPr autoPageBreaks="0"/>
  </sheetPr>
  <dimension ref="A1:O102"/>
  <sheetViews>
    <sheetView showGridLines="0" zoomScale="102" zoomScaleNormal="100" workbookViewId="0"/>
  </sheetViews>
  <sheetFormatPr defaultRowHeight="15"/>
  <cols>
    <col min="1" max="1" width="2" customWidth="1"/>
    <col min="2" max="2" width="40" customWidth="1"/>
    <col min="3" max="3" width="1.28515625" customWidth="1"/>
    <col min="4" max="4" width="10.28515625" customWidth="1"/>
    <col min="5" max="5" width="13.140625" customWidth="1"/>
    <col min="6" max="6" width="13.42578125" customWidth="1"/>
    <col min="7" max="7" width="9.85546875" customWidth="1"/>
    <col min="8" max="8" width="12.140625" customWidth="1"/>
    <col min="9" max="9" width="10.85546875" customWidth="1"/>
    <col min="10" max="10" width="12.5703125" customWidth="1"/>
    <col min="12" max="12" width="12.85546875" customWidth="1"/>
  </cols>
  <sheetData>
    <row r="1" spans="1:11" ht="15" customHeight="1">
      <c r="A1" t="s">
        <v>35</v>
      </c>
      <c r="B1" s="423" t="s">
        <v>668</v>
      </c>
      <c r="C1" s="423"/>
      <c r="J1" s="209" t="s">
        <v>1005</v>
      </c>
      <c r="K1" s="443">
        <v>4442</v>
      </c>
    </row>
    <row r="2" spans="1:11">
      <c r="B2" s="39" t="s">
        <v>175</v>
      </c>
      <c r="C2" s="39"/>
    </row>
    <row r="4" spans="1:11">
      <c r="B4" s="166" t="s">
        <v>519</v>
      </c>
      <c r="C4" s="166"/>
      <c r="D4" s="437" t="s">
        <v>913</v>
      </c>
      <c r="E4" s="437" t="s">
        <v>914</v>
      </c>
      <c r="F4" s="437" t="s">
        <v>915</v>
      </c>
      <c r="H4" s="478" t="s">
        <v>176</v>
      </c>
    </row>
    <row r="5" spans="1:11" ht="4.5" customHeight="1">
      <c r="D5" s="156"/>
      <c r="E5" s="156"/>
      <c r="F5" s="156"/>
    </row>
    <row r="6" spans="1:11">
      <c r="B6" s="425" t="s">
        <v>176</v>
      </c>
      <c r="D6" s="563">
        <f>'Input Sheet'!C10-'Input Sheet'!C12</f>
        <v>4.5390141762224931E-2</v>
      </c>
      <c r="E6" s="427">
        <f>D6</f>
        <v>4.5390141762224931E-2</v>
      </c>
      <c r="F6" s="427">
        <f t="shared" ref="F6:F7" si="0">E6</f>
        <v>4.5390141762224931E-2</v>
      </c>
      <c r="H6" s="586" t="str">
        <f>"We have considered "&amp;TEXT(E6,"0.00%")&amp;" as the risk free rate in estimation of cost of equity of "&amp;TEXT(E11,"0.00%")&amp;".The risk free rate of india is calculated by considering local currency 10 years government bond yield adjusted for default spread of India."</f>
        <v>We have considered 4.54% as the risk free rate in estimation of cost of equity of 12.58%.The risk free rate of india is calculated by considering local currency 10 years government bond yield adjusted for default spread of India.</v>
      </c>
    </row>
    <row r="7" spans="1:11">
      <c r="B7" s="36" t="s">
        <v>177</v>
      </c>
      <c r="C7" s="36"/>
      <c r="D7" s="564">
        <f>'Input Sheet'!C13+'Input Sheet'!C12</f>
        <v>6.3409858237775063E-2</v>
      </c>
      <c r="E7" s="428">
        <f>D7</f>
        <v>6.3409858237775063E-2</v>
      </c>
      <c r="F7" s="428">
        <f t="shared" si="0"/>
        <v>6.3409858237775063E-2</v>
      </c>
      <c r="H7" s="586"/>
    </row>
    <row r="8" spans="1:11">
      <c r="B8" s="36" t="s">
        <v>690</v>
      </c>
      <c r="C8" s="36"/>
      <c r="D8" s="429">
        <f>E8-'Input Sheet'!C15</f>
        <v>0.87</v>
      </c>
      <c r="E8" s="565">
        <f>'Input Sheet'!C14</f>
        <v>1.02</v>
      </c>
      <c r="F8" s="429">
        <f>E8+'Input Sheet'!C15</f>
        <v>1.17</v>
      </c>
      <c r="H8" s="586"/>
    </row>
    <row r="9" spans="1:11">
      <c r="B9" s="36" t="s">
        <v>916</v>
      </c>
      <c r="C9" s="36"/>
      <c r="D9" s="566">
        <f>'Input Sheet'!C16</f>
        <v>0.26207983193277312</v>
      </c>
      <c r="E9" s="438">
        <f>D9</f>
        <v>0.26207983193277312</v>
      </c>
      <c r="F9" s="438">
        <f t="shared" ref="F9" si="1">E9</f>
        <v>0.26207983193277312</v>
      </c>
      <c r="H9" s="586"/>
    </row>
    <row r="10" spans="1:11">
      <c r="B10" s="426" t="s">
        <v>917</v>
      </c>
      <c r="C10" s="426"/>
      <c r="D10" s="476">
        <f>D8*(1+(1-Wacc!C17)*Wacc!D9)</f>
        <v>1.0980094537815126</v>
      </c>
      <c r="E10" s="476">
        <f>E8*(1+(1-Wacc!D17)*Wacc!E9)</f>
        <v>1.268341607142857</v>
      </c>
      <c r="F10" s="476">
        <f>F8*(1+(1-Wacc!E17)*Wacc!F9)</f>
        <v>1.4548624317226888</v>
      </c>
    </row>
    <row r="11" spans="1:11">
      <c r="B11" s="424" t="s">
        <v>918</v>
      </c>
      <c r="C11" s="424"/>
      <c r="D11" s="430">
        <f>D6+D7*D10</f>
        <v>0.11501476557024748</v>
      </c>
      <c r="E11" s="430">
        <f>E6+E7*E10</f>
        <v>0.12581550326822527</v>
      </c>
      <c r="F11" s="430">
        <f t="shared" ref="F11" si="2">F6+F7*F10</f>
        <v>0.13764276231322534</v>
      </c>
      <c r="H11" s="478" t="s">
        <v>690</v>
      </c>
    </row>
    <row r="12" spans="1:11">
      <c r="D12" s="156"/>
      <c r="E12" s="156"/>
      <c r="F12" s="156"/>
    </row>
    <row r="13" spans="1:11" ht="15" customHeight="1">
      <c r="B13" s="425" t="s">
        <v>694</v>
      </c>
      <c r="C13" s="425"/>
      <c r="D13" s="567">
        <f>'Input Sheet'!C24</f>
        <v>0.1222</v>
      </c>
      <c r="E13" s="567">
        <f>D13</f>
        <v>0.1222</v>
      </c>
      <c r="F13" s="567">
        <f t="shared" ref="F13:F14" si="3">E13</f>
        <v>0.1222</v>
      </c>
      <c r="H13" s="586" t="str">
        <f>"We have estimated an asset beta range of "&amp;TEXT(D8,"0.00")&amp;" to "&amp;TEXT(F8,"0.00")&amp;" with the mid point of "&amp;TEXT(E8,"0.00")&amp;" based on observed median of 5 year monthly asset beta of benchmark listed companies for Blume effect ."</f>
        <v>We have estimated an asset beta range of 0.87 to 1.17 with the mid point of 1.02 based on observed median of 5 year monthly asset beta of benchmark listed companies for Blume effect .</v>
      </c>
    </row>
    <row r="14" spans="1:11">
      <c r="B14" s="426" t="s">
        <v>919</v>
      </c>
      <c r="D14" s="567">
        <f>'Input Sheet'!C25</f>
        <v>0</v>
      </c>
      <c r="E14" s="567">
        <f>D14</f>
        <v>0</v>
      </c>
      <c r="F14" s="567">
        <f t="shared" si="3"/>
        <v>0</v>
      </c>
      <c r="H14" s="586"/>
    </row>
    <row r="15" spans="1:11">
      <c r="B15" s="424" t="s">
        <v>920</v>
      </c>
      <c r="C15" s="424"/>
      <c r="D15" s="430">
        <f>D11+D13+D14</f>
        <v>0.23721476557024748</v>
      </c>
      <c r="E15" s="430">
        <f>E11+E13+E14</f>
        <v>0.24801550326822527</v>
      </c>
      <c r="F15" s="430">
        <f t="shared" ref="F15" si="4">F11+F13+F14</f>
        <v>0.25984276231322534</v>
      </c>
      <c r="H15" s="586"/>
    </row>
    <row r="16" spans="1:11">
      <c r="D16" s="156"/>
      <c r="E16" s="156"/>
      <c r="F16" s="156"/>
      <c r="H16" s="479"/>
    </row>
    <row r="17" spans="2:8">
      <c r="B17" s="425" t="s">
        <v>921</v>
      </c>
      <c r="C17" s="425"/>
      <c r="D17" s="568">
        <f>'Input Sheet'!C10+(IF('Input Sheet'!C19="No",'Input Sheet'!C23,VLOOKUP('Input Sheet'!C21,'Damodaran Data'!I7:J21,2,FALSE)))</f>
        <v>7.1000000000000008E-2</v>
      </c>
      <c r="E17" s="568">
        <f>D17</f>
        <v>7.1000000000000008E-2</v>
      </c>
      <c r="F17" s="568">
        <f t="shared" ref="F17:F18" si="5">E17</f>
        <v>7.1000000000000008E-2</v>
      </c>
      <c r="H17" s="478" t="s">
        <v>177</v>
      </c>
    </row>
    <row r="18" spans="2:8">
      <c r="B18" s="36" t="s">
        <v>46</v>
      </c>
      <c r="C18" s="36"/>
      <c r="D18" s="564">
        <f>'Input Sheet'!C18</f>
        <v>0.25169999999999998</v>
      </c>
      <c r="E18" s="564">
        <f>D18</f>
        <v>0.25169999999999998</v>
      </c>
      <c r="F18" s="564">
        <f t="shared" si="5"/>
        <v>0.25169999999999998</v>
      </c>
    </row>
    <row r="19" spans="2:8" ht="15" customHeight="1">
      <c r="B19" s="424" t="s">
        <v>922</v>
      </c>
      <c r="C19" s="424"/>
      <c r="D19" s="430">
        <f>D17*(1-D18)</f>
        <v>5.3129300000000004E-2</v>
      </c>
      <c r="E19" s="430">
        <f>E17*(1-E18)</f>
        <v>5.3129300000000004E-2</v>
      </c>
      <c r="F19" s="430">
        <f t="shared" ref="F19" si="6">F17*(1-F18)</f>
        <v>5.3129300000000004E-2</v>
      </c>
      <c r="H19" s="586" t="str">
        <f>"An ERP of "&amp;TEXT(E7,"0.00%")&amp;" has been adopted as on US implierd Erp, relative equity volatilly of ICE BoFA Public Sector Issues Emerging Mkts Index, S&amp;P emerging BMI Index and country risk premium of India."</f>
        <v>An ERP of 6.34% has been adopted as on US implierd Erp, relative equity volatilly of ICE BoFA Public Sector Issues Emerging Mkts Index, S&amp;P emerging BMI Index and country risk premium of India.</v>
      </c>
    </row>
    <row r="20" spans="2:8">
      <c r="D20" s="156"/>
      <c r="E20" s="156"/>
      <c r="F20" s="156"/>
      <c r="H20" s="586"/>
    </row>
    <row r="21" spans="2:8">
      <c r="B21" s="425" t="s">
        <v>923</v>
      </c>
      <c r="C21" s="425"/>
      <c r="D21" s="568">
        <f>'Input Sheet'!C17</f>
        <v>0.20765709529754472</v>
      </c>
      <c r="E21" s="568">
        <f>D21</f>
        <v>0.20765709529754472</v>
      </c>
      <c r="F21" s="568">
        <f t="shared" ref="F21" si="7">E21</f>
        <v>0.20765709529754472</v>
      </c>
      <c r="H21" s="586"/>
    </row>
    <row r="22" spans="2:8">
      <c r="B22" s="426" t="s">
        <v>175</v>
      </c>
      <c r="C22" s="426"/>
      <c r="D22" s="439">
        <f>(D21*D19)+(D15*(1-D21))</f>
        <v>0.19898811250343371</v>
      </c>
      <c r="E22" s="439">
        <f>(E21*E19)+(E15*(1-E21))</f>
        <v>0.20754600038397875</v>
      </c>
      <c r="F22" s="439">
        <f>(F21*F19)+(F15*(1-F21))</f>
        <v>0.21691724517036248</v>
      </c>
    </row>
    <row r="23" spans="2:8">
      <c r="B23" s="424" t="s">
        <v>924</v>
      </c>
      <c r="C23" s="424"/>
      <c r="D23" s="430">
        <f>ROUNDUP(D22,2)</f>
        <v>0.2</v>
      </c>
      <c r="E23" s="430">
        <f t="shared" ref="E23" si="8">ROUNDUP(E22,2)</f>
        <v>0.21000000000000002</v>
      </c>
      <c r="F23" s="430">
        <f>ROUNDUP(F22,2)</f>
        <v>0.22</v>
      </c>
      <c r="H23" s="478" t="s">
        <v>179</v>
      </c>
    </row>
    <row r="25" spans="2:8" ht="15" customHeight="1">
      <c r="B25" s="587" t="s">
        <v>987</v>
      </c>
      <c r="C25" s="587"/>
      <c r="D25" s="587"/>
      <c r="E25" s="587"/>
      <c r="F25" s="587"/>
      <c r="H25" s="586" t="s">
        <v>990</v>
      </c>
    </row>
    <row r="26" spans="2:8">
      <c r="B26" s="587" t="s">
        <v>988</v>
      </c>
      <c r="C26" s="587"/>
      <c r="D26" s="587"/>
      <c r="E26" s="587"/>
      <c r="F26" s="587"/>
      <c r="H26" s="586"/>
    </row>
    <row r="27" spans="2:8">
      <c r="B27" s="587" t="s">
        <v>989</v>
      </c>
      <c r="C27" s="587"/>
      <c r="D27" s="587"/>
      <c r="E27" s="587"/>
      <c r="F27" s="587"/>
      <c r="H27" s="586"/>
    </row>
    <row r="28" spans="2:8">
      <c r="F28" s="132"/>
    </row>
    <row r="29" spans="2:8">
      <c r="H29" s="478" t="s">
        <v>991</v>
      </c>
    </row>
    <row r="31" spans="2:8">
      <c r="H31" s="586" t="s">
        <v>1101</v>
      </c>
    </row>
    <row r="32" spans="2:8">
      <c r="H32" s="586"/>
    </row>
    <row r="33" spans="1:15">
      <c r="H33" s="586"/>
    </row>
    <row r="35" spans="1:15">
      <c r="H35" s="480" t="s">
        <v>919</v>
      </c>
    </row>
    <row r="42" spans="1:15">
      <c r="B42" s="423" t="s">
        <v>668</v>
      </c>
      <c r="C42" s="423"/>
    </row>
    <row r="43" spans="1:15">
      <c r="B43" s="39" t="s">
        <v>927</v>
      </c>
      <c r="C43" s="39"/>
    </row>
    <row r="44" spans="1:15" ht="15" customHeight="1"/>
    <row r="45" spans="1:15" ht="31.5" customHeight="1">
      <c r="A45" s="477" t="s">
        <v>35</v>
      </c>
      <c r="B45" s="436" t="s">
        <v>926</v>
      </c>
      <c r="C45" s="436"/>
      <c r="D45" s="436" t="s">
        <v>928</v>
      </c>
      <c r="E45" s="436" t="s">
        <v>933</v>
      </c>
      <c r="F45" s="436" t="s">
        <v>929</v>
      </c>
      <c r="G45" s="436" t="s">
        <v>690</v>
      </c>
      <c r="H45" s="436" t="s">
        <v>930</v>
      </c>
      <c r="I45" s="436" t="s">
        <v>931</v>
      </c>
      <c r="J45" s="436" t="s">
        <v>932</v>
      </c>
      <c r="L45" s="436" t="s">
        <v>969</v>
      </c>
      <c r="M45" s="436" t="s">
        <v>976</v>
      </c>
    </row>
    <row r="46" spans="1:15">
      <c r="B46" s="489" t="s">
        <v>941</v>
      </c>
      <c r="C46" s="489"/>
      <c r="D46" s="489" t="s">
        <v>942</v>
      </c>
      <c r="E46" s="489">
        <v>105</v>
      </c>
      <c r="F46" s="491">
        <v>3259</v>
      </c>
      <c r="G46" s="492">
        <f>'Beta Calculation'!F3</f>
        <v>1.119423650012682</v>
      </c>
      <c r="H46" s="493">
        <f>'Beta Calculation'!D3</f>
        <v>4.947962603633798E-2</v>
      </c>
      <c r="I46" s="494">
        <f>'Beta Calculation'!C3</f>
        <v>1.1608709869687428</v>
      </c>
      <c r="J46" s="495">
        <f>'Beta Calculation'!E3</f>
        <v>4.5024077046548955E-2</v>
      </c>
      <c r="K46" s="39"/>
      <c r="L46" s="496" t="s">
        <v>173</v>
      </c>
      <c r="M46" s="490" t="str">
        <f>IF(L46="Yes","True","False")</f>
        <v>True</v>
      </c>
    </row>
    <row r="47" spans="1:15">
      <c r="B47" s="36" t="s">
        <v>487</v>
      </c>
      <c r="C47" s="36"/>
      <c r="D47" s="36" t="s">
        <v>943</v>
      </c>
      <c r="E47" s="36">
        <v>105</v>
      </c>
      <c r="F47" s="452">
        <v>6955</v>
      </c>
      <c r="G47" s="453">
        <f>'Beta Calculation'!F4</f>
        <v>1.305196496681426</v>
      </c>
      <c r="H47" s="454">
        <f>'Beta Calculation'!D4</f>
        <v>6.3605644526794356E-3</v>
      </c>
      <c r="I47" s="455">
        <f>'Beta Calculation'!C4</f>
        <v>1.3114087234748923</v>
      </c>
      <c r="J47" s="456">
        <f>'Beta Calculation'!E4</f>
        <v>6.2850461798652371E-3</v>
      </c>
      <c r="L47" s="429" t="s">
        <v>173</v>
      </c>
      <c r="M47" s="36" t="str">
        <f t="shared" ref="M47:M53" si="9">IF(L47="Yes","True","False")</f>
        <v>True</v>
      </c>
      <c r="O47" s="189" t="s">
        <v>173</v>
      </c>
    </row>
    <row r="48" spans="1:15">
      <c r="B48" s="490" t="s">
        <v>490</v>
      </c>
      <c r="C48" s="490"/>
      <c r="D48" s="490" t="s">
        <v>957</v>
      </c>
      <c r="E48" s="490">
        <v>105</v>
      </c>
      <c r="F48" s="497">
        <v>189015</v>
      </c>
      <c r="G48" s="498">
        <f>'Beta Calculation'!F5</f>
        <v>0.52701761023036486</v>
      </c>
      <c r="H48" s="499">
        <f>'Beta Calculation'!D5</f>
        <v>1.7289794376719383</v>
      </c>
      <c r="I48" s="500">
        <f>'Beta Calculation'!C5</f>
        <v>1.2088705243254989</v>
      </c>
      <c r="J48" s="501">
        <f>'Beta Calculation'!E5</f>
        <v>0.63192770371010842</v>
      </c>
      <c r="K48" s="39"/>
      <c r="L48" s="502" t="s">
        <v>171</v>
      </c>
      <c r="M48" s="490" t="str">
        <f t="shared" si="9"/>
        <v>False</v>
      </c>
      <c r="O48" s="189" t="s">
        <v>171</v>
      </c>
    </row>
    <row r="49" spans="1:13">
      <c r="B49" s="490" t="s">
        <v>491</v>
      </c>
      <c r="C49" s="490"/>
      <c r="D49" s="490" t="s">
        <v>958</v>
      </c>
      <c r="E49" s="490">
        <v>105</v>
      </c>
      <c r="F49" s="497">
        <v>4032</v>
      </c>
      <c r="G49" s="498">
        <f>'Beta Calculation'!F6</f>
        <v>0.71824920840847539</v>
      </c>
      <c r="H49" s="499">
        <f>'Beta Calculation'!D6</f>
        <v>0.90038428868216092</v>
      </c>
      <c r="I49" s="500">
        <f>'Beta Calculation'!C6</f>
        <v>1.2021750448510822</v>
      </c>
      <c r="J49" s="501">
        <f>'Beta Calculation'!E6</f>
        <v>0.47377701893716662</v>
      </c>
      <c r="K49" s="39"/>
      <c r="L49" s="502" t="s">
        <v>173</v>
      </c>
      <c r="M49" s="490" t="str">
        <f t="shared" si="9"/>
        <v>True</v>
      </c>
    </row>
    <row r="50" spans="1:13">
      <c r="B50" s="36" t="s">
        <v>615</v>
      </c>
      <c r="C50" s="36"/>
      <c r="D50" s="36" t="s">
        <v>615</v>
      </c>
      <c r="E50" s="36">
        <v>105</v>
      </c>
      <c r="F50" s="452">
        <v>83021</v>
      </c>
      <c r="G50" s="453">
        <f>'Beta Calculation'!F7</f>
        <v>0.61356018336164664</v>
      </c>
      <c r="H50" s="454">
        <f>'Beta Calculation'!D7</f>
        <v>0.40629279064089474</v>
      </c>
      <c r="I50" s="455">
        <f>'Beta Calculation'!C7</f>
        <v>0.8001002080702424</v>
      </c>
      <c r="J50" s="456">
        <f>'Beta Calculation'!E7</f>
        <v>0.28854247212874323</v>
      </c>
      <c r="L50" s="429" t="s">
        <v>171</v>
      </c>
      <c r="M50" s="36" t="str">
        <f t="shared" si="9"/>
        <v>False</v>
      </c>
    </row>
    <row r="51" spans="1:13">
      <c r="B51" s="490" t="s">
        <v>616</v>
      </c>
      <c r="C51" s="490"/>
      <c r="D51" s="490" t="s">
        <v>959</v>
      </c>
      <c r="E51" s="490">
        <v>105</v>
      </c>
      <c r="F51" s="490">
        <v>921</v>
      </c>
      <c r="G51" s="498">
        <f>'Beta Calculation'!F8</f>
        <v>1.0953081477405615</v>
      </c>
      <c r="H51" s="499">
        <f>'Beta Calculation'!D8</f>
        <v>0.29796961942175904</v>
      </c>
      <c r="I51" s="500">
        <f>'Beta Calculation'!C8</f>
        <v>1.3395297351511326</v>
      </c>
      <c r="J51" s="501">
        <f>'Beta Calculation'!E8</f>
        <v>0.22955411142961574</v>
      </c>
      <c r="K51" s="39"/>
      <c r="L51" s="502" t="s">
        <v>171</v>
      </c>
      <c r="M51" s="490" t="str">
        <f t="shared" si="9"/>
        <v>False</v>
      </c>
    </row>
    <row r="52" spans="1:13">
      <c r="B52" s="490" t="s">
        <v>617</v>
      </c>
      <c r="C52" s="490"/>
      <c r="D52" s="490" t="s">
        <v>960</v>
      </c>
      <c r="E52" s="490">
        <v>105</v>
      </c>
      <c r="F52" s="490">
        <v>476</v>
      </c>
      <c r="G52" s="498">
        <f>'Beta Calculation'!F9</f>
        <v>0.53716896276514048</v>
      </c>
      <c r="H52" s="499">
        <f>'Beta Calculation'!D9</f>
        <v>0.44664082687338502</v>
      </c>
      <c r="I52" s="500">
        <f>'Beta Calculation'!C9</f>
        <v>0.71670228833775596</v>
      </c>
      <c r="J52" s="501">
        <f>'Beta Calculation'!E9</f>
        <v>0.30868491459147973</v>
      </c>
      <c r="K52" s="39"/>
      <c r="L52" s="502" t="s">
        <v>171</v>
      </c>
      <c r="M52" s="490" t="str">
        <f t="shared" si="9"/>
        <v>False</v>
      </c>
    </row>
    <row r="53" spans="1:13">
      <c r="B53" s="36" t="s">
        <v>618</v>
      </c>
      <c r="C53" s="36"/>
      <c r="D53" s="36" t="s">
        <v>961</v>
      </c>
      <c r="E53" s="36">
        <v>105</v>
      </c>
      <c r="F53" s="452">
        <v>22162</v>
      </c>
      <c r="G53" s="453">
        <f>'Beta Calculation'!F10</f>
        <v>0.93561856219587469</v>
      </c>
      <c r="H53" s="454">
        <f>'Beta Calculation'!D10</f>
        <v>0.14739260878745156</v>
      </c>
      <c r="I53" s="455">
        <f>'Beta Calculation'!C10</f>
        <v>1.0388115721866751</v>
      </c>
      <c r="J53" s="456">
        <f>'Beta Calculation'!E10</f>
        <v>0.12333011341275804</v>
      </c>
      <c r="L53" s="429" t="s">
        <v>171</v>
      </c>
      <c r="M53" s="36" t="str">
        <f t="shared" si="9"/>
        <v>False</v>
      </c>
    </row>
    <row r="54" spans="1:13">
      <c r="F54" s="443"/>
      <c r="G54" s="362"/>
      <c r="H54" s="55"/>
      <c r="I54" s="123"/>
      <c r="J54" s="448"/>
    </row>
    <row r="55" spans="1:13" s="39" customFormat="1">
      <c r="B55" s="461" t="s">
        <v>972</v>
      </c>
      <c r="C55" s="461"/>
      <c r="D55" s="461"/>
      <c r="E55" s="461"/>
      <c r="F55" s="464"/>
      <c r="G55" s="368">
        <f>MEDIAN(G46:G53)</f>
        <v>0.82693388530217504</v>
      </c>
      <c r="H55" s="112">
        <f>MEDIAN(H46:H53)</f>
        <v>0.35213120503132689</v>
      </c>
      <c r="I55" s="368">
        <f t="shared" ref="I55:J55" si="10">MEDIAN(I46:I53)</f>
        <v>1.1815230159099124</v>
      </c>
      <c r="J55" s="112">
        <f t="shared" si="10"/>
        <v>0.25904829177917948</v>
      </c>
    </row>
    <row r="56" spans="1:13">
      <c r="B56" s="426" t="s">
        <v>973</v>
      </c>
      <c r="C56" s="426"/>
      <c r="D56" s="426"/>
      <c r="E56" s="426"/>
      <c r="F56" s="457"/>
      <c r="G56" s="458">
        <f>AVERAGE(G46:G53)</f>
        <v>0.85644285267452147</v>
      </c>
      <c r="H56" s="459">
        <f>AVERAGE(H46:H53)</f>
        <v>0.4979374703208258</v>
      </c>
      <c r="I56" s="458">
        <f>AVERAGE(I46:I53)</f>
        <v>1.0973086354207529</v>
      </c>
      <c r="J56" s="459">
        <f>AVERAGE(J46:J53)</f>
        <v>0.26339068217953576</v>
      </c>
    </row>
    <row r="57" spans="1:13">
      <c r="F57" s="443"/>
      <c r="G57" s="362"/>
      <c r="H57" s="55"/>
      <c r="I57" s="123"/>
      <c r="J57" s="448"/>
    </row>
    <row r="58" spans="1:13">
      <c r="B58" s="461" t="s">
        <v>975</v>
      </c>
      <c r="C58" s="461"/>
      <c r="D58" s="461"/>
      <c r="E58" s="461"/>
      <c r="F58" s="461"/>
      <c r="G58" s="466" cm="1">
        <f t="array" ref="G58">MEDIAN(IF($M$46:$M$53,G46:G53))</f>
        <v>1.119423650012682</v>
      </c>
      <c r="H58" s="462" cm="1">
        <f t="array" ref="H58">MEDIAN(IF($M$46:$M$53,H46:H53))</f>
        <v>4.947962603633798E-2</v>
      </c>
      <c r="I58" s="463" cm="1">
        <f t="array" ref="I58">MEDIAN(IF($M$46:$M$53,I46:I53))</f>
        <v>1.2021750448510822</v>
      </c>
      <c r="J58" s="462" cm="1">
        <f t="array" ref="J58">MEDIAN(IF($M$46:$M$53,J46:J53))</f>
        <v>4.5024077046548955E-2</v>
      </c>
    </row>
    <row r="59" spans="1:13">
      <c r="B59" s="426" t="s">
        <v>974</v>
      </c>
      <c r="C59" s="426"/>
      <c r="D59" s="426"/>
      <c r="E59" s="426"/>
      <c r="F59" s="426"/>
      <c r="G59" s="458" cm="1">
        <f t="array" ref="G59">AVERAGE(IF($M$46:$M$53,G46:G53))</f>
        <v>1.0476231183675278</v>
      </c>
      <c r="H59" s="459" cm="1">
        <f t="array" ref="H59">AVERAGE(IF($M$46:$M$53,H46:H53))</f>
        <v>0.31874149305705946</v>
      </c>
      <c r="I59" s="460" cm="1">
        <f t="array" ref="I59">AVERAGE(IF($M$46:$M$53,I46:I53))</f>
        <v>1.2248182517649058</v>
      </c>
      <c r="J59" s="459" cm="1">
        <f t="array" ref="J59">AVERAGE(IF($M$46:$M$53,J46:J53))</f>
        <v>0.17502871405452694</v>
      </c>
    </row>
    <row r="61" spans="1:13">
      <c r="B61" s="423" t="s">
        <v>668</v>
      </c>
      <c r="C61" s="423"/>
    </row>
    <row r="62" spans="1:13">
      <c r="B62" s="39" t="s">
        <v>962</v>
      </c>
      <c r="C62" s="39"/>
    </row>
    <row r="64" spans="1:13" ht="45">
      <c r="A64" s="477" t="s">
        <v>35</v>
      </c>
      <c r="B64" s="436" t="s">
        <v>926</v>
      </c>
      <c r="C64" s="436"/>
      <c r="D64" s="436" t="s">
        <v>928</v>
      </c>
      <c r="E64" s="436" t="s">
        <v>933</v>
      </c>
      <c r="F64" s="436" t="s">
        <v>929</v>
      </c>
      <c r="G64" s="436" t="s">
        <v>690</v>
      </c>
      <c r="H64" s="436" t="s">
        <v>977</v>
      </c>
      <c r="I64" s="436" t="s">
        <v>931</v>
      </c>
      <c r="J64" s="436" t="s">
        <v>978</v>
      </c>
      <c r="L64" s="436" t="s">
        <v>969</v>
      </c>
      <c r="M64" s="436" t="s">
        <v>976</v>
      </c>
    </row>
    <row r="65" spans="2:13">
      <c r="B65" s="489" t="s">
        <v>941</v>
      </c>
      <c r="C65" s="489"/>
      <c r="D65" s="489" t="s">
        <v>942</v>
      </c>
      <c r="E65" s="489">
        <v>60</v>
      </c>
      <c r="F65" s="491">
        <v>3259</v>
      </c>
      <c r="G65" s="492">
        <f>'Beta Calculation'!K3</f>
        <v>1.4366831104374937</v>
      </c>
      <c r="H65" s="493">
        <f>'Beta Calculation'!I3</f>
        <v>7.7913959440527245E-2</v>
      </c>
      <c r="I65" s="492">
        <f>'Beta Calculation'!H3</f>
        <v>1.5204460685958194</v>
      </c>
      <c r="J65" s="495">
        <f>'Beta Calculation'!J3</f>
        <v>7.0993764023222522E-2</v>
      </c>
      <c r="K65" s="39"/>
      <c r="L65" s="496" t="s">
        <v>173</v>
      </c>
      <c r="M65" s="490" t="str">
        <f>IF(L65="Yes","True","False")</f>
        <v>True</v>
      </c>
    </row>
    <row r="66" spans="2:13" s="39" customFormat="1">
      <c r="B66" s="490" t="s">
        <v>487</v>
      </c>
      <c r="C66" s="490"/>
      <c r="D66" s="490" t="s">
        <v>943</v>
      </c>
      <c r="E66" s="490">
        <v>60</v>
      </c>
      <c r="F66" s="497">
        <v>6955</v>
      </c>
      <c r="G66" s="492">
        <f>'Beta Calculation'!K4</f>
        <v>1.2912423666180903</v>
      </c>
      <c r="H66" s="493">
        <f>'Beta Calculation'!I4</f>
        <v>2.7700594210703562E-3</v>
      </c>
      <c r="I66" s="492">
        <f>'Beta Calculation'!H4</f>
        <v>1.2939188995892519</v>
      </c>
      <c r="J66" s="495">
        <f>'Beta Calculation'!J4</f>
        <v>2.7397430852655349E-3</v>
      </c>
      <c r="L66" s="502" t="s">
        <v>173</v>
      </c>
      <c r="M66" s="490" t="str">
        <f t="shared" ref="M66:M72" si="11">IF(L66="Yes","True","False")</f>
        <v>True</v>
      </c>
    </row>
    <row r="67" spans="2:13">
      <c r="B67" s="490" t="s">
        <v>490</v>
      </c>
      <c r="C67" s="490"/>
      <c r="D67" s="490" t="s">
        <v>957</v>
      </c>
      <c r="E67" s="490">
        <v>60</v>
      </c>
      <c r="F67" s="497">
        <v>189015</v>
      </c>
      <c r="G67" s="492">
        <f>'Beta Calculation'!K5</f>
        <v>0.56923277791185989</v>
      </c>
      <c r="H67" s="493">
        <f>'Beta Calculation'!I5</f>
        <v>1.3922632225281599</v>
      </c>
      <c r="I67" s="492">
        <f>'Beta Calculation'!H5</f>
        <v>1.1622768870550617</v>
      </c>
      <c r="J67" s="495">
        <f>'Beta Calculation'!J5</f>
        <v>0.57489838322599507</v>
      </c>
      <c r="K67" s="39"/>
      <c r="L67" s="502" t="s">
        <v>171</v>
      </c>
      <c r="M67" s="490" t="str">
        <f t="shared" si="11"/>
        <v>False</v>
      </c>
    </row>
    <row r="68" spans="2:13">
      <c r="B68" s="490" t="s">
        <v>491</v>
      </c>
      <c r="C68" s="490"/>
      <c r="D68" s="490" t="s">
        <v>958</v>
      </c>
      <c r="E68" s="490">
        <v>60</v>
      </c>
      <c r="F68" s="497">
        <v>4032</v>
      </c>
      <c r="G68" s="492">
        <f>'Beta Calculation'!K6</f>
        <v>0.74193691463894829</v>
      </c>
      <c r="H68" s="493">
        <f>'Beta Calculation'!I6</f>
        <v>0.57330196241325693</v>
      </c>
      <c r="I68" s="492">
        <f>'Beta Calculation'!H6</f>
        <v>1.060229229889404</v>
      </c>
      <c r="J68" s="495">
        <f>'Beta Calculation'!J6</f>
        <v>0.56792780910685159</v>
      </c>
      <c r="K68" s="39"/>
      <c r="L68" s="502" t="s">
        <v>173</v>
      </c>
      <c r="M68" s="490" t="str">
        <f t="shared" si="11"/>
        <v>True</v>
      </c>
    </row>
    <row r="69" spans="2:13">
      <c r="B69" s="36" t="s">
        <v>615</v>
      </c>
      <c r="C69" s="36"/>
      <c r="D69" s="36" t="s">
        <v>615</v>
      </c>
      <c r="E69" s="36">
        <v>60</v>
      </c>
      <c r="F69" s="452">
        <v>83021</v>
      </c>
      <c r="G69" s="449">
        <f>'Beta Calculation'!K7</f>
        <v>0.72171995617610085</v>
      </c>
      <c r="H69" s="450">
        <f>'Beta Calculation'!I7</f>
        <v>0.43578461400528007</v>
      </c>
      <c r="I69" s="449">
        <f>'Beta Calculation'!H7</f>
        <v>0.95707112099839564</v>
      </c>
      <c r="J69" s="451">
        <f>'Beta Calculation'!J7</f>
        <v>0.3029261586895528</v>
      </c>
      <c r="L69" s="429" t="s">
        <v>171</v>
      </c>
      <c r="M69" s="36" t="str">
        <f t="shared" si="11"/>
        <v>False</v>
      </c>
    </row>
    <row r="70" spans="2:13">
      <c r="B70" s="490" t="s">
        <v>616</v>
      </c>
      <c r="C70" s="490"/>
      <c r="D70" s="490" t="s">
        <v>959</v>
      </c>
      <c r="E70" s="490">
        <v>60</v>
      </c>
      <c r="F70" s="490">
        <v>921</v>
      </c>
      <c r="G70" s="492">
        <f>'Beta Calculation'!K8</f>
        <v>0.53523655046678986</v>
      </c>
      <c r="H70" s="493">
        <f>'Beta Calculation'!I8</f>
        <v>0.45162779981209694</v>
      </c>
      <c r="I70" s="492">
        <f>'Beta Calculation'!H8</f>
        <v>0.71612139261690666</v>
      </c>
      <c r="J70" s="495">
        <f>'Beta Calculation'!J8</f>
        <v>0.29495320052899543</v>
      </c>
      <c r="K70" s="39"/>
      <c r="L70" s="502" t="s">
        <v>171</v>
      </c>
      <c r="M70" s="490" t="str">
        <f t="shared" si="11"/>
        <v>False</v>
      </c>
    </row>
    <row r="71" spans="2:13">
      <c r="B71" s="490" t="s">
        <v>617</v>
      </c>
      <c r="C71" s="490"/>
      <c r="D71" s="490" t="s">
        <v>960</v>
      </c>
      <c r="E71" s="490">
        <v>60</v>
      </c>
      <c r="F71" s="490">
        <v>476</v>
      </c>
      <c r="G71" s="492">
        <f>'Beta Calculation'!K9</f>
        <v>0.27993501645117225</v>
      </c>
      <c r="H71" s="493">
        <f>'Beta Calculation'!I9</f>
        <v>0.29530943448474484</v>
      </c>
      <c r="I71" s="492">
        <f>'Beta Calculation'!H9</f>
        <v>0.34179507033429618</v>
      </c>
      <c r="J71" s="495">
        <f>'Beta Calculation'!J9</f>
        <v>0.21378119453546479</v>
      </c>
      <c r="K71" s="39"/>
      <c r="L71" s="502" t="s">
        <v>171</v>
      </c>
      <c r="M71" s="490" t="str">
        <f t="shared" si="11"/>
        <v>False</v>
      </c>
    </row>
    <row r="72" spans="2:13">
      <c r="B72" s="36" t="s">
        <v>618</v>
      </c>
      <c r="C72" s="36"/>
      <c r="D72" s="36" t="s">
        <v>961</v>
      </c>
      <c r="E72" s="36">
        <v>60</v>
      </c>
      <c r="F72" s="452">
        <v>22162</v>
      </c>
      <c r="G72" s="449">
        <f>'Beta Calculation'!K10</f>
        <v>1.4056224178959014</v>
      </c>
      <c r="H72" s="493">
        <f>'Beta Calculation'!I10</f>
        <v>0.13169868288043465</v>
      </c>
      <c r="I72" s="449">
        <f>'Beta Calculation'!H10</f>
        <v>1.5441466820381691</v>
      </c>
      <c r="J72" s="451">
        <f>'Beta Calculation'!J10</f>
        <v>0.11027596639244659</v>
      </c>
      <c r="L72" s="429" t="s">
        <v>171</v>
      </c>
      <c r="M72" s="36" t="str">
        <f t="shared" si="11"/>
        <v>False</v>
      </c>
    </row>
    <row r="75" spans="2:13">
      <c r="B75" s="461" t="s">
        <v>972</v>
      </c>
      <c r="C75" s="461"/>
      <c r="D75" s="461"/>
      <c r="E75" s="461"/>
      <c r="F75" s="464"/>
      <c r="G75" s="465">
        <f>MEDIAN(G65:G72)</f>
        <v>0.73182843540752462</v>
      </c>
      <c r="H75" s="462">
        <f>MEDIAN(H65:H72)</f>
        <v>0.36554702424501245</v>
      </c>
      <c r="I75" s="465">
        <f>MEDIAN(I65:I72)</f>
        <v>1.1112530584722329</v>
      </c>
      <c r="J75" s="462">
        <f>MEDIAN(J65:J72)</f>
        <v>0.25436719753223014</v>
      </c>
    </row>
    <row r="76" spans="2:13">
      <c r="B76" s="426" t="s">
        <v>973</v>
      </c>
      <c r="C76" s="426"/>
      <c r="D76" s="426"/>
      <c r="E76" s="426"/>
      <c r="F76" s="457"/>
      <c r="G76" s="475">
        <f>AVERAGE(G65:G72)</f>
        <v>0.87270113882454459</v>
      </c>
      <c r="H76" s="459">
        <f>AVERAGE(H65:H72)</f>
        <v>0.42008371687319629</v>
      </c>
      <c r="I76" s="475">
        <f>AVERAGE(I65:I72)</f>
        <v>1.074500668889663</v>
      </c>
      <c r="J76" s="459">
        <f>AVERAGE(J65:J72)</f>
        <v>0.26731202744847432</v>
      </c>
    </row>
    <row r="77" spans="2:13">
      <c r="F77" s="443"/>
      <c r="G77" s="362"/>
      <c r="H77" s="55"/>
      <c r="I77" s="123"/>
      <c r="J77" s="448"/>
    </row>
    <row r="78" spans="2:13">
      <c r="B78" s="461" t="s">
        <v>975</v>
      </c>
      <c r="C78" s="461"/>
      <c r="D78" s="461"/>
      <c r="E78" s="461"/>
      <c r="F78" s="461"/>
      <c r="G78" s="466" cm="1">
        <f t="array" ref="G78">MEDIAN(IF($M$65:$M$72,G65:G72))</f>
        <v>1.2912423666180903</v>
      </c>
      <c r="H78" s="462" cm="1">
        <f t="array" ref="H78">MEDIAN(IF($M$65:$M$72,H65:H72))</f>
        <v>7.7913959440527245E-2</v>
      </c>
      <c r="I78" s="463" cm="1">
        <f t="array" ref="I78">MEDIAN(IF($M$65:$M$72,I65:I72))</f>
        <v>1.2939188995892519</v>
      </c>
      <c r="J78" s="462" cm="1">
        <f t="array" ref="J78">MEDIAN(IF($M$65:$M$72,J65:J72))</f>
        <v>7.0993764023222522E-2</v>
      </c>
    </row>
    <row r="79" spans="2:13">
      <c r="B79" s="426" t="s">
        <v>974</v>
      </c>
      <c r="C79" s="426"/>
      <c r="D79" s="426"/>
      <c r="E79" s="426"/>
      <c r="F79" s="426"/>
      <c r="G79" s="458" cm="1">
        <f t="array" ref="G79">AVERAGE(IF($M$65:$M$72,G65:G72))</f>
        <v>1.156620797231511</v>
      </c>
      <c r="H79" s="459" cm="1">
        <f t="array" ref="H79">AVERAGE(IF($M$65:$M$72,H65:H72))</f>
        <v>0.21799532709161817</v>
      </c>
      <c r="I79" s="460" cm="1">
        <f t="array" ref="I79">AVERAGE(IF($M$65:$M$72,I65:I72))</f>
        <v>1.2915313993581583</v>
      </c>
      <c r="J79" s="459" cm="1">
        <f t="array" ref="J79">AVERAGE(IF($M$65:$M$72,J65:J72))</f>
        <v>0.21388710540511321</v>
      </c>
    </row>
    <row r="82" spans="1:15">
      <c r="B82" s="423" t="s">
        <v>668</v>
      </c>
      <c r="C82" s="423"/>
    </row>
    <row r="83" spans="1:15">
      <c r="B83" s="39" t="s">
        <v>984</v>
      </c>
      <c r="C83" s="39"/>
      <c r="D83" t="s">
        <v>985</v>
      </c>
      <c r="H83" s="126">
        <v>0.25169999999999998</v>
      </c>
    </row>
    <row r="85" spans="1:15" ht="34.5" customHeight="1">
      <c r="A85" s="477" t="s">
        <v>35</v>
      </c>
      <c r="B85" s="436" t="s">
        <v>926</v>
      </c>
      <c r="C85" s="436"/>
      <c r="D85" s="436" t="s">
        <v>928</v>
      </c>
      <c r="E85" s="436" t="s">
        <v>933</v>
      </c>
      <c r="F85" s="436" t="s">
        <v>929</v>
      </c>
      <c r="G85" s="436" t="s">
        <v>690</v>
      </c>
      <c r="H85" s="436" t="s">
        <v>977</v>
      </c>
      <c r="I85" s="436" t="s">
        <v>931</v>
      </c>
      <c r="J85" s="436" t="s">
        <v>978</v>
      </c>
      <c r="K85" s="436" t="s">
        <v>969</v>
      </c>
      <c r="L85" s="436" t="s">
        <v>976</v>
      </c>
    </row>
    <row r="86" spans="1:15">
      <c r="B86" s="489" t="s">
        <v>941</v>
      </c>
      <c r="C86" s="489"/>
      <c r="D86" s="489" t="s">
        <v>942</v>
      </c>
      <c r="E86" s="489">
        <v>60</v>
      </c>
      <c r="F86" s="491">
        <v>3259</v>
      </c>
      <c r="G86" s="492">
        <f t="shared" ref="G86:G93" si="12">I86/(1+(1-$H$83)*H86)</f>
        <v>1.2212403650611328</v>
      </c>
      <c r="H86" s="493">
        <f>H65</f>
        <v>7.7913959440527245E-2</v>
      </c>
      <c r="I86" s="492">
        <f>0.33+0.633*I65</f>
        <v>1.2924423614211538</v>
      </c>
      <c r="J86" s="495">
        <f>J65</f>
        <v>7.0993764023222522E-2</v>
      </c>
      <c r="K86" s="496" t="s">
        <v>173</v>
      </c>
      <c r="L86" s="490" t="str">
        <f>IF(K86="Yes","True","False")</f>
        <v>True</v>
      </c>
      <c r="N86" s="362"/>
      <c r="O86" s="362"/>
    </row>
    <row r="87" spans="1:15">
      <c r="B87" s="490" t="s">
        <v>487</v>
      </c>
      <c r="C87" s="490"/>
      <c r="D87" s="490" t="s">
        <v>943</v>
      </c>
      <c r="E87" s="490">
        <v>60</v>
      </c>
      <c r="F87" s="497">
        <v>6955</v>
      </c>
      <c r="G87" s="492">
        <f t="shared" si="12"/>
        <v>1.1466737973263563</v>
      </c>
      <c r="H87" s="493">
        <f t="shared" ref="H87:H93" si="13">H66</f>
        <v>2.7700594210703562E-3</v>
      </c>
      <c r="I87" s="492">
        <f>0.33+0.633*I66</f>
        <v>1.1490506634399964</v>
      </c>
      <c r="J87" s="495">
        <f t="shared" ref="J87:J93" si="14">J66</f>
        <v>2.7397430852655349E-3</v>
      </c>
      <c r="K87" s="502" t="s">
        <v>173</v>
      </c>
      <c r="L87" s="490" t="str">
        <f t="shared" ref="L87:L93" si="15">IF(K87="Yes","True","False")</f>
        <v>True</v>
      </c>
      <c r="N87" s="362"/>
      <c r="O87" s="362"/>
    </row>
    <row r="88" spans="1:15">
      <c r="B88" s="490" t="s">
        <v>490</v>
      </c>
      <c r="C88" s="490"/>
      <c r="D88" s="490" t="s">
        <v>957</v>
      </c>
      <c r="E88" s="490">
        <v>60</v>
      </c>
      <c r="F88" s="497">
        <v>189015</v>
      </c>
      <c r="G88" s="492">
        <f t="shared" si="12"/>
        <v>0.52194402682966889</v>
      </c>
      <c r="H88" s="493">
        <f t="shared" si="13"/>
        <v>1.3922632225281599</v>
      </c>
      <c r="I88" s="492">
        <f t="shared" ref="I88:I89" si="16">0.33+0.633*I67</f>
        <v>1.065721269505854</v>
      </c>
      <c r="J88" s="495">
        <f t="shared" si="14"/>
        <v>0.57489838322599507</v>
      </c>
      <c r="K88" s="502" t="s">
        <v>171</v>
      </c>
      <c r="L88" s="490" t="str">
        <f t="shared" si="15"/>
        <v>False</v>
      </c>
      <c r="N88" s="362"/>
      <c r="O88" s="362"/>
    </row>
    <row r="89" spans="1:15">
      <c r="B89" s="490" t="s">
        <v>491</v>
      </c>
      <c r="C89" s="490"/>
      <c r="D89" s="490" t="s">
        <v>958</v>
      </c>
      <c r="E89" s="490">
        <v>60</v>
      </c>
      <c r="F89" s="497">
        <v>4032</v>
      </c>
      <c r="G89" s="492">
        <f t="shared" si="12"/>
        <v>0.70057648741561784</v>
      </c>
      <c r="H89" s="493">
        <f t="shared" si="13"/>
        <v>0.57330196241325693</v>
      </c>
      <c r="I89" s="492">
        <f t="shared" si="16"/>
        <v>1.0011251025199928</v>
      </c>
      <c r="J89" s="495">
        <f t="shared" si="14"/>
        <v>0.56792780910685159</v>
      </c>
      <c r="K89" s="502" t="s">
        <v>173</v>
      </c>
      <c r="L89" s="490" t="str">
        <f t="shared" si="15"/>
        <v>True</v>
      </c>
      <c r="N89" s="362"/>
      <c r="O89" s="362"/>
    </row>
    <row r="90" spans="1:15">
      <c r="B90" s="36" t="s">
        <v>615</v>
      </c>
      <c r="C90" s="36"/>
      <c r="D90" s="36" t="s">
        <v>615</v>
      </c>
      <c r="E90" s="36">
        <v>60</v>
      </c>
      <c r="F90" s="452">
        <v>83021</v>
      </c>
      <c r="G90" s="449">
        <f t="shared" si="12"/>
        <v>0.70569918894200356</v>
      </c>
      <c r="H90" s="450">
        <f t="shared" si="13"/>
        <v>0.43578461400528007</v>
      </c>
      <c r="I90" s="449">
        <f>0.33+0.633*I69</f>
        <v>0.93582601959198453</v>
      </c>
      <c r="J90" s="451">
        <f t="shared" si="14"/>
        <v>0.3029261586895528</v>
      </c>
      <c r="K90" s="429" t="s">
        <v>171</v>
      </c>
      <c r="L90" s="36" t="str">
        <f t="shared" si="15"/>
        <v>False</v>
      </c>
      <c r="N90" s="362"/>
      <c r="O90" s="362"/>
    </row>
    <row r="91" spans="1:15">
      <c r="B91" s="490" t="s">
        <v>616</v>
      </c>
      <c r="C91" s="490"/>
      <c r="D91" s="490" t="s">
        <v>959</v>
      </c>
      <c r="E91" s="490">
        <v>60</v>
      </c>
      <c r="F91" s="490">
        <v>921</v>
      </c>
      <c r="G91" s="492">
        <f t="shared" si="12"/>
        <v>0.58545015644695653</v>
      </c>
      <c r="H91" s="493">
        <f t="shared" si="13"/>
        <v>0.45162779981209694</v>
      </c>
      <c r="I91" s="492">
        <f>0.33+0.633*I70</f>
        <v>0.78330484152650193</v>
      </c>
      <c r="J91" s="495">
        <f t="shared" si="14"/>
        <v>0.29495320052899543</v>
      </c>
      <c r="K91" s="502" t="s">
        <v>171</v>
      </c>
      <c r="L91" s="490" t="str">
        <f t="shared" si="15"/>
        <v>False</v>
      </c>
      <c r="N91" s="362"/>
      <c r="O91" s="362"/>
    </row>
    <row r="92" spans="1:15">
      <c r="B92" s="490" t="s">
        <v>617</v>
      </c>
      <c r="C92" s="490"/>
      <c r="D92" s="490" t="s">
        <v>960</v>
      </c>
      <c r="E92" s="490">
        <v>60</v>
      </c>
      <c r="F92" s="490">
        <v>476</v>
      </c>
      <c r="G92" s="492">
        <f t="shared" si="12"/>
        <v>0.44747355175864389</v>
      </c>
      <c r="H92" s="493">
        <f t="shared" si="13"/>
        <v>0.29530943448474484</v>
      </c>
      <c r="I92" s="492">
        <f>0.33+0.633*I71</f>
        <v>0.54635627952160948</v>
      </c>
      <c r="J92" s="495">
        <f t="shared" si="14"/>
        <v>0.21378119453546479</v>
      </c>
      <c r="K92" s="502" t="s">
        <v>171</v>
      </c>
      <c r="L92" s="490" t="str">
        <f t="shared" si="15"/>
        <v>False</v>
      </c>
      <c r="N92" s="362"/>
      <c r="O92" s="362"/>
    </row>
    <row r="93" spans="1:15">
      <c r="B93" s="36" t="s">
        <v>618</v>
      </c>
      <c r="C93" s="36"/>
      <c r="D93" s="36" t="s">
        <v>961</v>
      </c>
      <c r="E93" s="36">
        <v>60</v>
      </c>
      <c r="F93" s="452">
        <v>22162</v>
      </c>
      <c r="G93" s="449">
        <f t="shared" si="12"/>
        <v>1.1901549330258672</v>
      </c>
      <c r="H93" s="450">
        <f t="shared" si="13"/>
        <v>0.13169868288043465</v>
      </c>
      <c r="I93" s="449">
        <f>0.33+0.633*I72</f>
        <v>1.307444849730161</v>
      </c>
      <c r="J93" s="451">
        <f t="shared" si="14"/>
        <v>0.11027596639244659</v>
      </c>
      <c r="K93" s="429" t="s">
        <v>171</v>
      </c>
      <c r="L93" s="36" t="str">
        <f t="shared" si="15"/>
        <v>False</v>
      </c>
      <c r="N93" s="362"/>
      <c r="O93" s="362"/>
    </row>
    <row r="96" spans="1:15">
      <c r="B96" s="461" t="s">
        <v>972</v>
      </c>
      <c r="C96" s="461"/>
      <c r="D96" s="461"/>
      <c r="E96" s="461"/>
      <c r="F96" s="464"/>
      <c r="G96" s="465">
        <f>MEDIAN(G86:G93)</f>
        <v>0.7031378381788107</v>
      </c>
      <c r="H96" s="462">
        <f t="shared" ref="H96:J96" si="17">MEDIAN(H86:H93)</f>
        <v>0.36554702424501245</v>
      </c>
      <c r="I96" s="465">
        <f t="shared" si="17"/>
        <v>1.0334231860129233</v>
      </c>
      <c r="J96" s="462">
        <f t="shared" si="17"/>
        <v>0.25436719753223014</v>
      </c>
    </row>
    <row r="97" spans="2:12">
      <c r="B97" s="426" t="s">
        <v>973</v>
      </c>
      <c r="C97" s="426"/>
      <c r="D97" s="426"/>
      <c r="E97" s="426"/>
      <c r="F97" s="457"/>
      <c r="G97" s="475">
        <f>AVERAGE(G86:G93)</f>
        <v>0.81490156335078079</v>
      </c>
      <c r="H97" s="459">
        <f>AVERAGE(H86:H93)</f>
        <v>0.42008371687319629</v>
      </c>
      <c r="I97" s="475">
        <f>AVERAGE(I86:I93)</f>
        <v>1.0101589234071566</v>
      </c>
      <c r="J97" s="459">
        <f>AVERAGE(J86:J93)</f>
        <v>0.26731202744847432</v>
      </c>
    </row>
    <row r="98" spans="2:12">
      <c r="F98" s="443"/>
      <c r="G98" s="362"/>
      <c r="H98" s="55"/>
      <c r="I98" s="123"/>
      <c r="J98" s="448"/>
    </row>
    <row r="99" spans="2:12">
      <c r="B99" s="461" t="s">
        <v>975</v>
      </c>
      <c r="C99" s="461"/>
      <c r="D99" s="461"/>
      <c r="E99" s="461"/>
      <c r="F99" s="461"/>
      <c r="G99" s="368" cm="1">
        <f t="array" ref="G99">MEDIAN(IF($L$86:$L$93,G86:G93))</f>
        <v>1.1466737973263563</v>
      </c>
      <c r="H99" s="462" cm="1">
        <f t="array" ref="H99">MEDIAN(IF($L$86:$L$93,H86:H93))</f>
        <v>7.7913959440527245E-2</v>
      </c>
      <c r="I99" s="463" cm="1">
        <f t="array" ref="I99">MEDIAN(IF($L$86:$L$93,I86:I93))</f>
        <v>1.1490506634399964</v>
      </c>
      <c r="J99" s="462" cm="1">
        <f t="array" ref="J99">MEDIAN(IF($L$86:$L$93,J86:J93))</f>
        <v>7.0993764023222522E-2</v>
      </c>
      <c r="L99" s="55"/>
    </row>
    <row r="100" spans="2:12">
      <c r="B100" s="426" t="s">
        <v>974</v>
      </c>
      <c r="C100" s="426"/>
      <c r="D100" s="426"/>
      <c r="E100" s="426"/>
      <c r="F100" s="426"/>
      <c r="G100" s="458" cm="1">
        <f t="array" ref="G100">AVERAGE(IF($L$86:$L$93,G86:G93))</f>
        <v>1.0228302166010357</v>
      </c>
      <c r="H100" s="459" cm="1">
        <f t="array" ref="H100">AVERAGE(IF($L$86:$L$93,H86:H93))</f>
        <v>0.21799532709161817</v>
      </c>
      <c r="I100" s="460" cm="1">
        <f t="array" ref="I100">AVERAGE(IF($L$86:$L$93,I86:I93))</f>
        <v>1.1475393757937142</v>
      </c>
      <c r="J100" s="459" cm="1">
        <f t="array" ref="J100">AVERAGE(IF($L$86:$L$93,J86:J93))</f>
        <v>0.21388710540511321</v>
      </c>
    </row>
    <row r="102" spans="2:12">
      <c r="B102" s="39" t="s">
        <v>1036</v>
      </c>
    </row>
  </sheetData>
  <sheetProtection algorithmName="SHA-512" hashValue="cS9wj4ENZn6z/rS7fXnGltvaTqkJdfAXAorzXwUWBy/8daWZ0TogK2T+SJ0MMyqJelEMoewrgdsOWj34YZ9+ag==" saltValue="bQq0vzFiJXBzmR7Stlzr2g==" spinCount="100000" sheet="1" objects="1" scenarios="1"/>
  <mergeCells count="8">
    <mergeCell ref="H31:H33"/>
    <mergeCell ref="B25:F25"/>
    <mergeCell ref="B26:F26"/>
    <mergeCell ref="B27:F27"/>
    <mergeCell ref="H6:H9"/>
    <mergeCell ref="H13:H15"/>
    <mergeCell ref="H19:H21"/>
    <mergeCell ref="H25:H27"/>
  </mergeCells>
  <dataValidations count="1">
    <dataValidation type="list" allowBlank="1" showInputMessage="1" showErrorMessage="1" sqref="L46:L53 K86:K93 L65:L72" xr:uid="{0DD824EC-4106-48A0-BAAD-50CD4669CE70}">
      <formula1>$O$47:$O$48</formula1>
    </dataValidation>
  </dataValidation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84410-E870-438C-B66C-FD7F51D43B20}">
  <dimension ref="A1:X97"/>
  <sheetViews>
    <sheetView showGridLines="0" zoomScale="79" zoomScaleNormal="59" workbookViewId="0">
      <pane xSplit="2" ySplit="8" topLeftCell="C10" activePane="bottomRight" state="frozen"/>
      <selection activeCell="H17" sqref="H17"/>
      <selection pane="topRight" activeCell="H17" sqref="H17"/>
      <selection pane="bottomLeft" activeCell="H17" sqref="H17"/>
      <selection pane="bottomRight"/>
    </sheetView>
  </sheetViews>
  <sheetFormatPr defaultColWidth="9.7109375" defaultRowHeight="15" outlineLevelRow="1"/>
  <cols>
    <col min="1" max="1" width="1.85546875" customWidth="1"/>
    <col min="2" max="2" width="42.85546875" customWidth="1"/>
    <col min="3" max="3" width="14.42578125" customWidth="1"/>
    <col min="4" max="9" width="11.28515625" customWidth="1"/>
    <col min="10" max="11" width="10.5703125" bestFit="1" customWidth="1"/>
    <col min="12" max="14" width="10.7109375" bestFit="1" customWidth="1"/>
    <col min="15" max="15" width="10.85546875" bestFit="1" customWidth="1"/>
    <col min="16" max="16" width="9.28515625" customWidth="1"/>
  </cols>
  <sheetData>
    <row r="1" spans="1:24">
      <c r="U1" s="118"/>
    </row>
    <row r="2" spans="1:24" ht="21">
      <c r="B2" s="29" t="str">
        <f>'Input Sheet'!C5</f>
        <v>Epigral Ltd.</v>
      </c>
      <c r="C2" s="29"/>
      <c r="D2" s="29"/>
      <c r="E2" s="29"/>
      <c r="F2" s="29"/>
      <c r="G2" s="29"/>
      <c r="H2" s="29"/>
      <c r="I2" s="29"/>
      <c r="U2" s="118" t="s">
        <v>173</v>
      </c>
      <c r="X2" s="118" t="s">
        <v>169</v>
      </c>
    </row>
    <row r="3" spans="1:24">
      <c r="B3" t="s">
        <v>161</v>
      </c>
      <c r="J3" t="s">
        <v>39</v>
      </c>
      <c r="K3">
        <v>2</v>
      </c>
      <c r="U3" s="118" t="s">
        <v>171</v>
      </c>
      <c r="X3" s="118" t="s">
        <v>170</v>
      </c>
    </row>
    <row r="4" spans="1:24">
      <c r="X4" s="118" t="s">
        <v>171</v>
      </c>
    </row>
    <row r="7" spans="1:24">
      <c r="E7" s="577" t="s">
        <v>168</v>
      </c>
      <c r="F7" s="577"/>
      <c r="G7" s="577"/>
      <c r="H7" s="577"/>
      <c r="I7" s="577"/>
      <c r="J7" s="584" t="s">
        <v>1123</v>
      </c>
      <c r="K7" s="584"/>
      <c r="L7" s="584"/>
      <c r="M7" s="584"/>
      <c r="N7" s="584"/>
      <c r="O7" s="584"/>
      <c r="P7" s="584"/>
      <c r="Q7" s="584"/>
      <c r="R7" s="585" t="s">
        <v>183</v>
      </c>
      <c r="S7" s="585"/>
      <c r="T7" s="585"/>
      <c r="U7" s="585"/>
      <c r="V7" s="585"/>
      <c r="W7" s="585"/>
    </row>
    <row r="8" spans="1:24">
      <c r="B8" s="30" t="s">
        <v>34</v>
      </c>
      <c r="C8" s="30"/>
      <c r="D8" s="30"/>
      <c r="E8" s="483">
        <f>'Ratio Analysis'!D8</f>
        <v>2021</v>
      </c>
      <c r="F8" s="483">
        <f>'Ratio Analysis'!E8</f>
        <v>2022</v>
      </c>
      <c r="G8" s="483">
        <f>'Ratio Analysis'!F8</f>
        <v>2023</v>
      </c>
      <c r="H8" s="483">
        <f>'Ratio Analysis'!G8</f>
        <v>2024</v>
      </c>
      <c r="I8" s="483">
        <f>'Ratio Analysis'!H8</f>
        <v>2025</v>
      </c>
      <c r="J8" s="483">
        <f>'Ratio Analysis'!I8</f>
        <v>2026</v>
      </c>
      <c r="K8" s="483">
        <f>'Ratio Analysis'!J8</f>
        <v>2027</v>
      </c>
      <c r="L8" s="483">
        <f>'Ratio Analysis'!K8</f>
        <v>2028</v>
      </c>
      <c r="M8" s="483">
        <f>'Ratio Analysis'!L8</f>
        <v>2029</v>
      </c>
      <c r="N8" s="483">
        <f>'Ratio Analysis'!M8</f>
        <v>2030</v>
      </c>
      <c r="O8" s="483">
        <f>'Ratio Analysis'!N8</f>
        <v>2031</v>
      </c>
      <c r="P8" s="483">
        <f>'Ratio Analysis'!O8</f>
        <v>2032</v>
      </c>
      <c r="Q8" s="483">
        <f>'Ratio Analysis'!P8</f>
        <v>2033</v>
      </c>
      <c r="R8" s="483">
        <f>'Ratio Analysis'!Q8</f>
        <v>2034</v>
      </c>
      <c r="S8" s="483">
        <f>'Ratio Analysis'!R8</f>
        <v>2035</v>
      </c>
      <c r="T8" s="483">
        <f>'Ratio Analysis'!S8</f>
        <v>2036</v>
      </c>
      <c r="U8" s="483">
        <f>'Ratio Analysis'!T8</f>
        <v>2037</v>
      </c>
      <c r="V8" s="483">
        <f>'Ratio Analysis'!U8</f>
        <v>2038</v>
      </c>
      <c r="W8" s="483">
        <f>'Ratio Analysis'!V8</f>
        <v>2039</v>
      </c>
    </row>
    <row r="9" spans="1:24">
      <c r="B9" s="94"/>
      <c r="C9" s="94"/>
      <c r="D9" s="94"/>
      <c r="E9" s="94"/>
      <c r="F9" s="94"/>
      <c r="G9" s="94"/>
      <c r="H9" s="94"/>
      <c r="I9" s="94"/>
      <c r="J9" s="95"/>
      <c r="K9" s="96"/>
      <c r="L9" s="96"/>
      <c r="M9" s="96"/>
      <c r="N9" s="96"/>
      <c r="O9" s="96"/>
    </row>
    <row r="10" spans="1:24" ht="15" customHeight="1">
      <c r="A10" t="s">
        <v>35</v>
      </c>
      <c r="B10" s="131" t="s">
        <v>160</v>
      </c>
      <c r="C10" s="131"/>
      <c r="D10" s="141"/>
      <c r="E10" s="141"/>
      <c r="F10" s="141"/>
      <c r="G10" s="141"/>
      <c r="H10" s="141"/>
      <c r="I10" s="141"/>
      <c r="J10" s="141"/>
      <c r="K10" s="141"/>
      <c r="L10" s="141"/>
      <c r="M10" s="141"/>
      <c r="N10" s="141"/>
      <c r="O10" s="141"/>
      <c r="P10" s="141"/>
      <c r="Q10" s="141"/>
      <c r="R10" s="141"/>
      <c r="S10" s="141"/>
      <c r="T10" s="141"/>
      <c r="U10" s="141"/>
      <c r="V10" s="141"/>
      <c r="W10" s="141"/>
    </row>
    <row r="11" spans="1:24" outlineLevel="1">
      <c r="B11" t="s">
        <v>93</v>
      </c>
      <c r="E11" s="383">
        <f>'3 Statement Model'!D24</f>
        <v>261.8</v>
      </c>
      <c r="F11" s="383">
        <f>'3 Statement Model'!E24</f>
        <v>510.2</v>
      </c>
      <c r="G11" s="383">
        <f>'3 Statement Model'!F24</f>
        <v>689.4</v>
      </c>
      <c r="H11" s="383">
        <f>'3 Statement Model'!G24</f>
        <v>480.7</v>
      </c>
      <c r="I11" s="383">
        <f>'3 Statement Model'!H24</f>
        <v>711.4</v>
      </c>
      <c r="J11" s="383">
        <f>'3 Statement Model'!I24</f>
        <v>769.07999999999981</v>
      </c>
      <c r="K11" s="383">
        <f>'3 Statement Model'!J24</f>
        <v>959.93015999999977</v>
      </c>
      <c r="L11" s="383">
        <f>'3 Statement Model'!K24</f>
        <v>1199.9126999999999</v>
      </c>
      <c r="M11" s="383">
        <f>'3 Statement Model'!L24</f>
        <v>1526.9565749999997</v>
      </c>
      <c r="N11" s="383">
        <f>'3 Statement Model'!M24</f>
        <v>1915.3324539374998</v>
      </c>
      <c r="O11" s="383">
        <f>'3 Statement Model'!N24</f>
        <v>2367.6594789628107</v>
      </c>
      <c r="P11" s="383">
        <f>'3 Statement Model'!O24</f>
        <v>2883.8075566038933</v>
      </c>
      <c r="Q11" s="383">
        <f>'3 Statement Model'!P24</f>
        <v>3460.1646068367918</v>
      </c>
      <c r="R11" s="383">
        <f>'3 Statement Model'!Q24</f>
        <v>4390.8295700549634</v>
      </c>
      <c r="S11" s="383">
        <f>'3 Statement Model'!R24</f>
        <v>5005.5457098626584</v>
      </c>
      <c r="T11" s="383">
        <f>'3 Statement Model'!S24</f>
        <v>5606.2111950461785</v>
      </c>
      <c r="U11" s="383">
        <f>'3 Statement Model'!T24</f>
        <v>6359.5458243805078</v>
      </c>
      <c r="V11" s="383">
        <f>'3 Statement Model'!U24</f>
        <v>6868.3094903309502</v>
      </c>
      <c r="W11" s="383">
        <f>'3 Statement Model'!V24</f>
        <v>7211.7249648474981</v>
      </c>
    </row>
    <row r="12" spans="1:24" outlineLevel="1">
      <c r="B12" s="57" t="s">
        <v>162</v>
      </c>
      <c r="C12" s="57"/>
      <c r="E12" s="383">
        <f>'3 Statement Model'!D29*-1</f>
        <v>-70.77</v>
      </c>
      <c r="F12" s="383">
        <f>'3 Statement Model'!E29*-1</f>
        <v>-82.67</v>
      </c>
      <c r="G12" s="383">
        <f>'3 Statement Model'!F29*-1</f>
        <v>-105.72</v>
      </c>
      <c r="H12" s="383">
        <f>'3 Statement Model'!G29*-1</f>
        <v>-120.33</v>
      </c>
      <c r="I12" s="383">
        <f>'3 Statement Model'!H29*-1</f>
        <v>-129.33000000000001</v>
      </c>
      <c r="J12" s="383">
        <f>'3 Statement Model'!I29*-1</f>
        <v>-161.47285714285715</v>
      </c>
      <c r="K12" s="383">
        <f>'3 Statement Model'!J29*-1</f>
        <v>-204.33</v>
      </c>
      <c r="L12" s="383">
        <f>'3 Statement Model'!K29*-1</f>
        <v>-257.9014285714286</v>
      </c>
      <c r="M12" s="383">
        <f>'3 Statement Model'!L29*-1</f>
        <v>-322.18714285714287</v>
      </c>
      <c r="N12" s="383">
        <f>'3 Statement Model'!M29*-1</f>
        <v>-397.18714285714287</v>
      </c>
      <c r="O12" s="383">
        <f>'3 Statement Model'!N29*-1</f>
        <v>-482.9014285714286</v>
      </c>
      <c r="P12" s="383">
        <f>'3 Statement Model'!O29*-1</f>
        <v>-579.33000000000004</v>
      </c>
      <c r="Q12" s="383">
        <f>'3 Statement Model'!P29*-1</f>
        <v>-686.47285714285715</v>
      </c>
      <c r="R12" s="383">
        <f>'3 Statement Model'!Q29*-1</f>
        <v>-797.9014285714286</v>
      </c>
      <c r="S12" s="383">
        <f>'3 Statement Model'!R29*-1</f>
        <v>-913.78714285714284</v>
      </c>
      <c r="T12" s="383">
        <f>'3 Statement Model'!S29*-1</f>
        <v>-1034.3082857142856</v>
      </c>
      <c r="U12" s="383">
        <f>'3 Statement Model'!T29*-1</f>
        <v>-1159.6502742857142</v>
      </c>
      <c r="V12" s="383">
        <f>'3 Statement Model'!U29*-1</f>
        <v>-1290.0059423999999</v>
      </c>
      <c r="W12" s="383">
        <f>'3 Statement Model'!V29*-1</f>
        <v>-1425.575837238857</v>
      </c>
    </row>
    <row r="13" spans="1:24" outlineLevel="1">
      <c r="B13" s="57" t="s">
        <v>163</v>
      </c>
      <c r="C13" s="57"/>
      <c r="E13" s="383">
        <f>'3 Statement Model'!D30*-1</f>
        <v>-3.23</v>
      </c>
      <c r="F13" s="383">
        <f>'3 Statement Model'!E30*-1</f>
        <v>-3.23</v>
      </c>
      <c r="G13" s="383">
        <f>'3 Statement Model'!F30*-1</f>
        <v>-3.23</v>
      </c>
      <c r="H13" s="383">
        <f>'3 Statement Model'!G30*-1</f>
        <v>-3.23</v>
      </c>
      <c r="I13" s="383">
        <f>'3 Statement Model'!H30*-1</f>
        <v>-3.23</v>
      </c>
      <c r="J13" s="383">
        <f>'3 Statement Model'!I30*-1</f>
        <v>-3.23</v>
      </c>
      <c r="K13" s="383">
        <f>'3 Statement Model'!J30*-1</f>
        <v>-3.23</v>
      </c>
      <c r="L13" s="383">
        <f>'3 Statement Model'!K30*-1</f>
        <v>-3.23</v>
      </c>
      <c r="M13" s="383">
        <f>'3 Statement Model'!L30*-1</f>
        <v>-3.23</v>
      </c>
      <c r="N13" s="383">
        <f>'3 Statement Model'!M30*-1</f>
        <v>-3.23</v>
      </c>
      <c r="O13" s="383">
        <f>'3 Statement Model'!N30*-1</f>
        <v>-3.23</v>
      </c>
      <c r="P13" s="383">
        <f>'3 Statement Model'!O30*-1</f>
        <v>0</v>
      </c>
      <c r="Q13" s="383">
        <f>'3 Statement Model'!P30*-1</f>
        <v>0</v>
      </c>
      <c r="R13" s="383">
        <f>'3 Statement Model'!Q30*-1</f>
        <v>0</v>
      </c>
      <c r="S13" s="383">
        <f>'3 Statement Model'!R30*-1</f>
        <v>0</v>
      </c>
      <c r="T13" s="383">
        <f>'3 Statement Model'!S30*-1</f>
        <v>0</v>
      </c>
      <c r="U13" s="383">
        <f>'3 Statement Model'!T30*-1</f>
        <v>0</v>
      </c>
      <c r="V13" s="383">
        <f>'3 Statement Model'!U30*-1</f>
        <v>0</v>
      </c>
      <c r="W13" s="383">
        <f>'3 Statement Model'!V30*-1</f>
        <v>0</v>
      </c>
    </row>
    <row r="14" spans="1:24" outlineLevel="1">
      <c r="B14" s="46" t="s">
        <v>94</v>
      </c>
      <c r="C14" s="46"/>
      <c r="D14" s="46"/>
      <c r="E14" s="482">
        <f>SUM(E11:E13)</f>
        <v>187.80000000000004</v>
      </c>
      <c r="F14" s="482">
        <f t="shared" ref="F14:O14" si="0">SUM(F11:F13)</f>
        <v>424.29999999999995</v>
      </c>
      <c r="G14" s="482">
        <f t="shared" si="0"/>
        <v>580.44999999999993</v>
      </c>
      <c r="H14" s="482">
        <f t="shared" si="0"/>
        <v>357.14</v>
      </c>
      <c r="I14" s="482">
        <f t="shared" si="0"/>
        <v>578.83999999999992</v>
      </c>
      <c r="J14" s="482">
        <f t="shared" si="0"/>
        <v>604.37714285714264</v>
      </c>
      <c r="K14" s="482">
        <f t="shared" si="0"/>
        <v>752.37015999999971</v>
      </c>
      <c r="L14" s="482">
        <f t="shared" si="0"/>
        <v>938.78127142857124</v>
      </c>
      <c r="M14" s="482">
        <f t="shared" si="0"/>
        <v>1201.5394321428569</v>
      </c>
      <c r="N14" s="482">
        <f t="shared" si="0"/>
        <v>1514.915311080357</v>
      </c>
      <c r="O14" s="482">
        <f t="shared" si="0"/>
        <v>1881.5280503913821</v>
      </c>
      <c r="P14" s="482">
        <f t="shared" ref="P14" si="1">SUM(P11:P13)</f>
        <v>2304.4775566038934</v>
      </c>
      <c r="Q14" s="482">
        <f t="shared" ref="Q14:W14" si="2">SUM(Q11:Q13)</f>
        <v>2773.6917496939345</v>
      </c>
      <c r="R14" s="482">
        <f t="shared" si="2"/>
        <v>3592.928141483535</v>
      </c>
      <c r="S14" s="482">
        <f t="shared" si="2"/>
        <v>4091.7585670055155</v>
      </c>
      <c r="T14" s="482">
        <f t="shared" si="2"/>
        <v>4571.9029093318932</v>
      </c>
      <c r="U14" s="482">
        <f t="shared" si="2"/>
        <v>5199.8955500947941</v>
      </c>
      <c r="V14" s="482">
        <f t="shared" si="2"/>
        <v>5578.3035479309501</v>
      </c>
      <c r="W14" s="482">
        <f t="shared" si="2"/>
        <v>5786.1491276086408</v>
      </c>
    </row>
    <row r="15" spans="1:24" outlineLevel="1">
      <c r="B15" s="57" t="s">
        <v>67</v>
      </c>
      <c r="C15" s="57"/>
      <c r="E15" s="383">
        <f>'3 Statement Model'!D38*-1</f>
        <v>-60</v>
      </c>
      <c r="F15" s="383">
        <f>'3 Statement Model'!E38*-1</f>
        <v>-131</v>
      </c>
      <c r="G15" s="383">
        <f>'3 Statement Model'!F38*-1</f>
        <v>-169</v>
      </c>
      <c r="H15" s="383">
        <f>'3 Statement Model'!G38*-1</f>
        <v>-95</v>
      </c>
      <c r="I15" s="383">
        <f>'3 Statement Model'!H38*-1</f>
        <v>-183</v>
      </c>
      <c r="J15" s="383">
        <f>'3 Statement Model'!I38*-1</f>
        <v>-145.66736236264282</v>
      </c>
      <c r="K15" s="383">
        <f>'3 Statement Model'!J38*-1</f>
        <v>-182.86180142927992</v>
      </c>
      <c r="L15" s="383">
        <f>'3 Statement Model'!K38*-1</f>
        <v>-230.09972690024796</v>
      </c>
      <c r="M15" s="383">
        <f>'3 Statement Model'!L38*-1</f>
        <v>-296.68476465230287</v>
      </c>
      <c r="N15" s="383">
        <f>'3 Statement Model'!M38*-1</f>
        <v>-376.4435812430383</v>
      </c>
      <c r="O15" s="383">
        <f>'3 Statement Model'!N38*-1</f>
        <v>-470.70580490114276</v>
      </c>
      <c r="P15" s="383">
        <f>'3 Statement Model'!O38*-1</f>
        <v>-579.80640425608522</v>
      </c>
      <c r="Q15" s="383">
        <f>'3 Statement Model'!P38*-1</f>
        <v>-700.33821377498168</v>
      </c>
      <c r="R15" s="383">
        <f>'3 Statement Model'!Q38*-1</f>
        <v>-908.73839074915531</v>
      </c>
      <c r="S15" s="383">
        <f>'3 Statement Model'!R38*-1</f>
        <v>-1036.7115721716252</v>
      </c>
      <c r="T15" s="383">
        <f>'3 Statement Model'!S38*-1</f>
        <v>-1159.9262078636229</v>
      </c>
      <c r="U15" s="383">
        <f>'3 Statement Model'!T38*-1</f>
        <v>-1320.1967732901969</v>
      </c>
      <c r="V15" s="383">
        <f>'3 Statement Model'!U38*-1</f>
        <v>-1417.3823059625227</v>
      </c>
      <c r="W15" s="383">
        <f>'3 Statement Model'!V38*-1</f>
        <v>-1471.0067001088491</v>
      </c>
    </row>
    <row r="16" spans="1:24" outlineLevel="1">
      <c r="B16" s="46" t="s">
        <v>164</v>
      </c>
      <c r="C16" s="46"/>
      <c r="D16" s="46"/>
      <c r="E16" s="116">
        <f>SUM(E14:E15)</f>
        <v>127.80000000000004</v>
      </c>
      <c r="F16" s="116">
        <f>SUM(F14:F15)</f>
        <v>293.29999999999995</v>
      </c>
      <c r="G16" s="116">
        <f>SUM(G14:G15)</f>
        <v>411.44999999999993</v>
      </c>
      <c r="H16" s="116">
        <f t="shared" ref="H16:J16" si="3">SUM(H14:H15)</f>
        <v>262.14</v>
      </c>
      <c r="I16" s="116">
        <f t="shared" si="3"/>
        <v>395.83999999999992</v>
      </c>
      <c r="J16" s="116">
        <f t="shared" si="3"/>
        <v>458.7097804944998</v>
      </c>
      <c r="K16" s="116">
        <f>SUM(K14:K15)</f>
        <v>569.50835857071979</v>
      </c>
      <c r="L16" s="116">
        <f>SUM(L14:L15)</f>
        <v>708.68154452832323</v>
      </c>
      <c r="M16" s="116">
        <f>SUM(M14:M15)</f>
        <v>904.85466749055399</v>
      </c>
      <c r="N16" s="116">
        <f>SUM(N14:N15)</f>
        <v>1138.4717298373187</v>
      </c>
      <c r="O16" s="116">
        <f>SUM(O14:O15)</f>
        <v>1410.8222454902393</v>
      </c>
      <c r="P16" s="116">
        <f t="shared" ref="P16:Q16" si="4">SUM(P14:P15)</f>
        <v>1724.6711523478082</v>
      </c>
      <c r="Q16" s="116">
        <f t="shared" si="4"/>
        <v>2073.3535359189527</v>
      </c>
      <c r="R16" s="116">
        <f t="shared" ref="R16:W16" si="5">SUM(R14:R15)</f>
        <v>2684.1897507343797</v>
      </c>
      <c r="S16" s="116">
        <f t="shared" si="5"/>
        <v>3055.0469948338905</v>
      </c>
      <c r="T16" s="116">
        <f t="shared" si="5"/>
        <v>3411.9767014682702</v>
      </c>
      <c r="U16" s="116">
        <f t="shared" si="5"/>
        <v>3879.6987768045974</v>
      </c>
      <c r="V16" s="116">
        <f t="shared" si="5"/>
        <v>4160.9212419684272</v>
      </c>
      <c r="W16" s="116">
        <f t="shared" si="5"/>
        <v>4315.1424274997917</v>
      </c>
    </row>
    <row r="17" spans="1:23" outlineLevel="1">
      <c r="B17" s="57" t="s">
        <v>113</v>
      </c>
      <c r="C17" s="57"/>
      <c r="E17" s="71">
        <f>E12*-1</f>
        <v>70.77</v>
      </c>
      <c r="F17" s="71">
        <f t="shared" ref="F17:Q17" si="6">F12*-1</f>
        <v>82.67</v>
      </c>
      <c r="G17" s="71">
        <f t="shared" si="6"/>
        <v>105.72</v>
      </c>
      <c r="H17" s="71">
        <f t="shared" si="6"/>
        <v>120.33</v>
      </c>
      <c r="I17" s="71">
        <f t="shared" si="6"/>
        <v>129.33000000000001</v>
      </c>
      <c r="J17" s="71">
        <f t="shared" si="6"/>
        <v>161.47285714285715</v>
      </c>
      <c r="K17" s="71">
        <f t="shared" si="6"/>
        <v>204.33</v>
      </c>
      <c r="L17" s="71">
        <f t="shared" si="6"/>
        <v>257.9014285714286</v>
      </c>
      <c r="M17" s="71">
        <f t="shared" si="6"/>
        <v>322.18714285714287</v>
      </c>
      <c r="N17" s="71">
        <f t="shared" si="6"/>
        <v>397.18714285714287</v>
      </c>
      <c r="O17" s="71">
        <f t="shared" si="6"/>
        <v>482.9014285714286</v>
      </c>
      <c r="P17" s="71">
        <f t="shared" si="6"/>
        <v>579.33000000000004</v>
      </c>
      <c r="Q17" s="71">
        <f t="shared" si="6"/>
        <v>686.47285714285715</v>
      </c>
      <c r="R17" s="71">
        <f t="shared" ref="R17:W17" si="7">R12*-1</f>
        <v>797.9014285714286</v>
      </c>
      <c r="S17" s="71">
        <f t="shared" si="7"/>
        <v>913.78714285714284</v>
      </c>
      <c r="T17" s="71">
        <f t="shared" si="7"/>
        <v>1034.3082857142856</v>
      </c>
      <c r="U17" s="71">
        <f t="shared" si="7"/>
        <v>1159.6502742857142</v>
      </c>
      <c r="V17" s="71">
        <f t="shared" si="7"/>
        <v>1290.0059423999999</v>
      </c>
      <c r="W17" s="71">
        <f t="shared" si="7"/>
        <v>1425.575837238857</v>
      </c>
    </row>
    <row r="18" spans="1:23" outlineLevel="1">
      <c r="B18" s="57" t="s">
        <v>114</v>
      </c>
      <c r="C18" s="57"/>
      <c r="E18" s="71">
        <f>E13*-1</f>
        <v>3.23</v>
      </c>
      <c r="F18" s="71">
        <f t="shared" ref="F18:Q18" si="8">F13*-1</f>
        <v>3.23</v>
      </c>
      <c r="G18" s="71">
        <f t="shared" si="8"/>
        <v>3.23</v>
      </c>
      <c r="H18" s="71">
        <f t="shared" si="8"/>
        <v>3.23</v>
      </c>
      <c r="I18" s="71">
        <f t="shared" si="8"/>
        <v>3.23</v>
      </c>
      <c r="J18" s="71">
        <f t="shared" si="8"/>
        <v>3.23</v>
      </c>
      <c r="K18" s="71">
        <f t="shared" si="8"/>
        <v>3.23</v>
      </c>
      <c r="L18" s="71">
        <f t="shared" si="8"/>
        <v>3.23</v>
      </c>
      <c r="M18" s="71">
        <f t="shared" si="8"/>
        <v>3.23</v>
      </c>
      <c r="N18" s="71">
        <f t="shared" si="8"/>
        <v>3.23</v>
      </c>
      <c r="O18" s="71">
        <f t="shared" si="8"/>
        <v>3.23</v>
      </c>
      <c r="P18" s="71">
        <f t="shared" si="8"/>
        <v>0</v>
      </c>
      <c r="Q18" s="71">
        <f t="shared" si="8"/>
        <v>0</v>
      </c>
      <c r="R18" s="71">
        <f t="shared" ref="R18:W18" si="9">R13*-1</f>
        <v>0</v>
      </c>
      <c r="S18" s="71">
        <f t="shared" si="9"/>
        <v>0</v>
      </c>
      <c r="T18" s="71">
        <f t="shared" si="9"/>
        <v>0</v>
      </c>
      <c r="U18" s="71">
        <f t="shared" si="9"/>
        <v>0</v>
      </c>
      <c r="V18" s="71">
        <f t="shared" si="9"/>
        <v>0</v>
      </c>
      <c r="W18" s="71">
        <f t="shared" si="9"/>
        <v>0</v>
      </c>
    </row>
    <row r="19" spans="1:23" outlineLevel="1">
      <c r="B19" s="104" t="s">
        <v>992</v>
      </c>
      <c r="C19" s="104"/>
      <c r="D19" s="46"/>
      <c r="E19" s="482">
        <f>SUM(E16:E18)</f>
        <v>201.80000000000004</v>
      </c>
      <c r="F19" s="482">
        <f t="shared" ref="F19:Q19" si="10">SUM(F16:F18)</f>
        <v>379.2</v>
      </c>
      <c r="G19" s="482">
        <f t="shared" si="10"/>
        <v>520.4</v>
      </c>
      <c r="H19" s="482">
        <f t="shared" si="10"/>
        <v>385.7</v>
      </c>
      <c r="I19" s="482">
        <f t="shared" si="10"/>
        <v>528.4</v>
      </c>
      <c r="J19" s="482">
        <f t="shared" si="10"/>
        <v>623.41263763735697</v>
      </c>
      <c r="K19" s="482">
        <f t="shared" si="10"/>
        <v>777.06835857071985</v>
      </c>
      <c r="L19" s="482">
        <f t="shared" si="10"/>
        <v>969.81297309975184</v>
      </c>
      <c r="M19" s="482">
        <f t="shared" si="10"/>
        <v>1230.2718103476968</v>
      </c>
      <c r="N19" s="482">
        <f t="shared" si="10"/>
        <v>1538.8888726944615</v>
      </c>
      <c r="O19" s="482">
        <f t="shared" si="10"/>
        <v>1896.9536740616679</v>
      </c>
      <c r="P19" s="482">
        <f t="shared" si="10"/>
        <v>2304.0011523478083</v>
      </c>
      <c r="Q19" s="482">
        <f t="shared" si="10"/>
        <v>2759.82639306181</v>
      </c>
      <c r="R19" s="482">
        <f t="shared" ref="R19:W19" si="11">SUM(R16:R18)</f>
        <v>3482.0911793058085</v>
      </c>
      <c r="S19" s="482">
        <f t="shared" si="11"/>
        <v>3968.8341376910334</v>
      </c>
      <c r="T19" s="482">
        <f t="shared" si="11"/>
        <v>4446.2849871825556</v>
      </c>
      <c r="U19" s="482">
        <f t="shared" si="11"/>
        <v>5039.3490510903121</v>
      </c>
      <c r="V19" s="482">
        <f t="shared" si="11"/>
        <v>5450.9271843684273</v>
      </c>
      <c r="W19" s="482">
        <f t="shared" si="11"/>
        <v>5740.7182647386489</v>
      </c>
    </row>
    <row r="20" spans="1:23" outlineLevel="1">
      <c r="B20" s="103" t="s">
        <v>165</v>
      </c>
      <c r="C20" s="103"/>
    </row>
    <row r="21" spans="1:23" outlineLevel="1">
      <c r="B21" s="57" t="s">
        <v>166</v>
      </c>
      <c r="C21" s="57"/>
      <c r="E21" s="383">
        <f>'3 Statement Model'!D103</f>
        <v>-5.65</v>
      </c>
      <c r="F21" s="383">
        <f>'3 Statement Model'!E103</f>
        <v>-169.41</v>
      </c>
      <c r="G21" s="383">
        <f>'3 Statement Model'!F103</f>
        <v>40.82</v>
      </c>
      <c r="H21" s="383">
        <f>'3 Statement Model'!G103</f>
        <v>-38.4</v>
      </c>
      <c r="I21" s="383">
        <f>'3 Statement Model'!H103</f>
        <v>-166.68</v>
      </c>
      <c r="J21" s="383">
        <f>'3 Statement Model'!I103</f>
        <v>-40.172191780821919</v>
      </c>
      <c r="K21" s="383">
        <f>'3 Statement Model'!J103</f>
        <v>-136.23818630136978</v>
      </c>
      <c r="L21" s="383">
        <f>'3 Statement Model'!K103</f>
        <v>-210.2226287671233</v>
      </c>
      <c r="M21" s="383">
        <f>'3 Statement Model'!L103</f>
        <v>-272.66529965753438</v>
      </c>
      <c r="N21" s="383">
        <f>'3 Statement Model'!M103</f>
        <v>-270.32060980736287</v>
      </c>
      <c r="O21" s="383">
        <f>'3 Statement Model'!N103</f>
        <v>-303.89247268914795</v>
      </c>
      <c r="P21" s="383">
        <f>'3 Statement Model'!O103</f>
        <v>-306.5695212683267</v>
      </c>
      <c r="Q21" s="383">
        <f>'3 Statement Model'!P103</f>
        <v>-386.86980084125958</v>
      </c>
      <c r="R21" s="383">
        <f>'3 Statement Model'!Q103</f>
        <v>-430.27318504949699</v>
      </c>
      <c r="S21" s="383">
        <f>'3 Statement Model'!R103</f>
        <v>-409.19674546274234</v>
      </c>
      <c r="T21" s="383">
        <f>'3 Statement Model'!S103</f>
        <v>-399.84367699502218</v>
      </c>
      <c r="U21" s="383">
        <f>'3 Statement Model'!T103</f>
        <v>-399.58654279759821</v>
      </c>
      <c r="V21" s="383">
        <f>'3 Statement Model'!U103</f>
        <v>-330.51686891342592</v>
      </c>
      <c r="W21" s="383">
        <f>'3 Statement Model'!V103</f>
        <v>-223.09888651656092</v>
      </c>
    </row>
    <row r="22" spans="1:23" outlineLevel="1">
      <c r="B22" s="57" t="s">
        <v>993</v>
      </c>
      <c r="C22" s="57"/>
      <c r="E22" s="383">
        <f>'3 Statement Model'!D107</f>
        <v>-196.75</v>
      </c>
      <c r="F22" s="383">
        <f>'3 Statement Model'!E107</f>
        <v>-456.3</v>
      </c>
      <c r="G22" s="383">
        <f>'3 Statement Model'!F107</f>
        <v>-416.45</v>
      </c>
      <c r="H22" s="383">
        <f>'3 Statement Model'!G107</f>
        <v>-398.44</v>
      </c>
      <c r="I22" s="383">
        <f>'3 Statement Model'!H107</f>
        <v>-186.35</v>
      </c>
      <c r="J22" s="383">
        <f>'3 Statement Model'!I107</f>
        <v>-450</v>
      </c>
      <c r="K22" s="383">
        <f>'3 Statement Model'!J107</f>
        <v>-600</v>
      </c>
      <c r="L22" s="383">
        <f>'3 Statement Model'!K107</f>
        <v>-750</v>
      </c>
      <c r="M22" s="383">
        <f>'3 Statement Model'!L107</f>
        <v>-900</v>
      </c>
      <c r="N22" s="383">
        <f>'3 Statement Model'!M107</f>
        <v>-1050</v>
      </c>
      <c r="O22" s="383">
        <f>'3 Statement Model'!N107</f>
        <v>-1200</v>
      </c>
      <c r="P22" s="383">
        <f>'3 Statement Model'!O107</f>
        <v>-1350</v>
      </c>
      <c r="Q22" s="383">
        <f>'3 Statement Model'!P107</f>
        <v>-1500</v>
      </c>
      <c r="R22" s="383">
        <f>'3 Statement Model'!Q107</f>
        <v>-1560</v>
      </c>
      <c r="S22" s="383">
        <f>'3 Statement Model'!R107</f>
        <v>-1622.4</v>
      </c>
      <c r="T22" s="383">
        <f>'3 Statement Model'!S107</f>
        <v>-1687.296</v>
      </c>
      <c r="U22" s="383">
        <f>'3 Statement Model'!T107</f>
        <v>-1754.7878400000002</v>
      </c>
      <c r="V22" s="383">
        <f>'3 Statement Model'!U107</f>
        <v>-1824.9793536000002</v>
      </c>
      <c r="W22" s="383">
        <f>'3 Statement Model'!V107</f>
        <v>-1897.9785277440003</v>
      </c>
    </row>
    <row r="23" spans="1:23" outlineLevel="1">
      <c r="B23" s="46" t="s">
        <v>160</v>
      </c>
      <c r="C23" s="46"/>
      <c r="D23" s="46"/>
      <c r="E23" s="484">
        <f>SUM(E19:E22)</f>
        <v>-0.59999999999996589</v>
      </c>
      <c r="F23" s="484">
        <f t="shared" ref="F23:W23" si="12">SUM(F19:F22)</f>
        <v>-246.51000000000002</v>
      </c>
      <c r="G23" s="484">
        <f t="shared" si="12"/>
        <v>144.77000000000004</v>
      </c>
      <c r="H23" s="484">
        <f t="shared" si="12"/>
        <v>-51.139999999999986</v>
      </c>
      <c r="I23" s="484">
        <f t="shared" si="12"/>
        <v>175.36999999999998</v>
      </c>
      <c r="J23" s="484">
        <f t="shared" si="12"/>
        <v>133.24044585653508</v>
      </c>
      <c r="K23" s="484">
        <f>SUM(K19:K22)</f>
        <v>40.830172269350101</v>
      </c>
      <c r="L23" s="484">
        <f>SUM(L19:L22)</f>
        <v>9.5903443326285469</v>
      </c>
      <c r="M23" s="484">
        <f t="shared" si="12"/>
        <v>57.606510690162395</v>
      </c>
      <c r="N23" s="484">
        <f t="shared" si="12"/>
        <v>218.56826288709863</v>
      </c>
      <c r="O23" s="484">
        <f t="shared" si="12"/>
        <v>393.06120137251992</v>
      </c>
      <c r="P23" s="484">
        <f t="shared" si="12"/>
        <v>647.43163107948158</v>
      </c>
      <c r="Q23" s="484">
        <f t="shared" si="12"/>
        <v>872.95659222055019</v>
      </c>
      <c r="R23" s="484">
        <f t="shared" si="12"/>
        <v>1491.8179942563115</v>
      </c>
      <c r="S23" s="484">
        <f t="shared" si="12"/>
        <v>1937.2373922282909</v>
      </c>
      <c r="T23" s="484">
        <f t="shared" si="12"/>
        <v>2359.1453101875331</v>
      </c>
      <c r="U23" s="484">
        <f t="shared" si="12"/>
        <v>2884.9746682927134</v>
      </c>
      <c r="V23" s="484">
        <f t="shared" si="12"/>
        <v>3295.430961855001</v>
      </c>
      <c r="W23" s="484">
        <f t="shared" si="12"/>
        <v>3619.6408504780875</v>
      </c>
    </row>
    <row r="24" spans="1:23" outlineLevel="1">
      <c r="B24" s="39"/>
      <c r="C24" s="39"/>
      <c r="D24" s="39"/>
      <c r="E24" s="39"/>
      <c r="F24" s="39"/>
      <c r="G24" s="39"/>
      <c r="H24" s="39"/>
      <c r="I24" s="39"/>
      <c r="J24" s="39"/>
      <c r="K24" s="117"/>
      <c r="L24" s="117"/>
      <c r="M24" s="117"/>
      <c r="N24" s="117"/>
      <c r="O24" s="117"/>
      <c r="P24" s="117"/>
      <c r="Q24" s="117"/>
      <c r="R24" s="117"/>
      <c r="S24" s="117"/>
      <c r="T24" s="117"/>
      <c r="U24" s="117"/>
      <c r="V24" s="117"/>
      <c r="W24" s="117"/>
    </row>
    <row r="25" spans="1:23" outlineLevel="1">
      <c r="B25" s="103" t="s">
        <v>172</v>
      </c>
      <c r="C25" s="119" t="s">
        <v>198</v>
      </c>
      <c r="D25" s="120" t="s">
        <v>173</v>
      </c>
      <c r="J25">
        <f>IF(D25="Yes",(K8-J8)/2,K8-J8)</f>
        <v>0.5</v>
      </c>
      <c r="K25">
        <f>J25+1</f>
        <v>1.5</v>
      </c>
      <c r="L25">
        <f t="shared" ref="L25:Q25" si="13">K25+1</f>
        <v>2.5</v>
      </c>
      <c r="M25">
        <f t="shared" si="13"/>
        <v>3.5</v>
      </c>
      <c r="N25">
        <f t="shared" si="13"/>
        <v>4.5</v>
      </c>
      <c r="O25">
        <f t="shared" si="13"/>
        <v>5.5</v>
      </c>
      <c r="P25">
        <f t="shared" si="13"/>
        <v>6.5</v>
      </c>
      <c r="Q25">
        <f t="shared" si="13"/>
        <v>7.5</v>
      </c>
      <c r="R25">
        <f t="shared" ref="R25" si="14">Q25+1</f>
        <v>8.5</v>
      </c>
      <c r="S25">
        <f t="shared" ref="S25" si="15">R25+1</f>
        <v>9.5</v>
      </c>
      <c r="T25">
        <f t="shared" ref="T25" si="16">S25+1</f>
        <v>10.5</v>
      </c>
      <c r="U25">
        <f t="shared" ref="U25" si="17">T25+1</f>
        <v>11.5</v>
      </c>
      <c r="V25">
        <f t="shared" ref="V25" si="18">U25+1</f>
        <v>12.5</v>
      </c>
      <c r="W25">
        <f t="shared" ref="W25" si="19">V25+1</f>
        <v>13.5</v>
      </c>
    </row>
    <row r="26" spans="1:23" outlineLevel="1">
      <c r="B26" s="103" t="s">
        <v>994</v>
      </c>
      <c r="C26" s="122">
        <f>Wacc!E23</f>
        <v>0.21000000000000002</v>
      </c>
      <c r="D26" s="121"/>
      <c r="F26" s="121"/>
      <c r="G26" s="121"/>
      <c r="H26" s="121"/>
      <c r="I26" s="121"/>
    </row>
    <row r="27" spans="1:23" outlineLevel="1">
      <c r="B27" s="103" t="s">
        <v>167</v>
      </c>
      <c r="C27" s="103"/>
      <c r="J27" s="123">
        <f>1/(1+$C$26)^J25</f>
        <v>0.90909090909090906</v>
      </c>
      <c r="K27" s="123">
        <f>1/(1+$C$26)^K25</f>
        <v>0.75131480090157776</v>
      </c>
      <c r="L27" s="123">
        <f>1/(1+$C$26)^L25</f>
        <v>0.62092132305915526</v>
      </c>
      <c r="M27" s="123">
        <f t="shared" ref="M27:Q27" si="20">1/(1+$C$26)^M25</f>
        <v>0.51315811823070678</v>
      </c>
      <c r="N27" s="123">
        <f t="shared" si="20"/>
        <v>0.424097618372485</v>
      </c>
      <c r="O27" s="123">
        <f t="shared" si="20"/>
        <v>0.35049389948139253</v>
      </c>
      <c r="P27" s="123">
        <f t="shared" si="20"/>
        <v>0.28966437973668802</v>
      </c>
      <c r="Q27" s="123">
        <f t="shared" si="20"/>
        <v>0.23939204936916364</v>
      </c>
      <c r="R27" s="123">
        <f t="shared" ref="R27:V27" si="21">1/(1+$C$26)^R25</f>
        <v>0.1978446689001353</v>
      </c>
      <c r="S27" s="123">
        <f t="shared" si="21"/>
        <v>0.16350799082655809</v>
      </c>
      <c r="T27" s="123">
        <f t="shared" si="21"/>
        <v>0.13513057093103972</v>
      </c>
      <c r="U27" s="123">
        <f t="shared" si="21"/>
        <v>0.11167815779424774</v>
      </c>
      <c r="V27" s="123">
        <f t="shared" si="21"/>
        <v>9.2295998177064215E-2</v>
      </c>
      <c r="W27" s="123">
        <f>1/(1+$C$26)^W25</f>
        <v>7.6277684443854743E-2</v>
      </c>
    </row>
    <row r="28" spans="1:23" ht="15.75" outlineLevel="1" thickBot="1">
      <c r="B28" s="108" t="s">
        <v>174</v>
      </c>
      <c r="C28" s="108"/>
      <c r="D28" s="124"/>
      <c r="E28" s="124"/>
      <c r="F28" s="124"/>
      <c r="G28" s="124"/>
      <c r="H28" s="124"/>
      <c r="I28" s="124"/>
      <c r="J28" s="125">
        <f>J23*J27</f>
        <v>121.12767805139552</v>
      </c>
      <c r="K28" s="125">
        <f t="shared" ref="K28:Q28" si="22">K23*K27</f>
        <v>30.676312749323891</v>
      </c>
      <c r="L28" s="125">
        <f>L23*L27</f>
        <v>5.9548492916085891</v>
      </c>
      <c r="M28" s="125">
        <f t="shared" si="22"/>
        <v>29.561248623600829</v>
      </c>
      <c r="N28" s="125">
        <f t="shared" si="22"/>
        <v>92.694279742229725</v>
      </c>
      <c r="O28" s="125">
        <f t="shared" si="22"/>
        <v>137.76555320389539</v>
      </c>
      <c r="P28" s="125">
        <f t="shared" si="22"/>
        <v>187.53788183855025</v>
      </c>
      <c r="Q28" s="125">
        <f t="shared" si="22"/>
        <v>208.9788676219988</v>
      </c>
      <c r="R28" s="125">
        <f t="shared" ref="R28:W28" si="23">R23*R27</f>
        <v>295.14823713290389</v>
      </c>
      <c r="S28" s="125">
        <f t="shared" si="23"/>
        <v>316.75379375732871</v>
      </c>
      <c r="T28" s="125">
        <f t="shared" si="23"/>
        <v>318.79265267492616</v>
      </c>
      <c r="U28" s="125">
        <f t="shared" si="23"/>
        <v>322.18865623800116</v>
      </c>
      <c r="V28" s="125">
        <f t="shared" si="23"/>
        <v>304.15509004801015</v>
      </c>
      <c r="W28" s="125">
        <f t="shared" si="23"/>
        <v>276.09782259285356</v>
      </c>
    </row>
    <row r="29" spans="1:23" outlineLevel="1"/>
    <row r="31" spans="1:23" ht="15" customHeight="1">
      <c r="A31" t="s">
        <v>35</v>
      </c>
      <c r="B31" s="131" t="s">
        <v>180</v>
      </c>
      <c r="C31" s="131"/>
      <c r="D31" s="141"/>
      <c r="E31" s="141"/>
      <c r="F31" s="141"/>
      <c r="G31" s="141"/>
      <c r="H31" s="141"/>
      <c r="I31" s="141"/>
      <c r="J31" s="141"/>
      <c r="K31" s="141"/>
      <c r="L31" s="141"/>
      <c r="M31" s="141"/>
      <c r="N31" s="141"/>
      <c r="O31" s="141"/>
      <c r="P31" s="141"/>
      <c r="Q31" s="141"/>
      <c r="R31" s="141"/>
      <c r="S31" s="141"/>
      <c r="T31" s="141"/>
      <c r="U31" s="141"/>
      <c r="V31" s="141"/>
      <c r="W31" s="141"/>
    </row>
    <row r="32" spans="1:23" outlineLevel="1"/>
    <row r="33" spans="2:9" outlineLevel="1">
      <c r="B33" t="s">
        <v>181</v>
      </c>
      <c r="D33" s="126">
        <f>Wacc!E6</f>
        <v>4.5390141762224931E-2</v>
      </c>
      <c r="E33" s="121"/>
      <c r="F33" s="121"/>
      <c r="G33" s="121"/>
      <c r="H33" s="121"/>
      <c r="I33" s="121"/>
    </row>
    <row r="34" spans="2:9" outlineLevel="1">
      <c r="B34" t="s">
        <v>182</v>
      </c>
      <c r="D34" s="54">
        <f>W23*(1+$D$33)</f>
        <v>3783.9368618096282</v>
      </c>
      <c r="E34" s="54"/>
      <c r="F34" s="54"/>
      <c r="G34" s="54"/>
      <c r="H34" s="54"/>
      <c r="I34" s="54"/>
    </row>
    <row r="35" spans="2:9" outlineLevel="1">
      <c r="B35" s="46" t="s">
        <v>183</v>
      </c>
      <c r="C35" s="46"/>
      <c r="D35" s="48">
        <f>D34/(C26-D33)</f>
        <v>22987.304055288234</v>
      </c>
      <c r="E35" s="481"/>
      <c r="F35" s="481"/>
      <c r="G35" s="481"/>
      <c r="H35" s="481"/>
      <c r="I35" s="481"/>
    </row>
    <row r="36" spans="2:9" outlineLevel="1">
      <c r="B36" t="s">
        <v>184</v>
      </c>
      <c r="D36" s="54">
        <f>D35*W27</f>
        <v>1753.4183249442183</v>
      </c>
      <c r="E36" s="44"/>
      <c r="F36" s="44"/>
      <c r="G36" s="44"/>
      <c r="H36" s="44"/>
      <c r="I36" s="44"/>
    </row>
    <row r="37" spans="2:9" outlineLevel="1">
      <c r="B37" t="s">
        <v>185</v>
      </c>
      <c r="D37" s="82">
        <f>SUM(J28:W28)</f>
        <v>2647.4329235666264</v>
      </c>
      <c r="E37" s="82"/>
      <c r="F37" s="129"/>
      <c r="G37" s="82"/>
      <c r="H37" s="82"/>
      <c r="I37" s="82"/>
    </row>
    <row r="38" spans="2:9" outlineLevel="1">
      <c r="B38" s="46" t="s">
        <v>186</v>
      </c>
      <c r="C38" s="46"/>
      <c r="D38" s="48">
        <f>SUM(D36:D37)</f>
        <v>4400.8512485108449</v>
      </c>
      <c r="E38" s="377"/>
      <c r="F38" s="377"/>
      <c r="G38" s="377"/>
      <c r="H38" s="377"/>
      <c r="I38" s="377"/>
    </row>
    <row r="39" spans="2:9" outlineLevel="1">
      <c r="B39" t="s">
        <v>1125</v>
      </c>
      <c r="C39" s="39"/>
      <c r="D39" s="129">
        <f>D35/W11</f>
        <v>3.1874903947857822</v>
      </c>
      <c r="E39" s="377"/>
      <c r="F39" s="377"/>
      <c r="G39" s="377"/>
      <c r="H39" s="377"/>
      <c r="I39" s="377"/>
    </row>
    <row r="40" spans="2:9" outlineLevel="1">
      <c r="B40" t="s">
        <v>187</v>
      </c>
      <c r="D40" s="129">
        <f>D38/W11</f>
        <v>0.6102355913407892</v>
      </c>
      <c r="E40" s="129"/>
      <c r="F40" s="129"/>
      <c r="G40" s="129"/>
      <c r="H40" s="129"/>
      <c r="I40" s="129"/>
    </row>
    <row r="41" spans="2:9" outlineLevel="1">
      <c r="B41" t="s">
        <v>188</v>
      </c>
      <c r="D41" s="129">
        <f>D38/'3 Statement Model'!H24</f>
        <v>6.1861839309964086</v>
      </c>
      <c r="E41" s="129"/>
      <c r="F41" s="129"/>
      <c r="G41" s="129"/>
      <c r="H41" s="129"/>
      <c r="I41" s="129"/>
    </row>
    <row r="42" spans="2:9" outlineLevel="1">
      <c r="B42" s="39" t="s">
        <v>189</v>
      </c>
      <c r="C42" s="39"/>
      <c r="D42" s="83">
        <f>SUM('3 Statement Model'!H72,'3 Statement Model'!H75)*-1</f>
        <v>-499</v>
      </c>
      <c r="E42" s="83"/>
      <c r="F42" s="83"/>
      <c r="G42" s="83"/>
      <c r="H42" s="83"/>
      <c r="I42" s="83"/>
    </row>
    <row r="43" spans="2:9" outlineLevel="1">
      <c r="B43" t="s">
        <v>190</v>
      </c>
      <c r="D43" s="83">
        <f>SUM('3 Statement Model'!H51:H52)</f>
        <v>21.961000000000084</v>
      </c>
      <c r="E43" s="83"/>
      <c r="F43" s="83"/>
      <c r="G43" s="83"/>
      <c r="H43" s="83"/>
      <c r="I43" s="83"/>
    </row>
    <row r="44" spans="2:9" outlineLevel="1">
      <c r="B44" t="s">
        <v>997</v>
      </c>
      <c r="D44" s="83">
        <v>0</v>
      </c>
      <c r="E44" s="83"/>
      <c r="F44" s="83"/>
      <c r="G44" s="83"/>
      <c r="H44" s="83"/>
      <c r="I44" s="83"/>
    </row>
    <row r="45" spans="2:9" outlineLevel="1">
      <c r="B45" t="s">
        <v>998</v>
      </c>
      <c r="D45" s="83">
        <f>'3 Statement Model'!P61</f>
        <v>76</v>
      </c>
      <c r="E45" s="83"/>
      <c r="F45" s="83"/>
      <c r="G45" s="83"/>
      <c r="H45" s="83"/>
      <c r="I45" s="83"/>
    </row>
    <row r="46" spans="2:9" outlineLevel="1">
      <c r="B46" s="46" t="s">
        <v>191</v>
      </c>
      <c r="C46" s="46"/>
      <c r="D46" s="48">
        <f>D38+D42+D43-D44+D45</f>
        <v>3999.8122485108452</v>
      </c>
      <c r="E46" s="377"/>
      <c r="F46" s="377"/>
      <c r="G46" s="377"/>
      <c r="H46" s="377"/>
      <c r="I46" s="377"/>
    </row>
    <row r="47" spans="2:9" outlineLevel="1">
      <c r="B47" t="s">
        <v>995</v>
      </c>
      <c r="D47" s="485">
        <v>0</v>
      </c>
    </row>
    <row r="48" spans="2:9" outlineLevel="1">
      <c r="B48" s="46" t="s">
        <v>996</v>
      </c>
      <c r="C48" s="46"/>
      <c r="D48" s="48">
        <f>SUM(D46:D47)</f>
        <v>3999.8122485108452</v>
      </c>
    </row>
    <row r="49" spans="1:23">
      <c r="B49" s="57" t="s">
        <v>1116</v>
      </c>
      <c r="D49">
        <v>4.3099999999999996</v>
      </c>
    </row>
    <row r="50" spans="1:23" ht="15.75" thickBot="1">
      <c r="B50" s="49" t="s">
        <v>1126</v>
      </c>
      <c r="C50" s="45"/>
      <c r="D50" s="570">
        <f>D48/D49</f>
        <v>928.03068410924493</v>
      </c>
    </row>
    <row r="53" spans="1:23" ht="15" customHeight="1">
      <c r="A53" t="s">
        <v>35</v>
      </c>
      <c r="B53" s="131" t="s">
        <v>192</v>
      </c>
      <c r="C53" s="131"/>
      <c r="D53" s="141"/>
      <c r="E53" s="141"/>
      <c r="F53" s="141"/>
      <c r="G53" s="141"/>
      <c r="H53" s="141"/>
      <c r="I53" s="141"/>
      <c r="J53" s="141"/>
      <c r="K53" s="141"/>
      <c r="L53" s="141"/>
      <c r="M53" s="141"/>
      <c r="N53" s="141"/>
      <c r="O53" s="141"/>
      <c r="P53" s="141"/>
      <c r="Q53" s="141"/>
      <c r="R53" s="141"/>
      <c r="S53" s="141"/>
      <c r="T53" s="141"/>
      <c r="U53" s="141"/>
      <c r="V53" s="141"/>
      <c r="W53" s="141"/>
    </row>
    <row r="54" spans="1:23" outlineLevel="1"/>
    <row r="55" spans="1:23" outlineLevel="1">
      <c r="B55" t="s">
        <v>193</v>
      </c>
      <c r="D55" s="503">
        <v>11.6</v>
      </c>
      <c r="E55" s="129"/>
      <c r="F55" s="129"/>
      <c r="G55" s="129"/>
      <c r="H55" s="129"/>
      <c r="I55" s="129"/>
    </row>
    <row r="56" spans="1:23" outlineLevel="1">
      <c r="B56" t="s">
        <v>194</v>
      </c>
      <c r="D56" s="54">
        <f>W11</f>
        <v>7211.7249648474981</v>
      </c>
      <c r="E56" s="44"/>
      <c r="F56" s="44"/>
      <c r="G56" s="44"/>
      <c r="H56" s="44"/>
      <c r="I56" s="44"/>
    </row>
    <row r="57" spans="1:23" outlineLevel="1">
      <c r="B57" s="46" t="s">
        <v>195</v>
      </c>
      <c r="C57" s="46"/>
      <c r="D57" s="48">
        <f>D55*D56</f>
        <v>83656.00959223097</v>
      </c>
      <c r="E57" s="481"/>
      <c r="F57" s="481"/>
      <c r="G57" s="481"/>
      <c r="H57" s="481"/>
      <c r="I57" s="481"/>
    </row>
    <row r="58" spans="1:23" outlineLevel="1">
      <c r="B58" t="s">
        <v>184</v>
      </c>
      <c r="D58" s="54">
        <f>D57*W27</f>
        <v>6381.0867015082795</v>
      </c>
      <c r="E58" s="44"/>
      <c r="F58" s="44"/>
      <c r="G58" s="44"/>
      <c r="H58" s="44"/>
      <c r="I58" s="44"/>
    </row>
    <row r="59" spans="1:23" outlineLevel="1">
      <c r="B59" t="s">
        <v>196</v>
      </c>
      <c r="D59" s="54">
        <f>D37</f>
        <v>2647.4329235666264</v>
      </c>
      <c r="E59" s="82"/>
      <c r="F59" s="82"/>
      <c r="G59" s="82"/>
      <c r="H59" s="82"/>
      <c r="I59" s="82"/>
    </row>
    <row r="60" spans="1:23" outlineLevel="1">
      <c r="B60" s="46" t="s">
        <v>186</v>
      </c>
      <c r="C60" s="46"/>
      <c r="D60" s="48">
        <f>SUM(D58:D59)</f>
        <v>9028.5196250749068</v>
      </c>
      <c r="E60" s="377"/>
      <c r="F60" s="377"/>
      <c r="G60" s="377"/>
      <c r="H60" s="377"/>
      <c r="I60" s="377"/>
    </row>
    <row r="61" spans="1:23" outlineLevel="1">
      <c r="B61" s="57" t="s">
        <v>1124</v>
      </c>
      <c r="C61" s="39"/>
      <c r="D61" s="129">
        <f>D57/W11</f>
        <v>11.6</v>
      </c>
      <c r="E61" s="377"/>
      <c r="F61" s="377"/>
      <c r="G61" s="377"/>
      <c r="H61" s="377"/>
      <c r="I61" s="377"/>
    </row>
    <row r="62" spans="1:23" outlineLevel="1">
      <c r="B62" s="57" t="s">
        <v>187</v>
      </c>
      <c r="C62" s="57"/>
      <c r="D62" s="129">
        <f>D60/W11</f>
        <v>1.2519223443882164</v>
      </c>
      <c r="E62" s="129"/>
      <c r="F62" s="129"/>
      <c r="G62" s="129"/>
      <c r="H62" s="129"/>
      <c r="I62" s="129"/>
    </row>
    <row r="63" spans="1:23" outlineLevel="1">
      <c r="B63" s="57" t="s">
        <v>197</v>
      </c>
      <c r="C63" s="57"/>
      <c r="D63" s="129">
        <f>D60/'3 Statement Model'!H24</f>
        <v>12.691199922792954</v>
      </c>
      <c r="E63" s="129"/>
      <c r="F63" s="129"/>
      <c r="G63" s="129"/>
      <c r="H63" s="129"/>
      <c r="I63" s="129"/>
    </row>
    <row r="64" spans="1:23" outlineLevel="1">
      <c r="B64" s="39" t="s">
        <v>189</v>
      </c>
      <c r="C64" s="39"/>
      <c r="D64" s="82">
        <f>D42</f>
        <v>-499</v>
      </c>
      <c r="E64" s="83"/>
      <c r="F64" s="83"/>
      <c r="G64" s="83"/>
      <c r="H64" s="83"/>
      <c r="I64" s="83"/>
    </row>
    <row r="65" spans="1:23" outlineLevel="1">
      <c r="B65" t="s">
        <v>190</v>
      </c>
      <c r="D65" s="82">
        <f>D43</f>
        <v>21.961000000000084</v>
      </c>
      <c r="E65" s="83"/>
      <c r="F65" s="83"/>
      <c r="G65" s="83"/>
      <c r="H65" s="83"/>
      <c r="I65" s="83"/>
    </row>
    <row r="66" spans="1:23" outlineLevel="1">
      <c r="B66" t="s">
        <v>997</v>
      </c>
      <c r="D66" s="82">
        <v>0</v>
      </c>
      <c r="E66" s="83"/>
      <c r="F66" s="83"/>
      <c r="G66" s="83"/>
      <c r="H66" s="83"/>
      <c r="I66" s="83"/>
    </row>
    <row r="67" spans="1:23" outlineLevel="1">
      <c r="B67" t="s">
        <v>998</v>
      </c>
      <c r="D67" s="82">
        <f>D45</f>
        <v>76</v>
      </c>
      <c r="E67" s="83"/>
      <c r="F67" s="83"/>
      <c r="G67" s="83"/>
      <c r="H67" s="83"/>
      <c r="I67" s="83"/>
    </row>
    <row r="68" spans="1:23" outlineLevel="1">
      <c r="B68" s="46" t="s">
        <v>191</v>
      </c>
      <c r="C68" s="46"/>
      <c r="D68" s="48">
        <f>D60+D64+D65-D66+D67</f>
        <v>8627.4806250749061</v>
      </c>
      <c r="E68" s="83"/>
      <c r="F68" s="83"/>
      <c r="G68" s="83"/>
      <c r="H68" s="83"/>
      <c r="I68" s="83"/>
    </row>
    <row r="69" spans="1:23" outlineLevel="1">
      <c r="B69" t="s">
        <v>995</v>
      </c>
      <c r="D69" s="485">
        <v>0</v>
      </c>
      <c r="E69" s="83"/>
      <c r="F69" s="83"/>
      <c r="G69" s="83"/>
      <c r="H69" s="83"/>
      <c r="I69" s="83"/>
    </row>
    <row r="70" spans="1:23" outlineLevel="1">
      <c r="B70" s="46" t="s">
        <v>996</v>
      </c>
      <c r="C70" s="46"/>
      <c r="D70" s="48">
        <f>SUM(D68:D69)</f>
        <v>8627.4806250749061</v>
      </c>
      <c r="E70" s="377"/>
      <c r="F70" s="377"/>
      <c r="G70" s="377"/>
      <c r="H70" s="377"/>
      <c r="I70" s="377"/>
    </row>
    <row r="71" spans="1:23" outlineLevel="1">
      <c r="B71" s="57" t="s">
        <v>1116</v>
      </c>
      <c r="D71">
        <v>4.3099999999999996</v>
      </c>
      <c r="E71" s="377"/>
      <c r="F71" s="377"/>
      <c r="G71" s="377"/>
      <c r="H71" s="377"/>
      <c r="I71" s="377"/>
    </row>
    <row r="72" spans="1:23" ht="15.75" outlineLevel="1" thickBot="1">
      <c r="B72" s="49" t="s">
        <v>1126</v>
      </c>
      <c r="C72" s="45"/>
      <c r="D72" s="569">
        <f>D70/D71</f>
        <v>2001.735643868888</v>
      </c>
      <c r="E72" s="377"/>
      <c r="F72" s="377"/>
      <c r="G72" s="377"/>
      <c r="H72" s="377"/>
      <c r="I72" s="377"/>
    </row>
    <row r="73" spans="1:23">
      <c r="B73" s="39"/>
      <c r="C73" s="39"/>
      <c r="D73" s="377"/>
      <c r="E73" s="377"/>
      <c r="F73" s="377"/>
      <c r="G73" s="377"/>
      <c r="H73" s="377"/>
      <c r="I73" s="377"/>
    </row>
    <row r="74" spans="1:23" ht="15" customHeight="1">
      <c r="A74" t="s">
        <v>35</v>
      </c>
      <c r="B74" s="131" t="s">
        <v>1003</v>
      </c>
      <c r="C74" s="141"/>
      <c r="D74" s="141"/>
      <c r="E74" s="141"/>
      <c r="F74" s="141"/>
      <c r="G74" s="141"/>
      <c r="H74" s="141"/>
      <c r="I74" s="141"/>
      <c r="J74" s="141"/>
      <c r="K74" s="141"/>
      <c r="L74" s="141"/>
      <c r="M74" s="141"/>
      <c r="N74" s="141"/>
      <c r="O74" s="141"/>
      <c r="P74" s="141"/>
      <c r="Q74" s="141"/>
      <c r="R74" s="141"/>
      <c r="S74" s="141"/>
      <c r="T74" s="141"/>
      <c r="U74" s="141"/>
      <c r="V74" s="141"/>
      <c r="W74" s="141"/>
    </row>
    <row r="75" spans="1:23" outlineLevel="1"/>
    <row r="76" spans="1:23" outlineLevel="1">
      <c r="D76" s="589" t="s">
        <v>199</v>
      </c>
      <c r="E76" s="589"/>
      <c r="F76" s="589"/>
      <c r="G76" s="589"/>
      <c r="H76" s="589"/>
      <c r="I76" s="589"/>
    </row>
    <row r="77" spans="1:23" outlineLevel="1">
      <c r="C77" s="130">
        <f>D48</f>
        <v>3999.8122485108452</v>
      </c>
      <c r="D77" s="486">
        <v>0.17</v>
      </c>
      <c r="E77" s="487">
        <f>+D77+1%</f>
        <v>0.18000000000000002</v>
      </c>
      <c r="F77" s="487">
        <f>+E77+1%</f>
        <v>0.19000000000000003</v>
      </c>
      <c r="G77" s="487">
        <f>+F77+1%</f>
        <v>0.20000000000000004</v>
      </c>
      <c r="H77" s="487">
        <f>+G77+1%</f>
        <v>0.21000000000000005</v>
      </c>
      <c r="I77" s="487">
        <f>+H77+1%</f>
        <v>0.22000000000000006</v>
      </c>
      <c r="J77" s="487">
        <f t="shared" ref="J77:K77" si="24">+I77+1%</f>
        <v>0.23000000000000007</v>
      </c>
      <c r="K77" s="487">
        <f t="shared" si="24"/>
        <v>0.24000000000000007</v>
      </c>
    </row>
    <row r="78" spans="1:23" outlineLevel="1">
      <c r="B78" s="588" t="s">
        <v>999</v>
      </c>
      <c r="C78" s="574">
        <v>3.5400000000000001E-2</v>
      </c>
      <c r="D78" s="54">
        <f t="dataTable" ref="D78:K84" dt2D="1" dtr="1" r1="C26" r2="D33" ca="1"/>
        <v>6567.9496170077355</v>
      </c>
      <c r="E78" s="54">
        <v>5717.8566223161406</v>
      </c>
      <c r="F78" s="54">
        <v>5004.052421650943</v>
      </c>
      <c r="G78" s="54">
        <v>4399.5350834670708</v>
      </c>
      <c r="H78" s="54">
        <v>3883.6888005004212</v>
      </c>
      <c r="I78" s="54">
        <v>3440.5337271408043</v>
      </c>
      <c r="J78">
        <v>3057.5177067377572</v>
      </c>
      <c r="K78">
        <v>2724.6642199171724</v>
      </c>
    </row>
    <row r="79" spans="1:23" outlineLevel="1">
      <c r="B79" s="588"/>
      <c r="C79" s="574">
        <f t="shared" ref="C79:C84" si="25">+C78+1%</f>
        <v>4.5400000000000003E-2</v>
      </c>
      <c r="D79" s="54">
        <v>6871.1844633137016</v>
      </c>
      <c r="E79" s="54">
        <v>5952.7804329232195</v>
      </c>
      <c r="F79" s="54">
        <v>5188.1087189471518</v>
      </c>
      <c r="G79" s="54">
        <v>4545.1683480161928</v>
      </c>
      <c r="H79" s="572">
        <v>3999.9338004716637</v>
      </c>
      <c r="I79" s="54">
        <v>3534.0509629498883</v>
      </c>
      <c r="J79">
        <v>3133.2841770162559</v>
      </c>
      <c r="K79">
        <v>2786.4439421133579</v>
      </c>
    </row>
    <row r="80" spans="1:23" outlineLevel="1">
      <c r="B80" s="588"/>
      <c r="C80" s="574">
        <v>0.05</v>
      </c>
      <c r="D80" s="54">
        <v>7027.6435361793692</v>
      </c>
      <c r="E80" s="54">
        <v>6072.9819112796858</v>
      </c>
      <c r="F80" s="54">
        <v>5281.6040592222744</v>
      </c>
      <c r="G80" s="54">
        <v>4618.6801364068688</v>
      </c>
      <c r="H80" s="60">
        <v>4058.2858843322274</v>
      </c>
      <c r="I80" s="54">
        <v>3580.7633723379122</v>
      </c>
      <c r="J80">
        <v>3170.9636845354235</v>
      </c>
      <c r="K80">
        <v>2817.0463649250223</v>
      </c>
    </row>
    <row r="81" spans="1:23" outlineLevel="1">
      <c r="B81" s="588"/>
      <c r="C81" s="574">
        <f t="shared" si="25"/>
        <v>6.0000000000000005E-2</v>
      </c>
      <c r="D81" s="54">
        <v>7412.9162729197296</v>
      </c>
      <c r="E81" s="54">
        <v>6366.0818929242541</v>
      </c>
      <c r="F81" s="54">
        <v>5507.6814204895445</v>
      </c>
      <c r="G81" s="54">
        <v>4795.1540880403854</v>
      </c>
      <c r="H81" s="54">
        <v>4197.4852032227909</v>
      </c>
      <c r="I81" s="54">
        <v>3691.5784087393936</v>
      </c>
      <c r="J81">
        <v>3259.9104503671151</v>
      </c>
      <c r="K81">
        <v>2888.969450422001</v>
      </c>
    </row>
    <row r="82" spans="1:23" outlineLevel="1">
      <c r="B82" s="588"/>
      <c r="C82" s="574">
        <f t="shared" si="25"/>
        <v>7.0000000000000007E-2</v>
      </c>
      <c r="D82" s="54">
        <v>7875.2435570081643</v>
      </c>
      <c r="E82" s="54">
        <v>6712.4727803223823</v>
      </c>
      <c r="F82" s="54">
        <v>5771.4383419680262</v>
      </c>
      <c r="G82" s="54">
        <v>4998.7778783867516</v>
      </c>
      <c r="H82" s="54">
        <v>4356.570139097721</v>
      </c>
      <c r="I82" s="54">
        <v>3817.1687833277392</v>
      </c>
      <c r="J82">
        <v>3359.9755619277685</v>
      </c>
      <c r="K82">
        <v>2969.354075389213</v>
      </c>
    </row>
    <row r="83" spans="1:23" outlineLevel="1">
      <c r="B83" s="588"/>
      <c r="C83" s="574">
        <f t="shared" si="25"/>
        <v>0.08</v>
      </c>
      <c r="D83" s="54">
        <v>8440.3102375606904</v>
      </c>
      <c r="E83" s="54">
        <v>7128.1418452001344</v>
      </c>
      <c r="F83" s="54">
        <v>6083.1510673516868</v>
      </c>
      <c r="G83" s="54">
        <v>5236.3389671241775</v>
      </c>
      <c r="H83" s="54">
        <v>4540.1296804918702</v>
      </c>
      <c r="I83" s="54">
        <v>3960.7006400001337</v>
      </c>
      <c r="J83">
        <v>3473.3826883631755</v>
      </c>
      <c r="K83">
        <v>3059.7867784773262</v>
      </c>
    </row>
    <row r="84" spans="1:23" outlineLevel="1">
      <c r="B84" s="588"/>
      <c r="C84" s="574">
        <f t="shared" si="25"/>
        <v>0.09</v>
      </c>
      <c r="D84" s="54">
        <v>9146.6435882513524</v>
      </c>
      <c r="E84" s="54">
        <v>7636.1818133840543</v>
      </c>
      <c r="F84" s="54">
        <v>6457.2063378120793</v>
      </c>
      <c r="G84" s="54">
        <v>5517.09298108659</v>
      </c>
      <c r="H84" s="54">
        <v>4754.2824787850459</v>
      </c>
      <c r="I84" s="54">
        <v>4126.314320775974</v>
      </c>
      <c r="J84">
        <v>3602.9908328607835</v>
      </c>
      <c r="K84">
        <v>3162.2771753105212</v>
      </c>
    </row>
    <row r="85" spans="1:23" outlineLevel="1"/>
    <row r="87" spans="1:23" ht="15" customHeight="1">
      <c r="A87" t="s">
        <v>35</v>
      </c>
      <c r="B87" s="131" t="s">
        <v>1004</v>
      </c>
      <c r="C87" s="141"/>
      <c r="D87" s="141"/>
      <c r="E87" s="141"/>
      <c r="F87" s="141"/>
      <c r="G87" s="141"/>
      <c r="H87" s="141"/>
      <c r="I87" s="141"/>
      <c r="J87" s="141"/>
      <c r="K87" s="141"/>
      <c r="L87" s="141"/>
      <c r="M87" s="141"/>
      <c r="N87" s="141"/>
      <c r="O87" s="141"/>
      <c r="P87" s="141"/>
      <c r="Q87" s="141"/>
      <c r="R87" s="141"/>
      <c r="S87" s="141"/>
      <c r="T87" s="141"/>
      <c r="U87" s="141"/>
      <c r="V87" s="141"/>
      <c r="W87" s="141"/>
    </row>
    <row r="88" spans="1:23" outlineLevel="1"/>
    <row r="89" spans="1:23" outlineLevel="1">
      <c r="D89" s="589" t="s">
        <v>199</v>
      </c>
      <c r="E89" s="589"/>
      <c r="F89" s="589"/>
      <c r="G89" s="589"/>
      <c r="H89" s="589"/>
      <c r="I89" s="589"/>
      <c r="J89" s="589"/>
      <c r="K89" s="589"/>
    </row>
    <row r="90" spans="1:23" outlineLevel="1">
      <c r="C90" s="130">
        <f>D70</f>
        <v>8627.4806250749061</v>
      </c>
      <c r="D90" s="486">
        <v>0.17</v>
      </c>
      <c r="E90" s="487">
        <f>+D90+1%</f>
        <v>0.18000000000000002</v>
      </c>
      <c r="F90" s="487">
        <f>+E90+1%</f>
        <v>0.19000000000000003</v>
      </c>
      <c r="G90" s="487">
        <f>+F90+1%</f>
        <v>0.20000000000000004</v>
      </c>
      <c r="H90" s="487">
        <f>+G90+1%</f>
        <v>0.21000000000000005</v>
      </c>
      <c r="I90" s="487">
        <f>+H90+1%</f>
        <v>0.22000000000000006</v>
      </c>
      <c r="J90" s="487">
        <f t="shared" ref="J90:K90" si="26">+I90+1%</f>
        <v>0.23000000000000007</v>
      </c>
      <c r="K90" s="487">
        <f t="shared" si="26"/>
        <v>0.24000000000000007</v>
      </c>
    </row>
    <row r="91" spans="1:23" ht="15" customHeight="1" outlineLevel="1">
      <c r="B91" s="588" t="s">
        <v>999</v>
      </c>
      <c r="C91" s="488">
        <v>9</v>
      </c>
      <c r="D91" s="54">
        <f t="dataTable" ref="D91:K97" dt2D="1" dtr="1" r1="C26" r2="D55"/>
        <v>11018.527801462284</v>
      </c>
      <c r="E91" s="54">
        <v>9891.5063285060551</v>
      </c>
      <c r="F91" s="54">
        <v>8888.4493487808595</v>
      </c>
      <c r="G91" s="54">
        <v>7994.6433252263405</v>
      </c>
      <c r="H91" s="54">
        <v>7197.2370540471884</v>
      </c>
      <c r="I91" s="54">
        <v>6484.9921276582654</v>
      </c>
      <c r="J91">
        <v>5848.0686078174831</v>
      </c>
      <c r="K91">
        <v>5277.8406983953691</v>
      </c>
    </row>
    <row r="92" spans="1:23" outlineLevel="1">
      <c r="B92" s="588"/>
      <c r="C92" s="488">
        <f>C91+1</f>
        <v>10</v>
      </c>
      <c r="D92" s="54">
        <v>11884.551989471036</v>
      </c>
      <c r="E92" s="54">
        <v>10663.53256024322</v>
      </c>
      <c r="F92" s="54">
        <v>9577.3477498894463</v>
      </c>
      <c r="G92" s="54">
        <v>8609.9510025963464</v>
      </c>
      <c r="H92" s="54">
        <v>7747.3307352116963</v>
      </c>
      <c r="I92" s="54">
        <v>6977.2372727434858</v>
      </c>
      <c r="J92">
        <v>6288.948357206159</v>
      </c>
      <c r="K92">
        <v>5673.067516441618</v>
      </c>
    </row>
    <row r="93" spans="1:23" outlineLevel="1">
      <c r="B93" s="588"/>
      <c r="C93" s="488">
        <v>11.6</v>
      </c>
      <c r="D93" s="54">
        <v>13270.190690285041</v>
      </c>
      <c r="E93" s="54">
        <v>11898.774531022682</v>
      </c>
      <c r="F93" s="54">
        <v>10679.585191663184</v>
      </c>
      <c r="G93" s="54">
        <v>9594.443286388354</v>
      </c>
      <c r="H93" s="573">
        <v>8627.4806250749061</v>
      </c>
      <c r="I93" s="54">
        <v>7764.8295048798373</v>
      </c>
      <c r="J93">
        <v>6994.3559562280379</v>
      </c>
      <c r="K93">
        <v>6305.4304253156151</v>
      </c>
    </row>
    <row r="94" spans="1:23" outlineLevel="1">
      <c r="B94" s="588"/>
      <c r="C94" s="488">
        <f t="shared" ref="C94:C97" si="27">C93+1</f>
        <v>12.6</v>
      </c>
      <c r="D94" s="54">
        <v>14136.214878293795</v>
      </c>
      <c r="E94" s="54">
        <v>12670.800762759847</v>
      </c>
      <c r="F94" s="54">
        <v>11368.483592771769</v>
      </c>
      <c r="G94" s="54">
        <v>10209.750963758359</v>
      </c>
      <c r="H94" s="54">
        <v>9177.5743062394122</v>
      </c>
      <c r="I94" s="54">
        <v>8257.0746499650559</v>
      </c>
      <c r="J94">
        <v>7435.2357056167139</v>
      </c>
      <c r="K94">
        <v>6700.657243361863</v>
      </c>
    </row>
    <row r="95" spans="1:23" outlineLevel="1">
      <c r="B95" s="588"/>
      <c r="C95" s="488">
        <f t="shared" si="27"/>
        <v>13.6</v>
      </c>
      <c r="D95" s="54">
        <v>15002.239066302549</v>
      </c>
      <c r="E95" s="54">
        <v>13442.826994497012</v>
      </c>
      <c r="F95" s="54">
        <v>12057.381993880354</v>
      </c>
      <c r="G95" s="54">
        <v>10825.058641128366</v>
      </c>
      <c r="H95" s="54">
        <v>9727.6679874039182</v>
      </c>
      <c r="I95" s="54">
        <v>8749.3197950502763</v>
      </c>
      <c r="J95">
        <v>7876.115455005388</v>
      </c>
      <c r="K95">
        <v>7095.8840614081118</v>
      </c>
    </row>
    <row r="96" spans="1:23" outlineLevel="1">
      <c r="B96" s="588"/>
      <c r="C96" s="488">
        <f t="shared" si="27"/>
        <v>14.6</v>
      </c>
      <c r="D96" s="54">
        <v>15868.263254311303</v>
      </c>
      <c r="E96" s="54">
        <v>14214.853226234178</v>
      </c>
      <c r="F96" s="54">
        <v>12746.280394988942</v>
      </c>
      <c r="G96" s="54">
        <v>11440.366318498372</v>
      </c>
      <c r="H96" s="54">
        <v>10277.761668568426</v>
      </c>
      <c r="I96" s="54">
        <v>9241.5649401354985</v>
      </c>
      <c r="J96">
        <v>8316.995204394063</v>
      </c>
      <c r="K96">
        <v>7491.1108794543607</v>
      </c>
    </row>
    <row r="97" spans="2:11" outlineLevel="1">
      <c r="B97" s="588"/>
      <c r="C97" s="488">
        <f t="shared" si="27"/>
        <v>15.6</v>
      </c>
      <c r="D97" s="54">
        <v>16734.287442320059</v>
      </c>
      <c r="E97" s="54">
        <v>14986.879457971343</v>
      </c>
      <c r="F97" s="54">
        <v>13435.178796097527</v>
      </c>
      <c r="G97" s="54">
        <v>12055.673995868377</v>
      </c>
      <c r="H97" s="54">
        <v>10827.855349732934</v>
      </c>
      <c r="I97" s="54">
        <v>9733.8100852207172</v>
      </c>
      <c r="J97">
        <v>8757.8749537827389</v>
      </c>
      <c r="K97">
        <v>7886.3376975006095</v>
      </c>
    </row>
  </sheetData>
  <sheetProtection algorithmName="SHA-512" hashValue="DcdrHWR+j4zojANT7JaygZ1FI267R4sdrwKoUnBazT1XN2w15ypNIRqfVxHh/TVPAq9V9M6UuM7sMHPDTLBYeQ==" saltValue="sq0zZCHTiXcRIRFuCJbTrw==" spinCount="100000" sheet="1" objects="1" scenarios="1"/>
  <mergeCells count="7">
    <mergeCell ref="R7:W7"/>
    <mergeCell ref="E7:I7"/>
    <mergeCell ref="J7:Q7"/>
    <mergeCell ref="B78:B84"/>
    <mergeCell ref="B91:B97"/>
    <mergeCell ref="D76:I76"/>
    <mergeCell ref="D89:K89"/>
  </mergeCells>
  <dataValidations count="1">
    <dataValidation type="list" allowBlank="1" showInputMessage="1" showErrorMessage="1" sqref="D25" xr:uid="{D5FE350C-46A6-4651-A73C-0F60CDED4FC9}">
      <formula1>$U$2:$U$3</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7649" r:id="rId4" name="Drop Down 1">
              <controlPr defaultSize="0" autoLine="0" autoPict="0">
                <anchor moveWithCells="1">
                  <from>
                    <xdr:col>10</xdr:col>
                    <xdr:colOff>0</xdr:colOff>
                    <xdr:row>2</xdr:row>
                    <xdr:rowOff>0</xdr:rowOff>
                  </from>
                  <to>
                    <xdr:col>12</xdr:col>
                    <xdr:colOff>28575</xdr:colOff>
                    <xdr:row>3</xdr:row>
                    <xdr:rowOff>9525</xdr:rowOff>
                  </to>
                </anchor>
              </controlPr>
            </control>
          </mc:Choice>
        </mc:AlternateContent>
      </controls>
    </mc:Choice>
  </mc:AlternateConten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8D0CD-E4B3-43E9-8A86-40B9FD605A08}">
  <sheetPr>
    <tabColor theme="9" tint="-0.249977111117893"/>
  </sheetPr>
  <dimension ref="A1"/>
  <sheetViews>
    <sheetView showGridLines="0" zoomScaleNormal="100" workbookViewId="0"/>
  </sheetViews>
  <sheetFormatPr defaultRowHeight="1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40349-9491-4C88-8C37-09F23DE09E32}">
  <dimension ref="A2:M63"/>
  <sheetViews>
    <sheetView showGridLines="0" workbookViewId="0"/>
  </sheetViews>
  <sheetFormatPr defaultRowHeight="15"/>
  <cols>
    <col min="1" max="1" width="2.28515625" customWidth="1"/>
    <col min="2" max="2" width="46.28515625" customWidth="1"/>
    <col min="8" max="8" width="15.5703125" customWidth="1"/>
  </cols>
  <sheetData>
    <row r="2" spans="1:8">
      <c r="A2" t="s">
        <v>35</v>
      </c>
      <c r="B2" s="166" t="s">
        <v>1011</v>
      </c>
      <c r="C2" s="166"/>
      <c r="D2" s="166"/>
      <c r="E2" s="166"/>
      <c r="F2" s="166"/>
      <c r="G2" s="166"/>
      <c r="H2" s="166"/>
    </row>
    <row r="3" spans="1:8">
      <c r="B3" s="515"/>
      <c r="C3" s="519">
        <f>C20</f>
        <v>2021</v>
      </c>
      <c r="D3" s="519">
        <f t="shared" ref="D3:G3" si="0">D20</f>
        <v>2022</v>
      </c>
      <c r="E3" s="519">
        <f t="shared" si="0"/>
        <v>2023</v>
      </c>
      <c r="F3" s="519">
        <f t="shared" si="0"/>
        <v>2024</v>
      </c>
      <c r="G3" s="519">
        <f t="shared" si="0"/>
        <v>2025</v>
      </c>
      <c r="H3" s="515" t="s">
        <v>1012</v>
      </c>
    </row>
    <row r="4" spans="1:8">
      <c r="B4" s="461" t="s">
        <v>1013</v>
      </c>
      <c r="C4" s="520">
        <f>C25</f>
        <v>0.61174403669724775</v>
      </c>
      <c r="D4" s="520">
        <f t="shared" ref="D4:G4" si="1">D25</f>
        <v>0.5730626080691642</v>
      </c>
      <c r="E4" s="520">
        <f t="shared" si="1"/>
        <v>0.17834583665868581</v>
      </c>
      <c r="F4" s="520">
        <f t="shared" si="1"/>
        <v>-3.4374335695305583E-2</v>
      </c>
      <c r="G4" s="520">
        <f t="shared" si="1"/>
        <v>0.16046782243236143</v>
      </c>
      <c r="H4" s="522">
        <f>AVERAGE(C4:G4)</f>
        <v>0.29784919363243068</v>
      </c>
    </row>
    <row r="5" spans="1:8">
      <c r="B5" s="490" t="s">
        <v>1014</v>
      </c>
      <c r="C5" s="200">
        <f>C35</f>
        <v>0.23447499999999999</v>
      </c>
      <c r="D5" s="200">
        <f t="shared" ref="D5:G5" si="2">D35</f>
        <v>0.284775</v>
      </c>
      <c r="E5" s="200">
        <f t="shared" si="2"/>
        <v>0.21784999999999999</v>
      </c>
      <c r="F5" s="200">
        <f t="shared" si="2"/>
        <v>0.10685</v>
      </c>
      <c r="G5" s="200">
        <f t="shared" si="2"/>
        <v>0.145675</v>
      </c>
      <c r="H5" s="523">
        <f t="shared" ref="H5:H8" si="3">AVERAGE(C5:G5)</f>
        <v>0.19792499999999999</v>
      </c>
    </row>
    <row r="6" spans="1:8">
      <c r="B6" s="490" t="s">
        <v>1017</v>
      </c>
      <c r="C6" s="200">
        <f>C44</f>
        <v>0.17135</v>
      </c>
      <c r="D6" s="200">
        <f t="shared" ref="D6:G6" si="4">D44</f>
        <v>0.24272499999999997</v>
      </c>
      <c r="E6" s="200">
        <f t="shared" si="4"/>
        <v>0.17544999999999999</v>
      </c>
      <c r="F6" s="200">
        <f t="shared" si="4"/>
        <v>4.6674999999999994E-2</v>
      </c>
      <c r="G6" s="200">
        <f t="shared" si="4"/>
        <v>8.7525000000000006E-2</v>
      </c>
      <c r="H6" s="523">
        <f t="shared" si="3"/>
        <v>0.14474499999999998</v>
      </c>
    </row>
    <row r="7" spans="1:8">
      <c r="B7" s="490" t="s">
        <v>1015</v>
      </c>
      <c r="C7" s="200">
        <f>C62</f>
        <v>0.15487499999999998</v>
      </c>
      <c r="D7" s="200">
        <f t="shared" ref="D7:G7" si="5">D62</f>
        <v>0.21717500000000001</v>
      </c>
      <c r="E7" s="200">
        <f t="shared" si="5"/>
        <v>0.15415000000000001</v>
      </c>
      <c r="F7" s="200">
        <f t="shared" si="5"/>
        <v>2.4175000000000002E-2</v>
      </c>
      <c r="G7" s="200">
        <f t="shared" si="5"/>
        <v>8.3474999999999994E-2</v>
      </c>
      <c r="H7" s="523">
        <f t="shared" si="3"/>
        <v>0.12676999999999999</v>
      </c>
    </row>
    <row r="8" spans="1:8">
      <c r="B8" s="490" t="s">
        <v>1016</v>
      </c>
      <c r="C8" s="200">
        <f>C53</f>
        <v>0.108525</v>
      </c>
      <c r="D8" s="200">
        <f t="shared" ref="D8:G8" si="6">D53</f>
        <v>0.155275</v>
      </c>
      <c r="E8" s="200">
        <f t="shared" si="6"/>
        <v>0.106875</v>
      </c>
      <c r="F8" s="200">
        <f t="shared" si="6"/>
        <v>1.555E-2</v>
      </c>
      <c r="G8" s="200">
        <f t="shared" si="6"/>
        <v>4.3625000000000004E-2</v>
      </c>
      <c r="H8" s="523">
        <f t="shared" si="3"/>
        <v>8.5970000000000005E-2</v>
      </c>
    </row>
    <row r="9" spans="1:8">
      <c r="B9" s="39"/>
    </row>
    <row r="10" spans="1:8">
      <c r="B10" s="490" t="s">
        <v>1018</v>
      </c>
      <c r="C10" s="454">
        <f>C26</f>
        <v>0.26479999999999998</v>
      </c>
      <c r="D10" s="454">
        <f t="shared" ref="D10:G10" si="7">D26</f>
        <v>0.54922521613832853</v>
      </c>
      <c r="E10" s="454">
        <f t="shared" si="7"/>
        <v>0.19239167331737161</v>
      </c>
      <c r="F10" s="454">
        <f t="shared" si="7"/>
        <v>-0.18149867139061115</v>
      </c>
      <c r="G10" s="454">
        <f t="shared" si="7"/>
        <v>8.8835644864722896E-2</v>
      </c>
      <c r="H10" s="499">
        <f>MEDIAN(C10:G10)</f>
        <v>0.19239167331737161</v>
      </c>
    </row>
    <row r="11" spans="1:8">
      <c r="B11" s="489" t="s">
        <v>1019</v>
      </c>
      <c r="C11" s="521">
        <f>C36</f>
        <v>0.22420000000000001</v>
      </c>
      <c r="D11" s="521">
        <f t="shared" ref="D11:G11" si="8">D36</f>
        <v>0.29185</v>
      </c>
      <c r="E11" s="521">
        <f t="shared" si="8"/>
        <v>0.21645</v>
      </c>
      <c r="F11" s="521">
        <f t="shared" si="8"/>
        <v>7.2999999999999995E-2</v>
      </c>
      <c r="G11" s="521">
        <f t="shared" si="8"/>
        <v>0.10630000000000001</v>
      </c>
      <c r="H11" s="524">
        <f t="shared" ref="H11:H14" si="9">MEDIAN(C11:G11)</f>
        <v>0.21645</v>
      </c>
    </row>
    <row r="12" spans="1:8">
      <c r="B12" s="490" t="s">
        <v>1020</v>
      </c>
      <c r="C12" s="200">
        <f>C45</f>
        <v>0.18090000000000001</v>
      </c>
      <c r="D12" s="200">
        <f t="shared" ref="D12:G12" si="10">D45</f>
        <v>0.24590000000000001</v>
      </c>
      <c r="E12" s="200">
        <f t="shared" si="10"/>
        <v>0.17105000000000001</v>
      </c>
      <c r="F12" s="200">
        <f t="shared" si="10"/>
        <v>3.4349999999999999E-2</v>
      </c>
      <c r="G12" s="200">
        <f t="shared" si="10"/>
        <v>6.4149999999999999E-2</v>
      </c>
      <c r="H12" s="523">
        <f t="shared" si="9"/>
        <v>0.17105000000000001</v>
      </c>
    </row>
    <row r="13" spans="1:8">
      <c r="B13" s="490" t="s">
        <v>1021</v>
      </c>
      <c r="C13" s="200">
        <f>C63</f>
        <v>0.16439999999999999</v>
      </c>
      <c r="D13" s="200">
        <f t="shared" ref="D13:G13" si="11">D63</f>
        <v>0.23385</v>
      </c>
      <c r="E13" s="200">
        <f t="shared" si="11"/>
        <v>0.1714</v>
      </c>
      <c r="F13" s="200">
        <f t="shared" si="11"/>
        <v>1.2249999999999997E-2</v>
      </c>
      <c r="G13" s="200">
        <f t="shared" si="11"/>
        <v>6.9499999999999992E-2</v>
      </c>
      <c r="H13" s="523">
        <f t="shared" si="9"/>
        <v>0.16439999999999999</v>
      </c>
    </row>
    <row r="14" spans="1:8">
      <c r="B14" s="490" t="s">
        <v>1022</v>
      </c>
      <c r="C14" s="200">
        <f>C54</f>
        <v>0.11495</v>
      </c>
      <c r="D14" s="200">
        <f t="shared" ref="D14:G14" si="12">D54</f>
        <v>0.1565</v>
      </c>
      <c r="E14" s="200">
        <f t="shared" si="12"/>
        <v>0.11735000000000001</v>
      </c>
      <c r="F14" s="200">
        <f t="shared" si="12"/>
        <v>1.1250000000000003E-2</v>
      </c>
      <c r="G14" s="200">
        <f t="shared" si="12"/>
        <v>2.9900000000000003E-2</v>
      </c>
      <c r="H14" s="523">
        <f t="shared" si="9"/>
        <v>0.11495</v>
      </c>
    </row>
    <row r="19" spans="1:13">
      <c r="A19" t="s">
        <v>35</v>
      </c>
      <c r="B19" s="166" t="s">
        <v>1006</v>
      </c>
      <c r="C19" s="166"/>
      <c r="D19" s="166"/>
      <c r="E19" s="166"/>
      <c r="F19" s="166"/>
      <c r="G19" s="166"/>
    </row>
    <row r="20" spans="1:13">
      <c r="B20" s="515" t="s">
        <v>1007</v>
      </c>
      <c r="C20" s="516">
        <v>2021</v>
      </c>
      <c r="D20" s="516">
        <f>C20+1</f>
        <v>2022</v>
      </c>
      <c r="E20" s="516">
        <f t="shared" ref="E20:G20" si="13">D20+1</f>
        <v>2023</v>
      </c>
      <c r="F20" s="516">
        <f t="shared" si="13"/>
        <v>2024</v>
      </c>
      <c r="G20" s="516">
        <f t="shared" si="13"/>
        <v>2025</v>
      </c>
    </row>
    <row r="21" spans="1:13">
      <c r="B21" s="39" t="s">
        <v>941</v>
      </c>
      <c r="C21" s="248">
        <v>-0.10862385321100899</v>
      </c>
      <c r="D21" s="248">
        <v>0.54755043227665712</v>
      </c>
      <c r="E21" s="248">
        <v>0.20138334663474322</v>
      </c>
      <c r="F21" s="248">
        <v>-0.15699734278122235</v>
      </c>
      <c r="G21" s="248">
        <v>6.9871289729445785E-2</v>
      </c>
      <c r="H21" s="443"/>
      <c r="I21" s="443"/>
      <c r="J21" s="443"/>
      <c r="K21" s="443"/>
      <c r="L21" s="443"/>
      <c r="M21" s="443"/>
    </row>
    <row r="22" spans="1:13">
      <c r="B22" s="39" t="s">
        <v>487</v>
      </c>
      <c r="C22" s="248">
        <v>-6.4000000000000003E-3</v>
      </c>
      <c r="D22" s="248">
        <v>0.68479999999999996</v>
      </c>
      <c r="E22" s="248">
        <v>0.18340000000000001</v>
      </c>
      <c r="F22" s="248">
        <v>-0.22450000000000001</v>
      </c>
      <c r="G22" s="248">
        <v>-4.7999999999999996E-3</v>
      </c>
      <c r="I22" s="248"/>
      <c r="J22" s="248"/>
      <c r="K22" s="248"/>
      <c r="L22" s="248"/>
      <c r="M22" s="248"/>
    </row>
    <row r="23" spans="1:13">
      <c r="B23" s="39" t="s">
        <v>491</v>
      </c>
      <c r="C23" s="248">
        <v>2.0259999999999998</v>
      </c>
      <c r="D23" s="248">
        <v>0.55089999999999995</v>
      </c>
      <c r="E23" s="248">
        <v>-0.16139999999999999</v>
      </c>
      <c r="F23" s="248">
        <v>-0.20599999999999999</v>
      </c>
      <c r="G23" s="248">
        <v>0.10780000000000001</v>
      </c>
    </row>
    <row r="24" spans="1:13">
      <c r="B24" s="39" t="s">
        <v>971</v>
      </c>
      <c r="C24" s="248">
        <v>0.53600000000000003</v>
      </c>
      <c r="D24" s="248">
        <v>0.50900000000000001</v>
      </c>
      <c r="E24" s="248">
        <v>0.49</v>
      </c>
      <c r="F24" s="248">
        <v>0.45</v>
      </c>
      <c r="G24" s="248">
        <v>0.46899999999999997</v>
      </c>
    </row>
    <row r="25" spans="1:13">
      <c r="B25" s="46" t="s">
        <v>1008</v>
      </c>
      <c r="C25" s="517">
        <f>AVERAGE(C21:C24)</f>
        <v>0.61174403669724775</v>
      </c>
      <c r="D25" s="517">
        <f>AVERAGE(D21:D24)</f>
        <v>0.5730626080691642</v>
      </c>
      <c r="E25" s="517">
        <f>AVERAGE(E21:E24)</f>
        <v>0.17834583665868581</v>
      </c>
      <c r="F25" s="517">
        <f>AVERAGE(F21:F24)</f>
        <v>-3.4374335695305583E-2</v>
      </c>
      <c r="G25" s="517">
        <f>AVERAGE(G21:G24)</f>
        <v>0.16046782243236143</v>
      </c>
    </row>
    <row r="26" spans="1:13" ht="15.75" thickBot="1">
      <c r="B26" s="514" t="s">
        <v>432</v>
      </c>
      <c r="C26" s="518">
        <f>MEDIAN(C21:C24)</f>
        <v>0.26479999999999998</v>
      </c>
      <c r="D26" s="518">
        <f>MEDIAN(D21:D24)</f>
        <v>0.54922521613832853</v>
      </c>
      <c r="E26" s="518">
        <f>MEDIAN(E21:E24)</f>
        <v>0.19239167331737161</v>
      </c>
      <c r="F26" s="518">
        <f>MEDIAN(F21:F24)</f>
        <v>-0.18149867139061115</v>
      </c>
      <c r="G26" s="518">
        <f>MEDIAN(G21:G24)</f>
        <v>8.8835644864722896E-2</v>
      </c>
    </row>
    <row r="29" spans="1:13">
      <c r="A29" t="s">
        <v>35</v>
      </c>
      <c r="B29" s="166" t="s">
        <v>140</v>
      </c>
      <c r="C29" s="166"/>
      <c r="D29" s="166"/>
      <c r="E29" s="166"/>
      <c r="F29" s="166"/>
      <c r="G29" s="166"/>
    </row>
    <row r="30" spans="1:13">
      <c r="B30" s="515" t="s">
        <v>1007</v>
      </c>
      <c r="C30" s="516">
        <v>2021</v>
      </c>
      <c r="D30" s="516">
        <f>C30+1</f>
        <v>2022</v>
      </c>
      <c r="E30" s="516">
        <f t="shared" ref="E30:G30" si="14">D30+1</f>
        <v>2023</v>
      </c>
      <c r="F30" s="516">
        <f t="shared" si="14"/>
        <v>2024</v>
      </c>
      <c r="G30" s="516">
        <f t="shared" si="14"/>
        <v>2025</v>
      </c>
    </row>
    <row r="31" spans="1:13">
      <c r="B31" s="39" t="s">
        <v>941</v>
      </c>
      <c r="C31" s="126">
        <v>0.17449999999999999</v>
      </c>
      <c r="D31" s="126">
        <v>0.27410000000000001</v>
      </c>
      <c r="E31" s="126">
        <v>0.2195</v>
      </c>
      <c r="F31" s="126">
        <v>3.2000000000000001E-2</v>
      </c>
      <c r="G31" s="126">
        <v>9.11E-2</v>
      </c>
    </row>
    <row r="32" spans="1:13">
      <c r="B32" s="39" t="s">
        <v>487</v>
      </c>
      <c r="C32" s="126">
        <v>0.24859999999999999</v>
      </c>
      <c r="D32" s="126">
        <v>0.30959999999999999</v>
      </c>
      <c r="E32" s="126">
        <v>0.21340000000000001</v>
      </c>
      <c r="F32" s="126">
        <v>0.1022</v>
      </c>
      <c r="G32" s="126">
        <v>0.1164</v>
      </c>
    </row>
    <row r="33" spans="1:7">
      <c r="B33" s="39" t="s">
        <v>491</v>
      </c>
      <c r="C33" s="126">
        <v>0.19980000000000001</v>
      </c>
      <c r="D33" s="126">
        <v>0.22639999999999999</v>
      </c>
      <c r="E33" s="126">
        <v>0.1235</v>
      </c>
      <c r="F33" s="126">
        <v>4.3799999999999999E-2</v>
      </c>
      <c r="G33" s="126">
        <v>9.6199999999999994E-2</v>
      </c>
    </row>
    <row r="34" spans="1:7">
      <c r="B34" s="39" t="s">
        <v>971</v>
      </c>
      <c r="C34" s="126">
        <v>0.315</v>
      </c>
      <c r="D34" s="126">
        <v>0.32900000000000001</v>
      </c>
      <c r="E34" s="126">
        <v>0.315</v>
      </c>
      <c r="F34" s="126">
        <v>0.24940000000000001</v>
      </c>
      <c r="G34" s="126">
        <v>0.27900000000000003</v>
      </c>
    </row>
    <row r="35" spans="1:7">
      <c r="B35" s="46" t="s">
        <v>1008</v>
      </c>
      <c r="C35" s="517">
        <f>AVERAGE(C31:C34)</f>
        <v>0.23447499999999999</v>
      </c>
      <c r="D35" s="517">
        <f>AVERAGE(D31:D34)</f>
        <v>0.284775</v>
      </c>
      <c r="E35" s="517">
        <f>AVERAGE(E31:E34)</f>
        <v>0.21784999999999999</v>
      </c>
      <c r="F35" s="517">
        <f>AVERAGE(F31:F34)</f>
        <v>0.10685</v>
      </c>
      <c r="G35" s="517">
        <f>AVERAGE(G31:G34)</f>
        <v>0.145675</v>
      </c>
    </row>
    <row r="36" spans="1:7" ht="15.75" thickBot="1">
      <c r="B36" s="514" t="s">
        <v>432</v>
      </c>
      <c r="C36" s="518">
        <f>MEDIAN(C31:C34)</f>
        <v>0.22420000000000001</v>
      </c>
      <c r="D36" s="518">
        <f>MEDIAN(D31:D34)</f>
        <v>0.29185</v>
      </c>
      <c r="E36" s="518">
        <f>MEDIAN(E31:E34)</f>
        <v>0.21645</v>
      </c>
      <c r="F36" s="518">
        <f>MEDIAN(F31:F34)</f>
        <v>7.2999999999999995E-2</v>
      </c>
      <c r="G36" s="518">
        <f>MEDIAN(G31:G34)</f>
        <v>0.10630000000000001</v>
      </c>
    </row>
    <row r="38" spans="1:7">
      <c r="A38" t="s">
        <v>35</v>
      </c>
      <c r="B38" s="166" t="s">
        <v>139</v>
      </c>
      <c r="C38" s="166"/>
      <c r="D38" s="166"/>
      <c r="E38" s="166"/>
      <c r="F38" s="166"/>
      <c r="G38" s="166"/>
    </row>
    <row r="39" spans="1:7">
      <c r="B39" s="515" t="s">
        <v>1007</v>
      </c>
      <c r="C39" s="516">
        <v>2021</v>
      </c>
      <c r="D39" s="516">
        <f>C39+1</f>
        <v>2022</v>
      </c>
      <c r="E39" s="516">
        <f t="shared" ref="E39:G39" si="15">D39+1</f>
        <v>2023</v>
      </c>
      <c r="F39" s="516">
        <f t="shared" si="15"/>
        <v>2024</v>
      </c>
      <c r="G39" s="516">
        <f t="shared" si="15"/>
        <v>2025</v>
      </c>
    </row>
    <row r="40" spans="1:7">
      <c r="B40" s="39" t="s">
        <v>941</v>
      </c>
      <c r="C40" s="126">
        <v>0.10290000000000001</v>
      </c>
      <c r="D40" s="126">
        <v>0.22140000000000001</v>
      </c>
      <c r="E40" s="126">
        <v>0.15840000000000001</v>
      </c>
      <c r="F40" s="126">
        <v>-6.7000000000000004E-2</v>
      </c>
      <c r="G40" s="126">
        <v>-5.1999999999999998E-3</v>
      </c>
    </row>
    <row r="41" spans="1:7">
      <c r="B41" s="39" t="s">
        <v>487</v>
      </c>
      <c r="C41" s="126">
        <v>0.19650000000000001</v>
      </c>
      <c r="D41" s="126">
        <v>0.27589999999999998</v>
      </c>
      <c r="E41" s="126">
        <v>0.1837</v>
      </c>
      <c r="F41" s="126">
        <v>6.3299999999999995E-2</v>
      </c>
      <c r="G41" s="126">
        <v>7.7899999999999997E-2</v>
      </c>
    </row>
    <row r="42" spans="1:7">
      <c r="B42" s="39" t="s">
        <v>491</v>
      </c>
      <c r="C42" s="126">
        <v>0.1653</v>
      </c>
      <c r="D42" s="126">
        <v>0.20319999999999999</v>
      </c>
      <c r="E42" s="126">
        <v>9.4700000000000006E-2</v>
      </c>
      <c r="F42" s="126">
        <v>5.4000000000000003E-3</v>
      </c>
      <c r="G42" s="126">
        <v>5.04E-2</v>
      </c>
    </row>
    <row r="43" spans="1:7">
      <c r="B43" s="39" t="s">
        <v>971</v>
      </c>
      <c r="C43" s="126">
        <v>0.22070000000000001</v>
      </c>
      <c r="D43" s="126">
        <v>0.27039999999999997</v>
      </c>
      <c r="E43" s="126">
        <v>0.26500000000000001</v>
      </c>
      <c r="F43" s="126">
        <v>0.185</v>
      </c>
      <c r="G43" s="126">
        <v>0.22700000000000001</v>
      </c>
    </row>
    <row r="44" spans="1:7">
      <c r="B44" s="46" t="s">
        <v>1008</v>
      </c>
      <c r="C44" s="517">
        <f>AVERAGE(C40:C43)</f>
        <v>0.17135</v>
      </c>
      <c r="D44" s="517">
        <f>AVERAGE(D40:D43)</f>
        <v>0.24272499999999997</v>
      </c>
      <c r="E44" s="517">
        <f>AVERAGE(E40:E43)</f>
        <v>0.17544999999999999</v>
      </c>
      <c r="F44" s="517">
        <f>AVERAGE(F40:F43)</f>
        <v>4.6674999999999994E-2</v>
      </c>
      <c r="G44" s="517">
        <f>AVERAGE(G40:G43)</f>
        <v>8.7525000000000006E-2</v>
      </c>
    </row>
    <row r="45" spans="1:7" ht="15.75" thickBot="1">
      <c r="B45" s="514" t="s">
        <v>432</v>
      </c>
      <c r="C45" s="518">
        <f>MEDIAN(C40:C43)</f>
        <v>0.18090000000000001</v>
      </c>
      <c r="D45" s="518">
        <f>MEDIAN(D40:D43)</f>
        <v>0.24590000000000001</v>
      </c>
      <c r="E45" s="518">
        <f>MEDIAN(E40:E43)</f>
        <v>0.17105000000000001</v>
      </c>
      <c r="F45" s="518">
        <f>MEDIAN(F40:F43)</f>
        <v>3.4349999999999999E-2</v>
      </c>
      <c r="G45" s="518">
        <f>MEDIAN(G40:G43)</f>
        <v>6.4149999999999999E-2</v>
      </c>
    </row>
    <row r="47" spans="1:7">
      <c r="A47" t="s">
        <v>35</v>
      </c>
      <c r="B47" s="166" t="s">
        <v>1009</v>
      </c>
      <c r="C47" s="166"/>
      <c r="D47" s="166"/>
      <c r="E47" s="166"/>
      <c r="F47" s="166"/>
      <c r="G47" s="166"/>
    </row>
    <row r="48" spans="1:7">
      <c r="B48" s="515" t="s">
        <v>1007</v>
      </c>
      <c r="C48" s="516">
        <v>2021</v>
      </c>
      <c r="D48" s="516">
        <f>C48+1</f>
        <v>2022</v>
      </c>
      <c r="E48" s="516">
        <f t="shared" ref="E48:G48" si="16">D48+1</f>
        <v>2023</v>
      </c>
      <c r="F48" s="516">
        <f t="shared" si="16"/>
        <v>2024</v>
      </c>
      <c r="G48" s="516">
        <f t="shared" si="16"/>
        <v>2025</v>
      </c>
    </row>
    <row r="49" spans="1:7">
      <c r="B49" s="39" t="s">
        <v>941</v>
      </c>
      <c r="C49" s="126">
        <v>6.83E-2</v>
      </c>
      <c r="D49" s="126">
        <v>0.14899999999999999</v>
      </c>
      <c r="E49" s="126">
        <v>9.0800000000000006E-2</v>
      </c>
      <c r="F49" s="126">
        <v>-6.2300000000000001E-2</v>
      </c>
      <c r="G49" s="126">
        <v>-1.6E-2</v>
      </c>
    </row>
    <row r="50" spans="1:7">
      <c r="B50" s="39" t="s">
        <v>487</v>
      </c>
      <c r="C50" s="126">
        <v>0.13589999999999999</v>
      </c>
      <c r="D50" s="126">
        <v>0.19789999999999999</v>
      </c>
      <c r="E50" s="126">
        <v>0.1439</v>
      </c>
      <c r="F50" s="126">
        <v>6.2700000000000006E-2</v>
      </c>
      <c r="G50" s="126">
        <v>7.5800000000000006E-2</v>
      </c>
    </row>
    <row r="51" spans="1:7">
      <c r="B51" s="39" t="s">
        <v>491</v>
      </c>
      <c r="C51" s="126">
        <v>0.1079</v>
      </c>
      <c r="D51" s="126">
        <v>0.11020000000000001</v>
      </c>
      <c r="E51" s="126">
        <v>3.0800000000000001E-2</v>
      </c>
      <c r="F51" s="126">
        <v>-4.02E-2</v>
      </c>
      <c r="G51" s="126">
        <v>-2.53E-2</v>
      </c>
    </row>
    <row r="52" spans="1:7">
      <c r="B52" s="39" t="s">
        <v>971</v>
      </c>
      <c r="C52" s="126">
        <v>0.122</v>
      </c>
      <c r="D52" s="126">
        <v>0.16400000000000001</v>
      </c>
      <c r="E52" s="126">
        <v>0.16200000000000001</v>
      </c>
      <c r="F52" s="126">
        <v>0.10199999999999999</v>
      </c>
      <c r="G52" s="126">
        <v>0.14000000000000001</v>
      </c>
    </row>
    <row r="53" spans="1:7">
      <c r="B53" s="46" t="s">
        <v>1008</v>
      </c>
      <c r="C53" s="517">
        <f>AVERAGE(C49:C52)</f>
        <v>0.108525</v>
      </c>
      <c r="D53" s="517">
        <f>AVERAGE(D49:D52)</f>
        <v>0.155275</v>
      </c>
      <c r="E53" s="517">
        <f>AVERAGE(E49:E52)</f>
        <v>0.106875</v>
      </c>
      <c r="F53" s="517">
        <f>AVERAGE(F49:F52)</f>
        <v>1.555E-2</v>
      </c>
      <c r="G53" s="517">
        <f>AVERAGE(G49:G52)</f>
        <v>4.3625000000000004E-2</v>
      </c>
    </row>
    <row r="54" spans="1:7" ht="15.75" thickBot="1">
      <c r="B54" s="514" t="s">
        <v>432</v>
      </c>
      <c r="C54" s="518">
        <f>MEDIAN(C49:C52)</f>
        <v>0.11495</v>
      </c>
      <c r="D54" s="518">
        <f>MEDIAN(D49:D52)</f>
        <v>0.1565</v>
      </c>
      <c r="E54" s="518">
        <f>MEDIAN(E49:E52)</f>
        <v>0.11735000000000001</v>
      </c>
      <c r="F54" s="518">
        <f>MEDIAN(F49:F52)</f>
        <v>1.1250000000000003E-2</v>
      </c>
      <c r="G54" s="518">
        <f>MEDIAN(G49:G52)</f>
        <v>2.9900000000000003E-2</v>
      </c>
    </row>
    <row r="56" spans="1:7">
      <c r="A56" t="s">
        <v>35</v>
      </c>
      <c r="B56" s="166" t="s">
        <v>1010</v>
      </c>
      <c r="C56" s="166"/>
      <c r="D56" s="166"/>
      <c r="E56" s="166"/>
      <c r="F56" s="166"/>
      <c r="G56" s="166"/>
    </row>
    <row r="57" spans="1:7">
      <c r="B57" s="515" t="s">
        <v>1007</v>
      </c>
      <c r="C57" s="516">
        <v>2021</v>
      </c>
      <c r="D57" s="516">
        <f>C57+1</f>
        <v>2022</v>
      </c>
      <c r="E57" s="516">
        <f t="shared" ref="E57:G57" si="17">D57+1</f>
        <v>2023</v>
      </c>
      <c r="F57" s="516">
        <f t="shared" si="17"/>
        <v>2024</v>
      </c>
      <c r="G57" s="516">
        <f t="shared" si="17"/>
        <v>2025</v>
      </c>
    </row>
    <row r="58" spans="1:7">
      <c r="B58" s="39" t="s">
        <v>941</v>
      </c>
      <c r="C58" s="126">
        <v>9.6699999999999994E-2</v>
      </c>
      <c r="D58" s="126">
        <v>0.21970000000000001</v>
      </c>
      <c r="E58" s="126">
        <v>0.15390000000000001</v>
      </c>
      <c r="F58" s="126">
        <v>-7.8799999999999995E-2</v>
      </c>
      <c r="G58" s="126">
        <v>-1.7100000000000001E-2</v>
      </c>
    </row>
    <row r="59" spans="1:7">
      <c r="B59" s="39" t="s">
        <v>487</v>
      </c>
      <c r="C59" s="126">
        <v>0.18479999999999999</v>
      </c>
      <c r="D59" s="126">
        <v>0.26590000000000003</v>
      </c>
      <c r="E59" s="126">
        <v>0.18890000000000001</v>
      </c>
      <c r="F59" s="126">
        <v>8.2100000000000006E-2</v>
      </c>
      <c r="G59" s="126">
        <v>0.10009999999999999</v>
      </c>
    </row>
    <row r="60" spans="1:7">
      <c r="B60" s="39" t="s">
        <v>491</v>
      </c>
      <c r="C60" s="126">
        <v>0.14399999999999999</v>
      </c>
      <c r="D60" s="126">
        <v>0.1351</v>
      </c>
      <c r="E60" s="126">
        <v>3.4799999999999998E-2</v>
      </c>
      <c r="F60" s="126">
        <v>-5.7599999999999998E-2</v>
      </c>
      <c r="G60" s="126">
        <v>3.8899999999999997E-2</v>
      </c>
    </row>
    <row r="61" spans="1:7">
      <c r="B61" s="39" t="s">
        <v>971</v>
      </c>
      <c r="C61" s="126">
        <v>0.19400000000000001</v>
      </c>
      <c r="D61" s="126">
        <v>0.248</v>
      </c>
      <c r="E61" s="126">
        <v>0.23899999999999999</v>
      </c>
      <c r="F61" s="126">
        <v>0.151</v>
      </c>
      <c r="G61" s="126">
        <v>0.21199999999999999</v>
      </c>
    </row>
    <row r="62" spans="1:7">
      <c r="B62" s="46" t="s">
        <v>1008</v>
      </c>
      <c r="C62" s="517">
        <f>AVERAGE(C58:C61)</f>
        <v>0.15487499999999998</v>
      </c>
      <c r="D62" s="517">
        <f>AVERAGE(D58:D61)</f>
        <v>0.21717500000000001</v>
      </c>
      <c r="E62" s="517">
        <f>AVERAGE(E58:E61)</f>
        <v>0.15415000000000001</v>
      </c>
      <c r="F62" s="517">
        <f>AVERAGE(F58:F61)</f>
        <v>2.4175000000000002E-2</v>
      </c>
      <c r="G62" s="517">
        <f>AVERAGE(G58:G61)</f>
        <v>8.3474999999999994E-2</v>
      </c>
    </row>
    <row r="63" spans="1:7" ht="15.75" thickBot="1">
      <c r="B63" s="514" t="s">
        <v>432</v>
      </c>
      <c r="C63" s="518">
        <f>MEDIAN(C58:C61)</f>
        <v>0.16439999999999999</v>
      </c>
      <c r="D63" s="518">
        <f>MEDIAN(D58:D61)</f>
        <v>0.23385</v>
      </c>
      <c r="E63" s="518">
        <f>MEDIAN(E58:E61)</f>
        <v>0.1714</v>
      </c>
      <c r="F63" s="518">
        <f>MEDIAN(F58:F61)</f>
        <v>1.2249999999999997E-2</v>
      </c>
      <c r="G63" s="518">
        <f>MEDIAN(G58:G61)</f>
        <v>6.9499999999999992E-2</v>
      </c>
    </row>
  </sheetData>
  <sheetProtection algorithmName="SHA-512" hashValue="ek0GqGKzkRilZDtCU8EkRnqFH1A8gGJiK+xO7cxsPgpCxWXVVIvPRk7tnHpHp8tO7x4MSPN2bIFmRoSyb4yf6Q==" saltValue="/bL3+tb9xjlXmZS0bfN9Zw==" spinCount="100000" sheet="1" objects="1" scenarios="1"/>
  <pageMargins left="0.7" right="0.7" top="0.75" bottom="0.75" header="0.3" footer="0.3"/>
  <ignoredErrors>
    <ignoredError sqref="C63:G63 C54:G54 C45:G45 C36:G36 C26:F26 C25:G25 C35:G35 C44:G44 C53:G53 C62:G62" formulaRange="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2DCBF-5DF9-4752-A68B-28C34D474AC1}">
  <dimension ref="B2:AN34"/>
  <sheetViews>
    <sheetView showGridLines="0" topLeftCell="A2" zoomScale="87" workbookViewId="0">
      <pane xSplit="3" ySplit="5" topLeftCell="D21" activePane="bottomRight" state="frozen"/>
      <selection activeCell="H17" sqref="H17"/>
      <selection pane="topRight" activeCell="H17" sqref="H17"/>
      <selection pane="bottomLeft" activeCell="H17" sqref="H17"/>
      <selection pane="bottomRight"/>
    </sheetView>
  </sheetViews>
  <sheetFormatPr defaultRowHeight="15" outlineLevelCol="1"/>
  <cols>
    <col min="1" max="1" width="2.7109375" customWidth="1"/>
    <col min="2" max="2" width="42" customWidth="1"/>
    <col min="3" max="3" width="2" customWidth="1"/>
    <col min="4" max="11" width="10" customWidth="1"/>
    <col min="12" max="15" width="10" customWidth="1" outlineLevel="1"/>
    <col min="16" max="17" width="10" customWidth="1"/>
    <col min="18" max="21" width="10" customWidth="1" outlineLevel="1"/>
    <col min="22" max="23" width="10" customWidth="1"/>
    <col min="24" max="24" width="12" customWidth="1" outlineLevel="1"/>
    <col min="25" max="27" width="10" customWidth="1" outlineLevel="1"/>
    <col min="28" max="28" width="1.42578125" customWidth="1"/>
    <col min="29" max="30" width="10" customWidth="1"/>
    <col min="31" max="31" width="10" customWidth="1" outlineLevel="1"/>
    <col min="32" max="33" width="10" customWidth="1"/>
    <col min="34" max="34" width="10" customWidth="1" outlineLevel="1"/>
    <col min="35" max="35" width="6.85546875" bestFit="1" customWidth="1"/>
    <col min="36" max="36" width="6.7109375" bestFit="1" customWidth="1"/>
    <col min="37" max="37" width="6.7109375" customWidth="1" outlineLevel="1"/>
  </cols>
  <sheetData>
    <row r="2" spans="2:40">
      <c r="B2" s="353" t="s">
        <v>1024</v>
      </c>
    </row>
    <row r="3" spans="2:40" ht="15.75">
      <c r="B3" s="166"/>
      <c r="C3" s="166"/>
      <c r="D3" s="590" t="s">
        <v>1029</v>
      </c>
      <c r="E3" s="590"/>
      <c r="F3" s="590"/>
      <c r="G3" s="590"/>
      <c r="H3" s="590"/>
      <c r="I3" s="590"/>
      <c r="J3" s="590" t="s">
        <v>1030</v>
      </c>
      <c r="K3" s="590"/>
      <c r="L3" s="590"/>
      <c r="M3" s="590"/>
      <c r="N3" s="590"/>
      <c r="O3" s="590"/>
      <c r="P3" s="590"/>
      <c r="Q3" s="590"/>
      <c r="R3" s="590"/>
      <c r="S3" s="590"/>
      <c r="T3" s="590"/>
      <c r="U3" s="590"/>
      <c r="V3" s="590"/>
      <c r="W3" s="590"/>
      <c r="X3" s="590"/>
      <c r="Y3" s="166"/>
      <c r="Z3" s="166"/>
      <c r="AA3" s="166"/>
      <c r="AB3" s="189"/>
      <c r="AC3" s="591" t="s">
        <v>1043</v>
      </c>
      <c r="AD3" s="591"/>
      <c r="AE3" s="591"/>
      <c r="AF3" s="591"/>
      <c r="AG3" s="591"/>
      <c r="AH3" s="591"/>
      <c r="AI3" s="591"/>
      <c r="AJ3" s="591"/>
      <c r="AK3" s="591"/>
    </row>
    <row r="4" spans="2:40">
      <c r="B4" s="166"/>
      <c r="C4" s="166"/>
      <c r="D4" s="166"/>
      <c r="E4" s="166"/>
      <c r="F4" s="166"/>
      <c r="G4" s="166"/>
      <c r="H4" s="166"/>
      <c r="I4" s="166"/>
      <c r="J4" s="526">
        <v>2025</v>
      </c>
      <c r="K4" s="527">
        <f>J4+1</f>
        <v>2026</v>
      </c>
      <c r="L4" s="527">
        <f t="shared" ref="L4" si="0">K4+1</f>
        <v>2027</v>
      </c>
      <c r="M4" s="526">
        <f>J4</f>
        <v>2025</v>
      </c>
      <c r="N4" s="527">
        <f t="shared" ref="N4:O4" si="1">K4</f>
        <v>2026</v>
      </c>
      <c r="O4" s="527">
        <f t="shared" si="1"/>
        <v>2027</v>
      </c>
      <c r="P4" s="526">
        <f>J4</f>
        <v>2025</v>
      </c>
      <c r="Q4" s="527">
        <f>P4+1</f>
        <v>2026</v>
      </c>
      <c r="R4" s="527">
        <f t="shared" ref="R4" si="2">Q4+1</f>
        <v>2027</v>
      </c>
      <c r="S4" s="526">
        <f>J4</f>
        <v>2025</v>
      </c>
      <c r="T4" s="527">
        <f>S4+1</f>
        <v>2026</v>
      </c>
      <c r="U4" s="527">
        <f>T4+1</f>
        <v>2027</v>
      </c>
      <c r="V4" s="526">
        <f>J4</f>
        <v>2025</v>
      </c>
      <c r="W4" s="527">
        <f>V4+1</f>
        <v>2026</v>
      </c>
      <c r="X4" s="527">
        <f t="shared" ref="X4" si="3">W4+1</f>
        <v>2027</v>
      </c>
      <c r="Y4" s="525">
        <f>V4</f>
        <v>2025</v>
      </c>
      <c r="Z4" s="527">
        <f>Y4+1</f>
        <v>2026</v>
      </c>
      <c r="AA4" s="527">
        <f t="shared" ref="AA4" si="4">Z4+1</f>
        <v>2027</v>
      </c>
      <c r="AB4" s="189"/>
      <c r="AC4" s="526">
        <f>J4</f>
        <v>2025</v>
      </c>
      <c r="AD4" s="527">
        <f>AC4+1</f>
        <v>2026</v>
      </c>
      <c r="AE4" s="527">
        <f t="shared" ref="AE4" si="5">AD4+1</f>
        <v>2027</v>
      </c>
      <c r="AF4" s="526">
        <f>J4</f>
        <v>2025</v>
      </c>
      <c r="AG4" s="527">
        <f>AF4+1</f>
        <v>2026</v>
      </c>
      <c r="AH4" s="527">
        <f>AG4+1</f>
        <v>2027</v>
      </c>
      <c r="AI4" s="526">
        <f>J4</f>
        <v>2025</v>
      </c>
      <c r="AJ4" s="527">
        <f>AI4+1</f>
        <v>2026</v>
      </c>
      <c r="AK4" s="527">
        <f>AJ4+1</f>
        <v>2027</v>
      </c>
    </row>
    <row r="5" spans="2:40">
      <c r="B5" s="166" t="s">
        <v>1023</v>
      </c>
      <c r="C5" s="166"/>
      <c r="D5" s="166" t="s">
        <v>928</v>
      </c>
      <c r="E5" s="166" t="s">
        <v>1025</v>
      </c>
      <c r="F5" s="166" t="s">
        <v>1026</v>
      </c>
      <c r="G5" s="166" t="s">
        <v>1027</v>
      </c>
      <c r="H5" s="166" t="s">
        <v>12</v>
      </c>
      <c r="I5" s="166" t="s">
        <v>186</v>
      </c>
      <c r="J5" s="166" t="s">
        <v>2</v>
      </c>
      <c r="K5" s="166" t="s">
        <v>2</v>
      </c>
      <c r="L5" s="166" t="s">
        <v>2</v>
      </c>
      <c r="M5" s="166" t="s">
        <v>1039</v>
      </c>
      <c r="N5" s="166" t="s">
        <v>1039</v>
      </c>
      <c r="O5" s="166" t="s">
        <v>1039</v>
      </c>
      <c r="P5" s="166" t="s">
        <v>93</v>
      </c>
      <c r="Q5" s="166" t="s">
        <v>93</v>
      </c>
      <c r="R5" s="166" t="s">
        <v>93</v>
      </c>
      <c r="S5" s="166" t="s">
        <v>1040</v>
      </c>
      <c r="T5" s="166" t="s">
        <v>1040</v>
      </c>
      <c r="U5" s="166" t="s">
        <v>1040</v>
      </c>
      <c r="V5" s="166" t="s">
        <v>1041</v>
      </c>
      <c r="W5" s="166" t="s">
        <v>1041</v>
      </c>
      <c r="X5" s="166" t="s">
        <v>1041</v>
      </c>
      <c r="Y5" s="166" t="s">
        <v>1042</v>
      </c>
      <c r="Z5" s="166" t="s">
        <v>1042</v>
      </c>
      <c r="AA5" s="166" t="s">
        <v>1042</v>
      </c>
      <c r="AB5" s="189"/>
      <c r="AC5" s="166" t="s">
        <v>1044</v>
      </c>
      <c r="AD5" s="166" t="s">
        <v>1044</v>
      </c>
      <c r="AE5" s="166" t="s">
        <v>1044</v>
      </c>
      <c r="AF5" s="166" t="s">
        <v>1045</v>
      </c>
      <c r="AG5" s="166" t="s">
        <v>1045</v>
      </c>
      <c r="AH5" s="166" t="s">
        <v>1045</v>
      </c>
      <c r="AI5" s="166" t="s">
        <v>1102</v>
      </c>
      <c r="AJ5" s="166" t="s">
        <v>1102</v>
      </c>
      <c r="AK5" s="166" t="s">
        <v>1102</v>
      </c>
    </row>
    <row r="6" spans="2:40" ht="1.5" customHeight="1"/>
    <row r="7" spans="2:40">
      <c r="B7" s="528" t="s">
        <v>1037</v>
      </c>
      <c r="C7" s="528"/>
      <c r="D7" s="528" t="s">
        <v>1035</v>
      </c>
      <c r="E7" s="528">
        <v>473</v>
      </c>
      <c r="F7" s="528">
        <v>3259</v>
      </c>
      <c r="G7" s="528">
        <v>561</v>
      </c>
      <c r="H7" s="529">
        <v>134</v>
      </c>
      <c r="I7" s="529">
        <f>F7+G7-H7</f>
        <v>3686</v>
      </c>
      <c r="J7" s="529">
        <v>4073</v>
      </c>
      <c r="K7" s="529">
        <v>4391</v>
      </c>
      <c r="L7" s="529">
        <v>4786</v>
      </c>
      <c r="M7" s="530">
        <v>6.9900000000000004E-2</v>
      </c>
      <c r="N7" s="530">
        <f>K7/J7-1</f>
        <v>7.8075128897618473E-2</v>
      </c>
      <c r="O7" s="530">
        <f t="shared" ref="O7" si="6">L7/K7-1</f>
        <v>8.9956729674333769E-2</v>
      </c>
      <c r="P7" s="528">
        <v>371</v>
      </c>
      <c r="Q7" s="528">
        <v>521</v>
      </c>
      <c r="R7" s="528">
        <v>685</v>
      </c>
      <c r="S7" s="530">
        <f>P7/J7</f>
        <v>9.1087650380554872E-2</v>
      </c>
      <c r="T7" s="530">
        <f t="shared" ref="T7:U7" si="7">Q7/K7</f>
        <v>0.11865178774766567</v>
      </c>
      <c r="U7" s="530">
        <f t="shared" si="7"/>
        <v>0.14312578353531133</v>
      </c>
      <c r="V7" s="528">
        <v>-65</v>
      </c>
      <c r="W7" s="528">
        <v>64</v>
      </c>
      <c r="X7" s="528">
        <v>205</v>
      </c>
      <c r="Y7" s="530">
        <f>V7/J7</f>
        <v>-1.5958752762091823E-2</v>
      </c>
      <c r="Z7" s="530">
        <f t="shared" ref="Z7:AA7" si="8">W7/K7</f>
        <v>1.4575267592803462E-2</v>
      </c>
      <c r="AA7" s="530">
        <f t="shared" si="8"/>
        <v>4.2833263685750106E-2</v>
      </c>
      <c r="AB7" s="151"/>
      <c r="AC7" s="531">
        <f>I7/J7</f>
        <v>0.90498404124723786</v>
      </c>
      <c r="AD7" s="531">
        <f>I7/K7</f>
        <v>0.83944431792302432</v>
      </c>
      <c r="AE7" s="531">
        <f>I7/L7</f>
        <v>0.77016297534475553</v>
      </c>
      <c r="AF7" s="531">
        <f>$I7/P7</f>
        <v>9.9353099730458219</v>
      </c>
      <c r="AG7" s="531">
        <f>$I7/Q7</f>
        <v>7.0748560460652588</v>
      </c>
      <c r="AH7" s="531">
        <f>$I7/R7</f>
        <v>5.3810218978102187</v>
      </c>
      <c r="AI7" s="531">
        <f>-$F7/V7</f>
        <v>50.138461538461542</v>
      </c>
      <c r="AJ7" s="531">
        <f>$F7/W7</f>
        <v>50.921875</v>
      </c>
      <c r="AK7" s="531">
        <f>$F7/X7</f>
        <v>15.897560975609757</v>
      </c>
      <c r="AL7" s="202"/>
      <c r="AM7" s="202"/>
      <c r="AN7" s="202"/>
    </row>
    <row r="8" spans="2:40">
      <c r="B8" s="261" t="s">
        <v>1038</v>
      </c>
      <c r="C8" s="261"/>
      <c r="D8" s="261" t="s">
        <v>943</v>
      </c>
      <c r="E8" s="261">
        <v>464</v>
      </c>
      <c r="F8" s="261">
        <v>6955</v>
      </c>
      <c r="G8" s="261">
        <v>106</v>
      </c>
      <c r="H8" s="532">
        <v>2308</v>
      </c>
      <c r="I8" s="261">
        <f t="shared" ref="I8:I10" si="9">F8+G8-H8</f>
        <v>4753</v>
      </c>
      <c r="J8" s="532">
        <v>7892</v>
      </c>
      <c r="K8" s="261">
        <v>0</v>
      </c>
      <c r="L8" s="261">
        <v>0</v>
      </c>
      <c r="M8" s="533">
        <v>-4.8000000000000001E-2</v>
      </c>
      <c r="N8" s="533">
        <v>0</v>
      </c>
      <c r="O8" s="533">
        <v>0</v>
      </c>
      <c r="P8" s="261">
        <v>918</v>
      </c>
      <c r="Q8" s="261">
        <v>0</v>
      </c>
      <c r="R8" s="261">
        <v>0</v>
      </c>
      <c r="S8" s="533">
        <f t="shared" ref="S8:S10" si="10">P8/J8</f>
        <v>0.1163203243791181</v>
      </c>
      <c r="T8" s="533">
        <v>0</v>
      </c>
      <c r="U8" s="533">
        <v>0</v>
      </c>
      <c r="V8" s="261">
        <v>598</v>
      </c>
      <c r="W8" s="261">
        <v>0</v>
      </c>
      <c r="X8" s="261">
        <v>0</v>
      </c>
      <c r="Y8" s="533">
        <f t="shared" ref="Y8:Y10" si="11">V8/J8</f>
        <v>7.5772934617334003E-2</v>
      </c>
      <c r="Z8" s="533">
        <v>0</v>
      </c>
      <c r="AA8" s="533">
        <v>0</v>
      </c>
      <c r="AB8" s="151"/>
      <c r="AC8" s="534">
        <f t="shared" ref="AC8:AC10" si="12">I8/J8</f>
        <v>0.60225544855549928</v>
      </c>
      <c r="AD8" s="534">
        <f>IFERROR(I8/K8,0)</f>
        <v>0</v>
      </c>
      <c r="AE8" s="534">
        <f>IFERROR(I8/L8,0)</f>
        <v>0</v>
      </c>
      <c r="AF8" s="534">
        <f>$I8/P8</f>
        <v>5.1775599128540302</v>
      </c>
      <c r="AG8" s="534">
        <f>IFERROR($I8/Q8,0)</f>
        <v>0</v>
      </c>
      <c r="AH8" s="534">
        <f t="shared" ref="AH8" si="13">IFERROR($I8/R8,0)</f>
        <v>0</v>
      </c>
      <c r="AI8" s="534">
        <f>$F8/V8</f>
        <v>11.630434782608695</v>
      </c>
      <c r="AJ8" s="534">
        <f>IFERROR($F8/W8,0)</f>
        <v>0</v>
      </c>
      <c r="AK8" s="534">
        <f t="shared" ref="AK8" si="14">IFERROR($F8/X8,0)</f>
        <v>0</v>
      </c>
      <c r="AL8" s="202"/>
      <c r="AM8" s="202"/>
      <c r="AN8" s="202"/>
    </row>
    <row r="9" spans="2:40">
      <c r="B9" s="261" t="s">
        <v>491</v>
      </c>
      <c r="C9" s="261"/>
      <c r="D9" s="261" t="s">
        <v>958</v>
      </c>
      <c r="E9" s="261">
        <v>256</v>
      </c>
      <c r="F9" s="261">
        <v>4032</v>
      </c>
      <c r="G9" s="532">
        <v>1842</v>
      </c>
      <c r="H9" s="532">
        <v>724</v>
      </c>
      <c r="I9" s="532">
        <f t="shared" si="9"/>
        <v>5150</v>
      </c>
      <c r="J9" s="532">
        <v>4346</v>
      </c>
      <c r="K9" s="261">
        <v>5065</v>
      </c>
      <c r="L9" s="261">
        <v>5336</v>
      </c>
      <c r="M9" s="533">
        <v>9.6199999999999994E-2</v>
      </c>
      <c r="N9" s="533">
        <f>K9/J9-1</f>
        <v>0.16543948458352498</v>
      </c>
      <c r="O9" s="533">
        <f>L9/K9-1</f>
        <v>5.3504442250740469E-2</v>
      </c>
      <c r="P9" s="261">
        <v>418</v>
      </c>
      <c r="Q9" s="261">
        <v>301</v>
      </c>
      <c r="R9" s="261">
        <v>586</v>
      </c>
      <c r="S9" s="533">
        <f t="shared" si="10"/>
        <v>9.618039576622181E-2</v>
      </c>
      <c r="T9" s="533">
        <f t="shared" ref="T9:T10" si="15">Q9/K9</f>
        <v>5.9427443237907204E-2</v>
      </c>
      <c r="U9" s="533">
        <f t="shared" ref="U9:U10" si="16">R9/L9</f>
        <v>0.10982008995502249</v>
      </c>
      <c r="V9" s="261">
        <v>-110</v>
      </c>
      <c r="W9" s="261">
        <v>-697</v>
      </c>
      <c r="X9" s="261">
        <v>143</v>
      </c>
      <c r="Y9" s="533">
        <f t="shared" si="11"/>
        <v>-2.5310630464795213E-2</v>
      </c>
      <c r="Z9" s="533">
        <f t="shared" ref="Z9:Z10" si="17">W9/K9</f>
        <v>-0.13761105626850939</v>
      </c>
      <c r="AA9" s="533">
        <f t="shared" ref="AA9:AA10" si="18">X9/L9</f>
        <v>2.6799100449775112E-2</v>
      </c>
      <c r="AB9" s="151"/>
      <c r="AC9" s="534">
        <f>I9/J9</f>
        <v>1.1849976990335942</v>
      </c>
      <c r="AD9" s="534">
        <f>I9/K9</f>
        <v>1.016781836130306</v>
      </c>
      <c r="AE9" s="534">
        <f>I9/L9</f>
        <v>0.96514242878560719</v>
      </c>
      <c r="AF9" s="534">
        <f t="shared" ref="AF9:AF10" si="19">$I9/P9</f>
        <v>12.320574162679426</v>
      </c>
      <c r="AG9" s="534">
        <f>$I9/Q9</f>
        <v>17.109634551495017</v>
      </c>
      <c r="AH9" s="534">
        <f>$I9/R9</f>
        <v>8.7883959044368609</v>
      </c>
      <c r="AI9" s="534">
        <f t="shared" ref="AI9" si="20">-$F9/V9</f>
        <v>36.654545454545456</v>
      </c>
      <c r="AJ9" s="534">
        <f t="shared" ref="AJ9" si="21">-$F9/W9</f>
        <v>5.7847919655667148</v>
      </c>
      <c r="AK9" s="534">
        <f>$F9/X9</f>
        <v>28.195804195804197</v>
      </c>
      <c r="AL9" s="202"/>
      <c r="AM9" s="202"/>
      <c r="AN9" s="202"/>
    </row>
    <row r="10" spans="2:40">
      <c r="B10" s="535" t="s">
        <v>210</v>
      </c>
      <c r="C10" s="535"/>
      <c r="D10" s="535" t="s">
        <v>971</v>
      </c>
      <c r="E10" s="535">
        <v>992</v>
      </c>
      <c r="F10" s="535">
        <v>4442</v>
      </c>
      <c r="G10" s="535">
        <v>593</v>
      </c>
      <c r="H10" s="535">
        <v>22</v>
      </c>
      <c r="I10" s="535">
        <f t="shared" si="9"/>
        <v>5013</v>
      </c>
      <c r="J10" s="536">
        <v>2550</v>
      </c>
      <c r="K10" s="537">
        <v>2958</v>
      </c>
      <c r="L10" s="537">
        <v>3549.6</v>
      </c>
      <c r="M10" s="538">
        <v>0.32192846034214617</v>
      </c>
      <c r="N10" s="538">
        <f>K10/J10-1</f>
        <v>0.15999999999999992</v>
      </c>
      <c r="O10" s="538">
        <f>L10/K10-1</f>
        <v>0.19999999999999996</v>
      </c>
      <c r="P10" s="535">
        <v>711</v>
      </c>
      <c r="Q10" s="537">
        <v>769.07999999999981</v>
      </c>
      <c r="R10" s="537">
        <v>922.89599999999973</v>
      </c>
      <c r="S10" s="538">
        <f t="shared" si="10"/>
        <v>0.27882352941176469</v>
      </c>
      <c r="T10" s="538">
        <f t="shared" si="15"/>
        <v>0.25999999999999995</v>
      </c>
      <c r="U10" s="538">
        <f t="shared" si="16"/>
        <v>0.25999999999999995</v>
      </c>
      <c r="V10" s="535">
        <v>358</v>
      </c>
      <c r="W10" s="537">
        <v>433.91888198349977</v>
      </c>
      <c r="X10" s="537">
        <v>517.90356041962991</v>
      </c>
      <c r="Y10" s="538">
        <f t="shared" si="11"/>
        <v>0.14039215686274509</v>
      </c>
      <c r="Z10" s="538">
        <f t="shared" si="17"/>
        <v>0.14669333400388768</v>
      </c>
      <c r="AA10" s="538">
        <f t="shared" si="18"/>
        <v>0.14590476685249884</v>
      </c>
      <c r="AB10" s="151"/>
      <c r="AC10" s="539">
        <f t="shared" si="12"/>
        <v>1.9658823529411764</v>
      </c>
      <c r="AD10" s="539">
        <f t="shared" ref="AD10" si="22">I10/K10</f>
        <v>1.6947261663286004</v>
      </c>
      <c r="AE10" s="539">
        <f t="shared" ref="AE10" si="23">I10/L10</f>
        <v>1.4122718052738337</v>
      </c>
      <c r="AF10" s="539">
        <f t="shared" si="19"/>
        <v>7.0506329113924053</v>
      </c>
      <c r="AG10" s="539">
        <f>$I10/Q10</f>
        <v>6.5181775628023111</v>
      </c>
      <c r="AH10" s="539">
        <f t="shared" ref="AH10" si="24">$I10/R10</f>
        <v>5.4318146356685926</v>
      </c>
      <c r="AI10" s="539">
        <f>$F10/V10</f>
        <v>12.407821229050279</v>
      </c>
      <c r="AJ10" s="539">
        <f t="shared" ref="AJ10:AK10" si="25">$F10/W10</f>
        <v>10.236936405475234</v>
      </c>
      <c r="AK10" s="539">
        <f t="shared" si="25"/>
        <v>8.5768863925184871</v>
      </c>
      <c r="AL10" s="202"/>
      <c r="AM10" s="202"/>
      <c r="AN10" s="202"/>
    </row>
    <row r="11" spans="2:40" ht="5.25" customHeight="1">
      <c r="B11" s="286"/>
      <c r="C11" s="286"/>
      <c r="D11" s="286"/>
      <c r="E11" s="286"/>
      <c r="F11" s="286"/>
      <c r="G11" s="286"/>
      <c r="H11" s="286"/>
      <c r="I11" s="286"/>
      <c r="J11" s="286"/>
      <c r="K11" s="286"/>
      <c r="L11" s="286"/>
      <c r="M11" s="286"/>
      <c r="N11" s="286"/>
      <c r="O11" s="286"/>
      <c r="P11" s="286"/>
      <c r="Q11" s="286"/>
      <c r="R11" s="286"/>
      <c r="S11" s="286"/>
      <c r="T11" s="286"/>
      <c r="U11" s="286"/>
      <c r="V11" s="286"/>
      <c r="W11" s="286"/>
      <c r="X11" s="286"/>
      <c r="Y11" s="286"/>
      <c r="Z11" s="286"/>
      <c r="AA11" s="286"/>
      <c r="AB11" s="151"/>
      <c r="AC11" s="286"/>
      <c r="AD11" s="286"/>
      <c r="AE11" s="286"/>
      <c r="AF11" s="286"/>
      <c r="AG11" s="286"/>
      <c r="AH11" s="286"/>
      <c r="AI11" s="286"/>
      <c r="AJ11" s="286"/>
      <c r="AK11" s="286"/>
    </row>
    <row r="12" spans="2:40">
      <c r="B12" s="540" t="s">
        <v>1031</v>
      </c>
      <c r="C12" s="540"/>
      <c r="D12" s="540"/>
      <c r="E12" s="540"/>
      <c r="F12" s="540"/>
      <c r="G12" s="540"/>
      <c r="H12" s="540"/>
      <c r="I12" s="540"/>
      <c r="J12" s="540"/>
      <c r="K12" s="540"/>
      <c r="L12" s="540"/>
      <c r="M12" s="540"/>
      <c r="N12" s="540"/>
      <c r="O12" s="540"/>
      <c r="P12" s="540"/>
      <c r="Q12" s="540"/>
      <c r="R12" s="540"/>
      <c r="S12" s="540"/>
      <c r="T12" s="540"/>
      <c r="U12" s="540"/>
      <c r="V12" s="540"/>
      <c r="W12" s="540"/>
      <c r="X12" s="540"/>
      <c r="Y12" s="540"/>
      <c r="Z12" s="540"/>
      <c r="AA12" s="540"/>
      <c r="AB12" s="151"/>
      <c r="AC12" s="531">
        <f>MAX(AC7:AC9)</f>
        <v>1.1849976990335942</v>
      </c>
      <c r="AD12" s="531">
        <f t="shared" ref="AD12:AK12" si="26">MAX(AD7:AD9)</f>
        <v>1.016781836130306</v>
      </c>
      <c r="AE12" s="531">
        <f t="shared" si="26"/>
        <v>0.96514242878560719</v>
      </c>
      <c r="AF12" s="531">
        <f t="shared" si="26"/>
        <v>12.320574162679426</v>
      </c>
      <c r="AG12" s="531">
        <f t="shared" si="26"/>
        <v>17.109634551495017</v>
      </c>
      <c r="AH12" s="531">
        <f t="shared" si="26"/>
        <v>8.7883959044368609</v>
      </c>
      <c r="AI12" s="531">
        <f t="shared" si="26"/>
        <v>50.138461538461542</v>
      </c>
      <c r="AJ12" s="531">
        <f t="shared" si="26"/>
        <v>50.921875</v>
      </c>
      <c r="AK12" s="531">
        <f t="shared" si="26"/>
        <v>28.195804195804197</v>
      </c>
    </row>
    <row r="13" spans="2:40">
      <c r="B13" s="541" t="s">
        <v>1032</v>
      </c>
      <c r="C13" s="541"/>
      <c r="D13" s="541"/>
      <c r="E13" s="541"/>
      <c r="F13" s="541"/>
      <c r="G13" s="541"/>
      <c r="H13" s="541"/>
      <c r="I13" s="541"/>
      <c r="J13" s="541"/>
      <c r="K13" s="541"/>
      <c r="L13" s="541"/>
      <c r="M13" s="541"/>
      <c r="N13" s="541"/>
      <c r="O13" s="541"/>
      <c r="P13" s="541"/>
      <c r="Q13" s="541"/>
      <c r="R13" s="541"/>
      <c r="S13" s="541"/>
      <c r="T13" s="541"/>
      <c r="U13" s="541"/>
      <c r="V13" s="541"/>
      <c r="W13" s="541"/>
      <c r="X13" s="541"/>
      <c r="Y13" s="541"/>
      <c r="Z13" s="541"/>
      <c r="AA13" s="541"/>
      <c r="AB13" s="151"/>
      <c r="AC13" s="534">
        <f>QUARTILE(AC7:AC9,3)</f>
        <v>1.044990870140416</v>
      </c>
      <c r="AD13" s="534">
        <f t="shared" ref="AD13:AK13" si="27">QUARTILE(AD7:AD9,3)</f>
        <v>0.92811307702666523</v>
      </c>
      <c r="AE13" s="534">
        <f t="shared" si="27"/>
        <v>0.86765270206518141</v>
      </c>
      <c r="AF13" s="534">
        <f t="shared" si="27"/>
        <v>11.127942067862623</v>
      </c>
      <c r="AG13" s="534">
        <f t="shared" si="27"/>
        <v>12.092245298780139</v>
      </c>
      <c r="AH13" s="534">
        <f t="shared" si="27"/>
        <v>7.0847089011235393</v>
      </c>
      <c r="AI13" s="534">
        <f t="shared" si="27"/>
        <v>43.396503496503499</v>
      </c>
      <c r="AJ13" s="534">
        <f t="shared" si="27"/>
        <v>28.353333482783359</v>
      </c>
      <c r="AK13" s="534">
        <f t="shared" si="27"/>
        <v>22.046682585706975</v>
      </c>
      <c r="AM13" s="189" t="s">
        <v>1044</v>
      </c>
    </row>
    <row r="14" spans="2:40">
      <c r="B14" s="542" t="s">
        <v>433</v>
      </c>
      <c r="C14" s="542"/>
      <c r="D14" s="542"/>
      <c r="E14" s="542"/>
      <c r="F14" s="542"/>
      <c r="G14" s="542"/>
      <c r="H14" s="542"/>
      <c r="I14" s="542"/>
      <c r="J14" s="542"/>
      <c r="K14" s="542"/>
      <c r="L14" s="542"/>
      <c r="M14" s="542"/>
      <c r="N14" s="542"/>
      <c r="O14" s="542"/>
      <c r="P14" s="542"/>
      <c r="Q14" s="542"/>
      <c r="R14" s="542"/>
      <c r="S14" s="542"/>
      <c r="T14" s="542"/>
      <c r="U14" s="542"/>
      <c r="V14" s="542"/>
      <c r="W14" s="542"/>
      <c r="X14" s="542"/>
      <c r="Y14" s="542"/>
      <c r="Z14" s="542"/>
      <c r="AA14" s="542"/>
      <c r="AB14" s="185"/>
      <c r="AC14" s="534">
        <f>AVERAGE(AC7:AC9)</f>
        <v>0.89741239627877711</v>
      </c>
      <c r="AD14" s="534">
        <f t="shared" ref="AD14:AK14" si="28">AVERAGE(AD7:AD9)</f>
        <v>0.61874205135111016</v>
      </c>
      <c r="AE14" s="534">
        <f t="shared" si="28"/>
        <v>0.57843513471012098</v>
      </c>
      <c r="AF14" s="534">
        <f t="shared" si="28"/>
        <v>9.1444813495264246</v>
      </c>
      <c r="AG14" s="534">
        <f t="shared" si="28"/>
        <v>8.0614968658534263</v>
      </c>
      <c r="AH14" s="534">
        <f t="shared" si="28"/>
        <v>4.7231392674156929</v>
      </c>
      <c r="AI14" s="534">
        <f t="shared" si="28"/>
        <v>32.807813925205231</v>
      </c>
      <c r="AJ14" s="534">
        <f t="shared" si="28"/>
        <v>18.902222321855572</v>
      </c>
      <c r="AK14" s="534">
        <f t="shared" si="28"/>
        <v>14.697788390471317</v>
      </c>
      <c r="AM14" s="189" t="s">
        <v>1045</v>
      </c>
    </row>
    <row r="15" spans="2:40">
      <c r="B15" s="542" t="s">
        <v>432</v>
      </c>
      <c r="C15" s="542"/>
      <c r="D15" s="542"/>
      <c r="E15" s="542"/>
      <c r="F15" s="542"/>
      <c r="G15" s="542"/>
      <c r="H15" s="542"/>
      <c r="I15" s="542"/>
      <c r="J15" s="542"/>
      <c r="K15" s="542"/>
      <c r="L15" s="542"/>
      <c r="M15" s="542"/>
      <c r="N15" s="542"/>
      <c r="O15" s="542"/>
      <c r="P15" s="542"/>
      <c r="Q15" s="542"/>
      <c r="R15" s="542"/>
      <c r="S15" s="542"/>
      <c r="T15" s="542"/>
      <c r="U15" s="542"/>
      <c r="V15" s="542"/>
      <c r="W15" s="542"/>
      <c r="X15" s="542"/>
      <c r="Y15" s="542"/>
      <c r="Z15" s="542"/>
      <c r="AA15" s="542"/>
      <c r="AB15" s="185"/>
      <c r="AC15" s="534">
        <f>MEDIAN(AC7:AC9)</f>
        <v>0.90498404124723786</v>
      </c>
      <c r="AD15" s="534">
        <f t="shared" ref="AD15:AK15" si="29">MEDIAN(AD7:AD9)</f>
        <v>0.83944431792302432</v>
      </c>
      <c r="AE15" s="534">
        <f t="shared" si="29"/>
        <v>0.77016297534475553</v>
      </c>
      <c r="AF15" s="534">
        <f t="shared" si="29"/>
        <v>9.9353099730458219</v>
      </c>
      <c r="AG15" s="534">
        <f t="shared" si="29"/>
        <v>7.0748560460652588</v>
      </c>
      <c r="AH15" s="534">
        <f t="shared" si="29"/>
        <v>5.3810218978102187</v>
      </c>
      <c r="AI15" s="534">
        <f t="shared" si="29"/>
        <v>36.654545454545456</v>
      </c>
      <c r="AJ15" s="534">
        <f t="shared" si="29"/>
        <v>5.7847919655667148</v>
      </c>
      <c r="AK15" s="534">
        <f t="shared" si="29"/>
        <v>15.897560975609757</v>
      </c>
      <c r="AM15" s="189" t="s">
        <v>1048</v>
      </c>
    </row>
    <row r="16" spans="2:40">
      <c r="B16" s="541" t="s">
        <v>1033</v>
      </c>
      <c r="C16" s="541"/>
      <c r="D16" s="541"/>
      <c r="E16" s="541"/>
      <c r="F16" s="541"/>
      <c r="G16" s="541"/>
      <c r="H16" s="541"/>
      <c r="I16" s="541"/>
      <c r="J16" s="541"/>
      <c r="K16" s="541"/>
      <c r="L16" s="541"/>
      <c r="M16" s="541"/>
      <c r="N16" s="541"/>
      <c r="O16" s="541"/>
      <c r="P16" s="541"/>
      <c r="Q16" s="541"/>
      <c r="R16" s="541"/>
      <c r="S16" s="541"/>
      <c r="T16" s="541"/>
      <c r="U16" s="541"/>
      <c r="V16" s="541"/>
      <c r="W16" s="541"/>
      <c r="X16" s="541"/>
      <c r="Y16" s="541"/>
      <c r="Z16" s="541"/>
      <c r="AA16" s="541"/>
      <c r="AB16" s="151"/>
      <c r="AC16" s="534">
        <f>QUARTILE(AC7:AC9,1)</f>
        <v>0.75361974490136863</v>
      </c>
      <c r="AD16" s="534">
        <f t="shared" ref="AD16:AK16" si="30">QUARTILE(AD7:AD9,1)</f>
        <v>0.41972215896151216</v>
      </c>
      <c r="AE16" s="534">
        <f t="shared" si="30"/>
        <v>0.38508148767237776</v>
      </c>
      <c r="AF16" s="534">
        <f t="shared" si="30"/>
        <v>7.5564349429499256</v>
      </c>
      <c r="AG16" s="534">
        <f t="shared" si="30"/>
        <v>3.5374280230326294</v>
      </c>
      <c r="AH16" s="534">
        <f t="shared" si="30"/>
        <v>2.6905109489051093</v>
      </c>
      <c r="AI16" s="534">
        <f t="shared" si="30"/>
        <v>24.142490118577076</v>
      </c>
      <c r="AJ16" s="534">
        <f t="shared" si="30"/>
        <v>2.8923959827833574</v>
      </c>
      <c r="AK16" s="534">
        <f t="shared" si="30"/>
        <v>7.9487804878048784</v>
      </c>
    </row>
    <row r="17" spans="2:37">
      <c r="B17" s="543" t="s">
        <v>1034</v>
      </c>
      <c r="C17" s="543"/>
      <c r="D17" s="543"/>
      <c r="E17" s="543"/>
      <c r="F17" s="543"/>
      <c r="G17" s="543"/>
      <c r="H17" s="543"/>
      <c r="I17" s="543"/>
      <c r="J17" s="543"/>
      <c r="K17" s="543"/>
      <c r="L17" s="543"/>
      <c r="M17" s="543"/>
      <c r="N17" s="543"/>
      <c r="O17" s="543"/>
      <c r="P17" s="543"/>
      <c r="Q17" s="543"/>
      <c r="R17" s="543"/>
      <c r="S17" s="543"/>
      <c r="T17" s="543"/>
      <c r="U17" s="543"/>
      <c r="V17" s="543"/>
      <c r="W17" s="543"/>
      <c r="X17" s="543"/>
      <c r="Y17" s="543"/>
      <c r="Z17" s="543"/>
      <c r="AA17" s="543"/>
      <c r="AB17" s="151"/>
      <c r="AC17" s="534">
        <f>MIN(AC7:AC9)</f>
        <v>0.60225544855549928</v>
      </c>
      <c r="AD17" s="534">
        <f t="shared" ref="AD17:AK17" si="31">MIN(AD7:AD9)</f>
        <v>0</v>
      </c>
      <c r="AE17" s="534">
        <f t="shared" si="31"/>
        <v>0</v>
      </c>
      <c r="AF17" s="534">
        <f t="shared" si="31"/>
        <v>5.1775599128540302</v>
      </c>
      <c r="AG17" s="534">
        <f t="shared" si="31"/>
        <v>0</v>
      </c>
      <c r="AH17" s="534">
        <f t="shared" si="31"/>
        <v>0</v>
      </c>
      <c r="AI17" s="534">
        <f t="shared" si="31"/>
        <v>11.630434782608695</v>
      </c>
      <c r="AJ17" s="534">
        <f t="shared" si="31"/>
        <v>0</v>
      </c>
      <c r="AK17" s="534">
        <f t="shared" si="31"/>
        <v>0</v>
      </c>
    </row>
    <row r="19" spans="2:37">
      <c r="B19" s="166" t="s">
        <v>1105</v>
      </c>
      <c r="C19" s="166"/>
      <c r="D19" s="166"/>
    </row>
    <row r="20" spans="2:37">
      <c r="B20" t="s">
        <v>1046</v>
      </c>
      <c r="D20" s="443">
        <f>J10</f>
        <v>2550</v>
      </c>
      <c r="G20" s="189"/>
    </row>
    <row r="21" spans="2:37">
      <c r="B21" t="s">
        <v>93</v>
      </c>
      <c r="D21">
        <f>P10</f>
        <v>711</v>
      </c>
    </row>
    <row r="22" spans="2:37">
      <c r="B22" t="s">
        <v>1028</v>
      </c>
      <c r="D22">
        <f>V10</f>
        <v>358</v>
      </c>
    </row>
    <row r="23" spans="2:37">
      <c r="B23" s="544" t="s">
        <v>1047</v>
      </c>
      <c r="C23" s="544"/>
      <c r="D23" s="544" t="s">
        <v>1044</v>
      </c>
    </row>
    <row r="24" spans="2:37">
      <c r="B24" t="str">
        <f>D23</f>
        <v>EV/Sales</v>
      </c>
      <c r="D24" s="545">
        <f>IF(B24=AC5,AC15,IF(B24=AF5,AF15,AI15))</f>
        <v>0.90498404124723786</v>
      </c>
    </row>
    <row r="25" spans="2:37" ht="15.75" thickBot="1">
      <c r="B25" s="49" t="str">
        <f>IF(D23=B24,"Equity Value","Enterprise Value")</f>
        <v>Equity Value</v>
      </c>
      <c r="C25" s="49"/>
      <c r="D25" s="49">
        <f>IF(D23=AC5,D24*D20,IF(D23=AF5,D24*D21,D24*D22))</f>
        <v>2307.7093051804563</v>
      </c>
    </row>
    <row r="26" spans="2:37">
      <c r="B26" t="str">
        <f>'DCF Value'!B64</f>
        <v>Less: Debt</v>
      </c>
      <c r="D26" s="546">
        <f>IF($D$23=$AI$5,0,'DCF Value'!D42)</f>
        <v>-499</v>
      </c>
    </row>
    <row r="27" spans="2:37">
      <c r="B27" t="str">
        <f>'DCF Value'!B65</f>
        <v>Add: Cash</v>
      </c>
      <c r="D27" s="546">
        <f>IF($D$23=$AI$5,0,'DCF Value'!D43)</f>
        <v>21.961000000000084</v>
      </c>
    </row>
    <row r="28" spans="2:37">
      <c r="B28" t="str">
        <f>'DCF Value'!B66</f>
        <v>Less: Minority Interest</v>
      </c>
      <c r="D28" s="546">
        <f>IF($D$23=$AI$5,0,'DCF Value'!D44)</f>
        <v>0</v>
      </c>
    </row>
    <row r="29" spans="2:37">
      <c r="B29" t="str">
        <f>'DCF Value'!B67</f>
        <v>Add: Non Operating Assets</v>
      </c>
      <c r="D29" s="546">
        <f>IF($D$23=$AI$5,0,'DCF Value'!D45)</f>
        <v>76</v>
      </c>
    </row>
    <row r="30" spans="2:37">
      <c r="B30" s="490" t="str">
        <f>'DCF Value'!B68</f>
        <v>Equity Value</v>
      </c>
      <c r="C30" s="490"/>
      <c r="D30" s="547">
        <f>SUM(D25:D29)</f>
        <v>1906.6703051804564</v>
      </c>
    </row>
    <row r="31" spans="2:37">
      <c r="B31" t="str">
        <f>'DCF Value'!B69</f>
        <v>Less: Equity Options</v>
      </c>
      <c r="D31" s="546">
        <f>IF($D$23=$AI$5,0,'DCF Value'!D47)</f>
        <v>0</v>
      </c>
    </row>
    <row r="32" spans="2:37">
      <c r="B32" s="548" t="str">
        <f>'DCF Value'!B70</f>
        <v>Equity Value for Shareholders</v>
      </c>
      <c r="C32" s="548"/>
      <c r="D32" s="549">
        <f>SUM(D30:D31)</f>
        <v>1906.6703051804564</v>
      </c>
    </row>
    <row r="33" spans="2:4">
      <c r="B33" t="s">
        <v>1116</v>
      </c>
      <c r="D33">
        <v>4.3099999999999996</v>
      </c>
    </row>
    <row r="34" spans="2:4" ht="15.75" thickBot="1">
      <c r="B34" s="45"/>
      <c r="C34" s="45"/>
      <c r="D34" s="45">
        <f>D32/D33</f>
        <v>442.38290143398063</v>
      </c>
    </row>
  </sheetData>
  <sheetProtection algorithmName="SHA-512" hashValue="n4/Ls/EfwDAvnrIw0lGdkXV2tvA/Nk5QslQSKIGGGy+tgbk+UploLYzwaXxvbtmq4scUrAo90qrZXfc79qq8ew==" saltValue="EJAtEh8hlMCcC9UqCoHv4A==" spinCount="100000" sheet="1" objects="1" scenarios="1"/>
  <mergeCells count="3">
    <mergeCell ref="D3:I3"/>
    <mergeCell ref="J3:X3"/>
    <mergeCell ref="AC3:AK3"/>
  </mergeCells>
  <dataValidations count="1">
    <dataValidation type="list" allowBlank="1" showInputMessage="1" showErrorMessage="1" sqref="D23" xr:uid="{1480EE70-60BF-4516-A8B9-247D236392DC}">
      <formula1>$AM$13:$AM$15</formula1>
    </dataValidation>
  </dataValidation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38102-F542-4738-8EE2-ACB7FC86ED2C}">
  <sheetPr>
    <tabColor theme="9" tint="-0.249977111117893"/>
  </sheetPr>
  <dimension ref="A1"/>
  <sheetViews>
    <sheetView showGridLines="0" workbookViewId="0"/>
  </sheetViews>
  <sheetFormatPr defaultRowHeight="1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A3528-2CFC-40DD-B495-F998A4B196F3}">
  <dimension ref="A2:W262"/>
  <sheetViews>
    <sheetView showGridLines="0" zoomScale="110" zoomScaleNormal="83" workbookViewId="0"/>
  </sheetViews>
  <sheetFormatPr defaultRowHeight="15"/>
  <cols>
    <col min="1" max="1" width="10.28515625" bestFit="1" customWidth="1"/>
    <col min="2" max="2" width="9.7109375" customWidth="1"/>
    <col min="3" max="3" width="10.85546875" customWidth="1"/>
    <col min="5" max="5" width="24.140625" customWidth="1"/>
    <col min="6" max="13" width="9.28515625" bestFit="1" customWidth="1"/>
    <col min="14" max="20" width="10.28515625" bestFit="1" customWidth="1"/>
  </cols>
  <sheetData>
    <row r="2" spans="1:3" ht="17.25" customHeight="1">
      <c r="B2" s="477" t="s">
        <v>1049</v>
      </c>
    </row>
    <row r="4" spans="1:3">
      <c r="B4" s="477" t="s">
        <v>1050</v>
      </c>
    </row>
    <row r="6" spans="1:3">
      <c r="B6" t="s">
        <v>1051</v>
      </c>
      <c r="C6" s="121">
        <v>0.75</v>
      </c>
    </row>
    <row r="7" spans="1:3">
      <c r="B7" t="s">
        <v>1052</v>
      </c>
      <c r="C7" s="121">
        <v>0.25</v>
      </c>
    </row>
    <row r="14" spans="1:3">
      <c r="A14" t="s">
        <v>937</v>
      </c>
      <c r="B14" t="s">
        <v>938</v>
      </c>
    </row>
    <row r="15" spans="1:3">
      <c r="A15" s="132">
        <v>45707</v>
      </c>
      <c r="B15" s="443">
        <v>1772.8</v>
      </c>
    </row>
    <row r="16" spans="1:3">
      <c r="A16" s="132">
        <v>45708</v>
      </c>
      <c r="B16" s="443">
        <v>1794.6</v>
      </c>
    </row>
    <row r="17" spans="1:2">
      <c r="A17" s="132">
        <v>45709</v>
      </c>
      <c r="B17" s="443">
        <v>1738.1</v>
      </c>
    </row>
    <row r="18" spans="1:2">
      <c r="A18" s="132">
        <v>45712</v>
      </c>
      <c r="B18" s="443">
        <v>1709.1</v>
      </c>
    </row>
    <row r="19" spans="1:2">
      <c r="A19" s="132">
        <v>45713</v>
      </c>
      <c r="B19" s="443">
        <v>1676.35</v>
      </c>
    </row>
    <row r="20" spans="1:2">
      <c r="A20" s="132">
        <v>45715</v>
      </c>
      <c r="B20" s="443">
        <v>1630.1</v>
      </c>
    </row>
    <row r="21" spans="1:2">
      <c r="A21" s="132">
        <v>45716</v>
      </c>
      <c r="B21" s="443">
        <v>1613.35</v>
      </c>
    </row>
    <row r="22" spans="1:2">
      <c r="A22" s="132">
        <v>45719</v>
      </c>
      <c r="B22" s="443">
        <v>1555.25</v>
      </c>
    </row>
    <row r="23" spans="1:2">
      <c r="A23" s="132">
        <v>45720</v>
      </c>
      <c r="B23" s="443">
        <v>1711</v>
      </c>
    </row>
    <row r="24" spans="1:2">
      <c r="A24" s="132">
        <v>45721</v>
      </c>
      <c r="B24" s="443">
        <v>1730</v>
      </c>
    </row>
    <row r="25" spans="1:2">
      <c r="A25" s="132">
        <v>45722</v>
      </c>
      <c r="B25" s="443">
        <v>1763.6</v>
      </c>
    </row>
    <row r="26" spans="1:2">
      <c r="A26" s="132">
        <v>45723</v>
      </c>
      <c r="B26" s="443">
        <v>1866.9</v>
      </c>
    </row>
    <row r="27" spans="1:2">
      <c r="A27" s="132">
        <v>45726</v>
      </c>
      <c r="B27" s="443">
        <v>1775</v>
      </c>
    </row>
    <row r="28" spans="1:2">
      <c r="A28" s="132">
        <v>45727</v>
      </c>
      <c r="B28" s="443">
        <v>1807.5</v>
      </c>
    </row>
    <row r="29" spans="1:2">
      <c r="A29" s="132">
        <v>45728</v>
      </c>
      <c r="B29" s="443">
        <v>1792.6</v>
      </c>
    </row>
    <row r="30" spans="1:2">
      <c r="A30" s="132">
        <v>45729</v>
      </c>
      <c r="B30" s="443">
        <v>1813.75</v>
      </c>
    </row>
    <row r="31" spans="1:2">
      <c r="A31" s="132">
        <v>45733</v>
      </c>
      <c r="B31" s="443">
        <v>1775.8</v>
      </c>
    </row>
    <row r="32" spans="1:2">
      <c r="A32" s="132">
        <v>45734</v>
      </c>
      <c r="B32" s="443">
        <v>1825.05</v>
      </c>
    </row>
    <row r="33" spans="1:8">
      <c r="A33" s="132">
        <v>45735</v>
      </c>
      <c r="B33" s="443">
        <v>1884.05</v>
      </c>
    </row>
    <row r="34" spans="1:8">
      <c r="A34" s="132">
        <v>45736</v>
      </c>
      <c r="B34" s="443">
        <v>1905.3</v>
      </c>
    </row>
    <row r="35" spans="1:8">
      <c r="A35" s="132">
        <v>45737</v>
      </c>
      <c r="B35" s="443">
        <v>1923.95</v>
      </c>
      <c r="C35" s="197"/>
      <c r="D35" s="197"/>
      <c r="G35" s="126"/>
    </row>
    <row r="36" spans="1:8">
      <c r="A36" s="132">
        <v>45740</v>
      </c>
      <c r="B36" s="443">
        <v>1980.2</v>
      </c>
      <c r="D36" s="197"/>
      <c r="G36" s="126"/>
    </row>
    <row r="37" spans="1:8">
      <c r="A37" s="132">
        <v>45741</v>
      </c>
      <c r="B37" s="443">
        <v>1891.3</v>
      </c>
      <c r="G37" s="126"/>
    </row>
    <row r="38" spans="1:8">
      <c r="A38" s="132">
        <v>45742</v>
      </c>
      <c r="B38" s="443">
        <v>1892.6</v>
      </c>
      <c r="G38" s="126"/>
    </row>
    <row r="39" spans="1:8">
      <c r="A39" s="132">
        <v>45743</v>
      </c>
      <c r="B39" s="443">
        <v>1910.35</v>
      </c>
      <c r="C39" s="197"/>
      <c r="D39" s="197"/>
      <c r="G39" s="126"/>
    </row>
    <row r="40" spans="1:8">
      <c r="A40" s="132">
        <v>45744</v>
      </c>
      <c r="B40" s="443">
        <v>1904.1</v>
      </c>
      <c r="C40" s="197"/>
      <c r="D40" s="197"/>
      <c r="G40" s="126"/>
    </row>
    <row r="41" spans="1:8">
      <c r="A41" s="132">
        <v>45748</v>
      </c>
      <c r="B41" s="443">
        <v>1897.9</v>
      </c>
      <c r="C41" s="197"/>
      <c r="D41" s="197"/>
      <c r="G41" s="126"/>
    </row>
    <row r="42" spans="1:8">
      <c r="A42" s="132">
        <v>45749</v>
      </c>
      <c r="B42" s="443">
        <v>1946.9</v>
      </c>
      <c r="C42" s="197"/>
      <c r="D42" s="197"/>
      <c r="E42" s="552" t="s">
        <v>1053</v>
      </c>
      <c r="G42" s="126"/>
    </row>
    <row r="43" spans="1:8">
      <c r="A43" s="132">
        <v>45750</v>
      </c>
      <c r="B43" s="443">
        <v>1942.8</v>
      </c>
      <c r="D43" s="197"/>
      <c r="F43" s="553" t="s">
        <v>1060</v>
      </c>
      <c r="G43" s="554" t="s">
        <v>1061</v>
      </c>
      <c r="H43" s="553" t="s">
        <v>1062</v>
      </c>
    </row>
    <row r="44" spans="1:8">
      <c r="A44" s="132">
        <v>45751</v>
      </c>
      <c r="B44" s="443">
        <v>1765</v>
      </c>
      <c r="C44" s="197"/>
      <c r="D44" s="197"/>
      <c r="E44" t="s">
        <v>1054</v>
      </c>
      <c r="F44">
        <v>3.3</v>
      </c>
      <c r="G44">
        <v>3.2</v>
      </c>
      <c r="H44">
        <v>3.1</v>
      </c>
    </row>
    <row r="45" spans="1:8">
      <c r="A45" s="132">
        <v>45754</v>
      </c>
      <c r="B45" s="443">
        <v>1671.75</v>
      </c>
      <c r="C45" s="197"/>
      <c r="D45" s="197"/>
      <c r="E45" t="s">
        <v>1055</v>
      </c>
      <c r="F45">
        <v>1.8</v>
      </c>
      <c r="G45">
        <v>1.6</v>
      </c>
      <c r="H45">
        <v>1.6</v>
      </c>
    </row>
    <row r="46" spans="1:8">
      <c r="A46" s="132">
        <v>45755</v>
      </c>
      <c r="B46" s="443">
        <v>1717</v>
      </c>
      <c r="E46" t="s">
        <v>1056</v>
      </c>
      <c r="F46">
        <v>4.3</v>
      </c>
      <c r="G46">
        <v>4.2</v>
      </c>
      <c r="H46">
        <v>4</v>
      </c>
    </row>
    <row r="47" spans="1:8">
      <c r="A47" s="132">
        <v>45756</v>
      </c>
      <c r="B47" s="443">
        <v>1679.15</v>
      </c>
      <c r="E47" t="s">
        <v>1057</v>
      </c>
      <c r="F47">
        <v>0.9</v>
      </c>
      <c r="G47">
        <v>1.2</v>
      </c>
      <c r="H47">
        <v>1.1000000000000001</v>
      </c>
    </row>
    <row r="48" spans="1:8">
      <c r="A48" s="132">
        <v>45758</v>
      </c>
      <c r="B48" s="443">
        <v>1784.65</v>
      </c>
      <c r="E48" t="s">
        <v>1058</v>
      </c>
      <c r="F48">
        <v>2.8</v>
      </c>
      <c r="G48">
        <v>2</v>
      </c>
      <c r="H48">
        <v>2.1</v>
      </c>
    </row>
    <row r="49" spans="1:12">
      <c r="A49" s="132">
        <v>45762</v>
      </c>
      <c r="B49" s="443">
        <v>1835.7</v>
      </c>
      <c r="E49" t="s">
        <v>800</v>
      </c>
      <c r="F49">
        <v>0.1</v>
      </c>
      <c r="G49">
        <v>1.1000000000000001</v>
      </c>
      <c r="H49">
        <v>0.6</v>
      </c>
    </row>
    <row r="50" spans="1:12">
      <c r="A50" s="132">
        <v>45763</v>
      </c>
      <c r="B50" s="443">
        <v>1876.9</v>
      </c>
      <c r="E50" t="s">
        <v>1059</v>
      </c>
      <c r="F50">
        <v>1.1000000000000001</v>
      </c>
      <c r="G50">
        <v>1.3</v>
      </c>
      <c r="H50">
        <v>1.3</v>
      </c>
    </row>
    <row r="51" spans="1:12">
      <c r="A51" s="132">
        <v>45764</v>
      </c>
      <c r="B51" s="443">
        <v>1878.3</v>
      </c>
      <c r="E51" t="s">
        <v>755</v>
      </c>
      <c r="F51">
        <v>5</v>
      </c>
      <c r="G51">
        <v>4.8</v>
      </c>
      <c r="H51">
        <v>4.2</v>
      </c>
    </row>
    <row r="52" spans="1:12">
      <c r="A52" s="132">
        <v>45768</v>
      </c>
      <c r="B52" s="443">
        <v>1897.4</v>
      </c>
      <c r="E52" t="s">
        <v>792</v>
      </c>
      <c r="F52">
        <v>6.5</v>
      </c>
      <c r="G52">
        <v>6.6</v>
      </c>
      <c r="H52">
        <v>6.2</v>
      </c>
    </row>
    <row r="53" spans="1:12">
      <c r="A53" s="132">
        <v>45769</v>
      </c>
      <c r="B53" s="443">
        <v>1950.3</v>
      </c>
    </row>
    <row r="54" spans="1:12">
      <c r="A54" s="132">
        <v>45770</v>
      </c>
      <c r="B54" s="443">
        <v>1889.5</v>
      </c>
    </row>
    <row r="55" spans="1:12">
      <c r="A55" s="132">
        <v>45771</v>
      </c>
      <c r="B55" s="443">
        <v>1913.2</v>
      </c>
    </row>
    <row r="56" spans="1:12">
      <c r="A56" s="132">
        <v>45772</v>
      </c>
      <c r="B56" s="443">
        <v>1839.2</v>
      </c>
      <c r="E56" t="s">
        <v>1063</v>
      </c>
      <c r="G56" t="s">
        <v>792</v>
      </c>
      <c r="H56" t="s">
        <v>437</v>
      </c>
    </row>
    <row r="57" spans="1:12">
      <c r="A57" s="132">
        <v>45775</v>
      </c>
      <c r="B57" s="443">
        <v>1855</v>
      </c>
      <c r="F57">
        <v>2019</v>
      </c>
      <c r="G57" s="126">
        <v>3.9E-2</v>
      </c>
      <c r="H57" s="126">
        <v>2.7E-2</v>
      </c>
      <c r="I57" s="126"/>
      <c r="J57" s="126"/>
      <c r="K57" s="126"/>
      <c r="L57" s="126"/>
    </row>
    <row r="58" spans="1:12">
      <c r="A58" s="132">
        <v>45776</v>
      </c>
      <c r="B58" s="443">
        <v>1822.8</v>
      </c>
      <c r="F58">
        <v>2020</v>
      </c>
      <c r="G58" s="126">
        <v>-5.8000000000000003E-2</v>
      </c>
      <c r="H58" s="126">
        <v>-2.8000000000000001E-2</v>
      </c>
    </row>
    <row r="59" spans="1:12">
      <c r="A59" s="132">
        <v>45777</v>
      </c>
      <c r="B59" s="443">
        <v>1735.2</v>
      </c>
      <c r="F59">
        <v>2021</v>
      </c>
      <c r="G59" s="126">
        <v>9.7000000000000003E-2</v>
      </c>
      <c r="H59" s="126">
        <v>6.4000000000000001E-2</v>
      </c>
    </row>
    <row r="60" spans="1:12">
      <c r="A60" s="132">
        <v>45779</v>
      </c>
      <c r="B60" s="443">
        <v>1762.9</v>
      </c>
      <c r="F60">
        <v>2022</v>
      </c>
      <c r="G60" s="126">
        <v>7.5999999999999998E-2</v>
      </c>
      <c r="H60" s="126">
        <v>3.4000000000000002E-2</v>
      </c>
    </row>
    <row r="61" spans="1:12">
      <c r="A61" s="132">
        <v>45782</v>
      </c>
      <c r="B61" s="443">
        <v>1779.6</v>
      </c>
      <c r="F61">
        <v>2023</v>
      </c>
      <c r="G61" s="126">
        <v>9.1999999999999998E-2</v>
      </c>
      <c r="H61" s="126">
        <v>2.9000000000000001E-2</v>
      </c>
    </row>
    <row r="62" spans="1:12">
      <c r="A62" s="132">
        <v>45783</v>
      </c>
      <c r="B62" s="443">
        <v>1772</v>
      </c>
      <c r="F62">
        <v>2024</v>
      </c>
      <c r="G62" s="126">
        <v>6.5000000000000002E-2</v>
      </c>
      <c r="H62" s="126">
        <v>2.9000000000000001E-2</v>
      </c>
    </row>
    <row r="63" spans="1:12">
      <c r="A63" s="132">
        <v>45784</v>
      </c>
      <c r="B63" s="443">
        <v>1795.2</v>
      </c>
      <c r="F63" s="555" t="s">
        <v>1061</v>
      </c>
      <c r="G63" s="126">
        <v>6.6000000000000003E-2</v>
      </c>
      <c r="H63" s="126">
        <v>3.0499999999999999E-2</v>
      </c>
    </row>
    <row r="64" spans="1:12">
      <c r="A64" s="132">
        <v>45785</v>
      </c>
      <c r="B64" s="443">
        <v>1762.9</v>
      </c>
      <c r="F64" s="555" t="s">
        <v>1062</v>
      </c>
      <c r="G64" s="126">
        <v>6.2E-2</v>
      </c>
      <c r="H64" s="126">
        <v>3.1E-2</v>
      </c>
    </row>
    <row r="65" spans="1:7">
      <c r="A65" s="132">
        <v>45786</v>
      </c>
      <c r="B65" s="443">
        <v>1751.9</v>
      </c>
    </row>
    <row r="66" spans="1:7">
      <c r="A66" s="132">
        <v>45789</v>
      </c>
      <c r="B66" s="443">
        <v>1841</v>
      </c>
    </row>
    <row r="67" spans="1:7">
      <c r="A67" s="132">
        <v>45790</v>
      </c>
      <c r="B67" s="443">
        <v>1848.7</v>
      </c>
      <c r="E67" t="s">
        <v>1064</v>
      </c>
      <c r="F67" t="s">
        <v>1071</v>
      </c>
      <c r="G67" t="s">
        <v>1072</v>
      </c>
    </row>
    <row r="68" spans="1:7">
      <c r="A68" s="132">
        <v>45791</v>
      </c>
      <c r="B68" s="443">
        <v>1820</v>
      </c>
      <c r="E68" t="s">
        <v>1065</v>
      </c>
      <c r="F68" s="126">
        <v>8.4000000000000005E-2</v>
      </c>
      <c r="G68" s="126">
        <v>6.6000000000000003E-2</v>
      </c>
    </row>
    <row r="69" spans="1:7">
      <c r="A69" s="132">
        <v>45792</v>
      </c>
      <c r="B69" s="443">
        <v>1856.7</v>
      </c>
      <c r="E69" t="s">
        <v>1066</v>
      </c>
      <c r="F69" s="126">
        <v>7.8E-2</v>
      </c>
      <c r="G69" s="126">
        <v>6.7000000000000004E-2</v>
      </c>
    </row>
    <row r="70" spans="1:7">
      <c r="A70" s="132">
        <v>45793</v>
      </c>
      <c r="B70" s="443">
        <v>1836.5</v>
      </c>
      <c r="E70" t="s">
        <v>1067</v>
      </c>
      <c r="F70" s="126">
        <v>6.7000000000000004E-2</v>
      </c>
      <c r="G70" s="126">
        <v>6.9000000000000006E-2</v>
      </c>
    </row>
    <row r="71" spans="1:7">
      <c r="A71" s="132">
        <v>45796</v>
      </c>
      <c r="B71" s="443">
        <v>1954</v>
      </c>
      <c r="E71" t="s">
        <v>1068</v>
      </c>
      <c r="F71" s="126">
        <v>5.3999999999999999E-2</v>
      </c>
      <c r="G71" s="126">
        <v>6.5000000000000002E-2</v>
      </c>
    </row>
    <row r="72" spans="1:7">
      <c r="A72" s="132">
        <v>45797</v>
      </c>
      <c r="B72" s="443">
        <v>1888.3</v>
      </c>
      <c r="E72" t="s">
        <v>1069</v>
      </c>
      <c r="F72" s="126">
        <v>6.2E-2</v>
      </c>
      <c r="G72" s="126">
        <v>6.3E-2</v>
      </c>
    </row>
    <row r="73" spans="1:7">
      <c r="A73" s="132">
        <v>45798</v>
      </c>
      <c r="B73" s="443">
        <v>1886</v>
      </c>
      <c r="E73" t="s">
        <v>1070</v>
      </c>
      <c r="F73" s="126">
        <v>7.3999999999999996E-2</v>
      </c>
      <c r="G73" s="126">
        <v>6.7000000000000004E-2</v>
      </c>
    </row>
    <row r="74" spans="1:7">
      <c r="A74" s="132">
        <v>45799</v>
      </c>
      <c r="B74" s="443">
        <v>1871</v>
      </c>
      <c r="E74" t="s">
        <v>1073</v>
      </c>
      <c r="F74" s="126">
        <v>7.8E-2</v>
      </c>
      <c r="G74" s="126">
        <v>6.6000000000000003E-2</v>
      </c>
    </row>
    <row r="75" spans="1:7">
      <c r="A75" s="132">
        <v>45800</v>
      </c>
      <c r="B75" s="443">
        <v>1858.8</v>
      </c>
      <c r="E75" t="s">
        <v>1074</v>
      </c>
      <c r="F75" s="126">
        <v>8.199999999999999E-2</v>
      </c>
      <c r="G75" s="126">
        <v>7.2999999999999995E-2</v>
      </c>
    </row>
    <row r="76" spans="1:7">
      <c r="A76" s="132">
        <v>45803</v>
      </c>
      <c r="B76" s="443">
        <v>1880.8</v>
      </c>
    </row>
    <row r="77" spans="1:7">
      <c r="A77" s="132">
        <v>45804</v>
      </c>
      <c r="B77" s="443">
        <v>1870.6</v>
      </c>
    </row>
    <row r="78" spans="1:7">
      <c r="A78" s="132">
        <v>45805</v>
      </c>
      <c r="B78" s="443">
        <v>1818.7</v>
      </c>
    </row>
    <row r="79" spans="1:7">
      <c r="A79" s="132">
        <v>45806</v>
      </c>
      <c r="B79" s="443">
        <v>1786.6</v>
      </c>
    </row>
    <row r="80" spans="1:7">
      <c r="A80" s="132">
        <v>45807</v>
      </c>
      <c r="B80" s="443">
        <v>1780.1</v>
      </c>
    </row>
    <row r="81" spans="1:6">
      <c r="A81" s="132">
        <v>45810</v>
      </c>
      <c r="B81" s="443">
        <v>1778.2</v>
      </c>
      <c r="E81" s="556" t="s">
        <v>379</v>
      </c>
      <c r="F81" s="556" t="s">
        <v>1084</v>
      </c>
    </row>
    <row r="82" spans="1:6">
      <c r="A82" s="132">
        <v>45811</v>
      </c>
      <c r="B82" s="443">
        <v>1784</v>
      </c>
      <c r="E82" s="557">
        <v>2025</v>
      </c>
      <c r="F82" s="158">
        <v>940.72</v>
      </c>
    </row>
    <row r="83" spans="1:6">
      <c r="A83" s="132">
        <v>45812</v>
      </c>
      <c r="B83" s="443">
        <v>1775.1</v>
      </c>
      <c r="E83" s="558">
        <v>2026</v>
      </c>
      <c r="F83" s="151">
        <v>978</v>
      </c>
    </row>
    <row r="84" spans="1:6">
      <c r="A84" s="132">
        <v>45813</v>
      </c>
      <c r="B84" s="443">
        <v>1796.1</v>
      </c>
      <c r="E84" s="558">
        <v>2027</v>
      </c>
      <c r="F84" s="151">
        <v>1018</v>
      </c>
    </row>
    <row r="85" spans="1:6">
      <c r="A85" s="132">
        <v>45814</v>
      </c>
      <c r="B85" s="443">
        <v>1781.2</v>
      </c>
      <c r="E85" s="558">
        <v>2028</v>
      </c>
      <c r="F85" s="151">
        <v>1060</v>
      </c>
    </row>
    <row r="86" spans="1:6">
      <c r="A86" s="132">
        <v>45817</v>
      </c>
      <c r="B86" s="443">
        <v>1836.4</v>
      </c>
      <c r="E86" s="558">
        <v>2029</v>
      </c>
      <c r="F86" s="151">
        <v>1104</v>
      </c>
    </row>
    <row r="87" spans="1:6">
      <c r="A87" s="132">
        <v>45818</v>
      </c>
      <c r="B87" s="443">
        <v>1816</v>
      </c>
      <c r="E87" s="558">
        <v>2030</v>
      </c>
      <c r="F87" s="151">
        <v>1151</v>
      </c>
    </row>
    <row r="88" spans="1:6">
      <c r="A88" s="132">
        <v>45819</v>
      </c>
      <c r="B88" s="443">
        <v>1828.1</v>
      </c>
      <c r="E88" s="558">
        <v>2031</v>
      </c>
      <c r="F88" s="151">
        <v>1196</v>
      </c>
    </row>
    <row r="89" spans="1:6">
      <c r="A89" s="132">
        <v>45820</v>
      </c>
      <c r="B89" s="443">
        <v>1817</v>
      </c>
      <c r="E89" s="558">
        <v>2032</v>
      </c>
      <c r="F89" s="151">
        <v>1241</v>
      </c>
    </row>
    <row r="90" spans="1:6">
      <c r="A90" s="132">
        <v>45821</v>
      </c>
      <c r="B90" s="443">
        <v>1819.4</v>
      </c>
      <c r="E90" s="558">
        <v>2033</v>
      </c>
      <c r="F90" s="151">
        <v>1286</v>
      </c>
    </row>
    <row r="91" spans="1:6">
      <c r="A91" s="132">
        <v>45824</v>
      </c>
      <c r="B91" s="443">
        <v>1815.9</v>
      </c>
      <c r="E91" s="558">
        <v>2034</v>
      </c>
      <c r="F91" s="151">
        <v>1332</v>
      </c>
    </row>
    <row r="92" spans="1:6">
      <c r="A92" s="132">
        <v>45825</v>
      </c>
      <c r="B92" s="443">
        <v>1794.4</v>
      </c>
      <c r="E92" s="558">
        <v>2035</v>
      </c>
      <c r="F92" s="151">
        <v>1377</v>
      </c>
    </row>
    <row r="93" spans="1:6">
      <c r="A93" s="132">
        <v>45826</v>
      </c>
      <c r="B93" s="443">
        <v>1781.8</v>
      </c>
    </row>
    <row r="94" spans="1:6">
      <c r="A94" s="132">
        <v>45827</v>
      </c>
      <c r="B94" s="443">
        <v>1715.3</v>
      </c>
    </row>
    <row r="95" spans="1:6">
      <c r="A95" s="132">
        <v>45828</v>
      </c>
      <c r="B95" s="443">
        <v>1731.4</v>
      </c>
    </row>
    <row r="96" spans="1:6">
      <c r="A96" s="132">
        <v>45831</v>
      </c>
      <c r="B96" s="443">
        <v>1738.1</v>
      </c>
    </row>
    <row r="97" spans="1:6">
      <c r="A97" s="132">
        <v>45832</v>
      </c>
      <c r="B97" s="443">
        <v>1753.8</v>
      </c>
      <c r="E97" t="s">
        <v>751</v>
      </c>
      <c r="F97" s="126">
        <v>0.23380000000000001</v>
      </c>
    </row>
    <row r="98" spans="1:6">
      <c r="A98" s="132">
        <v>45833</v>
      </c>
      <c r="B98" s="443">
        <v>1817.2</v>
      </c>
      <c r="E98" t="s">
        <v>1085</v>
      </c>
      <c r="F98" s="126">
        <v>0.2666</v>
      </c>
    </row>
    <row r="99" spans="1:6">
      <c r="A99" s="132">
        <v>45834</v>
      </c>
      <c r="B99" s="443">
        <v>1809.4</v>
      </c>
      <c r="E99" t="s">
        <v>1086</v>
      </c>
      <c r="F99" s="126">
        <v>0.41049999999999998</v>
      </c>
    </row>
    <row r="100" spans="1:6">
      <c r="A100" s="132">
        <v>45835</v>
      </c>
      <c r="B100" s="443">
        <v>1800.2</v>
      </c>
      <c r="E100" t="s">
        <v>1087</v>
      </c>
      <c r="F100" s="126">
        <v>8.9099999999999999E-2</v>
      </c>
    </row>
    <row r="101" spans="1:6">
      <c r="A101" s="132">
        <v>45838</v>
      </c>
      <c r="B101" s="443">
        <v>1808.2</v>
      </c>
    </row>
    <row r="102" spans="1:6">
      <c r="A102" s="132">
        <v>45839</v>
      </c>
      <c r="B102" s="443">
        <v>1834.8</v>
      </c>
    </row>
    <row r="103" spans="1:6">
      <c r="A103" s="132">
        <v>45840</v>
      </c>
      <c r="B103" s="443">
        <v>1826.7</v>
      </c>
    </row>
    <row r="104" spans="1:6">
      <c r="A104" s="132">
        <v>45841</v>
      </c>
      <c r="B104" s="443">
        <v>1822.4</v>
      </c>
    </row>
    <row r="105" spans="1:6">
      <c r="A105" s="132">
        <v>45842</v>
      </c>
      <c r="B105" s="443">
        <v>1816.6</v>
      </c>
    </row>
    <row r="106" spans="1:6">
      <c r="A106" s="132">
        <v>45845</v>
      </c>
      <c r="B106" s="443">
        <v>1785</v>
      </c>
    </row>
    <row r="107" spans="1:6">
      <c r="A107" s="132">
        <v>45846</v>
      </c>
      <c r="B107" s="443">
        <v>1777.9</v>
      </c>
    </row>
    <row r="108" spans="1:6">
      <c r="A108" s="132">
        <v>45847</v>
      </c>
      <c r="B108" s="443">
        <v>1788.5</v>
      </c>
    </row>
    <row r="109" spans="1:6">
      <c r="A109" s="132">
        <v>45848</v>
      </c>
      <c r="B109" s="443">
        <v>1762.6</v>
      </c>
    </row>
    <row r="110" spans="1:6">
      <c r="A110" s="132">
        <v>45849</v>
      </c>
      <c r="B110" s="443">
        <v>1741.2</v>
      </c>
    </row>
    <row r="111" spans="1:6">
      <c r="A111" s="132">
        <v>45852</v>
      </c>
      <c r="B111" s="443">
        <v>1736.3</v>
      </c>
    </row>
    <row r="112" spans="1:6">
      <c r="A112" s="132">
        <v>45853</v>
      </c>
      <c r="B112" s="443">
        <v>1767.9</v>
      </c>
    </row>
    <row r="113" spans="1:6">
      <c r="A113" s="132">
        <v>45854</v>
      </c>
      <c r="B113" s="443">
        <v>1767.9</v>
      </c>
    </row>
    <row r="114" spans="1:6">
      <c r="A114" s="132">
        <v>45855</v>
      </c>
      <c r="B114" s="443">
        <v>1802.5</v>
      </c>
    </row>
    <row r="115" spans="1:6">
      <c r="A115" s="132">
        <v>45856</v>
      </c>
      <c r="B115" s="443">
        <v>1798.4</v>
      </c>
    </row>
    <row r="116" spans="1:6">
      <c r="A116" s="132">
        <v>45859</v>
      </c>
      <c r="B116" s="443">
        <v>1789.1</v>
      </c>
    </row>
    <row r="117" spans="1:6">
      <c r="A117" s="132">
        <v>45860</v>
      </c>
      <c r="B117" s="443">
        <v>1786.9</v>
      </c>
    </row>
    <row r="118" spans="1:6">
      <c r="A118" s="132">
        <v>45861</v>
      </c>
      <c r="B118" s="443">
        <v>1802.8</v>
      </c>
      <c r="E118" s="559">
        <v>2024</v>
      </c>
      <c r="F118">
        <v>62.78</v>
      </c>
    </row>
    <row r="119" spans="1:6">
      <c r="A119" s="132">
        <v>45862</v>
      </c>
      <c r="B119" s="443">
        <v>1850.9</v>
      </c>
      <c r="E119" s="559">
        <f t="shared" ref="E119:E128" si="0">E118+1</f>
        <v>2025</v>
      </c>
      <c r="F119">
        <v>65.55</v>
      </c>
    </row>
    <row r="120" spans="1:6">
      <c r="A120" s="132">
        <v>45863</v>
      </c>
      <c r="B120" s="443">
        <v>1847.9</v>
      </c>
      <c r="E120" s="560">
        <f t="shared" si="0"/>
        <v>2026</v>
      </c>
      <c r="F120">
        <v>68.45</v>
      </c>
    </row>
    <row r="121" spans="1:6">
      <c r="A121" s="132">
        <v>45866</v>
      </c>
      <c r="B121" s="443">
        <v>1817.2</v>
      </c>
      <c r="E121" s="560">
        <f t="shared" si="0"/>
        <v>2027</v>
      </c>
      <c r="F121">
        <v>71.47</v>
      </c>
    </row>
    <row r="122" spans="1:6">
      <c r="A122" s="132">
        <v>45867</v>
      </c>
      <c r="B122" s="443">
        <v>1953.2</v>
      </c>
      <c r="E122" s="560">
        <f t="shared" si="0"/>
        <v>2028</v>
      </c>
      <c r="F122">
        <v>74.63</v>
      </c>
    </row>
    <row r="123" spans="1:6">
      <c r="A123" s="132">
        <v>45868</v>
      </c>
      <c r="B123" s="443">
        <v>2088.6999999999998</v>
      </c>
      <c r="E123" s="560">
        <f t="shared" si="0"/>
        <v>2029</v>
      </c>
      <c r="F123">
        <v>77.930000000000007</v>
      </c>
    </row>
    <row r="124" spans="1:6">
      <c r="A124" s="132">
        <v>45869</v>
      </c>
      <c r="B124" s="443">
        <v>2019.2</v>
      </c>
      <c r="E124" s="559">
        <f t="shared" si="0"/>
        <v>2030</v>
      </c>
      <c r="F124">
        <v>81.37</v>
      </c>
    </row>
    <row r="125" spans="1:6">
      <c r="A125" s="132">
        <v>45870</v>
      </c>
      <c r="B125" s="443">
        <v>1956.3</v>
      </c>
      <c r="E125" s="560">
        <f t="shared" si="0"/>
        <v>2031</v>
      </c>
      <c r="F125">
        <v>84.96</v>
      </c>
    </row>
    <row r="126" spans="1:6">
      <c r="A126" s="132">
        <v>45873</v>
      </c>
      <c r="B126" s="443">
        <v>1829.4</v>
      </c>
      <c r="E126" s="560">
        <f t="shared" si="0"/>
        <v>2032</v>
      </c>
      <c r="F126">
        <v>88.72</v>
      </c>
    </row>
    <row r="127" spans="1:6">
      <c r="A127" s="132">
        <v>45874</v>
      </c>
      <c r="B127" s="443">
        <v>1918.9</v>
      </c>
      <c r="E127" s="560">
        <f t="shared" si="0"/>
        <v>2033</v>
      </c>
      <c r="F127">
        <v>92.64</v>
      </c>
    </row>
    <row r="128" spans="1:6">
      <c r="A128" s="132">
        <v>45875</v>
      </c>
      <c r="B128" s="443">
        <v>1851.2</v>
      </c>
      <c r="E128" s="560">
        <f t="shared" si="0"/>
        <v>2034</v>
      </c>
      <c r="F128">
        <v>96.73</v>
      </c>
    </row>
    <row r="129" spans="1:23">
      <c r="A129" s="132">
        <v>45876</v>
      </c>
      <c r="B129" s="443">
        <v>1856.4</v>
      </c>
    </row>
    <row r="130" spans="1:23">
      <c r="A130" s="132">
        <v>45877</v>
      </c>
      <c r="B130" s="443">
        <v>1832</v>
      </c>
    </row>
    <row r="131" spans="1:23">
      <c r="A131" s="132">
        <v>45880</v>
      </c>
      <c r="B131" s="443">
        <v>1863</v>
      </c>
      <c r="E131" t="s">
        <v>792</v>
      </c>
      <c r="F131" s="121">
        <v>0.12</v>
      </c>
    </row>
    <row r="132" spans="1:23">
      <c r="A132" s="132">
        <v>45881</v>
      </c>
      <c r="B132" s="443">
        <v>1854.9</v>
      </c>
      <c r="E132" t="s">
        <v>755</v>
      </c>
      <c r="F132" s="121">
        <v>0.06</v>
      </c>
    </row>
    <row r="133" spans="1:23">
      <c r="A133" s="132">
        <v>45882</v>
      </c>
      <c r="B133" s="443">
        <v>1864.7</v>
      </c>
      <c r="E133" t="s">
        <v>437</v>
      </c>
      <c r="F133" s="121">
        <v>0.04</v>
      </c>
    </row>
    <row r="134" spans="1:23">
      <c r="A134" s="132">
        <v>45883</v>
      </c>
      <c r="B134" s="443">
        <v>1868</v>
      </c>
      <c r="E134" t="s">
        <v>751</v>
      </c>
      <c r="F134" s="121">
        <v>0.03</v>
      </c>
    </row>
    <row r="135" spans="1:23">
      <c r="A135" s="132">
        <v>45887</v>
      </c>
      <c r="B135" s="443">
        <v>1880.6</v>
      </c>
      <c r="E135" t="s">
        <v>706</v>
      </c>
      <c r="F135" s="121">
        <v>0.02</v>
      </c>
    </row>
    <row r="136" spans="1:23">
      <c r="A136" s="132">
        <v>45888</v>
      </c>
      <c r="B136" s="443">
        <v>1861.6</v>
      </c>
      <c r="E136" t="s">
        <v>800</v>
      </c>
      <c r="F136" s="121">
        <v>0.01</v>
      </c>
    </row>
    <row r="137" spans="1:23">
      <c r="A137" s="132">
        <v>45889</v>
      </c>
      <c r="B137" s="443">
        <v>1862.5</v>
      </c>
    </row>
    <row r="138" spans="1:23">
      <c r="A138" s="132">
        <v>45890</v>
      </c>
      <c r="B138" s="443">
        <v>1893.5</v>
      </c>
    </row>
    <row r="139" spans="1:23">
      <c r="A139" s="132">
        <v>45891</v>
      </c>
      <c r="B139" s="443">
        <v>1845.3</v>
      </c>
    </row>
    <row r="140" spans="1:23">
      <c r="A140" s="132">
        <v>45894</v>
      </c>
      <c r="B140" s="443">
        <v>1833.5</v>
      </c>
    </row>
    <row r="141" spans="1:23">
      <c r="A141" s="132">
        <v>45895</v>
      </c>
      <c r="B141" s="443">
        <v>1791.1</v>
      </c>
    </row>
    <row r="142" spans="1:23">
      <c r="A142" s="132">
        <v>45897</v>
      </c>
      <c r="B142" s="443">
        <v>1818.6</v>
      </c>
    </row>
    <row r="143" spans="1:23">
      <c r="A143" s="132">
        <v>45898</v>
      </c>
      <c r="B143" s="443">
        <v>1811.4</v>
      </c>
      <c r="G143" t="s">
        <v>1089</v>
      </c>
    </row>
    <row r="144" spans="1:23">
      <c r="A144" s="132">
        <v>45901</v>
      </c>
      <c r="B144" s="443">
        <v>1808.3</v>
      </c>
      <c r="F144" s="561">
        <v>2022</v>
      </c>
      <c r="G144" s="561">
        <v>2023</v>
      </c>
      <c r="H144" s="561">
        <v>2024</v>
      </c>
      <c r="I144" s="561">
        <v>2025</v>
      </c>
      <c r="J144" s="562">
        <v>2026</v>
      </c>
      <c r="K144" s="562">
        <v>2027</v>
      </c>
      <c r="L144" s="562">
        <v>2028</v>
      </c>
      <c r="M144" s="562">
        <v>2029</v>
      </c>
      <c r="N144" s="562">
        <v>2030</v>
      </c>
      <c r="O144" s="562">
        <v>2031</v>
      </c>
      <c r="P144" s="562">
        <v>2032</v>
      </c>
      <c r="Q144" s="562">
        <v>2033</v>
      </c>
      <c r="R144" s="562">
        <v>2034</v>
      </c>
      <c r="S144" s="562">
        <v>2035</v>
      </c>
      <c r="T144" s="562">
        <v>2036</v>
      </c>
      <c r="U144" s="562">
        <v>2037</v>
      </c>
      <c r="V144" s="562">
        <v>2038</v>
      </c>
      <c r="W144" s="562">
        <v>2039</v>
      </c>
    </row>
    <row r="145" spans="1:23">
      <c r="A145" s="132">
        <v>45902</v>
      </c>
      <c r="B145" s="443">
        <v>1797.8</v>
      </c>
      <c r="E145" t="s">
        <v>577</v>
      </c>
      <c r="F145" s="275">
        <v>456.3</v>
      </c>
      <c r="G145" s="275">
        <v>416.45</v>
      </c>
      <c r="H145" s="275">
        <v>398.44</v>
      </c>
      <c r="I145" s="275">
        <v>186.35</v>
      </c>
      <c r="J145" s="275">
        <v>450</v>
      </c>
      <c r="K145" s="275">
        <v>600</v>
      </c>
      <c r="L145" s="275">
        <v>750</v>
      </c>
      <c r="M145" s="275">
        <v>900</v>
      </c>
      <c r="N145" s="275">
        <v>1050</v>
      </c>
      <c r="O145" s="275">
        <v>1200</v>
      </c>
      <c r="P145" s="275">
        <v>1350</v>
      </c>
      <c r="Q145" s="275">
        <v>1500</v>
      </c>
      <c r="R145" s="275">
        <v>1560</v>
      </c>
      <c r="S145" s="275">
        <v>1622.4</v>
      </c>
      <c r="T145" s="275">
        <v>1687.296</v>
      </c>
      <c r="U145" s="275">
        <v>1754.7878400000002</v>
      </c>
      <c r="V145" s="275">
        <v>1824.9793536000002</v>
      </c>
      <c r="W145" s="275">
        <v>1897.9785277440003</v>
      </c>
    </row>
    <row r="146" spans="1:23">
      <c r="A146" s="132">
        <v>45903</v>
      </c>
      <c r="B146" s="443">
        <v>1802.4</v>
      </c>
      <c r="E146" t="s">
        <v>1090</v>
      </c>
      <c r="G146" s="248">
        <f>G145/F145-1</f>
        <v>-8.7332895025202806E-2</v>
      </c>
      <c r="H146" s="248">
        <f t="shared" ref="H146:W146" si="1">H145/G145-1</f>
        <v>-4.324648817385035E-2</v>
      </c>
      <c r="I146" s="248">
        <f t="shared" si="1"/>
        <v>-0.53230097379781149</v>
      </c>
      <c r="J146" s="248">
        <f t="shared" si="1"/>
        <v>1.4148108398175476</v>
      </c>
      <c r="K146" s="248">
        <f t="shared" si="1"/>
        <v>0.33333333333333326</v>
      </c>
      <c r="L146" s="248">
        <f t="shared" si="1"/>
        <v>0.25</v>
      </c>
      <c r="M146" s="248">
        <f t="shared" si="1"/>
        <v>0.19999999999999996</v>
      </c>
      <c r="N146" s="248">
        <f t="shared" si="1"/>
        <v>0.16666666666666674</v>
      </c>
      <c r="O146" s="248">
        <f t="shared" si="1"/>
        <v>0.14285714285714279</v>
      </c>
      <c r="P146" s="248">
        <f t="shared" si="1"/>
        <v>0.125</v>
      </c>
      <c r="Q146" s="248">
        <f t="shared" si="1"/>
        <v>0.11111111111111116</v>
      </c>
      <c r="R146" s="248">
        <f t="shared" si="1"/>
        <v>4.0000000000000036E-2</v>
      </c>
      <c r="S146" s="248">
        <f t="shared" si="1"/>
        <v>4.0000000000000036E-2</v>
      </c>
      <c r="T146" s="248">
        <f t="shared" si="1"/>
        <v>4.0000000000000036E-2</v>
      </c>
      <c r="U146" s="248">
        <f t="shared" si="1"/>
        <v>4.0000000000000036E-2</v>
      </c>
      <c r="V146" s="248">
        <f t="shared" si="1"/>
        <v>4.0000000000000036E-2</v>
      </c>
      <c r="W146" s="248">
        <f t="shared" si="1"/>
        <v>4.0000000000000036E-2</v>
      </c>
    </row>
    <row r="147" spans="1:23">
      <c r="A147" s="132">
        <v>45904</v>
      </c>
      <c r="B147" s="443">
        <v>1772.8</v>
      </c>
    </row>
    <row r="148" spans="1:23">
      <c r="A148" s="132">
        <v>45905</v>
      </c>
      <c r="B148" s="443">
        <v>1760.7</v>
      </c>
      <c r="E148" t="s">
        <v>2</v>
      </c>
      <c r="F148" s="275">
        <v>1551</v>
      </c>
      <c r="G148" s="275">
        <v>2188</v>
      </c>
      <c r="H148" s="275">
        <v>1929</v>
      </c>
      <c r="I148" s="275">
        <v>2550</v>
      </c>
      <c r="J148" s="275">
        <v>2958</v>
      </c>
      <c r="K148" s="275">
        <v>3549.6</v>
      </c>
      <c r="L148" s="275">
        <v>4437</v>
      </c>
      <c r="M148" s="275">
        <v>5546.25</v>
      </c>
      <c r="N148" s="275">
        <v>6835.7531249999993</v>
      </c>
      <c r="O148" s="275">
        <v>8305.4400468749973</v>
      </c>
      <c r="P148" s="275">
        <v>9945.7644561328088</v>
      </c>
      <c r="Q148" s="275">
        <v>11736.002058236714</v>
      </c>
      <c r="R148" s="275">
        <v>13496.402366972221</v>
      </c>
      <c r="S148" s="275">
        <v>15385.898698348334</v>
      </c>
      <c r="T148" s="275">
        <v>17232.206542150136</v>
      </c>
      <c r="U148" s="275">
        <v>18955.427196365152</v>
      </c>
      <c r="V148" s="275">
        <v>20471.861372074367</v>
      </c>
      <c r="W148" s="275">
        <v>21495.454440678088</v>
      </c>
    </row>
    <row r="149" spans="1:23">
      <c r="A149" s="132">
        <v>45908</v>
      </c>
      <c r="B149" s="443">
        <v>1763.8</v>
      </c>
      <c r="E149" t="s">
        <v>1091</v>
      </c>
      <c r="F149" s="248">
        <f>F145/F148</f>
        <v>0.29419729206963252</v>
      </c>
      <c r="G149" s="248">
        <f t="shared" ref="G149:W149" si="2">G145/G148</f>
        <v>0.19033363802559414</v>
      </c>
      <c r="H149" s="248">
        <f t="shared" si="2"/>
        <v>0.20655261793675481</v>
      </c>
      <c r="I149" s="248">
        <f t="shared" si="2"/>
        <v>7.3078431372549019E-2</v>
      </c>
      <c r="J149" s="248">
        <f t="shared" si="2"/>
        <v>0.15212981744421908</v>
      </c>
      <c r="K149" s="248">
        <f t="shared" si="2"/>
        <v>0.16903313049357674</v>
      </c>
      <c r="L149" s="248">
        <f t="shared" si="2"/>
        <v>0.16903313049357674</v>
      </c>
      <c r="M149" s="248">
        <f t="shared" si="2"/>
        <v>0.16227180527383367</v>
      </c>
      <c r="N149" s="248">
        <f t="shared" si="2"/>
        <v>0.15360414292316915</v>
      </c>
      <c r="O149" s="248">
        <f t="shared" si="2"/>
        <v>0.14448361474254595</v>
      </c>
      <c r="P149" s="248">
        <f t="shared" si="2"/>
        <v>0.1357361725138741</v>
      </c>
      <c r="Q149" s="248">
        <f t="shared" si="2"/>
        <v>0.12781183852530517</v>
      </c>
      <c r="R149" s="248">
        <f t="shared" si="2"/>
        <v>0.11558635831853685</v>
      </c>
      <c r="S149" s="248">
        <f t="shared" si="2"/>
        <v>0.1054472040800687</v>
      </c>
      <c r="T149" s="248">
        <f t="shared" si="2"/>
        <v>9.7915260931492346E-2</v>
      </c>
      <c r="U149" s="248">
        <f t="shared" si="2"/>
        <v>9.2574428517047308E-2</v>
      </c>
      <c r="V149" s="248">
        <f t="shared" si="2"/>
        <v>8.9145745979378868E-2</v>
      </c>
      <c r="W149" s="248">
        <f t="shared" si="2"/>
        <v>8.829673887481336E-2</v>
      </c>
    </row>
    <row r="150" spans="1:23">
      <c r="A150" s="132">
        <v>45909</v>
      </c>
      <c r="B150" s="443">
        <v>1780.8</v>
      </c>
    </row>
    <row r="151" spans="1:23">
      <c r="A151" s="132">
        <v>45910</v>
      </c>
      <c r="B151" s="443">
        <v>1784.6</v>
      </c>
    </row>
    <row r="152" spans="1:23">
      <c r="A152" s="132">
        <v>45911</v>
      </c>
      <c r="B152" s="443">
        <v>1798.7</v>
      </c>
    </row>
    <row r="153" spans="1:23">
      <c r="A153" s="132">
        <v>45912</v>
      </c>
      <c r="B153" s="443">
        <v>1786.4</v>
      </c>
    </row>
    <row r="154" spans="1:23">
      <c r="A154" s="132">
        <v>45915</v>
      </c>
      <c r="B154" s="443">
        <v>1758.6</v>
      </c>
    </row>
    <row r="155" spans="1:23">
      <c r="A155" s="132">
        <v>45916</v>
      </c>
      <c r="B155" s="443">
        <v>1772.9</v>
      </c>
    </row>
    <row r="156" spans="1:23">
      <c r="A156" s="132">
        <v>45917</v>
      </c>
      <c r="B156" s="443">
        <v>1792.2</v>
      </c>
    </row>
    <row r="157" spans="1:23">
      <c r="A157" s="132">
        <v>45918</v>
      </c>
      <c r="B157" s="443">
        <v>1782.2</v>
      </c>
    </row>
    <row r="158" spans="1:23">
      <c r="A158" s="132">
        <v>45919</v>
      </c>
      <c r="B158" s="443">
        <v>1763.2</v>
      </c>
    </row>
    <row r="159" spans="1:23">
      <c r="A159" s="132">
        <v>45922</v>
      </c>
      <c r="B159" s="443">
        <v>1745.6</v>
      </c>
    </row>
    <row r="160" spans="1:23">
      <c r="A160" s="132">
        <v>45923</v>
      </c>
      <c r="B160" s="443">
        <v>1735.1</v>
      </c>
    </row>
    <row r="161" spans="1:20">
      <c r="A161" s="132">
        <v>45924</v>
      </c>
      <c r="B161" s="443">
        <v>1714.7</v>
      </c>
    </row>
    <row r="162" spans="1:20">
      <c r="A162" s="132">
        <v>45925</v>
      </c>
      <c r="B162" s="443">
        <v>1707.7</v>
      </c>
    </row>
    <row r="163" spans="1:20">
      <c r="A163" s="132">
        <v>45926</v>
      </c>
      <c r="B163" s="443">
        <v>1659.2</v>
      </c>
    </row>
    <row r="164" spans="1:20">
      <c r="A164" s="132">
        <v>45929</v>
      </c>
      <c r="B164" s="443">
        <v>1701.6</v>
      </c>
    </row>
    <row r="165" spans="1:20">
      <c r="A165" s="132">
        <v>45930</v>
      </c>
      <c r="B165" s="443">
        <v>1691.1</v>
      </c>
    </row>
    <row r="166" spans="1:20">
      <c r="A166" s="132">
        <v>45931</v>
      </c>
      <c r="B166" s="443">
        <v>1731.4</v>
      </c>
      <c r="E166" t="s">
        <v>1093</v>
      </c>
    </row>
    <row r="167" spans="1:20">
      <c r="A167" s="132">
        <v>45933</v>
      </c>
      <c r="B167" s="443">
        <v>1753.7</v>
      </c>
    </row>
    <row r="168" spans="1:20">
      <c r="A168" s="132">
        <v>45936</v>
      </c>
      <c r="B168" s="443">
        <v>1734</v>
      </c>
      <c r="F168" s="561">
        <v>2025</v>
      </c>
      <c r="G168" s="562">
        <v>2026</v>
      </c>
      <c r="H168" s="562">
        <v>2027</v>
      </c>
      <c r="I168" s="562">
        <v>2028</v>
      </c>
      <c r="J168" s="562">
        <v>2029</v>
      </c>
      <c r="K168" s="562">
        <v>2030</v>
      </c>
      <c r="L168" s="562">
        <v>2031</v>
      </c>
      <c r="M168" s="562">
        <v>2032</v>
      </c>
      <c r="N168" s="562">
        <v>2033</v>
      </c>
      <c r="O168" s="562">
        <v>2034</v>
      </c>
      <c r="P168" s="562">
        <v>2035</v>
      </c>
      <c r="Q168" s="562">
        <v>2036</v>
      </c>
      <c r="R168" s="562">
        <v>2037</v>
      </c>
      <c r="S168" s="562">
        <v>2038</v>
      </c>
      <c r="T168" s="562">
        <v>2039</v>
      </c>
    </row>
    <row r="169" spans="1:20">
      <c r="A169" s="132">
        <v>45937</v>
      </c>
      <c r="B169" s="443">
        <v>1723.7</v>
      </c>
      <c r="E169" t="s">
        <v>1092</v>
      </c>
      <c r="F169" s="275">
        <v>2550</v>
      </c>
      <c r="G169" s="275">
        <v>2958</v>
      </c>
      <c r="H169" s="275">
        <v>3549.6</v>
      </c>
      <c r="I169" s="275">
        <v>4437</v>
      </c>
      <c r="J169" s="275">
        <v>5546.25</v>
      </c>
      <c r="K169" s="275">
        <v>6835.7531249999993</v>
      </c>
      <c r="L169" s="275">
        <v>8305.4400468749973</v>
      </c>
      <c r="M169" s="275">
        <v>9945.7644561328088</v>
      </c>
      <c r="N169" s="275">
        <v>11736.002058236714</v>
      </c>
      <c r="O169" s="275">
        <v>13496.402366972221</v>
      </c>
      <c r="P169" s="275">
        <v>15385.898698348334</v>
      </c>
      <c r="Q169" s="275">
        <v>17232.206542150136</v>
      </c>
      <c r="R169" s="275">
        <v>18955.427196365152</v>
      </c>
      <c r="S169" s="275">
        <v>20471.861372074367</v>
      </c>
      <c r="T169" s="275">
        <v>21495.454440678088</v>
      </c>
    </row>
    <row r="170" spans="1:20">
      <c r="A170" s="132">
        <v>45938</v>
      </c>
      <c r="B170" s="443">
        <v>1714.2</v>
      </c>
      <c r="E170" t="s">
        <v>1094</v>
      </c>
      <c r="G170" s="248">
        <f>G169/F169-1</f>
        <v>0.15999999999999992</v>
      </c>
      <c r="H170" s="248">
        <f t="shared" ref="H170:T170" si="3">H169/G169-1</f>
        <v>0.19999999999999996</v>
      </c>
      <c r="I170" s="248">
        <f t="shared" si="3"/>
        <v>0.25</v>
      </c>
      <c r="J170" s="248">
        <f t="shared" si="3"/>
        <v>0.25</v>
      </c>
      <c r="K170" s="248">
        <f t="shared" si="3"/>
        <v>0.23249999999999993</v>
      </c>
      <c r="L170" s="248">
        <f t="shared" si="3"/>
        <v>0.21499999999999964</v>
      </c>
      <c r="M170" s="248">
        <f t="shared" si="3"/>
        <v>0.19750000000000001</v>
      </c>
      <c r="N170" s="248">
        <f t="shared" si="3"/>
        <v>0.17999999999999994</v>
      </c>
      <c r="O170" s="248">
        <f t="shared" si="3"/>
        <v>0.14999999999999991</v>
      </c>
      <c r="P170" s="248">
        <f t="shared" si="3"/>
        <v>0.14000000000000012</v>
      </c>
      <c r="Q170" s="248">
        <f t="shared" si="3"/>
        <v>0.12000000000000011</v>
      </c>
      <c r="R170" s="248">
        <f t="shared" si="3"/>
        <v>0.10000000000000009</v>
      </c>
      <c r="S170" s="248">
        <f t="shared" si="3"/>
        <v>8.0000000000000071E-2</v>
      </c>
      <c r="T170" s="248">
        <f t="shared" si="3"/>
        <v>5.0000000000000044E-2</v>
      </c>
    </row>
    <row r="171" spans="1:20">
      <c r="A171" s="132">
        <v>45939</v>
      </c>
      <c r="B171" s="443">
        <v>1712.7</v>
      </c>
    </row>
    <row r="172" spans="1:20">
      <c r="A172" s="132">
        <v>45940</v>
      </c>
      <c r="B172" s="443">
        <v>1715.9</v>
      </c>
      <c r="F172" s="561">
        <v>2025</v>
      </c>
      <c r="G172" s="562">
        <v>2026</v>
      </c>
      <c r="H172" s="562">
        <v>2027</v>
      </c>
      <c r="I172" s="562">
        <v>2028</v>
      </c>
      <c r="J172" s="562">
        <v>2029</v>
      </c>
      <c r="K172" s="562">
        <v>2030</v>
      </c>
      <c r="L172" s="562">
        <v>2031</v>
      </c>
      <c r="M172" s="562">
        <v>2032</v>
      </c>
      <c r="N172" s="562">
        <v>2033</v>
      </c>
      <c r="O172" s="562">
        <v>2034</v>
      </c>
      <c r="P172" s="562">
        <v>2035</v>
      </c>
      <c r="Q172" s="562">
        <v>2036</v>
      </c>
      <c r="R172" s="562">
        <v>2037</v>
      </c>
      <c r="S172" s="562">
        <v>2038</v>
      </c>
      <c r="T172" s="562">
        <v>2039</v>
      </c>
    </row>
    <row r="173" spans="1:20">
      <c r="A173" s="132">
        <v>45943</v>
      </c>
      <c r="B173" s="443">
        <v>1706.3</v>
      </c>
      <c r="E173" t="s">
        <v>431</v>
      </c>
      <c r="F173" s="248">
        <v>0.46941176470588236</v>
      </c>
      <c r="G173" s="248">
        <v>0.44999999999999996</v>
      </c>
      <c r="H173" s="248">
        <v>0.44999999999999996</v>
      </c>
      <c r="I173" s="248">
        <v>0.4499999999999999</v>
      </c>
      <c r="J173" s="248">
        <v>0.45599999999999996</v>
      </c>
      <c r="K173" s="248">
        <v>0.46199999999999997</v>
      </c>
      <c r="L173" s="248">
        <v>0.46800000000000003</v>
      </c>
      <c r="M173" s="248">
        <v>0.47399999999999998</v>
      </c>
      <c r="N173" s="248">
        <v>0.48</v>
      </c>
      <c r="O173" s="248">
        <v>0.51</v>
      </c>
      <c r="P173" s="248">
        <v>0.51</v>
      </c>
      <c r="Q173" s="248">
        <v>0.51</v>
      </c>
      <c r="R173" s="248">
        <v>0.52</v>
      </c>
      <c r="S173" s="248">
        <v>0.52</v>
      </c>
      <c r="T173" s="248">
        <v>0.52</v>
      </c>
    </row>
    <row r="174" spans="1:20">
      <c r="A174" s="132">
        <v>45944</v>
      </c>
      <c r="B174" s="443">
        <v>1685.8</v>
      </c>
    </row>
    <row r="175" spans="1:20">
      <c r="A175" s="132">
        <v>45945</v>
      </c>
      <c r="B175" s="443">
        <v>1670</v>
      </c>
    </row>
    <row r="176" spans="1:20">
      <c r="A176" s="132">
        <v>45946</v>
      </c>
      <c r="B176" s="443">
        <v>1702.1</v>
      </c>
    </row>
    <row r="177" spans="1:22">
      <c r="A177" s="132">
        <v>45947</v>
      </c>
      <c r="B177" s="443">
        <v>1700.6</v>
      </c>
    </row>
    <row r="178" spans="1:22">
      <c r="A178" s="132">
        <v>45950</v>
      </c>
      <c r="B178" s="443">
        <v>1686.1</v>
      </c>
    </row>
    <row r="179" spans="1:22">
      <c r="A179" s="132">
        <v>45951</v>
      </c>
      <c r="B179" s="443">
        <v>1704.5</v>
      </c>
    </row>
    <row r="180" spans="1:22">
      <c r="A180" s="132">
        <v>45953</v>
      </c>
      <c r="B180" s="443">
        <v>1700.8</v>
      </c>
    </row>
    <row r="181" spans="1:22">
      <c r="A181" s="132">
        <v>45954</v>
      </c>
      <c r="B181" s="443">
        <v>1705.8</v>
      </c>
    </row>
    <row r="182" spans="1:22">
      <c r="A182" s="132">
        <v>45957</v>
      </c>
      <c r="B182" s="443">
        <v>1697.1</v>
      </c>
    </row>
    <row r="183" spans="1:22">
      <c r="A183" s="132">
        <v>45958</v>
      </c>
      <c r="B183" s="443">
        <v>1697.6</v>
      </c>
    </row>
    <row r="184" spans="1:22">
      <c r="A184" s="132">
        <v>45959</v>
      </c>
      <c r="B184" s="443">
        <v>1706.5</v>
      </c>
    </row>
    <row r="185" spans="1:22">
      <c r="A185" s="132">
        <v>45960</v>
      </c>
      <c r="B185" s="443">
        <v>1689.3</v>
      </c>
    </row>
    <row r="186" spans="1:22">
      <c r="A186" s="132">
        <v>45961</v>
      </c>
      <c r="B186" s="443">
        <v>1689.7</v>
      </c>
    </row>
    <row r="187" spans="1:22">
      <c r="A187" s="132">
        <v>45964</v>
      </c>
      <c r="B187" s="443">
        <v>1697.6</v>
      </c>
    </row>
    <row r="188" spans="1:22">
      <c r="A188" s="132">
        <v>45965</v>
      </c>
      <c r="B188" s="443">
        <v>1682</v>
      </c>
    </row>
    <row r="189" spans="1:22">
      <c r="A189" s="132">
        <v>45967</v>
      </c>
      <c r="B189" s="443">
        <v>1670.1</v>
      </c>
    </row>
    <row r="190" spans="1:22">
      <c r="A190" s="132">
        <v>45968</v>
      </c>
      <c r="B190" s="443">
        <v>1648.1</v>
      </c>
      <c r="E190" t="s">
        <v>1095</v>
      </c>
    </row>
    <row r="191" spans="1:22">
      <c r="A191" s="132">
        <v>45971</v>
      </c>
      <c r="B191" s="443">
        <v>1528</v>
      </c>
      <c r="U191" s="562"/>
      <c r="V191" s="562"/>
    </row>
    <row r="192" spans="1:22">
      <c r="A192" s="132">
        <v>45972</v>
      </c>
      <c r="B192" s="443">
        <v>1491</v>
      </c>
      <c r="E192" t="s">
        <v>285</v>
      </c>
      <c r="F192">
        <v>2188</v>
      </c>
      <c r="G192">
        <v>1929</v>
      </c>
      <c r="H192">
        <v>2550</v>
      </c>
      <c r="I192">
        <v>2958</v>
      </c>
      <c r="J192">
        <v>3549.6</v>
      </c>
      <c r="K192">
        <v>4437</v>
      </c>
      <c r="L192">
        <v>5546.25</v>
      </c>
      <c r="M192">
        <v>6835.7531249999993</v>
      </c>
      <c r="N192">
        <v>8305.4400468749973</v>
      </c>
      <c r="O192">
        <v>9945.7644561328088</v>
      </c>
      <c r="P192">
        <v>11736.002058236714</v>
      </c>
      <c r="Q192">
        <v>13496.402366972221</v>
      </c>
      <c r="R192">
        <v>15385.898698348334</v>
      </c>
      <c r="S192">
        <v>17232.206542150136</v>
      </c>
      <c r="T192">
        <v>18955.427196365152</v>
      </c>
    </row>
    <row r="193" spans="1:20">
      <c r="A193" s="132">
        <v>45973</v>
      </c>
      <c r="B193" s="443">
        <v>1530.9</v>
      </c>
    </row>
    <row r="194" spans="1:20">
      <c r="A194" s="132">
        <v>45974</v>
      </c>
      <c r="B194" s="443">
        <v>1531</v>
      </c>
      <c r="E194" t="s">
        <v>454</v>
      </c>
      <c r="F194" s="275">
        <v>383.6</v>
      </c>
      <c r="G194" s="275">
        <v>387.3</v>
      </c>
      <c r="H194" s="275">
        <v>485.6</v>
      </c>
      <c r="I194" s="275">
        <v>562.0200000000001</v>
      </c>
      <c r="J194" s="275">
        <v>674.42399999999998</v>
      </c>
      <c r="K194" s="275">
        <v>843.03000000000009</v>
      </c>
      <c r="L194" s="275">
        <v>1053.7874999999999</v>
      </c>
      <c r="M194" s="275">
        <v>1298.79309375</v>
      </c>
      <c r="N194" s="275">
        <v>1578.0336089062496</v>
      </c>
      <c r="O194" s="275">
        <v>1889.6952466652338</v>
      </c>
      <c r="P194" s="275">
        <v>2229.8403910649758</v>
      </c>
      <c r="Q194" s="275">
        <v>2564.3164497247221</v>
      </c>
      <c r="R194" s="275">
        <v>2923.3207526861834</v>
      </c>
      <c r="S194" s="275">
        <v>3274.1192430085257</v>
      </c>
      <c r="T194" s="275">
        <v>3601.5311673093793</v>
      </c>
    </row>
    <row r="195" spans="1:20">
      <c r="A195" s="132">
        <v>45975</v>
      </c>
      <c r="B195" s="443">
        <v>1507.7</v>
      </c>
      <c r="E195" t="s">
        <v>458</v>
      </c>
      <c r="F195" s="55">
        <f>F194/F192</f>
        <v>0.17531992687385742</v>
      </c>
      <c r="G195" s="55">
        <f t="shared" ref="G195:T195" si="4">G194/G192</f>
        <v>0.20077760497667185</v>
      </c>
      <c r="H195" s="55">
        <f t="shared" si="4"/>
        <v>0.19043137254901962</v>
      </c>
      <c r="I195" s="55">
        <f t="shared" si="4"/>
        <v>0.19000000000000003</v>
      </c>
      <c r="J195" s="55">
        <f t="shared" si="4"/>
        <v>0.19</v>
      </c>
      <c r="K195" s="55">
        <f t="shared" si="4"/>
        <v>0.19000000000000003</v>
      </c>
      <c r="L195" s="55">
        <f t="shared" si="4"/>
        <v>0.18999999999999997</v>
      </c>
      <c r="M195" s="55">
        <f t="shared" si="4"/>
        <v>0.19000000000000003</v>
      </c>
      <c r="N195" s="55">
        <f t="shared" si="4"/>
        <v>0.19</v>
      </c>
      <c r="O195" s="55">
        <f t="shared" si="4"/>
        <v>0.19</v>
      </c>
      <c r="P195" s="55">
        <f t="shared" si="4"/>
        <v>0.19</v>
      </c>
      <c r="Q195" s="55">
        <f t="shared" si="4"/>
        <v>0.19</v>
      </c>
      <c r="R195" s="55">
        <f t="shared" si="4"/>
        <v>0.19</v>
      </c>
      <c r="S195" s="55">
        <f t="shared" si="4"/>
        <v>0.19</v>
      </c>
      <c r="T195" s="55">
        <f t="shared" si="4"/>
        <v>0.19000000000000003</v>
      </c>
    </row>
    <row r="196" spans="1:20">
      <c r="A196" s="132">
        <v>45978</v>
      </c>
      <c r="B196" s="443">
        <v>1513.1</v>
      </c>
    </row>
    <row r="197" spans="1:20">
      <c r="A197" s="132">
        <v>45979</v>
      </c>
      <c r="B197" s="443">
        <v>1482.9</v>
      </c>
    </row>
    <row r="198" spans="1:20">
      <c r="A198" s="132">
        <v>45980</v>
      </c>
      <c r="B198" s="443">
        <v>1467</v>
      </c>
    </row>
    <row r="199" spans="1:20">
      <c r="A199" s="132">
        <v>45981</v>
      </c>
      <c r="B199" s="443">
        <v>1455.3</v>
      </c>
    </row>
    <row r="200" spans="1:20">
      <c r="A200" s="132">
        <v>45982</v>
      </c>
      <c r="B200" s="443">
        <v>1451.8</v>
      </c>
    </row>
    <row r="201" spans="1:20">
      <c r="A201" s="132">
        <v>45985</v>
      </c>
      <c r="B201" s="443">
        <v>1418.7</v>
      </c>
    </row>
    <row r="202" spans="1:20">
      <c r="A202" s="132">
        <v>45986</v>
      </c>
      <c r="B202" s="443">
        <v>1436.2</v>
      </c>
    </row>
    <row r="203" spans="1:20">
      <c r="A203" s="132">
        <v>45987</v>
      </c>
      <c r="B203" s="443">
        <v>1468.4</v>
      </c>
    </row>
    <row r="204" spans="1:20">
      <c r="A204" s="132">
        <v>45988</v>
      </c>
      <c r="B204" s="443">
        <v>1482.2</v>
      </c>
    </row>
    <row r="205" spans="1:20">
      <c r="A205" s="132">
        <v>45989</v>
      </c>
      <c r="B205" s="443">
        <v>1511.7</v>
      </c>
    </row>
    <row r="206" spans="1:20">
      <c r="A206" s="132">
        <v>45992</v>
      </c>
      <c r="B206" s="443">
        <v>1500.9</v>
      </c>
    </row>
    <row r="207" spans="1:20">
      <c r="A207" s="132">
        <v>45993</v>
      </c>
      <c r="B207" s="443">
        <v>1495.9</v>
      </c>
    </row>
    <row r="208" spans="1:20">
      <c r="A208" s="132">
        <v>45994</v>
      </c>
      <c r="B208" s="443">
        <v>1461.8</v>
      </c>
    </row>
    <row r="209" spans="1:22">
      <c r="A209" s="132">
        <v>45995</v>
      </c>
      <c r="B209" s="443">
        <v>1475.2</v>
      </c>
      <c r="E209" t="s">
        <v>1097</v>
      </c>
    </row>
    <row r="210" spans="1:22">
      <c r="A210" s="132">
        <v>45996</v>
      </c>
      <c r="B210" s="443">
        <v>1471.8</v>
      </c>
    </row>
    <row r="211" spans="1:22">
      <c r="A211" s="132">
        <v>45999</v>
      </c>
      <c r="B211" s="443">
        <v>1431.6</v>
      </c>
      <c r="F211" s="561">
        <v>2023</v>
      </c>
      <c r="G211" s="561">
        <v>2024</v>
      </c>
      <c r="H211" s="561">
        <v>2025</v>
      </c>
      <c r="I211" s="562">
        <v>2026</v>
      </c>
      <c r="J211" s="562">
        <v>2027</v>
      </c>
      <c r="K211" s="562">
        <v>2028</v>
      </c>
      <c r="L211" s="562">
        <v>2029</v>
      </c>
      <c r="M211" s="562">
        <v>2030</v>
      </c>
      <c r="N211" s="562">
        <v>2031</v>
      </c>
      <c r="O211" s="562">
        <v>2032</v>
      </c>
      <c r="P211" s="562">
        <v>2033</v>
      </c>
      <c r="Q211" s="562">
        <v>2034</v>
      </c>
      <c r="R211" s="562">
        <v>2035</v>
      </c>
      <c r="S211" s="562">
        <v>2036</v>
      </c>
      <c r="T211" s="562">
        <v>2037</v>
      </c>
    </row>
    <row r="212" spans="1:22">
      <c r="A212" s="132">
        <v>46000</v>
      </c>
      <c r="B212" s="443">
        <v>1444.8</v>
      </c>
      <c r="E212" s="275" t="s">
        <v>13</v>
      </c>
      <c r="F212" s="275">
        <v>212</v>
      </c>
      <c r="G212" s="275">
        <v>263</v>
      </c>
      <c r="H212" s="275">
        <v>388</v>
      </c>
      <c r="I212" s="275">
        <v>393.67808219178085</v>
      </c>
      <c r="J212" s="275">
        <v>452.72979452054784</v>
      </c>
      <c r="K212" s="275">
        <v>541.88984589041092</v>
      </c>
      <c r="L212" s="275">
        <v>675.76851369862993</v>
      </c>
      <c r="M212" s="275">
        <v>793.72745964774924</v>
      </c>
      <c r="N212" s="275">
        <v>929.7078013610286</v>
      </c>
      <c r="O212" s="275">
        <v>1064.2419890873891</v>
      </c>
      <c r="P212" s="275">
        <v>1255.8055471231194</v>
      </c>
      <c r="Q212" s="275">
        <v>1255.8055471231194</v>
      </c>
      <c r="R212" s="275">
        <v>1255.8055471231194</v>
      </c>
      <c r="S212" s="275">
        <v>1255.8055471231194</v>
      </c>
      <c r="T212" s="275">
        <v>1255.8055471231194</v>
      </c>
    </row>
    <row r="213" spans="1:22">
      <c r="A213" s="132">
        <v>46001</v>
      </c>
      <c r="B213" s="443">
        <v>1431</v>
      </c>
      <c r="E213" t="s">
        <v>76</v>
      </c>
      <c r="F213" s="275">
        <v>69.399103139013448</v>
      </c>
      <c r="G213" s="275">
        <v>90.475966069745525</v>
      </c>
      <c r="H213" s="275">
        <v>104.6711012564671</v>
      </c>
      <c r="I213" s="275">
        <v>88.322884012539191</v>
      </c>
      <c r="J213" s="275">
        <v>84.642763845350018</v>
      </c>
      <c r="K213" s="275">
        <v>81.04976489028212</v>
      </c>
      <c r="L213" s="275">
        <v>81.750887423935055</v>
      </c>
      <c r="M213" s="275">
        <v>78.776308277798805</v>
      </c>
      <c r="N213" s="275">
        <v>76.800679018123432</v>
      </c>
      <c r="O213" s="275">
        <v>74.252202496768248</v>
      </c>
      <c r="P213" s="275">
        <v>75.108958679423282</v>
      </c>
      <c r="Q213" s="275">
        <v>69.31084030754235</v>
      </c>
      <c r="R213" s="275">
        <v>60.798982725914328</v>
      </c>
      <c r="S213" s="275">
        <v>54.28480600528065</v>
      </c>
      <c r="T213" s="275">
        <v>50.377944967021804</v>
      </c>
    </row>
    <row r="214" spans="1:22">
      <c r="A214" s="132">
        <v>46002</v>
      </c>
      <c r="B214" s="443">
        <v>1420.8</v>
      </c>
    </row>
    <row r="215" spans="1:22">
      <c r="A215" s="132">
        <v>46003</v>
      </c>
      <c r="B215" s="443">
        <v>1412.5</v>
      </c>
    </row>
    <row r="216" spans="1:22">
      <c r="A216" s="132">
        <v>46006</v>
      </c>
      <c r="B216" s="443">
        <v>1436.5</v>
      </c>
      <c r="E216" t="s">
        <v>1096</v>
      </c>
    </row>
    <row r="217" spans="1:22">
      <c r="A217" s="132">
        <v>46007</v>
      </c>
      <c r="B217" s="443">
        <v>1418</v>
      </c>
      <c r="F217" s="561">
        <v>2023</v>
      </c>
      <c r="G217" s="561">
        <v>2024</v>
      </c>
      <c r="H217" s="561">
        <v>2025</v>
      </c>
      <c r="I217" s="562">
        <v>2026</v>
      </c>
      <c r="J217" s="562">
        <v>2027</v>
      </c>
      <c r="K217" s="562">
        <v>2028</v>
      </c>
      <c r="L217" s="562">
        <v>2029</v>
      </c>
      <c r="M217" s="562">
        <v>2030</v>
      </c>
      <c r="N217" s="562">
        <v>2031</v>
      </c>
      <c r="O217" s="562">
        <v>2032</v>
      </c>
      <c r="P217" s="562">
        <v>2033</v>
      </c>
      <c r="Q217" s="562">
        <v>2034</v>
      </c>
      <c r="R217" s="562">
        <v>2035</v>
      </c>
      <c r="S217" s="562">
        <v>2036</v>
      </c>
      <c r="T217" s="562">
        <v>2037</v>
      </c>
    </row>
    <row r="218" spans="1:22">
      <c r="A218" s="132">
        <v>46008</v>
      </c>
      <c r="B218" s="443">
        <v>1401</v>
      </c>
      <c r="E218" t="s">
        <v>494</v>
      </c>
      <c r="F218" s="275">
        <v>166</v>
      </c>
      <c r="G218" s="275">
        <v>179</v>
      </c>
      <c r="H218" s="275">
        <v>232</v>
      </c>
      <c r="I218" s="275">
        <v>283.64383561643837</v>
      </c>
      <c r="J218" s="275">
        <v>340.37260273972601</v>
      </c>
      <c r="K218" s="275">
        <v>425.46575342465752</v>
      </c>
      <c r="L218" s="275">
        <v>531.83219178082186</v>
      </c>
      <c r="M218" s="275">
        <v>655.48317636986292</v>
      </c>
      <c r="N218" s="275">
        <v>796.41205928938336</v>
      </c>
      <c r="O218" s="275">
        <v>953.70344099903639</v>
      </c>
      <c r="P218" s="275">
        <v>1125.3700603788629</v>
      </c>
      <c r="Q218" s="275">
        <v>1294.1755694356925</v>
      </c>
      <c r="R218" s="275">
        <v>1475.3601491566897</v>
      </c>
      <c r="S218" s="275">
        <v>1652.4033670554925</v>
      </c>
      <c r="T218" s="275">
        <v>1817.6437037610419</v>
      </c>
    </row>
    <row r="219" spans="1:22">
      <c r="A219" s="132">
        <v>46009</v>
      </c>
      <c r="B219" s="443">
        <v>1439.8</v>
      </c>
      <c r="E219" t="s">
        <v>1098</v>
      </c>
      <c r="F219" s="275">
        <v>27.691956124314441</v>
      </c>
      <c r="G219" s="275">
        <v>33.869880767236914</v>
      </c>
      <c r="H219" s="275">
        <v>33.207843137254898</v>
      </c>
      <c r="I219" s="275">
        <v>35</v>
      </c>
      <c r="J219" s="275">
        <v>35</v>
      </c>
      <c r="K219" s="275">
        <v>35</v>
      </c>
      <c r="L219" s="275">
        <v>35</v>
      </c>
      <c r="M219" s="275">
        <v>35</v>
      </c>
      <c r="N219" s="275">
        <v>35</v>
      </c>
      <c r="O219" s="275">
        <v>35</v>
      </c>
      <c r="P219" s="275">
        <v>35</v>
      </c>
      <c r="Q219" s="275">
        <v>35</v>
      </c>
      <c r="R219" s="275">
        <v>35</v>
      </c>
      <c r="S219" s="275">
        <v>35</v>
      </c>
      <c r="T219" s="275">
        <v>35</v>
      </c>
    </row>
    <row r="220" spans="1:22">
      <c r="A220" s="132">
        <v>46010</v>
      </c>
      <c r="B220" s="443">
        <v>1389.1</v>
      </c>
    </row>
    <row r="221" spans="1:22">
      <c r="A221" s="132">
        <v>46013</v>
      </c>
      <c r="B221" s="443">
        <v>1332.6</v>
      </c>
      <c r="E221" t="s">
        <v>1099</v>
      </c>
    </row>
    <row r="222" spans="1:22">
      <c r="A222" s="132">
        <v>46014</v>
      </c>
      <c r="B222" s="443">
        <v>1336.9</v>
      </c>
      <c r="F222" s="561">
        <v>2023</v>
      </c>
      <c r="G222" s="561">
        <v>2024</v>
      </c>
      <c r="H222" s="561">
        <v>2025</v>
      </c>
      <c r="I222" s="562">
        <v>2026</v>
      </c>
      <c r="J222" s="562">
        <v>2027</v>
      </c>
      <c r="K222" s="562">
        <v>2028</v>
      </c>
      <c r="L222" s="562">
        <v>2029</v>
      </c>
      <c r="M222" s="562">
        <v>2030</v>
      </c>
      <c r="N222" s="562">
        <v>2031</v>
      </c>
      <c r="O222" s="562">
        <v>2032</v>
      </c>
      <c r="P222" s="562">
        <v>2033</v>
      </c>
      <c r="Q222" s="562">
        <v>2034</v>
      </c>
      <c r="R222" s="562">
        <v>2035</v>
      </c>
      <c r="S222" s="562">
        <v>2036</v>
      </c>
      <c r="T222" s="562">
        <v>2037</v>
      </c>
    </row>
    <row r="223" spans="1:22">
      <c r="A223" s="132">
        <v>46015</v>
      </c>
      <c r="B223" s="443">
        <v>1318.8</v>
      </c>
      <c r="E223" t="s">
        <v>607</v>
      </c>
      <c r="F223" s="275">
        <v>110</v>
      </c>
      <c r="G223" s="275">
        <v>184</v>
      </c>
      <c r="H223" s="275">
        <v>186</v>
      </c>
      <c r="I223" s="275">
        <v>222.86301369863014</v>
      </c>
      <c r="J223" s="275">
        <v>267.43561643835619</v>
      </c>
      <c r="K223" s="275">
        <v>334.29452054794524</v>
      </c>
      <c r="L223" s="275">
        <v>413.30958904109593</v>
      </c>
      <c r="M223" s="275">
        <v>503.78564126712331</v>
      </c>
      <c r="N223" s="275">
        <v>605.27316505993122</v>
      </c>
      <c r="O223" s="275">
        <v>716.64001423641878</v>
      </c>
      <c r="P223" s="275">
        <v>835.98918771001252</v>
      </c>
      <c r="Q223" s="275">
        <v>905.92289860498477</v>
      </c>
      <c r="R223" s="275">
        <v>1032.7521044096827</v>
      </c>
      <c r="S223" s="275">
        <v>1156.6823569388448</v>
      </c>
      <c r="T223" s="275">
        <v>1246.3842540075716</v>
      </c>
    </row>
    <row r="224" spans="1:22">
      <c r="A224" s="132">
        <v>46017</v>
      </c>
      <c r="B224" s="443">
        <v>1277.7</v>
      </c>
      <c r="E224" t="s">
        <v>1100</v>
      </c>
      <c r="F224" s="275">
        <v>36.00896860986547</v>
      </c>
      <c r="G224" s="275">
        <v>63.298774740810558</v>
      </c>
      <c r="H224" s="275">
        <v>50.17738359201774</v>
      </c>
      <c r="I224" s="275">
        <v>50</v>
      </c>
      <c r="J224" s="275">
        <v>50</v>
      </c>
      <c r="K224" s="275">
        <v>50</v>
      </c>
      <c r="L224" s="275">
        <v>50</v>
      </c>
      <c r="M224" s="275">
        <v>50.000000000000007</v>
      </c>
      <c r="N224" s="275">
        <v>50</v>
      </c>
      <c r="O224" s="275">
        <v>50</v>
      </c>
      <c r="P224" s="275">
        <v>50</v>
      </c>
      <c r="Q224" s="275">
        <v>50.000000000000007</v>
      </c>
      <c r="R224" s="275">
        <v>50</v>
      </c>
      <c r="S224" s="275">
        <v>50.000000000000007</v>
      </c>
      <c r="T224" s="275">
        <v>50</v>
      </c>
      <c r="U224" s="275"/>
      <c r="V224" s="275"/>
    </row>
    <row r="225" spans="1:10">
      <c r="A225" s="132">
        <v>46020</v>
      </c>
      <c r="B225" s="443">
        <v>1252</v>
      </c>
    </row>
    <row r="226" spans="1:10">
      <c r="A226" s="132">
        <v>46021</v>
      </c>
      <c r="B226" s="443">
        <v>1234</v>
      </c>
    </row>
    <row r="227" spans="1:10">
      <c r="A227" s="132">
        <v>46022</v>
      </c>
      <c r="B227" s="443">
        <v>1220.0999999999999</v>
      </c>
      <c r="E227" t="s">
        <v>963</v>
      </c>
    </row>
    <row r="228" spans="1:10">
      <c r="A228" s="132">
        <v>46023</v>
      </c>
      <c r="B228" s="443">
        <v>1262.5999999999999</v>
      </c>
      <c r="F228" s="561">
        <v>2021</v>
      </c>
      <c r="G228" s="561">
        <v>2022</v>
      </c>
      <c r="H228" s="561">
        <v>2023</v>
      </c>
      <c r="I228" s="561">
        <v>2024</v>
      </c>
      <c r="J228" s="561">
        <v>2025</v>
      </c>
    </row>
    <row r="229" spans="1:10">
      <c r="A229" s="132">
        <v>46024</v>
      </c>
      <c r="B229" s="443">
        <v>1245.8</v>
      </c>
      <c r="E229" t="s">
        <v>625</v>
      </c>
      <c r="F229" s="248">
        <v>0.81927710843373491</v>
      </c>
      <c r="G229" s="248">
        <v>0.90566037735849059</v>
      </c>
      <c r="H229" s="248">
        <v>0.85557299843014134</v>
      </c>
      <c r="I229" s="248">
        <v>0.71223958333333337</v>
      </c>
      <c r="J229" s="248">
        <v>0.8997995991983968</v>
      </c>
    </row>
    <row r="230" spans="1:10">
      <c r="A230" s="132">
        <v>46027</v>
      </c>
      <c r="B230" s="443">
        <v>1189.7</v>
      </c>
      <c r="E230" t="s">
        <v>626</v>
      </c>
      <c r="F230" s="248">
        <v>0.18072289156626506</v>
      </c>
      <c r="G230" s="248">
        <v>9.4339622641509441E-2</v>
      </c>
      <c r="H230" s="248">
        <v>0.14442700156985872</v>
      </c>
      <c r="I230" s="248">
        <v>0.28776041666666669</v>
      </c>
      <c r="J230" s="248">
        <v>0.10020040080160321</v>
      </c>
    </row>
    <row r="231" spans="1:10">
      <c r="A231" s="132">
        <v>46028</v>
      </c>
      <c r="B231" s="443">
        <v>1166.7</v>
      </c>
    </row>
    <row r="232" spans="1:10">
      <c r="A232" s="132">
        <v>46029</v>
      </c>
      <c r="B232" s="443">
        <v>1161.3</v>
      </c>
    </row>
    <row r="233" spans="1:10">
      <c r="A233" s="132">
        <v>46030</v>
      </c>
      <c r="B233" s="443">
        <v>1138.2</v>
      </c>
    </row>
    <row r="234" spans="1:10">
      <c r="A234" s="132">
        <v>46031</v>
      </c>
      <c r="B234" s="443">
        <v>1118.4000000000001</v>
      </c>
    </row>
    <row r="235" spans="1:10">
      <c r="A235" s="132">
        <v>46034</v>
      </c>
      <c r="B235" s="443">
        <v>1151</v>
      </c>
    </row>
    <row r="236" spans="1:10">
      <c r="A236" s="132">
        <v>46035</v>
      </c>
      <c r="B236" s="443">
        <v>1161.5</v>
      </c>
    </row>
    <row r="237" spans="1:10">
      <c r="A237" s="132">
        <v>46036</v>
      </c>
      <c r="B237" s="443">
        <v>1173.9000000000001</v>
      </c>
    </row>
    <row r="238" spans="1:10">
      <c r="A238" s="132">
        <v>46038</v>
      </c>
      <c r="B238" s="443">
        <v>1158.3</v>
      </c>
    </row>
    <row r="239" spans="1:10">
      <c r="A239" s="132">
        <v>46041</v>
      </c>
      <c r="B239" s="443">
        <v>1148</v>
      </c>
    </row>
    <row r="240" spans="1:10">
      <c r="A240" s="132">
        <v>46042</v>
      </c>
      <c r="B240" s="443">
        <v>1101.8</v>
      </c>
    </row>
    <row r="241" spans="1:2">
      <c r="A241" s="132">
        <v>46043</v>
      </c>
      <c r="B241" s="443">
        <v>1083.7</v>
      </c>
    </row>
    <row r="242" spans="1:2">
      <c r="A242" s="132">
        <v>46044</v>
      </c>
      <c r="B242" s="443">
        <v>1093.5</v>
      </c>
    </row>
    <row r="243" spans="1:2">
      <c r="A243" s="132">
        <v>46045</v>
      </c>
      <c r="B243" s="443">
        <v>1065.5999999999999</v>
      </c>
    </row>
    <row r="244" spans="1:2">
      <c r="A244" s="132">
        <v>46049</v>
      </c>
      <c r="B244" s="443">
        <v>1056</v>
      </c>
    </row>
    <row r="245" spans="1:2">
      <c r="A245" s="132">
        <v>46050</v>
      </c>
      <c r="B245" s="443">
        <v>1046</v>
      </c>
    </row>
    <row r="246" spans="1:2">
      <c r="A246" s="132">
        <v>46051</v>
      </c>
      <c r="B246" s="443">
        <v>1029.5</v>
      </c>
    </row>
    <row r="247" spans="1:2">
      <c r="A247" s="132">
        <v>46052</v>
      </c>
      <c r="B247" s="443">
        <v>1043.0999999999999</v>
      </c>
    </row>
    <row r="248" spans="1:2">
      <c r="A248" s="132">
        <v>46054</v>
      </c>
      <c r="B248" s="443">
        <v>964.5</v>
      </c>
    </row>
    <row r="249" spans="1:2">
      <c r="A249" s="132">
        <v>46055</v>
      </c>
      <c r="B249" s="443">
        <v>922.8</v>
      </c>
    </row>
    <row r="250" spans="1:2">
      <c r="A250" s="132">
        <v>46056</v>
      </c>
      <c r="B250" s="443">
        <v>1034</v>
      </c>
    </row>
    <row r="251" spans="1:2">
      <c r="A251" s="132">
        <v>46057</v>
      </c>
      <c r="B251" s="443">
        <v>1026.5999999999999</v>
      </c>
    </row>
    <row r="252" spans="1:2">
      <c r="A252" s="132">
        <v>46058</v>
      </c>
      <c r="B252" s="443">
        <v>1003</v>
      </c>
    </row>
    <row r="253" spans="1:2">
      <c r="A253" s="132">
        <v>46059</v>
      </c>
      <c r="B253" s="443">
        <v>991.9</v>
      </c>
    </row>
    <row r="254" spans="1:2">
      <c r="A254" s="132">
        <v>46062</v>
      </c>
      <c r="B254" s="443">
        <v>1043.9000000000001</v>
      </c>
    </row>
    <row r="255" spans="1:2">
      <c r="A255" s="132">
        <v>46063</v>
      </c>
      <c r="B255" s="443">
        <v>1040</v>
      </c>
    </row>
    <row r="256" spans="1:2">
      <c r="A256" s="132">
        <v>46064</v>
      </c>
      <c r="B256" s="443">
        <v>1007.5</v>
      </c>
    </row>
    <row r="257" spans="1:2">
      <c r="A257" s="132">
        <v>46065</v>
      </c>
      <c r="B257" s="443">
        <v>1002.3</v>
      </c>
    </row>
    <row r="258" spans="1:2">
      <c r="A258" s="132">
        <v>46066</v>
      </c>
      <c r="B258" s="443">
        <v>977.3</v>
      </c>
    </row>
    <row r="259" spans="1:2">
      <c r="A259" s="132">
        <v>46069</v>
      </c>
      <c r="B259" s="443">
        <v>990.9</v>
      </c>
    </row>
    <row r="260" spans="1:2">
      <c r="A260" s="132">
        <v>46070</v>
      </c>
      <c r="B260" s="443">
        <v>991.4</v>
      </c>
    </row>
    <row r="261" spans="1:2">
      <c r="A261" s="132">
        <v>46071</v>
      </c>
      <c r="B261" s="443">
        <v>1002.5</v>
      </c>
    </row>
    <row r="262" spans="1:2">
      <c r="A262" s="132">
        <v>46072</v>
      </c>
      <c r="B262" s="443">
        <v>979.6</v>
      </c>
    </row>
  </sheetData>
  <sheetProtection algorithmName="SHA-512" hashValue="6aA+Cj/H0uTVwUel8MgEZykATELAlKxD90YOADztGCMJ7gFuHFvJOkY2R5quS/hCZB0x+6OQdLQDycC+MghzNw==" saltValue="9JKOsNhoJAyw3L98qyvBwg==" spinCount="100000" sheet="1" objects="1" scenarios="1"/>
  <sortState xmlns:xlrd2="http://schemas.microsoft.com/office/spreadsheetml/2017/richdata2" ref="A15:B262">
    <sortCondition ref="A15:A262"/>
  </sortState>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DDB3F-4CFE-4B37-B453-FDAF1FECE4FA}">
  <dimension ref="A3:I40"/>
  <sheetViews>
    <sheetView showGridLines="0" zoomScale="89" workbookViewId="0"/>
  </sheetViews>
  <sheetFormatPr defaultRowHeight="15"/>
  <cols>
    <col min="5" max="5" width="5.5703125" bestFit="1" customWidth="1"/>
    <col min="6" max="7" width="11.7109375" bestFit="1" customWidth="1"/>
    <col min="8" max="8" width="13.42578125" bestFit="1" customWidth="1"/>
  </cols>
  <sheetData>
    <row r="3" spans="1:3">
      <c r="B3" t="s">
        <v>403</v>
      </c>
    </row>
    <row r="4" spans="1:3">
      <c r="B4" t="s">
        <v>404</v>
      </c>
    </row>
    <row r="5" spans="1:3">
      <c r="B5" t="s">
        <v>405</v>
      </c>
    </row>
    <row r="6" spans="1:3">
      <c r="B6" t="s">
        <v>406</v>
      </c>
    </row>
    <row r="7" spans="1:3">
      <c r="B7" t="s">
        <v>407</v>
      </c>
    </row>
    <row r="11" spans="1:3">
      <c r="A11">
        <v>1</v>
      </c>
      <c r="B11" t="s">
        <v>379</v>
      </c>
      <c r="C11" t="s">
        <v>408</v>
      </c>
    </row>
    <row r="12" spans="1:3">
      <c r="B12">
        <v>2018</v>
      </c>
      <c r="C12" s="126">
        <v>0.66649999999999998</v>
      </c>
    </row>
    <row r="13" spans="1:3">
      <c r="B13">
        <f>B12+1</f>
        <v>2019</v>
      </c>
      <c r="C13" s="126">
        <v>0.6694</v>
      </c>
    </row>
    <row r="14" spans="1:3">
      <c r="B14">
        <f>B13+1</f>
        <v>2020</v>
      </c>
      <c r="C14" s="126">
        <v>0.6724</v>
      </c>
    </row>
    <row r="15" spans="1:3">
      <c r="B15">
        <f>B14+1</f>
        <v>2021</v>
      </c>
      <c r="C15" s="126">
        <v>0.67549999999999999</v>
      </c>
    </row>
    <row r="16" spans="1:3">
      <c r="B16">
        <f>B15+1</f>
        <v>2022</v>
      </c>
      <c r="C16" s="126">
        <v>0.67810000000000004</v>
      </c>
    </row>
    <row r="17" spans="1:9">
      <c r="B17">
        <f>B16+1</f>
        <v>2023</v>
      </c>
      <c r="C17" s="126">
        <v>0.68020000000000003</v>
      </c>
    </row>
    <row r="19" spans="1:9">
      <c r="B19" s="140" t="s">
        <v>409</v>
      </c>
    </row>
    <row r="22" spans="1:9">
      <c r="F22">
        <v>100</v>
      </c>
    </row>
    <row r="24" spans="1:9">
      <c r="A24">
        <v>2</v>
      </c>
      <c r="B24" t="s">
        <v>410</v>
      </c>
      <c r="E24" t="s">
        <v>379</v>
      </c>
      <c r="F24" s="156" t="s">
        <v>414</v>
      </c>
      <c r="G24" s="156" t="s">
        <v>411</v>
      </c>
      <c r="H24" s="156" t="s">
        <v>412</v>
      </c>
      <c r="I24" s="156" t="s">
        <v>415</v>
      </c>
    </row>
    <row r="25" spans="1:9">
      <c r="C25" s="126"/>
      <c r="E25">
        <v>2018</v>
      </c>
      <c r="F25" s="195">
        <v>46.779647900000001</v>
      </c>
      <c r="G25" s="195">
        <v>90.686258500000008</v>
      </c>
      <c r="H25" s="195">
        <f t="shared" ref="H25:H30" si="0">SUM(F25:G25)</f>
        <v>137.46590639999999</v>
      </c>
      <c r="I25" s="196">
        <f t="shared" ref="I25:I30" si="1">F25/H25</f>
        <v>0.34029999965140451</v>
      </c>
    </row>
    <row r="26" spans="1:9">
      <c r="C26" s="126"/>
      <c r="E26">
        <v>2019</v>
      </c>
      <c r="F26" s="195">
        <v>47.882652900000004</v>
      </c>
      <c r="G26" s="195">
        <v>91.02037829999999</v>
      </c>
      <c r="H26" s="195">
        <f t="shared" si="0"/>
        <v>138.90303119999999</v>
      </c>
      <c r="I26" s="196">
        <f t="shared" si="1"/>
        <v>0.34471999989011043</v>
      </c>
    </row>
    <row r="27" spans="1:9">
      <c r="C27" s="126"/>
      <c r="E27">
        <v>2020</v>
      </c>
      <c r="F27" s="195">
        <v>48.987825599999994</v>
      </c>
      <c r="G27" s="195">
        <v>91.273943899999992</v>
      </c>
      <c r="H27" s="195">
        <f t="shared" si="0"/>
        <v>140.26176949999999</v>
      </c>
      <c r="I27" s="196">
        <f t="shared" si="1"/>
        <v>0.34925999988899326</v>
      </c>
    </row>
    <row r="28" spans="1:9">
      <c r="C28" s="126"/>
      <c r="E28">
        <v>2021</v>
      </c>
      <c r="F28" s="195">
        <v>50.052918499999997</v>
      </c>
      <c r="G28" s="195">
        <v>91.367471100000003</v>
      </c>
      <c r="H28" s="195">
        <f t="shared" si="0"/>
        <v>141.42038959999999</v>
      </c>
      <c r="I28" s="196">
        <f t="shared" si="1"/>
        <v>0.35393000006273495</v>
      </c>
    </row>
    <row r="29" spans="1:9">
      <c r="C29" s="126"/>
      <c r="E29">
        <v>2022</v>
      </c>
      <c r="F29" s="195">
        <v>51.1327815</v>
      </c>
      <c r="G29" s="195">
        <v>91.40953970000001</v>
      </c>
      <c r="H29" s="195">
        <f t="shared" si="0"/>
        <v>142.5423212</v>
      </c>
      <c r="I29" s="196">
        <f t="shared" si="1"/>
        <v>0.35872000027455703</v>
      </c>
    </row>
    <row r="30" spans="1:9">
      <c r="C30" s="126"/>
      <c r="E30">
        <v>2023</v>
      </c>
      <c r="F30" s="195">
        <v>52.293962800000003</v>
      </c>
      <c r="G30" s="195">
        <v>91.512996799999996</v>
      </c>
      <c r="H30" s="195">
        <f t="shared" si="0"/>
        <v>143.8069596</v>
      </c>
      <c r="I30" s="196">
        <f t="shared" si="1"/>
        <v>0.36364000007688085</v>
      </c>
    </row>
    <row r="31" spans="1:9">
      <c r="B31" s="140" t="s">
        <v>413</v>
      </c>
    </row>
    <row r="34" spans="1:4">
      <c r="B34" t="s">
        <v>379</v>
      </c>
      <c r="C34" t="s">
        <v>416</v>
      </c>
      <c r="D34" t="s">
        <v>423</v>
      </c>
    </row>
    <row r="35" spans="1:4">
      <c r="A35">
        <v>3</v>
      </c>
      <c r="B35">
        <v>2023</v>
      </c>
      <c r="C35" s="197">
        <v>1311.92</v>
      </c>
      <c r="D35" t="s">
        <v>417</v>
      </c>
    </row>
    <row r="36" spans="1:4">
      <c r="B36">
        <v>2022</v>
      </c>
      <c r="C36" s="197">
        <v>1272.33</v>
      </c>
      <c r="D36" t="s">
        <v>418</v>
      </c>
    </row>
    <row r="37" spans="1:4">
      <c r="B37">
        <v>2021</v>
      </c>
      <c r="C37" s="197">
        <v>1201.0999999999999</v>
      </c>
      <c r="D37" t="s">
        <v>419</v>
      </c>
    </row>
    <row r="38" spans="1:4">
      <c r="B38">
        <v>2020</v>
      </c>
      <c r="C38" s="197">
        <v>1084.4000000000001</v>
      </c>
      <c r="D38" t="s">
        <v>420</v>
      </c>
    </row>
    <row r="39" spans="1:4">
      <c r="B39">
        <v>2019</v>
      </c>
      <c r="C39" s="197">
        <v>1156.1600000000001</v>
      </c>
      <c r="D39" t="s">
        <v>421</v>
      </c>
    </row>
    <row r="40" spans="1:4">
      <c r="B40">
        <v>2018</v>
      </c>
      <c r="C40" s="197">
        <v>1110.83</v>
      </c>
      <c r="D40" t="s">
        <v>422</v>
      </c>
    </row>
  </sheetData>
  <sheetProtection algorithmName="SHA-512" hashValue="QFSaDJCxNPX5irRZZ9dMUHLDYS/qgONR4YOs43xs8vZhOtYFG1wSciPR0ucjQdsoZpTc6lfV4xPbfSNizCAr0Q==" saltValue="UyrWT++hSzLKxwNtqSWzDw==" spinCount="100000" sheet="1" objects="1" scenarios="1"/>
  <hyperlinks>
    <hyperlink ref="B19" r:id="rId1" xr:uid="{6AF5605B-1662-4ECC-BF84-631E442663FA}"/>
    <hyperlink ref="B31" r:id="rId2" xr:uid="{BF6F6F80-2029-4CD0-9B30-41A26C048749}"/>
  </hyperlinks>
  <pageMargins left="0.7" right="0.7" top="0.75" bottom="0.75" header="0.3" footer="0.3"/>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21D9E9-4D3E-4190-B805-C231CB63BEF9}">
  <sheetPr>
    <tabColor rgb="FFFF0000"/>
  </sheetPr>
  <dimension ref="A1"/>
  <sheetViews>
    <sheetView showGridLines="0" workbookViewId="0"/>
  </sheetViews>
  <sheetFormatPr defaultRowHeight="15"/>
  <cols>
    <col min="1" max="1" width="1.85546875" customWidth="1"/>
  </cols>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C1231-EC8E-4368-84A7-6CAAE8FBC438}">
  <sheetPr>
    <tabColor rgb="FFFF0000"/>
  </sheetPr>
  <dimension ref="A1:M50"/>
  <sheetViews>
    <sheetView showGridLines="0" zoomScale="101" zoomScaleNormal="130" zoomScaleSheetLayoutView="115" workbookViewId="0">
      <pane xSplit="2" ySplit="5" topLeftCell="C8" activePane="bottomRight" state="frozen"/>
      <selection activeCell="H17" sqref="H17"/>
      <selection pane="topRight" activeCell="H17" sqref="H17"/>
      <selection pane="bottomLeft" activeCell="H17" sqref="H17"/>
      <selection pane="bottomRight"/>
    </sheetView>
  </sheetViews>
  <sheetFormatPr defaultColWidth="7.5703125" defaultRowHeight="15"/>
  <cols>
    <col min="1" max="1" width="2.28515625" style="4" customWidth="1"/>
    <col min="2" max="2" width="38.140625" style="4" bestFit="1" customWidth="1"/>
    <col min="3" max="7" width="14.140625" style="4" customWidth="1"/>
    <col min="8" max="16" width="14.140625" customWidth="1"/>
  </cols>
  <sheetData>
    <row r="1" spans="1:13" s="4" customFormat="1">
      <c r="A1" s="1"/>
      <c r="B1" s="2"/>
      <c r="C1" s="2"/>
      <c r="D1" s="1"/>
      <c r="E1" s="1"/>
      <c r="F1" s="1"/>
      <c r="G1" s="3"/>
    </row>
    <row r="2" spans="1:13" s="4" customFormat="1">
      <c r="A2" s="1"/>
      <c r="B2" s="5" t="s">
        <v>210</v>
      </c>
      <c r="C2" s="2"/>
      <c r="D2" s="2"/>
      <c r="E2" s="2"/>
      <c r="F2" s="1"/>
      <c r="G2" s="3"/>
    </row>
    <row r="3" spans="1:13" s="4" customFormat="1">
      <c r="A3" s="1"/>
      <c r="B3" s="2" t="s">
        <v>0</v>
      </c>
      <c r="C3" s="2"/>
      <c r="D3" s="1"/>
      <c r="E3" s="1"/>
      <c r="F3" s="1"/>
      <c r="G3" s="3"/>
    </row>
    <row r="4" spans="1:13" s="4" customFormat="1">
      <c r="A4" s="1"/>
      <c r="B4" s="7"/>
      <c r="C4" s="2"/>
      <c r="D4" s="1"/>
      <c r="E4" s="1"/>
      <c r="F4" s="1"/>
      <c r="G4" s="1"/>
      <c r="H4" s="1"/>
    </row>
    <row r="5" spans="1:13" s="4" customFormat="1">
      <c r="A5" s="1"/>
      <c r="B5" s="7" t="s">
        <v>1</v>
      </c>
      <c r="C5" s="2"/>
      <c r="D5" s="1"/>
      <c r="E5" s="8"/>
      <c r="F5" s="8"/>
      <c r="G5" s="3"/>
    </row>
    <row r="6" spans="1:13" s="4" customFormat="1">
      <c r="A6" s="1"/>
      <c r="B6" s="165" t="s">
        <v>291</v>
      </c>
      <c r="C6" s="9"/>
      <c r="D6" s="9">
        <v>2021</v>
      </c>
      <c r="E6" s="9">
        <f>D6+1</f>
        <v>2022</v>
      </c>
      <c r="F6" s="9">
        <f>E6+1</f>
        <v>2023</v>
      </c>
      <c r="G6" s="9">
        <f>F6+1</f>
        <v>2024</v>
      </c>
      <c r="H6" s="9">
        <f>G6+1</f>
        <v>2025</v>
      </c>
    </row>
    <row r="7" spans="1:13" s="4" customFormat="1" ht="5.25" customHeight="1">
      <c r="H7" s="132"/>
      <c r="I7" s="132"/>
      <c r="J7" s="132"/>
      <c r="K7" s="132"/>
      <c r="L7" s="132"/>
      <c r="M7" s="132"/>
    </row>
    <row r="8" spans="1:13" s="4" customFormat="1">
      <c r="A8" s="3" t="s">
        <v>35</v>
      </c>
      <c r="B8" s="10" t="s">
        <v>285</v>
      </c>
      <c r="D8">
        <v>829</v>
      </c>
      <c r="E8">
        <v>1551</v>
      </c>
      <c r="F8">
        <v>2188</v>
      </c>
      <c r="G8">
        <v>1929</v>
      </c>
      <c r="H8">
        <v>2550</v>
      </c>
    </row>
    <row r="9" spans="1:13" s="4" customFormat="1" ht="12.75">
      <c r="B9" s="12" t="s">
        <v>3</v>
      </c>
      <c r="D9" s="23">
        <v>-385</v>
      </c>
      <c r="E9" s="23">
        <v>-761</v>
      </c>
      <c r="F9" s="23">
        <v>-1115</v>
      </c>
      <c r="G9" s="23">
        <v>-1061</v>
      </c>
      <c r="H9" s="23">
        <v>-1353</v>
      </c>
    </row>
    <row r="10" spans="1:13" s="4" customFormat="1">
      <c r="B10" s="22" t="s">
        <v>4</v>
      </c>
      <c r="C10" s="139"/>
      <c r="D10" s="46">
        <f>SUM(D8:D9)</f>
        <v>444</v>
      </c>
      <c r="E10" s="46">
        <f>SUM(E8:E9)</f>
        <v>790</v>
      </c>
      <c r="F10" s="46">
        <f>SUM(F8:F9)</f>
        <v>1073</v>
      </c>
      <c r="G10" s="46">
        <f>SUM(G8:G9)</f>
        <v>868</v>
      </c>
      <c r="H10" s="46">
        <f>SUM(H8:H9)</f>
        <v>1197</v>
      </c>
    </row>
    <row r="11" spans="1:13" s="4" customFormat="1">
      <c r="B11" s="22"/>
      <c r="D11" s="39"/>
      <c r="E11" s="39"/>
      <c r="F11" s="39"/>
      <c r="G11" s="39"/>
      <c r="H11" s="39"/>
    </row>
    <row r="12" spans="1:13" s="4" customFormat="1">
      <c r="B12" s="10" t="s">
        <v>452</v>
      </c>
      <c r="D12" s="208"/>
      <c r="E12" s="213">
        <f>E10/D10-1</f>
        <v>0.77927927927927931</v>
      </c>
      <c r="F12" s="213">
        <f t="shared" ref="F12:H12" si="0">F10/E10-1</f>
        <v>0.35822784810126573</v>
      </c>
      <c r="G12" s="213">
        <f t="shared" si="0"/>
        <v>-0.19105312208760483</v>
      </c>
      <c r="H12" s="213">
        <f t="shared" si="0"/>
        <v>0.37903225806451624</v>
      </c>
    </row>
    <row r="13" spans="1:13" s="4" customFormat="1">
      <c r="B13" s="204" t="s">
        <v>430</v>
      </c>
      <c r="C13" s="205"/>
      <c r="D13" s="206">
        <f>-D9/D8</f>
        <v>0.46441495778045838</v>
      </c>
      <c r="E13" s="206">
        <f t="shared" ref="E13:H13" si="1">-E9/E8</f>
        <v>0.49065119277885233</v>
      </c>
      <c r="F13" s="206">
        <f t="shared" si="1"/>
        <v>0.50959780621572215</v>
      </c>
      <c r="G13" s="206">
        <f t="shared" si="1"/>
        <v>0.55002592016588903</v>
      </c>
      <c r="H13" s="206">
        <f t="shared" si="1"/>
        <v>0.53058823529411769</v>
      </c>
    </row>
    <row r="14" spans="1:13" s="4" customFormat="1">
      <c r="B14" s="204" t="s">
        <v>431</v>
      </c>
      <c r="C14" s="205"/>
      <c r="D14" s="210">
        <f>1-D13</f>
        <v>0.53558504221954162</v>
      </c>
      <c r="E14" s="207">
        <f t="shared" ref="E14:H14" si="2">1-E13</f>
        <v>0.50934880722114761</v>
      </c>
      <c r="F14" s="207">
        <f t="shared" si="2"/>
        <v>0.49040219378427785</v>
      </c>
      <c r="G14" s="207">
        <f t="shared" si="2"/>
        <v>0.44997407983411097</v>
      </c>
      <c r="H14" s="207">
        <f t="shared" si="2"/>
        <v>0.46941176470588231</v>
      </c>
    </row>
    <row r="15" spans="1:13" s="4" customFormat="1">
      <c r="B15" s="11"/>
      <c r="D15" s="127"/>
      <c r="E15" s="127"/>
      <c r="F15" s="127"/>
      <c r="G15" s="127"/>
      <c r="H15" s="127"/>
    </row>
    <row r="16" spans="1:13" s="4" customFormat="1">
      <c r="B16" s="18" t="s">
        <v>5</v>
      </c>
      <c r="D16" s="217"/>
      <c r="E16" s="217"/>
      <c r="F16" s="217"/>
      <c r="G16" s="217"/>
      <c r="H16" s="217"/>
    </row>
    <row r="17" spans="2:8" s="4" customFormat="1">
      <c r="B17" s="57" t="s">
        <v>200</v>
      </c>
      <c r="D17" s="23">
        <v>-41</v>
      </c>
      <c r="E17" s="23">
        <v>-52</v>
      </c>
      <c r="F17" s="23">
        <v>-69</v>
      </c>
      <c r="G17" s="23">
        <v>-81</v>
      </c>
      <c r="H17" s="23">
        <v>-98</v>
      </c>
    </row>
    <row r="18" spans="2:8" s="4" customFormat="1">
      <c r="B18" s="57" t="s">
        <v>202</v>
      </c>
      <c r="D18" s="23">
        <v>-26</v>
      </c>
      <c r="E18" s="23">
        <v>-100</v>
      </c>
      <c r="F18" s="23">
        <v>-154</v>
      </c>
      <c r="G18" s="23">
        <v>-141</v>
      </c>
      <c r="H18" s="23">
        <v>-180</v>
      </c>
    </row>
    <row r="19" spans="2:8" s="4" customFormat="1">
      <c r="B19" s="57" t="s">
        <v>203</v>
      </c>
      <c r="D19" s="23">
        <v>-24</v>
      </c>
      <c r="E19" s="23">
        <v>-1.3</v>
      </c>
      <c r="F19" s="23">
        <v>-3.6</v>
      </c>
      <c r="G19" s="23">
        <v>-13</v>
      </c>
      <c r="H19" s="23">
        <v>-16</v>
      </c>
    </row>
    <row r="20" spans="2:8" s="4" customFormat="1">
      <c r="B20" s="57" t="s">
        <v>204</v>
      </c>
      <c r="D20" s="23">
        <v>-21</v>
      </c>
      <c r="E20" s="23">
        <v>-25</v>
      </c>
      <c r="F20" s="23">
        <v>-18</v>
      </c>
      <c r="G20" s="23">
        <v>-8.6</v>
      </c>
      <c r="H20" s="23">
        <v>-17</v>
      </c>
    </row>
    <row r="21" spans="2:8" s="4" customFormat="1">
      <c r="B21" s="57" t="s">
        <v>205</v>
      </c>
      <c r="D21" s="23">
        <v>-4.5</v>
      </c>
      <c r="E21" s="23">
        <v>-17</v>
      </c>
      <c r="F21" s="23">
        <v>-29</v>
      </c>
      <c r="G21" s="23">
        <v>-26</v>
      </c>
      <c r="H21" s="23">
        <v>-45</v>
      </c>
    </row>
    <row r="22" spans="2:8" s="4" customFormat="1">
      <c r="B22" s="57" t="s">
        <v>206</v>
      </c>
      <c r="D22" s="23">
        <v>-21.7</v>
      </c>
      <c r="E22" s="23">
        <f>-17-4.5</f>
        <v>-21.5</v>
      </c>
      <c r="F22" s="23">
        <v>-30</v>
      </c>
      <c r="G22" s="23">
        <v>-31.7</v>
      </c>
      <c r="H22" s="23">
        <v>-35.6</v>
      </c>
    </row>
    <row r="23" spans="2:8" s="4" customFormat="1">
      <c r="B23" s="57" t="s">
        <v>464</v>
      </c>
      <c r="D23" s="23">
        <v>-44</v>
      </c>
      <c r="E23" s="23">
        <v>-63</v>
      </c>
      <c r="F23" s="23">
        <v>-80</v>
      </c>
      <c r="G23" s="23">
        <v>-86</v>
      </c>
      <c r="H23" s="23">
        <v>-94</v>
      </c>
    </row>
    <row r="24" spans="2:8" s="4" customFormat="1">
      <c r="B24" s="218" t="s">
        <v>456</v>
      </c>
      <c r="C24" s="219"/>
      <c r="D24" s="220">
        <f>SUM(D17:D23)</f>
        <v>-182.2</v>
      </c>
      <c r="E24" s="220">
        <f t="shared" ref="E24:H24" si="3">SUM(E17:E23)</f>
        <v>-279.8</v>
      </c>
      <c r="F24" s="220">
        <f t="shared" si="3"/>
        <v>-383.6</v>
      </c>
      <c r="G24" s="220">
        <f t="shared" si="3"/>
        <v>-387.3</v>
      </c>
      <c r="H24" s="220">
        <f t="shared" si="3"/>
        <v>-485.6</v>
      </c>
    </row>
    <row r="25" spans="2:8" s="4" customFormat="1">
      <c r="B25" s="104" t="s">
        <v>93</v>
      </c>
      <c r="C25" s="164"/>
      <c r="D25" s="134">
        <f>SUM(D24,D10)</f>
        <v>261.8</v>
      </c>
      <c r="E25" s="134">
        <f t="shared" ref="E25:G25" si="4">SUM(E24,E10)</f>
        <v>510.2</v>
      </c>
      <c r="F25" s="134">
        <f t="shared" si="4"/>
        <v>689.4</v>
      </c>
      <c r="G25" s="134">
        <f t="shared" si="4"/>
        <v>480.7</v>
      </c>
      <c r="H25" s="134">
        <f>SUM(H24,H10)</f>
        <v>711.4</v>
      </c>
    </row>
    <row r="26" spans="2:8" s="4" customFormat="1">
      <c r="B26" s="57" t="s">
        <v>6</v>
      </c>
      <c r="D26" s="3">
        <v>-70.77</v>
      </c>
      <c r="E26" s="23">
        <v>-82.67</v>
      </c>
      <c r="F26" s="23">
        <v>-105.72</v>
      </c>
      <c r="G26" s="294">
        <v>-120.33</v>
      </c>
      <c r="H26" s="23">
        <v>-129.33000000000001</v>
      </c>
    </row>
    <row r="27" spans="2:8" s="4" customFormat="1">
      <c r="B27" s="57" t="s">
        <v>7</v>
      </c>
      <c r="D27" s="23">
        <v>-3.23</v>
      </c>
      <c r="E27" s="23">
        <v>-3.23</v>
      </c>
      <c r="F27" s="23">
        <v>-3.23</v>
      </c>
      <c r="G27" s="294">
        <v>-3.23</v>
      </c>
      <c r="H27" s="23">
        <v>-3.23</v>
      </c>
    </row>
    <row r="28" spans="2:8" s="4" customFormat="1" ht="12.75">
      <c r="B28" s="133" t="s">
        <v>94</v>
      </c>
      <c r="C28" s="139"/>
      <c r="D28" s="134">
        <f t="shared" ref="D28:G28" si="5">SUM(D25:D27)</f>
        <v>187.80000000000004</v>
      </c>
      <c r="E28" s="134">
        <f t="shared" si="5"/>
        <v>424.29999999999995</v>
      </c>
      <c r="F28" s="134">
        <f t="shared" si="5"/>
        <v>580.44999999999993</v>
      </c>
      <c r="G28" s="134">
        <f t="shared" si="5"/>
        <v>357.14</v>
      </c>
      <c r="H28" s="134">
        <f>SUM(H25:H27)</f>
        <v>578.83999999999992</v>
      </c>
    </row>
    <row r="29" spans="2:8" s="4" customFormat="1">
      <c r="B29" s="57" t="s">
        <v>201</v>
      </c>
      <c r="D29" s="23">
        <v>-34</v>
      </c>
      <c r="E29" s="23">
        <v>-48</v>
      </c>
      <c r="F29" s="23">
        <v>-67</v>
      </c>
      <c r="G29" s="23">
        <v>-73</v>
      </c>
      <c r="H29" s="23">
        <v>-53</v>
      </c>
    </row>
    <row r="30" spans="2:8" s="4" customFormat="1">
      <c r="B30" s="20" t="s">
        <v>287</v>
      </c>
      <c r="D30" s="65">
        <v>7.5</v>
      </c>
      <c r="E30" s="65">
        <v>8.3000000000000007</v>
      </c>
      <c r="F30" s="65">
        <v>9.3000000000000007</v>
      </c>
      <c r="G30" s="65">
        <v>6.6</v>
      </c>
      <c r="H30" s="65">
        <v>15</v>
      </c>
    </row>
    <row r="31" spans="2:8" s="4" customFormat="1">
      <c r="B31" s="135" t="s">
        <v>288</v>
      </c>
      <c r="C31" s="139"/>
      <c r="D31" s="136">
        <f>SUM(D28:D30)</f>
        <v>161.30000000000004</v>
      </c>
      <c r="E31" s="136">
        <f>SUM(E28:E30)</f>
        <v>384.59999999999997</v>
      </c>
      <c r="F31" s="136">
        <f>SUM(F28:F30)</f>
        <v>522.74999999999989</v>
      </c>
      <c r="G31" s="136">
        <f>SUM(G28:G30)</f>
        <v>290.74</v>
      </c>
      <c r="H31" s="136">
        <f>SUM(H28:H30)</f>
        <v>540.83999999999992</v>
      </c>
    </row>
    <row r="32" spans="2:8" s="4" customFormat="1">
      <c r="B32" s="20" t="s">
        <v>207</v>
      </c>
      <c r="D32" s="65">
        <v>-60</v>
      </c>
      <c r="E32" s="65">
        <v>-131</v>
      </c>
      <c r="F32" s="65">
        <v>-169</v>
      </c>
      <c r="G32" s="65">
        <v>-95</v>
      </c>
      <c r="H32" s="65">
        <v>-183</v>
      </c>
    </row>
    <row r="33" spans="2:8" s="4" customFormat="1" ht="15.75" thickBot="1">
      <c r="B33" s="137" t="s">
        <v>208</v>
      </c>
      <c r="C33" s="138"/>
      <c r="D33" s="138">
        <f>SUM(D31:D32)</f>
        <v>101.30000000000004</v>
      </c>
      <c r="E33" s="138">
        <f>SUM(E31:E32)</f>
        <v>253.59999999999997</v>
      </c>
      <c r="F33" s="138">
        <f>SUM(F31:F32)</f>
        <v>353.74999999999989</v>
      </c>
      <c r="G33" s="138">
        <f>SUM(G31:G32)</f>
        <v>195.74</v>
      </c>
      <c r="H33" s="138">
        <f>SUM(H31:H32)</f>
        <v>357.83999999999992</v>
      </c>
    </row>
    <row r="34" spans="2:8" s="4" customFormat="1">
      <c r="B34" s="10"/>
      <c r="C34" s="65"/>
      <c r="D34" s="65"/>
      <c r="E34" s="65"/>
      <c r="F34" s="65"/>
      <c r="G34" s="65"/>
      <c r="H34" s="65"/>
    </row>
    <row r="35" spans="2:8">
      <c r="B35" t="s">
        <v>209</v>
      </c>
      <c r="D35" s="65">
        <v>17</v>
      </c>
      <c r="E35" s="65">
        <v>61</v>
      </c>
      <c r="F35" s="65">
        <v>85</v>
      </c>
      <c r="G35" s="65">
        <v>47</v>
      </c>
      <c r="H35" s="65">
        <v>85</v>
      </c>
    </row>
    <row r="36" spans="2:8">
      <c r="B36" s="11"/>
      <c r="D36" s="25"/>
      <c r="E36" s="25"/>
      <c r="F36" s="25"/>
    </row>
    <row r="37" spans="2:8">
      <c r="B37" s="11"/>
      <c r="D37" s="25"/>
      <c r="E37" s="25"/>
      <c r="F37" s="25"/>
    </row>
    <row r="38" spans="2:8">
      <c r="B38" s="11" t="s">
        <v>212</v>
      </c>
      <c r="C38" s="140" t="s">
        <v>211</v>
      </c>
      <c r="D38" s="19"/>
      <c r="E38" s="19"/>
      <c r="F38" s="19"/>
    </row>
    <row r="39" spans="2:8">
      <c r="B39" s="11"/>
      <c r="D39" s="19"/>
      <c r="E39" s="19"/>
      <c r="F39" s="19"/>
    </row>
    <row r="40" spans="2:8">
      <c r="B40" s="11"/>
      <c r="D40" s="19"/>
      <c r="E40" s="19"/>
      <c r="F40" s="19"/>
    </row>
    <row r="41" spans="2:8">
      <c r="B41" s="11"/>
      <c r="D41" s="19"/>
      <c r="E41" s="19"/>
      <c r="F41" s="19"/>
    </row>
    <row r="42" spans="2:8">
      <c r="B42" s="11"/>
      <c r="D42" s="19"/>
      <c r="E42" s="19"/>
      <c r="F42" s="19"/>
    </row>
    <row r="43" spans="2:8">
      <c r="B43" s="11"/>
      <c r="D43" s="19"/>
      <c r="E43" s="19"/>
      <c r="F43" s="19"/>
    </row>
    <row r="44" spans="2:8">
      <c r="B44" s="11"/>
      <c r="D44" s="19"/>
      <c r="E44" s="19"/>
      <c r="F44" s="19"/>
    </row>
    <row r="45" spans="2:8">
      <c r="B45" s="11"/>
      <c r="D45" s="19"/>
      <c r="E45" s="19"/>
      <c r="F45" s="19"/>
    </row>
    <row r="46" spans="2:8">
      <c r="D46" s="19"/>
      <c r="E46" s="19"/>
      <c r="F46" s="19"/>
    </row>
    <row r="47" spans="2:8">
      <c r="D47" s="19"/>
      <c r="E47" s="19"/>
      <c r="F47" s="19"/>
    </row>
    <row r="48" spans="2:8">
      <c r="D48" s="19"/>
      <c r="E48" s="19"/>
      <c r="F48" s="19"/>
    </row>
    <row r="49" spans="4:6">
      <c r="D49" s="26"/>
      <c r="E49" s="26"/>
      <c r="F49" s="26"/>
    </row>
    <row r="50" spans="4:6">
      <c r="D50" s="26"/>
      <c r="E50" s="26"/>
      <c r="F50" s="26"/>
    </row>
  </sheetData>
  <sheetProtection algorithmName="SHA-512" hashValue="wtnjbJchZA3fOq4yiKEvMzqtqtkRXTuqTVJF65ciaEi2Kv/mSqYvjAQ0fGDVqJFhnCtqlxSqGfZY1sTgHKmOhA==" saltValue="aidE5UkG+fszWsgn7AHcvw==" spinCount="100000" sheet="1" objects="1" scenarios="1"/>
  <hyperlinks>
    <hyperlink ref="C38" r:id="rId1" xr:uid="{5EFC93C6-1E35-4573-A2BF-9430392EA16D}"/>
  </hyperlinks>
  <pageMargins left="0.75" right="0.75" top="1" bottom="1" header="0.5" footer="0.5"/>
  <pageSetup scale="36" orientation="portrait" r:id="rId2"/>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46946-1417-4681-AAA5-A09BB19DF8BD}">
  <sheetPr>
    <tabColor rgb="FFFF0000"/>
  </sheetPr>
  <dimension ref="A1:O57"/>
  <sheetViews>
    <sheetView showGridLines="0" zoomScale="105" zoomScaleNormal="100" zoomScaleSheetLayoutView="115" workbookViewId="0">
      <pane xSplit="2" ySplit="6" topLeftCell="C8" activePane="bottomRight" state="frozen"/>
      <selection activeCell="H17" sqref="H17"/>
      <selection pane="topRight" activeCell="H17" sqref="H17"/>
      <selection pane="bottomLeft" activeCell="H17" sqref="H17"/>
      <selection pane="bottomRight"/>
    </sheetView>
  </sheetViews>
  <sheetFormatPr defaultColWidth="7.5703125" defaultRowHeight="12.75"/>
  <cols>
    <col min="1" max="1" width="2.28515625" style="4" customWidth="1"/>
    <col min="2" max="2" width="38.140625" style="4" bestFit="1" customWidth="1"/>
    <col min="3" max="3" width="14.140625" style="4" hidden="1" customWidth="1"/>
    <col min="4" max="8" width="9" style="4" bestFit="1" customWidth="1"/>
    <col min="9" max="9" width="20.28515625" style="4" bestFit="1" customWidth="1"/>
    <col min="10" max="18" width="14.140625" style="4" customWidth="1"/>
    <col min="19" max="16384" width="7.5703125" style="4"/>
  </cols>
  <sheetData>
    <row r="1" spans="1:15" ht="15">
      <c r="A1" s="1"/>
      <c r="B1" s="2"/>
      <c r="C1" s="2"/>
      <c r="D1" s="1"/>
      <c r="E1" s="1"/>
      <c r="F1" s="1"/>
      <c r="G1" s="3"/>
      <c r="H1" s="3"/>
    </row>
    <row r="2" spans="1:15" ht="15">
      <c r="A2" s="1"/>
      <c r="B2" s="5" t="s">
        <v>210</v>
      </c>
      <c r="C2" s="2"/>
      <c r="D2" s="2"/>
      <c r="E2" s="2"/>
      <c r="F2" s="1"/>
      <c r="G2" s="3"/>
      <c r="H2" s="3"/>
    </row>
    <row r="3" spans="1:15" ht="15">
      <c r="A3" s="1"/>
      <c r="B3" s="2" t="s">
        <v>10</v>
      </c>
      <c r="C3" s="2"/>
      <c r="D3" s="1"/>
      <c r="E3" s="1"/>
      <c r="F3" s="1"/>
      <c r="G3" s="3"/>
      <c r="H3" s="3"/>
    </row>
    <row r="4" spans="1:15" ht="15">
      <c r="A4" s="1"/>
      <c r="B4" s="7"/>
      <c r="C4" s="2"/>
      <c r="D4" s="1"/>
      <c r="E4" s="1"/>
      <c r="F4" s="1"/>
      <c r="G4" s="3"/>
      <c r="H4" s="3"/>
    </row>
    <row r="5" spans="1:15" ht="15">
      <c r="A5" s="1"/>
      <c r="B5" s="7" t="s">
        <v>1</v>
      </c>
      <c r="C5" s="2"/>
      <c r="D5" s="1"/>
      <c r="E5" s="1"/>
      <c r="F5" s="1"/>
      <c r="G5" s="3"/>
      <c r="H5" s="3"/>
    </row>
    <row r="6" spans="1:15" ht="15">
      <c r="A6" s="1"/>
      <c r="B6" s="165" t="s">
        <v>291</v>
      </c>
      <c r="C6" s="9"/>
      <c r="D6" s="9">
        <v>2021</v>
      </c>
      <c r="E6" s="9">
        <f>D6+1</f>
        <v>2022</v>
      </c>
      <c r="F6" s="9">
        <f>E6+1</f>
        <v>2023</v>
      </c>
      <c r="G6" s="9">
        <f>F6+1</f>
        <v>2024</v>
      </c>
      <c r="H6" s="9">
        <f>G6+1</f>
        <v>2025</v>
      </c>
    </row>
    <row r="8" spans="1:15" ht="15">
      <c r="A8" s="4" t="s">
        <v>35</v>
      </c>
      <c r="B8" s="27" t="s">
        <v>11</v>
      </c>
    </row>
    <row r="9" spans="1:15" ht="15">
      <c r="B9" s="143" t="s">
        <v>213</v>
      </c>
      <c r="C9"/>
      <c r="D9" s="222">
        <v>54</v>
      </c>
      <c r="E9" s="158">
        <v>154</v>
      </c>
      <c r="F9" s="158">
        <v>212</v>
      </c>
      <c r="G9" s="158">
        <v>263</v>
      </c>
      <c r="H9" s="158">
        <v>388</v>
      </c>
    </row>
    <row r="10" spans="1:15" ht="15">
      <c r="B10" s="144" t="s">
        <v>214</v>
      </c>
      <c r="C10"/>
      <c r="D10" s="222">
        <v>119</v>
      </c>
      <c r="E10" s="158">
        <v>256</v>
      </c>
      <c r="F10" s="158">
        <v>166</v>
      </c>
      <c r="G10" s="158">
        <v>179</v>
      </c>
      <c r="H10" s="158">
        <v>232</v>
      </c>
    </row>
    <row r="11" spans="1:15" ht="15">
      <c r="B11" s="115" t="s">
        <v>16</v>
      </c>
      <c r="C11" s="39"/>
      <c r="D11" s="339">
        <f>SUM(D12:D14)</f>
        <v>8.7999999999999989</v>
      </c>
      <c r="E11" s="159">
        <f>SUM(E12:E14)</f>
        <v>37.200000000000003</v>
      </c>
      <c r="F11" s="159">
        <f>SUM(F12:F14)</f>
        <v>41</v>
      </c>
      <c r="G11" s="159">
        <f>SUM(G12:G14)</f>
        <v>58.8</v>
      </c>
      <c r="H11" s="159">
        <f>SUM(H12:H14)</f>
        <v>153.61000000000001</v>
      </c>
      <c r="I11" s="250"/>
      <c r="J11"/>
      <c r="K11" s="158"/>
      <c r="L11" s="158"/>
      <c r="M11" s="158"/>
      <c r="N11" s="158"/>
      <c r="O11" s="158"/>
    </row>
    <row r="12" spans="1:15" ht="15">
      <c r="B12" s="144" t="s">
        <v>215</v>
      </c>
      <c r="C12"/>
      <c r="D12" s="222">
        <v>0.7</v>
      </c>
      <c r="E12" s="158">
        <v>25</v>
      </c>
      <c r="F12" s="158">
        <v>14</v>
      </c>
      <c r="G12" s="158">
        <v>3.1799999999999979</v>
      </c>
      <c r="H12" s="158">
        <v>18.639999999999979</v>
      </c>
      <c r="K12" s="158"/>
      <c r="L12" s="158"/>
      <c r="M12" s="158"/>
      <c r="N12" s="158"/>
      <c r="O12" s="158"/>
    </row>
    <row r="13" spans="1:15" ht="15">
      <c r="B13" s="144" t="s">
        <v>605</v>
      </c>
      <c r="C13"/>
      <c r="D13" s="222">
        <v>0</v>
      </c>
      <c r="E13" s="158">
        <v>0</v>
      </c>
      <c r="F13" s="158">
        <v>1</v>
      </c>
      <c r="G13" s="158">
        <v>3.6200000000000019</v>
      </c>
      <c r="H13" s="158">
        <v>3.3600000000000207</v>
      </c>
      <c r="I13" s="251"/>
      <c r="J13"/>
      <c r="K13" s="158"/>
      <c r="L13" s="158"/>
      <c r="M13" s="158"/>
      <c r="N13" s="158"/>
      <c r="O13" s="158"/>
    </row>
    <row r="14" spans="1:15" ht="15">
      <c r="B14" s="143" t="s">
        <v>227</v>
      </c>
      <c r="C14"/>
      <c r="D14" s="222">
        <v>8.1</v>
      </c>
      <c r="E14" s="158">
        <v>12.2</v>
      </c>
      <c r="F14" s="158">
        <v>26</v>
      </c>
      <c r="G14" s="158">
        <v>52</v>
      </c>
      <c r="H14" s="158">
        <v>131.61000000000001</v>
      </c>
    </row>
    <row r="15" spans="1:15" ht="15">
      <c r="B15" s="46" t="s">
        <v>17</v>
      </c>
      <c r="C15" s="46"/>
      <c r="D15" s="372">
        <f>SUM(D9:D11)</f>
        <v>181.8</v>
      </c>
      <c r="E15" s="372">
        <f t="shared" ref="E15:H15" si="0">SUM(E9:E11)</f>
        <v>447.2</v>
      </c>
      <c r="F15" s="372">
        <f t="shared" si="0"/>
        <v>419</v>
      </c>
      <c r="G15" s="372">
        <f t="shared" si="0"/>
        <v>500.8</v>
      </c>
      <c r="H15" s="372">
        <f t="shared" si="0"/>
        <v>773.61</v>
      </c>
    </row>
    <row r="16" spans="1:15" ht="15">
      <c r="B16" s="39"/>
      <c r="C16" s="39"/>
      <c r="D16" s="159"/>
      <c r="E16" s="159"/>
      <c r="F16" s="159"/>
      <c r="G16" s="159"/>
      <c r="H16" s="159"/>
    </row>
    <row r="17" spans="1:9" ht="15">
      <c r="B17" s="143" t="s">
        <v>537</v>
      </c>
      <c r="C17"/>
      <c r="D17" s="158">
        <v>1070.6500000000001</v>
      </c>
      <c r="E17" s="158">
        <v>1039.4000000000001</v>
      </c>
      <c r="F17" s="158">
        <v>1778.85</v>
      </c>
      <c r="G17" s="158">
        <v>1744.68</v>
      </c>
      <c r="H17" s="158">
        <v>2219.39</v>
      </c>
    </row>
    <row r="18" spans="1:9" ht="15">
      <c r="B18" s="143" t="s">
        <v>538</v>
      </c>
      <c r="C18"/>
      <c r="D18" s="158">
        <v>31.35</v>
      </c>
      <c r="E18" s="158">
        <v>28.6</v>
      </c>
      <c r="F18" s="158">
        <v>25.15</v>
      </c>
      <c r="G18" s="158">
        <v>22.32</v>
      </c>
      <c r="H18" s="158">
        <v>19</v>
      </c>
    </row>
    <row r="19" spans="1:9" ht="15">
      <c r="B19" s="144" t="s">
        <v>216</v>
      </c>
      <c r="C19"/>
      <c r="D19" s="158">
        <v>126</v>
      </c>
      <c r="E19" s="158">
        <v>589</v>
      </c>
      <c r="F19" s="158">
        <v>158</v>
      </c>
      <c r="G19" s="158">
        <v>483</v>
      </c>
      <c r="H19" s="158">
        <v>64</v>
      </c>
    </row>
    <row r="20" spans="1:9" ht="15">
      <c r="B20" s="142" t="s">
        <v>217</v>
      </c>
      <c r="C20"/>
      <c r="D20" s="159">
        <f>SUM(D21:D23)</f>
        <v>39.200000000000003</v>
      </c>
      <c r="E20" s="159">
        <f>SUM(E21:E23)</f>
        <v>19.8</v>
      </c>
      <c r="F20" s="159">
        <f>SUM(F21:F23)</f>
        <v>51</v>
      </c>
      <c r="G20" s="159">
        <f>SUM(G21:G23)</f>
        <v>43.2</v>
      </c>
      <c r="H20" s="159">
        <f>SUM(H21:H23)</f>
        <v>76</v>
      </c>
    </row>
    <row r="21" spans="1:9" ht="15">
      <c r="B21" s="144" t="s">
        <v>221</v>
      </c>
      <c r="C21"/>
      <c r="D21" s="158">
        <v>0</v>
      </c>
      <c r="E21" s="158">
        <v>0</v>
      </c>
      <c r="F21" s="158">
        <v>21</v>
      </c>
      <c r="G21" s="158">
        <v>21</v>
      </c>
      <c r="H21" s="158">
        <v>22</v>
      </c>
      <c r="I21" s="3"/>
    </row>
    <row r="22" spans="1:9" ht="15">
      <c r="B22" s="144" t="s">
        <v>222</v>
      </c>
      <c r="C22"/>
      <c r="D22" s="158">
        <v>35</v>
      </c>
      <c r="E22" s="158">
        <v>18</v>
      </c>
      <c r="F22" s="158">
        <v>30</v>
      </c>
      <c r="G22" s="158">
        <v>21</v>
      </c>
      <c r="H22" s="158">
        <v>54</v>
      </c>
      <c r="I22" s="21"/>
    </row>
    <row r="23" spans="1:9" ht="15">
      <c r="B23" s="143" t="s">
        <v>223</v>
      </c>
      <c r="C23"/>
      <c r="D23" s="158">
        <v>4.2</v>
      </c>
      <c r="E23" s="158">
        <v>1.8</v>
      </c>
      <c r="F23" s="158">
        <v>0</v>
      </c>
      <c r="G23" s="158">
        <v>1.2</v>
      </c>
      <c r="H23" s="158">
        <v>0</v>
      </c>
    </row>
    <row r="24" spans="1:9" ht="15">
      <c r="B24" s="104" t="s">
        <v>228</v>
      </c>
      <c r="C24" s="46"/>
      <c r="D24" s="372">
        <f t="shared" ref="D24:H24" si="1">SUM(D17:D20)</f>
        <v>1267.2</v>
      </c>
      <c r="E24" s="372">
        <f t="shared" si="1"/>
        <v>1676.8</v>
      </c>
      <c r="F24" s="372">
        <f t="shared" si="1"/>
        <v>2013</v>
      </c>
      <c r="G24" s="372">
        <f t="shared" si="1"/>
        <v>2293.1999999999998</v>
      </c>
      <c r="H24" s="372">
        <f t="shared" si="1"/>
        <v>2378.39</v>
      </c>
    </row>
    <row r="25" spans="1:9">
      <c r="B25" s="20"/>
      <c r="D25" s="159"/>
      <c r="E25" s="159"/>
      <c r="F25" s="159"/>
      <c r="G25" s="159"/>
      <c r="H25" s="159"/>
    </row>
    <row r="26" spans="1:9" ht="13.5" thickBot="1">
      <c r="B26" s="24" t="s">
        <v>20</v>
      </c>
      <c r="C26" s="24"/>
      <c r="D26" s="372">
        <f>D24+D15</f>
        <v>1449</v>
      </c>
      <c r="E26" s="372">
        <f>E24+E15</f>
        <v>2124</v>
      </c>
      <c r="F26" s="372">
        <f>F24+F15</f>
        <v>2432</v>
      </c>
      <c r="G26" s="372">
        <f>G24+G15</f>
        <v>2794</v>
      </c>
      <c r="H26" s="372">
        <f>H24+H15</f>
        <v>3152</v>
      </c>
    </row>
    <row r="27" spans="1:9">
      <c r="D27" s="161"/>
      <c r="E27" s="161"/>
      <c r="F27" s="161"/>
      <c r="G27" s="162"/>
      <c r="H27" s="162"/>
    </row>
    <row r="28" spans="1:9">
      <c r="D28" s="161"/>
      <c r="E28" s="161"/>
      <c r="F28" s="161"/>
      <c r="G28" s="162"/>
      <c r="H28" s="162"/>
    </row>
    <row r="29" spans="1:9" ht="15">
      <c r="A29" s="4" t="s">
        <v>35</v>
      </c>
      <c r="B29" s="27" t="s">
        <v>21</v>
      </c>
      <c r="D29" s="161"/>
      <c r="E29" s="161"/>
      <c r="F29" s="161"/>
      <c r="G29" s="162"/>
      <c r="H29" s="162"/>
    </row>
    <row r="30" spans="1:9" ht="15">
      <c r="B30" s="143" t="s">
        <v>229</v>
      </c>
      <c r="C30"/>
      <c r="D30" s="158">
        <v>73</v>
      </c>
      <c r="E30" s="158">
        <v>88</v>
      </c>
      <c r="F30" s="158">
        <v>110</v>
      </c>
      <c r="G30" s="158">
        <v>184</v>
      </c>
      <c r="H30" s="158">
        <v>186</v>
      </c>
    </row>
    <row r="31" spans="1:9" ht="15">
      <c r="B31" s="143" t="s">
        <v>218</v>
      </c>
      <c r="C31"/>
      <c r="D31" s="158">
        <v>0.2</v>
      </c>
      <c r="E31" s="158">
        <v>9.6</v>
      </c>
      <c r="F31" s="158">
        <v>0.3</v>
      </c>
      <c r="G31" s="158">
        <v>2</v>
      </c>
      <c r="H31" s="158">
        <v>0.6</v>
      </c>
    </row>
    <row r="32" spans="1:9" ht="15">
      <c r="B32" s="115" t="s">
        <v>24</v>
      </c>
      <c r="C32" s="39"/>
      <c r="D32" s="159">
        <f>SUM(D33:D37)</f>
        <v>316.10000000000002</v>
      </c>
      <c r="E32" s="159">
        <f>SUM(E33:E37)</f>
        <v>434.90000000000003</v>
      </c>
      <c r="F32" s="159">
        <f>SUM(F33:F37)</f>
        <v>535.70000000000005</v>
      </c>
      <c r="G32" s="159">
        <f>SUM(G33:G37)</f>
        <v>592</v>
      </c>
      <c r="H32" s="159">
        <f>SUM(H33:H37)</f>
        <v>305.8</v>
      </c>
    </row>
    <row r="33" spans="2:8" ht="15">
      <c r="B33" s="143" t="s">
        <v>230</v>
      </c>
      <c r="C33"/>
      <c r="D33" s="158">
        <v>0.5</v>
      </c>
      <c r="E33" s="158">
        <v>0</v>
      </c>
      <c r="F33" s="158">
        <v>0.9</v>
      </c>
      <c r="G33" s="158">
        <v>0</v>
      </c>
      <c r="H33" s="158">
        <v>0</v>
      </c>
    </row>
    <row r="34" spans="2:8" ht="15">
      <c r="B34" s="143" t="s">
        <v>231</v>
      </c>
      <c r="C34"/>
      <c r="D34" s="158">
        <v>0.9</v>
      </c>
      <c r="E34" s="158">
        <v>0.8</v>
      </c>
      <c r="F34" s="158">
        <v>1.6</v>
      </c>
      <c r="G34" s="158">
        <v>12</v>
      </c>
      <c r="H34" s="158">
        <v>6.5</v>
      </c>
    </row>
    <row r="35" spans="2:8" ht="15">
      <c r="B35" s="143" t="s">
        <v>232</v>
      </c>
      <c r="C35"/>
      <c r="D35" s="158">
        <v>3.3</v>
      </c>
      <c r="E35" s="158">
        <v>18</v>
      </c>
      <c r="F35" s="158">
        <v>19</v>
      </c>
      <c r="G35" s="158">
        <v>14</v>
      </c>
      <c r="H35" s="158">
        <v>5</v>
      </c>
    </row>
    <row r="36" spans="2:8" ht="15">
      <c r="B36" s="143" t="s">
        <v>220</v>
      </c>
      <c r="C36"/>
      <c r="D36" s="158">
        <v>75</v>
      </c>
      <c r="E36" s="158">
        <v>80</v>
      </c>
      <c r="F36" s="158">
        <v>92</v>
      </c>
      <c r="G36" s="158">
        <v>221</v>
      </c>
      <c r="H36" s="158">
        <v>50</v>
      </c>
    </row>
    <row r="37" spans="2:8" ht="15">
      <c r="B37" s="143" t="s">
        <v>233</v>
      </c>
      <c r="C37"/>
      <c r="D37" s="158">
        <v>236.4</v>
      </c>
      <c r="E37" s="158">
        <v>336.1</v>
      </c>
      <c r="F37" s="158">
        <v>422.2</v>
      </c>
      <c r="G37" s="158">
        <v>345</v>
      </c>
      <c r="H37" s="158">
        <v>244.3</v>
      </c>
    </row>
    <row r="38" spans="2:8" ht="15.75" thickBot="1">
      <c r="B38" s="108" t="s">
        <v>126</v>
      </c>
      <c r="C38" s="49"/>
      <c r="D38" s="145">
        <f>SUM(D30:D32)</f>
        <v>389.3</v>
      </c>
      <c r="E38" s="145">
        <f>SUM(E30:E32)</f>
        <v>532.5</v>
      </c>
      <c r="F38" s="145">
        <f>SUM(F30:F32)</f>
        <v>646</v>
      </c>
      <c r="G38" s="145">
        <f>SUM(G30:G32)</f>
        <v>778</v>
      </c>
      <c r="H38" s="145">
        <f>SUM(H30:H32)</f>
        <v>492.4</v>
      </c>
    </row>
    <row r="39" spans="2:8">
      <c r="B39" s="14"/>
      <c r="D39" s="159"/>
      <c r="E39" s="159"/>
      <c r="F39" s="159"/>
      <c r="G39" s="159"/>
      <c r="H39" s="159"/>
    </row>
    <row r="40" spans="2:8" ht="15">
      <c r="B40" s="143" t="s">
        <v>219</v>
      </c>
      <c r="C40"/>
      <c r="D40" s="158">
        <v>340</v>
      </c>
      <c r="E40" s="158">
        <v>768</v>
      </c>
      <c r="F40" s="158">
        <v>545</v>
      </c>
      <c r="G40" s="158">
        <v>547</v>
      </c>
      <c r="H40" s="158">
        <v>449</v>
      </c>
    </row>
    <row r="41" spans="2:8" ht="15">
      <c r="B41" s="39" t="s">
        <v>26</v>
      </c>
      <c r="C41" s="39"/>
      <c r="D41" s="159">
        <f>SUM(D42:D44)</f>
        <v>35.700000000000003</v>
      </c>
      <c r="E41" s="159">
        <f>SUM(E42:E44)</f>
        <v>97.5</v>
      </c>
      <c r="F41" s="159">
        <f>SUM(F42:F44)</f>
        <v>171</v>
      </c>
      <c r="G41" s="159">
        <f>SUM(G42:G44)</f>
        <v>214</v>
      </c>
      <c r="H41" s="159">
        <f>SUM(H42:H44)</f>
        <v>306.60000000000002</v>
      </c>
    </row>
    <row r="42" spans="2:8" ht="15">
      <c r="B42" s="143" t="s">
        <v>234</v>
      </c>
      <c r="C42"/>
      <c r="D42" s="158">
        <v>31</v>
      </c>
      <c r="E42" s="158">
        <v>92</v>
      </c>
      <c r="F42" s="158">
        <v>167</v>
      </c>
      <c r="G42" s="158">
        <v>209</v>
      </c>
      <c r="H42" s="158">
        <v>294</v>
      </c>
    </row>
    <row r="43" spans="2:8" ht="15">
      <c r="B43" s="143" t="s">
        <v>235</v>
      </c>
      <c r="C43"/>
      <c r="D43" s="158">
        <v>3.1</v>
      </c>
      <c r="E43" s="158">
        <v>2.6</v>
      </c>
      <c r="F43" s="158">
        <v>1.3</v>
      </c>
      <c r="G43" s="158">
        <v>0.1</v>
      </c>
      <c r="H43" s="158">
        <v>6.8</v>
      </c>
    </row>
    <row r="44" spans="2:8" ht="15">
      <c r="B44" s="143" t="s">
        <v>236</v>
      </c>
      <c r="C44"/>
      <c r="D44" s="158">
        <v>1.6</v>
      </c>
      <c r="E44" s="158">
        <v>2.9</v>
      </c>
      <c r="F44" s="158">
        <v>2.7</v>
      </c>
      <c r="G44" s="158">
        <v>4.9000000000000004</v>
      </c>
      <c r="H44" s="158">
        <v>5.8</v>
      </c>
    </row>
    <row r="45" spans="2:8" ht="15">
      <c r="B45"/>
      <c r="C45"/>
      <c r="D45" s="158"/>
      <c r="E45" s="158"/>
      <c r="F45" s="158"/>
      <c r="G45" s="158"/>
      <c r="H45" s="158"/>
    </row>
    <row r="46" spans="2:8" ht="15.75" thickBot="1">
      <c r="B46" s="108" t="s">
        <v>237</v>
      </c>
      <c r="C46" s="49"/>
      <c r="D46" s="146">
        <f t="shared" ref="D46:G46" si="2">SUM(D40:D41)</f>
        <v>375.7</v>
      </c>
      <c r="E46" s="146">
        <f t="shared" si="2"/>
        <v>865.5</v>
      </c>
      <c r="F46" s="146">
        <f t="shared" si="2"/>
        <v>716</v>
      </c>
      <c r="G46" s="146">
        <f t="shared" si="2"/>
        <v>761</v>
      </c>
      <c r="H46" s="146">
        <f>SUM(H40:H41)</f>
        <v>755.6</v>
      </c>
    </row>
    <row r="47" spans="2:8">
      <c r="D47" s="161"/>
      <c r="E47" s="161"/>
      <c r="F47" s="161"/>
      <c r="G47" s="162"/>
      <c r="H47" s="162"/>
    </row>
    <row r="48" spans="2:8" ht="15">
      <c r="B48" s="143" t="s">
        <v>238</v>
      </c>
      <c r="C48"/>
      <c r="D48" s="158">
        <v>252</v>
      </c>
      <c r="E48" s="158">
        <v>42</v>
      </c>
      <c r="F48" s="158">
        <v>42</v>
      </c>
      <c r="G48" s="158">
        <v>42</v>
      </c>
      <c r="H48" s="158">
        <v>43</v>
      </c>
    </row>
    <row r="49" spans="2:8" ht="15">
      <c r="B49" s="143" t="s">
        <v>239</v>
      </c>
      <c r="C49"/>
      <c r="D49" s="158">
        <v>432</v>
      </c>
      <c r="E49" s="158">
        <v>684</v>
      </c>
      <c r="F49" s="158">
        <v>1028</v>
      </c>
      <c r="G49" s="158">
        <v>1213</v>
      </c>
      <c r="H49" s="158">
        <v>1861</v>
      </c>
    </row>
    <row r="50" spans="2:8" ht="15.75" thickBot="1">
      <c r="B50" s="108" t="s">
        <v>240</v>
      </c>
      <c r="C50" s="49"/>
      <c r="D50" s="146">
        <f>SUM(D48:D49)</f>
        <v>684</v>
      </c>
      <c r="E50" s="146">
        <f>SUM(E48:E49)</f>
        <v>726</v>
      </c>
      <c r="F50" s="146">
        <f>SUM(F48:F49)</f>
        <v>1070</v>
      </c>
      <c r="G50" s="146">
        <f>SUM(G48:G49)</f>
        <v>1255</v>
      </c>
      <c r="H50" s="146">
        <f>SUM(H48:H49)</f>
        <v>1904</v>
      </c>
    </row>
    <row r="51" spans="2:8">
      <c r="D51" s="161"/>
      <c r="E51" s="161"/>
      <c r="F51" s="161"/>
      <c r="G51" s="162"/>
      <c r="H51" s="162"/>
    </row>
    <row r="52" spans="2:8" ht="15.75" thickBot="1">
      <c r="B52" s="99" t="s">
        <v>31</v>
      </c>
      <c r="C52" s="24"/>
      <c r="D52" s="147">
        <f>D50+D46+D38</f>
        <v>1449</v>
      </c>
      <c r="E52" s="147">
        <f>E50+E46+E38</f>
        <v>2124</v>
      </c>
      <c r="F52" s="147">
        <f>F50+F46+F38</f>
        <v>2432</v>
      </c>
      <c r="G52" s="147">
        <f>G50+G46+G38</f>
        <v>2794</v>
      </c>
      <c r="H52" s="147">
        <f>H50+H46+H38</f>
        <v>3152</v>
      </c>
    </row>
    <row r="53" spans="2:8">
      <c r="D53" s="28"/>
      <c r="E53" s="28"/>
      <c r="F53" s="28"/>
    </row>
    <row r="54" spans="2:8">
      <c r="B54" s="3" t="s">
        <v>108</v>
      </c>
      <c r="C54" s="3"/>
      <c r="D54" s="148" t="b">
        <f>D52=D26</f>
        <v>1</v>
      </c>
      <c r="E54" s="148" t="b">
        <f>E52=E26</f>
        <v>1</v>
      </c>
      <c r="F54" s="148" t="b">
        <f>F52=F26</f>
        <v>1</v>
      </c>
      <c r="G54" s="148" t="b">
        <f>G52=G26</f>
        <v>1</v>
      </c>
      <c r="H54" s="148" t="b">
        <f>H52=H26</f>
        <v>1</v>
      </c>
    </row>
    <row r="55" spans="2:8">
      <c r="D55" s="17"/>
      <c r="E55" s="17"/>
      <c r="F55" s="17"/>
    </row>
    <row r="56" spans="2:8" ht="15">
      <c r="B56" s="11" t="s">
        <v>212</v>
      </c>
      <c r="C56" s="140" t="s">
        <v>211</v>
      </c>
      <c r="D56" s="19"/>
      <c r="E56" s="19"/>
      <c r="F56" s="19"/>
    </row>
    <row r="57" spans="2:8">
      <c r="D57" s="19"/>
      <c r="E57" s="19"/>
      <c r="F57" s="19"/>
    </row>
  </sheetData>
  <sheetProtection algorithmName="SHA-512" hashValue="sbu/ODdEVQofm3nyvI5X/qxtvff6vHgInQVLdFK5taqeGrera2PL0unfMk90RmAFLIn/GOoS0SYPTkmJ1wntNw==" saltValue="IE/ARDKnoYaCkg/eQ5Rg7Q==" spinCount="100000" sheet="1" objects="1" scenarios="1"/>
  <hyperlinks>
    <hyperlink ref="C56" r:id="rId1" xr:uid="{B09EA469-0CCE-4215-9389-6CEC4FAC5E19}"/>
  </hyperlinks>
  <pageMargins left="0.75" right="0.75" top="1" bottom="1" header="0.5" footer="0.5"/>
  <pageSetup scale="36" orientation="portrait" r:id="rId2"/>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D76AB-3EB1-4F06-BF5B-5015415132D7}">
  <sheetPr>
    <tabColor rgb="FFFF0000"/>
  </sheetPr>
  <dimension ref="A1:M58"/>
  <sheetViews>
    <sheetView showGridLines="0" zoomScale="105" zoomScaleNormal="130" zoomScaleSheetLayoutView="115" workbookViewId="0">
      <pane xSplit="2" ySplit="5" topLeftCell="C8" activePane="bottomRight" state="frozen"/>
      <selection activeCell="H17" sqref="H17"/>
      <selection pane="topRight" activeCell="H17" sqref="H17"/>
      <selection pane="bottomLeft" activeCell="H17" sqref="H17"/>
      <selection pane="bottomRight"/>
    </sheetView>
  </sheetViews>
  <sheetFormatPr defaultColWidth="7.5703125" defaultRowHeight="12.75"/>
  <cols>
    <col min="1" max="1" width="2.28515625" style="4" customWidth="1"/>
    <col min="2" max="2" width="38.140625" style="4" bestFit="1" customWidth="1"/>
    <col min="3" max="3" width="14.140625" style="4" customWidth="1"/>
    <col min="4" max="8" width="9" style="4" bestFit="1" customWidth="1"/>
    <col min="9" max="13" width="10" style="4" customWidth="1"/>
    <col min="14" max="18" width="14.140625" style="4" customWidth="1"/>
    <col min="19" max="16384" width="7.5703125" style="4"/>
  </cols>
  <sheetData>
    <row r="1" spans="1:13" ht="15">
      <c r="A1" s="1"/>
      <c r="B1" s="2"/>
      <c r="C1" s="2"/>
      <c r="D1" s="1"/>
      <c r="E1" s="1"/>
      <c r="F1" s="1"/>
      <c r="G1" s="3"/>
      <c r="H1" s="3"/>
    </row>
    <row r="2" spans="1:13" ht="15">
      <c r="A2" s="1"/>
      <c r="B2" s="5" t="s">
        <v>210</v>
      </c>
      <c r="C2" s="2"/>
      <c r="D2" s="2"/>
      <c r="E2" s="2"/>
      <c r="F2" s="1"/>
      <c r="G2" s="3"/>
      <c r="H2" s="3"/>
    </row>
    <row r="3" spans="1:13" ht="15">
      <c r="A3" s="1"/>
      <c r="B3" s="2" t="s">
        <v>241</v>
      </c>
      <c r="C3" s="2"/>
      <c r="D3" s="1"/>
      <c r="E3" s="1"/>
      <c r="F3" s="1"/>
      <c r="G3" s="3"/>
      <c r="H3" s="3"/>
    </row>
    <row r="4" spans="1:13" ht="15">
      <c r="A4" s="1"/>
      <c r="B4" s="7"/>
      <c r="C4" s="2"/>
      <c r="D4" s="1"/>
      <c r="E4" s="1"/>
      <c r="F4" s="1"/>
      <c r="G4" s="3"/>
      <c r="H4" s="3"/>
    </row>
    <row r="5" spans="1:13" ht="15">
      <c r="A5" s="1"/>
      <c r="B5" s="7" t="s">
        <v>1</v>
      </c>
      <c r="C5" s="2"/>
      <c r="D5" s="1"/>
      <c r="E5" s="1"/>
      <c r="F5" s="1"/>
      <c r="G5" s="3"/>
      <c r="H5" s="3"/>
    </row>
    <row r="6" spans="1:13" ht="15">
      <c r="A6" s="1"/>
      <c r="B6" s="165" t="s">
        <v>291</v>
      </c>
      <c r="C6" s="9"/>
      <c r="D6" s="9">
        <v>2021</v>
      </c>
      <c r="E6" s="9">
        <f>D6+1</f>
        <v>2022</v>
      </c>
      <c r="F6" s="9">
        <f>E6+1</f>
        <v>2023</v>
      </c>
      <c r="G6" s="9">
        <f>F6+1</f>
        <v>2024</v>
      </c>
      <c r="H6" s="9">
        <f>G6+1</f>
        <v>2025</v>
      </c>
    </row>
    <row r="8" spans="1:13">
      <c r="A8" s="4" t="s">
        <v>35</v>
      </c>
      <c r="B8" s="149" t="s">
        <v>242</v>
      </c>
      <c r="C8" s="150"/>
      <c r="D8" s="151"/>
      <c r="E8" s="150"/>
      <c r="F8" s="150" t="s">
        <v>42</v>
      </c>
    </row>
    <row r="9" spans="1:13">
      <c r="B9" s="154" t="s">
        <v>243</v>
      </c>
      <c r="D9" s="222">
        <v>160.86000000000001</v>
      </c>
      <c r="E9" s="222">
        <v>383.42</v>
      </c>
      <c r="F9" s="222">
        <v>522.48</v>
      </c>
      <c r="G9" s="222">
        <v>290.72000000000003</v>
      </c>
      <c r="H9" s="222">
        <v>540.1</v>
      </c>
      <c r="I9" s="340"/>
      <c r="J9" s="340"/>
      <c r="K9" s="340"/>
      <c r="L9" s="340"/>
      <c r="M9" s="340"/>
    </row>
    <row r="10" spans="1:13">
      <c r="B10" s="154" t="s">
        <v>244</v>
      </c>
      <c r="D10" s="346"/>
      <c r="E10" s="222"/>
      <c r="F10" s="222"/>
      <c r="G10" s="222"/>
      <c r="H10" s="222"/>
      <c r="I10" s="341"/>
      <c r="J10" s="340"/>
      <c r="K10" s="340"/>
      <c r="L10" s="340"/>
      <c r="M10" s="340"/>
    </row>
    <row r="11" spans="1:13" ht="15">
      <c r="B11" s="154" t="s">
        <v>245</v>
      </c>
      <c r="D11" s="222">
        <v>70.31</v>
      </c>
      <c r="E11" s="222">
        <v>82.679999999999993</v>
      </c>
      <c r="F11" s="222">
        <v>105.72</v>
      </c>
      <c r="G11" s="222">
        <v>120.33</v>
      </c>
      <c r="H11" s="222">
        <v>129.33000000000001</v>
      </c>
      <c r="I11"/>
      <c r="J11"/>
      <c r="K11"/>
      <c r="L11"/>
      <c r="M11"/>
    </row>
    <row r="12" spans="1:13" ht="15">
      <c r="B12" s="336" t="s">
        <v>593</v>
      </c>
      <c r="D12" s="222">
        <f>' Income Statement'!D27*-1</f>
        <v>3.23</v>
      </c>
      <c r="E12" s="222">
        <f>' Income Statement'!E27*-1</f>
        <v>3.23</v>
      </c>
      <c r="F12" s="222">
        <f>' Income Statement'!F27*-1</f>
        <v>3.23</v>
      </c>
      <c r="G12" s="222">
        <f>' Income Statement'!G27*-1</f>
        <v>3.23</v>
      </c>
      <c r="H12" s="222">
        <f>' Income Statement'!H27*-1</f>
        <v>3.23</v>
      </c>
      <c r="I12"/>
      <c r="J12"/>
      <c r="K12"/>
      <c r="L12"/>
      <c r="M12"/>
    </row>
    <row r="13" spans="1:13" ht="15">
      <c r="B13" s="154" t="s">
        <v>246</v>
      </c>
      <c r="D13" s="222">
        <v>-0.15</v>
      </c>
      <c r="E13" s="222">
        <v>-0.16</v>
      </c>
      <c r="F13" s="222">
        <v>-0.84</v>
      </c>
      <c r="G13" s="222">
        <v>-0.1</v>
      </c>
      <c r="H13" s="222">
        <v>-0.33</v>
      </c>
      <c r="I13"/>
      <c r="J13"/>
      <c r="K13"/>
      <c r="L13"/>
      <c r="M13"/>
    </row>
    <row r="14" spans="1:13" ht="15">
      <c r="B14" s="154" t="s">
        <v>201</v>
      </c>
      <c r="D14" s="222">
        <v>29.11</v>
      </c>
      <c r="E14" s="222">
        <v>44.27</v>
      </c>
      <c r="F14" s="222">
        <v>65.5</v>
      </c>
      <c r="G14" s="222">
        <v>73.489999999999995</v>
      </c>
      <c r="H14" s="222">
        <v>53.27</v>
      </c>
      <c r="I14"/>
      <c r="J14"/>
      <c r="K14"/>
      <c r="L14"/>
      <c r="M14"/>
    </row>
    <row r="15" spans="1:13" ht="15">
      <c r="B15" s="154" t="s">
        <v>247</v>
      </c>
      <c r="D15" s="222">
        <v>-0.14399999999999999</v>
      </c>
      <c r="E15" s="222">
        <v>0.28999999999999998</v>
      </c>
      <c r="F15" s="222">
        <v>-0.75</v>
      </c>
      <c r="G15" s="222">
        <v>-0.51</v>
      </c>
      <c r="H15" s="222">
        <v>-0.95</v>
      </c>
      <c r="I15"/>
      <c r="J15"/>
      <c r="K15"/>
      <c r="L15"/>
      <c r="M15"/>
    </row>
    <row r="16" spans="1:13" ht="15">
      <c r="B16" s="154" t="s">
        <v>248</v>
      </c>
      <c r="D16" s="222">
        <v>0</v>
      </c>
      <c r="E16" s="222">
        <v>7.0000000000000007E-2</v>
      </c>
      <c r="F16" s="222">
        <v>5.0000000000000001E-3</v>
      </c>
      <c r="G16" s="222">
        <v>0.05</v>
      </c>
      <c r="H16" s="222">
        <v>-5.04</v>
      </c>
      <c r="I16"/>
      <c r="J16"/>
      <c r="K16"/>
      <c r="L16"/>
      <c r="M16"/>
    </row>
    <row r="17" spans="1:13" ht="15">
      <c r="B17" s="154" t="s">
        <v>249</v>
      </c>
      <c r="D17" s="222">
        <v>0</v>
      </c>
      <c r="E17" s="222">
        <v>0</v>
      </c>
      <c r="F17" s="222">
        <v>0</v>
      </c>
      <c r="G17" s="222">
        <v>0</v>
      </c>
      <c r="H17" s="222">
        <v>-1.48</v>
      </c>
      <c r="I17"/>
      <c r="J17"/>
      <c r="K17"/>
      <c r="L17"/>
      <c r="M17"/>
    </row>
    <row r="18" spans="1:13" ht="15">
      <c r="B18" s="143" t="s">
        <v>250</v>
      </c>
      <c r="D18" s="222">
        <v>0</v>
      </c>
      <c r="E18" s="222">
        <v>-0.12</v>
      </c>
      <c r="F18" s="222">
        <v>0</v>
      </c>
      <c r="G18" s="222">
        <v>0</v>
      </c>
      <c r="H18" s="222">
        <v>0</v>
      </c>
      <c r="I18"/>
      <c r="J18"/>
      <c r="K18"/>
      <c r="L18"/>
      <c r="M18"/>
    </row>
    <row r="19" spans="1:13" ht="15">
      <c r="B19" s="154" t="s">
        <v>251</v>
      </c>
      <c r="D19" s="222">
        <v>0</v>
      </c>
      <c r="E19" s="222">
        <v>0</v>
      </c>
      <c r="F19" s="222">
        <v>0</v>
      </c>
      <c r="G19" s="222">
        <v>0</v>
      </c>
      <c r="H19" s="222">
        <v>-0.41</v>
      </c>
      <c r="I19"/>
      <c r="J19"/>
      <c r="K19"/>
      <c r="L19"/>
      <c r="M19"/>
    </row>
    <row r="20" spans="1:13" ht="15">
      <c r="B20" s="154" t="s">
        <v>252</v>
      </c>
      <c r="D20" s="222">
        <v>0</v>
      </c>
      <c r="E20" s="222">
        <v>0</v>
      </c>
      <c r="F20" s="222">
        <v>0</v>
      </c>
      <c r="G20" s="222">
        <v>0</v>
      </c>
      <c r="H20" s="222">
        <v>0.02</v>
      </c>
      <c r="I20"/>
      <c r="J20"/>
      <c r="K20"/>
      <c r="L20"/>
      <c r="M20"/>
    </row>
    <row r="21" spans="1:13" ht="15">
      <c r="B21" s="154" t="s">
        <v>253</v>
      </c>
      <c r="D21" s="222">
        <v>0.26</v>
      </c>
      <c r="E21" s="222">
        <v>0</v>
      </c>
      <c r="F21" s="222">
        <v>-2.52</v>
      </c>
      <c r="G21" s="222">
        <v>-0.64</v>
      </c>
      <c r="H21" s="222">
        <v>-0.05</v>
      </c>
      <c r="I21"/>
      <c r="J21"/>
      <c r="K21"/>
      <c r="L21"/>
      <c r="M21"/>
    </row>
    <row r="22" spans="1:13" ht="15">
      <c r="B22" s="149" t="s">
        <v>254</v>
      </c>
      <c r="D22" s="222">
        <f>SUM(D9:D21)</f>
        <v>263.476</v>
      </c>
      <c r="E22" s="222">
        <f>SUM(E9:E21)</f>
        <v>513.68000000000006</v>
      </c>
      <c r="F22" s="222">
        <f>SUM(F9:F21)</f>
        <v>692.82500000000005</v>
      </c>
      <c r="G22" s="222">
        <f>SUM(G9:G21)</f>
        <v>486.57000000000005</v>
      </c>
      <c r="H22" s="222">
        <f>SUM(H9:H21)</f>
        <v>717.69</v>
      </c>
      <c r="I22"/>
      <c r="J22"/>
      <c r="K22"/>
      <c r="L22"/>
      <c r="M22"/>
    </row>
    <row r="23" spans="1:13" ht="15">
      <c r="B23" s="154" t="s">
        <v>255</v>
      </c>
      <c r="D23" s="222">
        <v>-5.65</v>
      </c>
      <c r="E23" s="222">
        <v>-169.41</v>
      </c>
      <c r="F23" s="222">
        <v>40.82</v>
      </c>
      <c r="G23" s="222">
        <v>-38.4</v>
      </c>
      <c r="H23" s="222">
        <v>-166.68</v>
      </c>
      <c r="I23"/>
      <c r="J23"/>
      <c r="K23"/>
      <c r="L23"/>
      <c r="M23"/>
    </row>
    <row r="24" spans="1:13" ht="15">
      <c r="B24" s="153" t="s">
        <v>256</v>
      </c>
      <c r="C24" s="15"/>
      <c r="D24" s="339">
        <f>SUM(D22:D23)</f>
        <v>257.82600000000002</v>
      </c>
      <c r="E24" s="339">
        <f>SUM(E22:E23)</f>
        <v>344.2700000000001</v>
      </c>
      <c r="F24" s="339">
        <f>SUM(F22:F23)</f>
        <v>733.6450000000001</v>
      </c>
      <c r="G24" s="339">
        <f>SUM(G22:G23)</f>
        <v>448.17000000000007</v>
      </c>
      <c r="H24" s="339">
        <f>SUM(H22:H23)</f>
        <v>551.01</v>
      </c>
      <c r="I24"/>
      <c r="J24"/>
      <c r="K24"/>
      <c r="L24"/>
      <c r="M24"/>
    </row>
    <row r="25" spans="1:13" ht="15">
      <c r="B25" s="154" t="s">
        <v>257</v>
      </c>
      <c r="D25" s="222">
        <v>-28.62</v>
      </c>
      <c r="E25" s="222">
        <v>-60.45</v>
      </c>
      <c r="F25" s="222">
        <v>-107.48</v>
      </c>
      <c r="G25" s="222">
        <v>-50.53</v>
      </c>
      <c r="H25" s="222">
        <v>-110.45</v>
      </c>
      <c r="I25"/>
      <c r="J25"/>
      <c r="K25"/>
      <c r="L25"/>
      <c r="M25"/>
    </row>
    <row r="26" spans="1:13" ht="13.5" thickBot="1">
      <c r="B26" s="152" t="s">
        <v>258</v>
      </c>
      <c r="C26" s="152"/>
      <c r="D26" s="347">
        <f>SUM(D24:D25)</f>
        <v>229.20600000000002</v>
      </c>
      <c r="E26" s="347">
        <f>SUM(E24:E25)</f>
        <v>283.82000000000011</v>
      </c>
      <c r="F26" s="347">
        <f>SUM(F24:F25)</f>
        <v>626.16500000000008</v>
      </c>
      <c r="G26" s="347">
        <f>SUM(G24:G25)</f>
        <v>397.6400000000001</v>
      </c>
      <c r="H26" s="347">
        <f>SUM(H24:H25)</f>
        <v>440.56</v>
      </c>
    </row>
    <row r="27" spans="1:13">
      <c r="B27" s="150"/>
      <c r="D27" s="158"/>
      <c r="E27" s="343"/>
      <c r="F27" s="343"/>
      <c r="G27" s="343"/>
      <c r="H27" s="343"/>
    </row>
    <row r="28" spans="1:13">
      <c r="A28" s="4" t="s">
        <v>35</v>
      </c>
      <c r="B28" s="149" t="s">
        <v>259</v>
      </c>
      <c r="D28" s="158"/>
      <c r="E28" s="158"/>
      <c r="F28" s="158"/>
      <c r="G28" s="343"/>
      <c r="H28" s="343"/>
    </row>
    <row r="29" spans="1:13">
      <c r="B29" s="337" t="s">
        <v>284</v>
      </c>
      <c r="D29" s="158">
        <v>-196.8</v>
      </c>
      <c r="E29" s="158">
        <v>-456.3</v>
      </c>
      <c r="F29" s="158">
        <v>-416.45</v>
      </c>
      <c r="G29" s="158">
        <v>-398.44</v>
      </c>
      <c r="H29" s="158">
        <v>-194.69</v>
      </c>
    </row>
    <row r="30" spans="1:13">
      <c r="B30" s="337" t="s">
        <v>260</v>
      </c>
      <c r="D30" s="158">
        <v>0.05</v>
      </c>
      <c r="E30" s="158">
        <v>0</v>
      </c>
      <c r="F30" s="158">
        <v>0</v>
      </c>
      <c r="G30" s="158">
        <v>0</v>
      </c>
      <c r="H30" s="158">
        <v>8.34</v>
      </c>
    </row>
    <row r="31" spans="1:13">
      <c r="B31" s="337" t="s">
        <v>261</v>
      </c>
      <c r="D31" s="158">
        <v>0</v>
      </c>
      <c r="E31" s="158">
        <v>-0.05</v>
      </c>
      <c r="F31" s="158">
        <v>-20.54</v>
      </c>
      <c r="G31" s="158">
        <v>0</v>
      </c>
      <c r="H31" s="158">
        <v>0</v>
      </c>
    </row>
    <row r="32" spans="1:13">
      <c r="B32" s="154" t="s">
        <v>262</v>
      </c>
      <c r="D32" s="158">
        <v>0</v>
      </c>
      <c r="E32" s="158">
        <v>0</v>
      </c>
      <c r="F32" s="158">
        <v>-0.02</v>
      </c>
      <c r="G32" s="158">
        <v>0</v>
      </c>
      <c r="H32" s="158">
        <v>0</v>
      </c>
    </row>
    <row r="33" spans="1:8">
      <c r="B33" s="154" t="s">
        <v>263</v>
      </c>
      <c r="D33" s="158">
        <v>0</v>
      </c>
      <c r="E33" s="158">
        <v>0</v>
      </c>
      <c r="F33" s="158">
        <v>-0.87</v>
      </c>
      <c r="G33" s="158">
        <v>-2.74</v>
      </c>
      <c r="H33" s="158">
        <v>-1.18</v>
      </c>
    </row>
    <row r="34" spans="1:8">
      <c r="B34" s="154" t="s">
        <v>264</v>
      </c>
      <c r="D34" s="158">
        <v>-0.06</v>
      </c>
      <c r="E34" s="158">
        <v>1.38</v>
      </c>
      <c r="F34" s="158">
        <v>-0.18</v>
      </c>
      <c r="G34" s="158">
        <v>0</v>
      </c>
      <c r="H34" s="158">
        <v>0.42</v>
      </c>
    </row>
    <row r="35" spans="1:8">
      <c r="B35" s="337" t="s">
        <v>265</v>
      </c>
      <c r="D35" s="158">
        <v>0.08</v>
      </c>
      <c r="E35" s="158">
        <v>0.28999999999999998</v>
      </c>
      <c r="F35" s="158">
        <v>0.85</v>
      </c>
      <c r="G35" s="158">
        <v>0.08</v>
      </c>
      <c r="H35" s="158">
        <v>0.26</v>
      </c>
    </row>
    <row r="36" spans="1:8">
      <c r="B36" s="337" t="s">
        <v>266</v>
      </c>
      <c r="D36" s="158">
        <v>0</v>
      </c>
      <c r="E36" s="158">
        <v>0</v>
      </c>
      <c r="F36" s="158">
        <v>0</v>
      </c>
      <c r="G36" s="158">
        <v>0</v>
      </c>
      <c r="H36" s="158">
        <v>-307.86</v>
      </c>
    </row>
    <row r="37" spans="1:8">
      <c r="B37" s="337" t="s">
        <v>267</v>
      </c>
      <c r="D37" s="158">
        <v>0</v>
      </c>
      <c r="E37" s="158">
        <v>0</v>
      </c>
      <c r="F37" s="158">
        <v>0</v>
      </c>
      <c r="G37" s="158">
        <v>0</v>
      </c>
      <c r="H37" s="158">
        <v>233.15</v>
      </c>
    </row>
    <row r="38" spans="1:8" ht="13.5" thickBot="1">
      <c r="B38" s="152" t="s">
        <v>268</v>
      </c>
      <c r="C38" s="152"/>
      <c r="D38" s="146">
        <f>SUM(D29:D37)</f>
        <v>-196.73</v>
      </c>
      <c r="E38" s="146">
        <f>SUM(E29:E37)</f>
        <v>-454.68</v>
      </c>
      <c r="F38" s="146">
        <f>SUM(F29:F37)</f>
        <v>-437.21</v>
      </c>
      <c r="G38" s="146">
        <f>SUM(G29:G37)</f>
        <v>-401.1</v>
      </c>
      <c r="H38" s="146">
        <f>SUM(H29:H37)</f>
        <v>-261.56000000000006</v>
      </c>
    </row>
    <row r="39" spans="1:8" ht="13.5" thickBot="1">
      <c r="B39" s="150"/>
      <c r="D39" s="158"/>
      <c r="E39" s="344"/>
      <c r="F39" s="344"/>
      <c r="G39" s="344"/>
      <c r="H39" s="344"/>
    </row>
    <row r="40" spans="1:8">
      <c r="A40" s="4" t="s">
        <v>35</v>
      </c>
      <c r="B40" s="149" t="s">
        <v>269</v>
      </c>
      <c r="D40" s="158"/>
      <c r="E40" s="162"/>
      <c r="F40" s="162"/>
      <c r="G40" s="162"/>
      <c r="H40" s="162"/>
    </row>
    <row r="41" spans="1:8">
      <c r="B41" s="338" t="s">
        <v>270</v>
      </c>
      <c r="D41" s="158">
        <v>-39.72</v>
      </c>
      <c r="E41" s="158">
        <v>-48.04</v>
      </c>
      <c r="F41" s="158">
        <v>-60.45</v>
      </c>
      <c r="G41" s="343">
        <v>-72.02</v>
      </c>
      <c r="H41" s="343">
        <v>-65.94</v>
      </c>
    </row>
    <row r="42" spans="1:8">
      <c r="B42" s="338" t="s">
        <v>271</v>
      </c>
      <c r="D42" s="158">
        <v>40.700000000000003</v>
      </c>
      <c r="E42" s="158">
        <v>359.3</v>
      </c>
      <c r="F42" s="158">
        <v>74.75</v>
      </c>
      <c r="G42" s="343">
        <v>213</v>
      </c>
      <c r="H42" s="343">
        <v>137</v>
      </c>
    </row>
    <row r="43" spans="1:8">
      <c r="B43" s="338" t="s">
        <v>272</v>
      </c>
      <c r="D43" s="158">
        <v>-87.21</v>
      </c>
      <c r="E43" s="158">
        <v>-120.05</v>
      </c>
      <c r="F43" s="158">
        <v>-139.1</v>
      </c>
      <c r="G43" s="343">
        <v>-196.26</v>
      </c>
      <c r="H43" s="343">
        <v>-248.55</v>
      </c>
    </row>
    <row r="44" spans="1:8">
      <c r="B44" s="338" t="s">
        <v>273</v>
      </c>
      <c r="D44" s="158">
        <v>55.32</v>
      </c>
      <c r="E44" s="158">
        <v>5.1100000000000003</v>
      </c>
      <c r="F44" s="158">
        <v>11.57</v>
      </c>
      <c r="G44" s="343">
        <v>129.24</v>
      </c>
      <c r="H44" s="343">
        <v>-171.55</v>
      </c>
    </row>
    <row r="45" spans="1:8">
      <c r="B45" s="154" t="s">
        <v>274</v>
      </c>
      <c r="D45" s="158">
        <v>-0.99</v>
      </c>
      <c r="E45" s="158">
        <v>-1.1100000000000001</v>
      </c>
      <c r="F45" s="158">
        <v>-1.41</v>
      </c>
      <c r="G45" s="343">
        <v>-1.44</v>
      </c>
      <c r="H45" s="343">
        <v>-2.36</v>
      </c>
    </row>
    <row r="46" spans="1:8">
      <c r="B46" s="338" t="s">
        <v>275</v>
      </c>
      <c r="D46" s="158">
        <v>0</v>
      </c>
      <c r="E46" s="158">
        <v>0</v>
      </c>
      <c r="F46" s="158">
        <v>-13.85</v>
      </c>
      <c r="G46" s="343">
        <v>-14.75</v>
      </c>
      <c r="H46" s="343">
        <v>-10.32</v>
      </c>
    </row>
    <row r="47" spans="1:8">
      <c r="B47" s="338" t="s">
        <v>276</v>
      </c>
      <c r="D47" s="158">
        <v>0</v>
      </c>
      <c r="E47" s="158">
        <v>0</v>
      </c>
      <c r="F47" s="158">
        <v>-10.37</v>
      </c>
      <c r="G47" s="343">
        <v>-10.37</v>
      </c>
      <c r="H47" s="343">
        <v>-31.54</v>
      </c>
    </row>
    <row r="48" spans="1:8">
      <c r="B48" s="154" t="s">
        <v>277</v>
      </c>
      <c r="D48" s="158">
        <v>0</v>
      </c>
      <c r="E48" s="158">
        <v>0</v>
      </c>
      <c r="F48" s="158">
        <v>0</v>
      </c>
      <c r="G48" s="158">
        <v>0</v>
      </c>
      <c r="H48" s="343">
        <v>333.05</v>
      </c>
    </row>
    <row r="49" spans="2:8">
      <c r="B49" s="154" t="s">
        <v>278</v>
      </c>
      <c r="D49" s="158">
        <v>0</v>
      </c>
      <c r="E49" s="158">
        <v>0</v>
      </c>
      <c r="F49" s="158">
        <v>0</v>
      </c>
      <c r="G49" s="158">
        <v>0</v>
      </c>
      <c r="H49" s="343">
        <v>-8.33</v>
      </c>
    </row>
    <row r="50" spans="2:8">
      <c r="B50" s="154" t="s">
        <v>279</v>
      </c>
      <c r="D50" s="158">
        <v>0</v>
      </c>
      <c r="E50" s="158">
        <v>0</v>
      </c>
      <c r="F50" s="158">
        <v>-60.92</v>
      </c>
      <c r="G50" s="343">
        <v>-55</v>
      </c>
      <c r="H50" s="343">
        <v>-95</v>
      </c>
    </row>
    <row r="51" spans="2:8" ht="13.5" thickBot="1">
      <c r="B51" s="152" t="s">
        <v>280</v>
      </c>
      <c r="C51" s="152"/>
      <c r="D51" s="146">
        <f>SUM(D41:D50)</f>
        <v>-31.899999999999988</v>
      </c>
      <c r="E51" s="146">
        <f>SUM(E41:E50)</f>
        <v>195.20999999999998</v>
      </c>
      <c r="F51" s="146">
        <f>SUM(F41:F50)</f>
        <v>-199.77999999999997</v>
      </c>
      <c r="G51" s="146">
        <f>SUM(G41:G50)</f>
        <v>-7.5999999999999588</v>
      </c>
      <c r="H51" s="146">
        <f>SUM(H41:H50)</f>
        <v>-163.54000000000002</v>
      </c>
    </row>
    <row r="52" spans="2:8">
      <c r="B52" s="155" t="s">
        <v>283</v>
      </c>
      <c r="C52" s="15"/>
      <c r="D52" s="159">
        <f>D51+D38+D26</f>
        <v>0.57600000000005025</v>
      </c>
      <c r="E52" s="159">
        <f>E51+E38+E26</f>
        <v>24.35000000000008</v>
      </c>
      <c r="F52" s="159">
        <f>F51+F38+F26</f>
        <v>-10.824999999999932</v>
      </c>
      <c r="G52" s="159">
        <f>G51+G38+G26</f>
        <v>-11.059999999999889</v>
      </c>
      <c r="H52" s="159">
        <f>H51+H38+H26</f>
        <v>15.459999999999923</v>
      </c>
    </row>
    <row r="53" spans="2:8">
      <c r="B53" s="143" t="s">
        <v>281</v>
      </c>
      <c r="D53" s="158">
        <v>0.1</v>
      </c>
      <c r="E53" s="158">
        <v>0.68</v>
      </c>
      <c r="F53" s="158">
        <v>25.04</v>
      </c>
      <c r="G53" s="345">
        <v>14.24</v>
      </c>
      <c r="H53" s="345">
        <v>3.18</v>
      </c>
    </row>
    <row r="54" spans="2:8">
      <c r="B54" s="143" t="s">
        <v>282</v>
      </c>
      <c r="D54" s="158">
        <f>SUM(D52:D53)</f>
        <v>0.67600000000005023</v>
      </c>
      <c r="E54" s="158">
        <f>SUM(E52:E53)</f>
        <v>25.030000000000079</v>
      </c>
      <c r="F54" s="158">
        <f>SUM(F52:F53)</f>
        <v>14.215000000000067</v>
      </c>
      <c r="G54" s="158">
        <f>SUM(G52:G53)</f>
        <v>3.1800000000001116</v>
      </c>
      <c r="H54" s="158">
        <f>SUM(H52:H53)</f>
        <v>18.639999999999922</v>
      </c>
    </row>
    <row r="55" spans="2:8">
      <c r="B55" s="3" t="s">
        <v>108</v>
      </c>
      <c r="C55" s="3"/>
      <c r="D55" s="148"/>
      <c r="E55" s="148"/>
      <c r="F55" s="148"/>
      <c r="G55" s="148"/>
      <c r="H55" s="148"/>
    </row>
    <row r="56" spans="2:8">
      <c r="D56" s="17"/>
      <c r="E56" s="17"/>
      <c r="F56" s="17"/>
    </row>
    <row r="57" spans="2:8" ht="15">
      <c r="B57" s="11" t="s">
        <v>212</v>
      </c>
      <c r="C57" s="140" t="s">
        <v>211</v>
      </c>
      <c r="D57" s="19"/>
      <c r="E57" s="19"/>
      <c r="F57" s="19"/>
    </row>
    <row r="58" spans="2:8">
      <c r="D58" s="19"/>
      <c r="E58" s="19"/>
      <c r="F58" s="19"/>
    </row>
  </sheetData>
  <sheetProtection algorithmName="SHA-512" hashValue="JfnFE7J6wKOrrNffrfytel+S5ZAa68w0IA04oAopNZDFHWki5NiUtgPItcVnfsJwAojF6gjiJ/bmAtNJ5f2LoA==" saltValue="lAFJQUE91KnyO95LlhOjfQ==" spinCount="100000" sheet="1" objects="1" scenarios="1"/>
  <hyperlinks>
    <hyperlink ref="C57" r:id="rId1" xr:uid="{B10D02DD-8AE6-4FAE-8850-414F2BF6D973}"/>
  </hyperlinks>
  <pageMargins left="0.75" right="0.75" top="1" bottom="1" header="0.5" footer="0.5"/>
  <pageSetup scale="36" orientation="portrait" r:id="rId2"/>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24</vt:i4>
      </vt:variant>
      <vt:variant>
        <vt:lpstr>Named Ranges</vt:lpstr>
      </vt:variant>
      <vt:variant>
        <vt:i4>3</vt:i4>
      </vt:variant>
    </vt:vector>
  </HeadingPairs>
  <TitlesOfParts>
    <vt:vector size="27" baseType="lpstr">
      <vt:lpstr>Cover</vt:lpstr>
      <vt:lpstr>Input Sheet</vt:lpstr>
      <vt:lpstr>Valuation Summary</vt:lpstr>
      <vt:lpstr>Beta Calculation</vt:lpstr>
      <vt:lpstr>Damodaran Data</vt:lpstr>
      <vt:lpstr>Control Sheet</vt:lpstr>
      <vt:lpstr>Assumptions Working</vt:lpstr>
      <vt:lpstr>Schedules</vt:lpstr>
      <vt:lpstr>3 Statement Model</vt:lpstr>
      <vt:lpstr>CommonSizeStatement</vt:lpstr>
      <vt:lpstr>Ratio Analysis</vt:lpstr>
      <vt:lpstr>DCF&gt;</vt:lpstr>
      <vt:lpstr>Wacc</vt:lpstr>
      <vt:lpstr>DCF Value</vt:lpstr>
      <vt:lpstr>Relative&gt;</vt:lpstr>
      <vt:lpstr>BenchMarking</vt:lpstr>
      <vt:lpstr>Relative Value</vt:lpstr>
      <vt:lpstr>Workings&gt;</vt:lpstr>
      <vt:lpstr>Report</vt:lpstr>
      <vt:lpstr>Growth Drivers</vt:lpstr>
      <vt:lpstr>Client Data&lt;</vt:lpstr>
      <vt:lpstr> Income Statement</vt:lpstr>
      <vt:lpstr> Balance Sheet</vt:lpstr>
      <vt:lpstr>Cash Flow</vt:lpstr>
      <vt:lpstr>' Balance Sheet'!Print_Area</vt:lpstr>
      <vt:lpstr>' Income Statement'!Print_Area</vt:lpstr>
      <vt:lpstr>'Cash Flow'!Print_Area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Sharma</dc:creator>
  <cp:lastModifiedBy>himanshu sharma</cp:lastModifiedBy>
  <cp:lastPrinted>2026-02-24T12:59:10Z</cp:lastPrinted>
  <dcterms:created xsi:type="dcterms:W3CDTF">2023-09-22T06:48:58Z</dcterms:created>
  <dcterms:modified xsi:type="dcterms:W3CDTF">2026-04-09T08:00:23Z</dcterms:modified>
</cp:coreProperties>
</file>