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ster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<sst xmlns="http://schemas.openxmlformats.org/spreadsheetml/2006/main" count="743" uniqueCount="272">
  <si>
    <t>https://en.wikipedia.org/wiki/Districts_of_Pakistan</t>
  </si>
  <si>
    <t>Sr. No.</t>
  </si>
  <si>
    <t>District</t>
  </si>
  <si>
    <t>Headquarters</t>
  </si>
  <si>
    <t>Area
(km2)</t>
  </si>
  <si>
    <t>Population
(1998)[12]</t>
  </si>
  <si>
    <t>Population
(2017)[13]</t>
  </si>
  <si>
    <t>Density
(people/km2)</t>
  </si>
  <si>
    <t>Division</t>
  </si>
  <si>
    <t>Province</t>
  </si>
  <si>
    <t>Awaran</t>
  </si>
  <si>
    <t>29,510[14]</t>
  </si>
  <si>
    <t>Kalat</t>
  </si>
  <si>
    <t>Balochistan</t>
  </si>
  <si>
    <t>Barkhan</t>
  </si>
  <si>
    <t>Loralai</t>
  </si>
  <si>
    <t>Chagai</t>
  </si>
  <si>
    <t>Dalbandin</t>
  </si>
  <si>
    <t>44,748[15]</t>
  </si>
  <si>
    <t>Rakhshan</t>
  </si>
  <si>
    <t>Chaman</t>
  </si>
  <si>
    <t>Quetta</t>
  </si>
  <si>
    <t>Dera Bugti</t>
  </si>
  <si>
    <t>Sibi</t>
  </si>
  <si>
    <t>Duki</t>
  </si>
  <si>
    <t>Gwadar</t>
  </si>
  <si>
    <t>Makran</t>
  </si>
  <si>
    <t>Harnai[16]</t>
  </si>
  <si>
    <t>Harnai</t>
  </si>
  <si>
    <t>Hub</t>
  </si>
  <si>
    <t>Jafarabad</t>
  </si>
  <si>
    <t>Dera Allahyar</t>
  </si>
  <si>
    <t>Nasirabad</t>
  </si>
  <si>
    <t>Jhal Magsi</t>
  </si>
  <si>
    <t>Gandava</t>
  </si>
  <si>
    <t>Kachhi</t>
  </si>
  <si>
    <t>Dhadar</t>
  </si>
  <si>
    <t>Kech</t>
  </si>
  <si>
    <t>Turbat</t>
  </si>
  <si>
    <t>Kharan</t>
  </si>
  <si>
    <t>Khuzdar</t>
  </si>
  <si>
    <t>Kohlu</t>
  </si>
  <si>
    <t>Lasbela</t>
  </si>
  <si>
    <t>Uthal</t>
  </si>
  <si>
    <t>Mastung</t>
  </si>
  <si>
    <t>Musakhel</t>
  </si>
  <si>
    <t>Musa Khel Bazar</t>
  </si>
  <si>
    <t>Dera Murad Jamali</t>
  </si>
  <si>
    <t>Nushki[17]</t>
  </si>
  <si>
    <t>Nushki</t>
  </si>
  <si>
    <t>Panjgur</t>
  </si>
  <si>
    <t>Pishin</t>
  </si>
  <si>
    <t>Qila Abdullah</t>
  </si>
  <si>
    <t>Jungle Pir Alizai</t>
  </si>
  <si>
    <t>Qilla Saifullah</t>
  </si>
  <si>
    <t>Zhob</t>
  </si>
  <si>
    <t>Sherani</t>
  </si>
  <si>
    <t>Sohbatpur</t>
  </si>
  <si>
    <t>Surab</t>
  </si>
  <si>
    <t>-</t>
  </si>
  <si>
    <t>Washuk</t>
  </si>
  <si>
    <t>Ziarat</t>
  </si>
  <si>
    <t>Usta Muhammad</t>
  </si>
  <si>
    <t>N/A</t>
  </si>
  <si>
    <t>Muzaffarabad</t>
  </si>
  <si>
    <t>AJK</t>
  </si>
  <si>
    <t>Hattian Bala</t>
  </si>
  <si>
    <t>Neelum</t>
  </si>
  <si>
    <t>Athmuqam</t>
  </si>
  <si>
    <t>Mirpur</t>
  </si>
  <si>
    <t>Bhimber</t>
  </si>
  <si>
    <t>Kotli</t>
  </si>
  <si>
    <t>Poonch</t>
  </si>
  <si>
    <t>Rawalakot</t>
  </si>
  <si>
    <t>Bagh</t>
  </si>
  <si>
    <t>Haveli</t>
  </si>
  <si>
    <t>Forward Kahuta</t>
  </si>
  <si>
    <t>Sudhnati</t>
  </si>
  <si>
    <t>Pallandari</t>
  </si>
  <si>
    <t>Ghanche</t>
  </si>
  <si>
    <t>Khaplu</t>
  </si>
  <si>
    <t>Baltistan</t>
  </si>
  <si>
    <t>GB</t>
  </si>
  <si>
    <t>Skardu</t>
  </si>
  <si>
    <t>Astore</t>
  </si>
  <si>
    <t>Eidghah</t>
  </si>
  <si>
    <t>Diamer</t>
  </si>
  <si>
    <t>Chilas</t>
  </si>
  <si>
    <t>Ghizer</t>
  </si>
  <si>
    <t>Gahkuch</t>
  </si>
  <si>
    <t>Gilgit</t>
  </si>
  <si>
    <t>Hunza</t>
  </si>
  <si>
    <t>Karimabad</t>
  </si>
  <si>
    <t>Kharmang</t>
  </si>
  <si>
    <t>Tolti</t>
  </si>
  <si>
    <t>20,000[18]</t>
  </si>
  <si>
    <t>Shigar</t>
  </si>
  <si>
    <t>Nagar</t>
  </si>
  <si>
    <t>Nagarkhas</t>
  </si>
  <si>
    <t>Gupis–Yasin</t>
  </si>
  <si>
    <t>Phander</t>
  </si>
  <si>
    <t>Tangir</t>
  </si>
  <si>
    <t>Darel</t>
  </si>
  <si>
    <t>Roundu</t>
  </si>
  <si>
    <t>Dambudas</t>
  </si>
  <si>
    <t>Abbottabad</t>
  </si>
  <si>
    <t>Hazara</t>
  </si>
  <si>
    <t>KPK</t>
  </si>
  <si>
    <t>Allai</t>
  </si>
  <si>
    <t>Allai Valley</t>
  </si>
  <si>
    <t>Bajaur</t>
  </si>
  <si>
    <t>Khar</t>
  </si>
  <si>
    <t>Malakand</t>
  </si>
  <si>
    <t>Bannu</t>
  </si>
  <si>
    <t>Battagram</t>
  </si>
  <si>
    <t>Buner</t>
  </si>
  <si>
    <t>Daggar</t>
  </si>
  <si>
    <t>Charsadda</t>
  </si>
  <si>
    <t>Peshawar</t>
  </si>
  <si>
    <t>Central Dir District</t>
  </si>
  <si>
    <t>Wari</t>
  </si>
  <si>
    <t>Dera Ismail Khan</t>
  </si>
  <si>
    <t>Hangu</t>
  </si>
  <si>
    <t>Kohat</t>
  </si>
  <si>
    <t>Haripur</t>
  </si>
  <si>
    <t>Karak</t>
  </si>
  <si>
    <t>Khyber</t>
  </si>
  <si>
    <t>Landi Kotal</t>
  </si>
  <si>
    <t>Kurram</t>
  </si>
  <si>
    <t>Parachinar</t>
  </si>
  <si>
    <t>Kolai Palas</t>
  </si>
  <si>
    <t>Kolai</t>
  </si>
  <si>
    <t>Lakki Marwat</t>
  </si>
  <si>
    <t>Lower Dir</t>
  </si>
  <si>
    <t>Timergara</t>
  </si>
  <si>
    <t>Lower Kohistan</t>
  </si>
  <si>
    <t>Pattan</t>
  </si>
  <si>
    <t>784,711*</t>
  </si>
  <si>
    <t>Lower Chitral</t>
  </si>
  <si>
    <t>Chitral</t>
  </si>
  <si>
    <t>Batkhela</t>
  </si>
  <si>
    <t>Mansehra</t>
  </si>
  <si>
    <t>Mardan</t>
  </si>
  <si>
    <t>Mohmand</t>
  </si>
  <si>
    <t>Ghalanai</t>
  </si>
  <si>
    <t>North Waziristan</t>
  </si>
  <si>
    <t>Miranshah</t>
  </si>
  <si>
    <t>Nowshera</t>
  </si>
  <si>
    <t>Orakzai</t>
  </si>
  <si>
    <t>Kalaya</t>
  </si>
  <si>
    <t>Shangla</t>
  </si>
  <si>
    <t>Alpuri</t>
  </si>
  <si>
    <t>Upper South Waziristan</t>
  </si>
  <si>
    <t>Spinkai</t>
  </si>
  <si>
    <t>Lower South Waziristan</t>
  </si>
  <si>
    <t>Wana</t>
  </si>
  <si>
    <t>Swabi</t>
  </si>
  <si>
    <t>Swat</t>
  </si>
  <si>
    <t>Saidu Sharif</t>
  </si>
  <si>
    <t>Tank</t>
  </si>
  <si>
    <t>Torghar</t>
  </si>
  <si>
    <t>Judba</t>
  </si>
  <si>
    <t>Upper Dir</t>
  </si>
  <si>
    <t>Dir</t>
  </si>
  <si>
    <t>Upper Kohistan</t>
  </si>
  <si>
    <t>Dasu</t>
  </si>
  <si>
    <t>Upper Chitral</t>
  </si>
  <si>
    <t>Booni</t>
  </si>
  <si>
    <t>Attock</t>
  </si>
  <si>
    <t>Rawalpindi</t>
  </si>
  <si>
    <t>Punjab</t>
  </si>
  <si>
    <t>Bahawalnagar</t>
  </si>
  <si>
    <t>Bahawalpur</t>
  </si>
  <si>
    <t>Bhakkar</t>
  </si>
  <si>
    <t>Mianwali</t>
  </si>
  <si>
    <t>Chakwal</t>
  </si>
  <si>
    <t>Chiniot</t>
  </si>
  <si>
    <t>Faisalabad</t>
  </si>
  <si>
    <t>Dera Ghazi Khan</t>
  </si>
  <si>
    <t>Gujranwala</t>
  </si>
  <si>
    <t>Gujrat</t>
  </si>
  <si>
    <t>Hafizabad</t>
  </si>
  <si>
    <t>Jampur</t>
  </si>
  <si>
    <t>Jhang</t>
  </si>
  <si>
    <t>Jhelum</t>
  </si>
  <si>
    <t>Kasur</t>
  </si>
  <si>
    <t>Lahore</t>
  </si>
  <si>
    <t>Khanewal</t>
  </si>
  <si>
    <t>Multan</t>
  </si>
  <si>
    <t>Khushab</t>
  </si>
  <si>
    <t>Jauharabad</t>
  </si>
  <si>
    <t>Sargodha</t>
  </si>
  <si>
    <t>Layyah</t>
  </si>
  <si>
    <t>Lodhran</t>
  </si>
  <si>
    <t>Mandi Bahauddin</t>
  </si>
  <si>
    <t>Muzaffargarh</t>
  </si>
  <si>
    <t>Narowal</t>
  </si>
  <si>
    <t>Nankana Sahib[5]</t>
  </si>
  <si>
    <t>Nankana Sahib</t>
  </si>
  <si>
    <t>Okara</t>
  </si>
  <si>
    <t>Sahiwal</t>
  </si>
  <si>
    <t>Pakpattan</t>
  </si>
  <si>
    <t>Rahim Yar Khan</t>
  </si>
  <si>
    <t>Rajanpur</t>
  </si>
  <si>
    <t>Sheikhupura</t>
  </si>
  <si>
    <t>Sialkot</t>
  </si>
  <si>
    <t>Toba Tek Singh</t>
  </si>
  <si>
    <t>Vehari</t>
  </si>
  <si>
    <t>Talagang</t>
  </si>
  <si>
    <t>Murree</t>
  </si>
  <si>
    <t>Taunsa</t>
  </si>
  <si>
    <t>Kot Addu</t>
  </si>
  <si>
    <t>Wazirabad</t>
  </si>
  <si>
    <t>Badin</t>
  </si>
  <si>
    <t>Banbhore</t>
  </si>
  <si>
    <t>Sindh</t>
  </si>
  <si>
    <t>Dadu</t>
  </si>
  <si>
    <t>Hyderabad</t>
  </si>
  <si>
    <t>Ghotki</t>
  </si>
  <si>
    <t>Mirpur Mathelo</t>
  </si>
  <si>
    <t>Sukkur</t>
  </si>
  <si>
    <t>Jacobabad</t>
  </si>
  <si>
    <t>Larkana</t>
  </si>
  <si>
    <t>Jamshoro</t>
  </si>
  <si>
    <t>Karachi Central</t>
  </si>
  <si>
    <t>North Nazimabad</t>
  </si>
  <si>
    <t>Karachi</t>
  </si>
  <si>
    <t>Karachi East</t>
  </si>
  <si>
    <t>Gulshan e Iqbal</t>
  </si>
  <si>
    <t>Karachi South</t>
  </si>
  <si>
    <t>Saddar Karachi</t>
  </si>
  <si>
    <t>Karachi West</t>
  </si>
  <si>
    <t>Orangi Town</t>
  </si>
  <si>
    <t>Kashmore</t>
  </si>
  <si>
    <t>Kandhkot</t>
  </si>
  <si>
    <t>Khairpur</t>
  </si>
  <si>
    <t>Korangi</t>
  </si>
  <si>
    <t>Keamari</t>
  </si>
  <si>
    <t>Moriro Mirbahar</t>
  </si>
  <si>
    <t>Malir</t>
  </si>
  <si>
    <t>Matiari</t>
  </si>
  <si>
    <t>Mirpur Khas</t>
  </si>
  <si>
    <t>Naushahro Feroze</t>
  </si>
  <si>
    <t>Shaheed Benazir Abad</t>
  </si>
  <si>
    <t>Qambar Shahdadkot</t>
  </si>
  <si>
    <t>Qambar</t>
  </si>
  <si>
    <t>Sanghar</t>
  </si>
  <si>
    <t>Shaheed Benazirabad</t>
  </si>
  <si>
    <t>Nawabshah</t>
  </si>
  <si>
    <t>Shikarpur</t>
  </si>
  <si>
    <t>Sujawal</t>
  </si>
  <si>
    <t>8,699[19]</t>
  </si>
  <si>
    <t>Tando Allahyar</t>
  </si>
  <si>
    <t>Tando Muhammad Khan</t>
  </si>
  <si>
    <t>Tharparkar</t>
  </si>
  <si>
    <t>Mithi</t>
  </si>
  <si>
    <t>Thatta</t>
  </si>
  <si>
    <t>7,705[6]</t>
  </si>
  <si>
    <t>Umerkot[20]</t>
  </si>
  <si>
    <t>Umerkot</t>
  </si>
  <si>
    <t>5,608[6]</t>
  </si>
  <si>
    <t>Data set 1</t>
  </si>
  <si>
    <t>How many districts in KPK</t>
  </si>
  <si>
    <t>How many districts in Pakistan</t>
  </si>
  <si>
    <t xml:space="preserve">District with the highest population </t>
  </si>
  <si>
    <t>District with the lowest population in Punjab</t>
  </si>
  <si>
    <t xml:space="preserve">District with the lowest population density </t>
  </si>
  <si>
    <t xml:space="preserve">Average Area of a district in Balochistan </t>
  </si>
  <si>
    <t>Aveage area of a district in AJK</t>
  </si>
  <si>
    <t xml:space="preserve">Which divisioin has the highest population </t>
  </si>
  <si>
    <t xml:space="preserve">How many total division </t>
  </si>
  <si>
    <t>What is the total population density of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</si>
</sst>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9.0"/>
      <color rgb="FF000000"/>
      <name val="&quot;Google Sans Mono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3" xfId="0" applyFont="1" applyNumberFormat="1"/>
    <xf borderId="0" fillId="2" fontId="3" numFmtId="0" xfId="0" applyFill="1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Districts_of_Pakista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B1" s="1" t="s">
        <v>0</v>
      </c>
    </row>
    <row r="4">
      <c r="B4" s="2" t="str">
        <f>IFERROR(__xludf.DUMMYFUNCTION("IMPORTHTML(B1,""table"",9,""en_US"")"),"Sr. No.")</f>
        <v>Sr. No.</v>
      </c>
      <c r="C4" s="2" t="str">
        <f>IFERROR(__xludf.DUMMYFUNCTION("""COMPUTED_VALUE"""),"District")</f>
        <v>District</v>
      </c>
      <c r="D4" s="2" t="str">
        <f>IFERROR(__xludf.DUMMYFUNCTION("""COMPUTED_VALUE"""),"Headquarters")</f>
        <v>Headquarters</v>
      </c>
      <c r="E4" s="2" t="str">
        <f>IFERROR(__xludf.DUMMYFUNCTION("""COMPUTED_VALUE"""),"Area
(km2)")</f>
        <v>Area
(km2)</v>
      </c>
      <c r="F4" s="2" t="str">
        <f>IFERROR(__xludf.DUMMYFUNCTION("""COMPUTED_VALUE"""),"Population
(2017)")</f>
        <v>Population
(2017)</v>
      </c>
      <c r="G4" s="2" t="str">
        <f>IFERROR(__xludf.DUMMYFUNCTION("""COMPUTED_VALUE"""),"Density
(people/km2)")</f>
        <v>Density
(people/km2)</v>
      </c>
      <c r="H4" s="2" t="str">
        <f>IFERROR(__xludf.DUMMYFUNCTION("""COMPUTED_VALUE"""),"Division")</f>
        <v>Division</v>
      </c>
    </row>
    <row r="5">
      <c r="B5" s="2">
        <f>IFERROR(__xludf.DUMMYFUNCTION("""COMPUTED_VALUE"""),1.0)</f>
        <v>1</v>
      </c>
      <c r="C5" s="2" t="str">
        <f>IFERROR(__xludf.DUMMYFUNCTION("""COMPUTED_VALUE"""),"Badin")</f>
        <v>Badin</v>
      </c>
      <c r="D5" s="2" t="str">
        <f>IFERROR(__xludf.DUMMYFUNCTION("""COMPUTED_VALUE"""),"Badin")</f>
        <v>Badin</v>
      </c>
      <c r="E5" s="3">
        <f>IFERROR(__xludf.DUMMYFUNCTION("""COMPUTED_VALUE"""),6726.0)</f>
        <v>6726</v>
      </c>
      <c r="F5" s="3">
        <f>IFERROR(__xludf.DUMMYFUNCTION("""COMPUTED_VALUE"""),1804516.0)</f>
        <v>1804516</v>
      </c>
      <c r="G5" s="2">
        <f>IFERROR(__xludf.DUMMYFUNCTION("""COMPUTED_VALUE"""),268.0)</f>
        <v>268</v>
      </c>
      <c r="H5" s="2" t="str">
        <f>IFERROR(__xludf.DUMMYFUNCTION("""COMPUTED_VALUE"""),"Banbhore")</f>
        <v>Banbhore</v>
      </c>
    </row>
    <row r="6">
      <c r="B6" s="2">
        <f>IFERROR(__xludf.DUMMYFUNCTION("""COMPUTED_VALUE"""),2.0)</f>
        <v>2</v>
      </c>
      <c r="C6" s="2" t="str">
        <f>IFERROR(__xludf.DUMMYFUNCTION("""COMPUTED_VALUE"""),"Dadu")</f>
        <v>Dadu</v>
      </c>
      <c r="D6" s="2" t="str">
        <f>IFERROR(__xludf.DUMMYFUNCTION("""COMPUTED_VALUE"""),"Dadu")</f>
        <v>Dadu</v>
      </c>
      <c r="E6" s="3">
        <f>IFERROR(__xludf.DUMMYFUNCTION("""COMPUTED_VALUE"""),7866.0)</f>
        <v>7866</v>
      </c>
      <c r="F6" s="3">
        <f>IFERROR(__xludf.DUMMYFUNCTION("""COMPUTED_VALUE"""),1550266.0)</f>
        <v>1550266</v>
      </c>
      <c r="G6" s="2">
        <f>IFERROR(__xludf.DUMMYFUNCTION("""COMPUTED_VALUE"""),197.0)</f>
        <v>197</v>
      </c>
      <c r="H6" s="2" t="str">
        <f>IFERROR(__xludf.DUMMYFUNCTION("""COMPUTED_VALUE"""),"Hyderabad")</f>
        <v>Hyderabad</v>
      </c>
      <c r="J6" s="4" t="str">
        <f>IFERROR(__xludf.DUMMYFUNCTION("IMPORTHTML(""https://en.wikipedia.org/wiki/Districts_of_Pakistan"",""table"",5,""en_US"")"),"Sr. No.")</f>
        <v>Sr. No.</v>
      </c>
      <c r="K6" s="2" t="str">
        <f>IFERROR(__xludf.DUMMYFUNCTION("""COMPUTED_VALUE"""),"District")</f>
        <v>District</v>
      </c>
      <c r="L6" s="2" t="str">
        <f>IFERROR(__xludf.DUMMYFUNCTION("""COMPUTED_VALUE"""),"Headquarters")</f>
        <v>Headquarters</v>
      </c>
      <c r="M6" s="2" t="str">
        <f>IFERROR(__xludf.DUMMYFUNCTION("""COMPUTED_VALUE"""),"Area
(km2)")</f>
        <v>Area
(km2)</v>
      </c>
      <c r="N6" s="2" t="str">
        <f>IFERROR(__xludf.DUMMYFUNCTION("""COMPUTED_VALUE"""),"Population
(2017)[13]")</f>
        <v>Population
(2017)[13]</v>
      </c>
      <c r="O6" s="2" t="str">
        <f>IFERROR(__xludf.DUMMYFUNCTION("""COMPUTED_VALUE"""),"Density
(people/km2)")</f>
        <v>Density
(people/km2)</v>
      </c>
      <c r="P6" s="2" t="str">
        <f>IFERROR(__xludf.DUMMYFUNCTION("""COMPUTED_VALUE"""),"Division")</f>
        <v>Division</v>
      </c>
    </row>
    <row r="7">
      <c r="B7" s="2">
        <f>IFERROR(__xludf.DUMMYFUNCTION("""COMPUTED_VALUE"""),3.0)</f>
        <v>3</v>
      </c>
      <c r="C7" s="2" t="str">
        <f>IFERROR(__xludf.DUMMYFUNCTION("""COMPUTED_VALUE"""),"Ghotki")</f>
        <v>Ghotki</v>
      </c>
      <c r="D7" s="2" t="str">
        <f>IFERROR(__xludf.DUMMYFUNCTION("""COMPUTED_VALUE"""),"Mirpur Mathelo")</f>
        <v>Mirpur Mathelo</v>
      </c>
      <c r="E7" s="3">
        <f>IFERROR(__xludf.DUMMYFUNCTION("""COMPUTED_VALUE"""),6083.0)</f>
        <v>6083</v>
      </c>
      <c r="F7" s="3">
        <f>IFERROR(__xludf.DUMMYFUNCTION("""COMPUTED_VALUE"""),1646318.0)</f>
        <v>1646318</v>
      </c>
      <c r="G7" s="2">
        <f>IFERROR(__xludf.DUMMYFUNCTION("""COMPUTED_VALUE"""),270.0)</f>
        <v>270</v>
      </c>
      <c r="H7" s="2" t="str">
        <f>IFERROR(__xludf.DUMMYFUNCTION("""COMPUTED_VALUE"""),"Sukkur")</f>
        <v>Sukkur</v>
      </c>
      <c r="J7" s="2">
        <f>IFERROR(__xludf.DUMMYFUNCTION("""COMPUTED_VALUE"""),1.0)</f>
        <v>1</v>
      </c>
      <c r="K7" s="2" t="str">
        <f>IFERROR(__xludf.DUMMYFUNCTION("""COMPUTED_VALUE"""),"Awaran")</f>
        <v>Awaran</v>
      </c>
      <c r="L7" s="2" t="str">
        <f>IFERROR(__xludf.DUMMYFUNCTION("""COMPUTED_VALUE"""),"Awaran")</f>
        <v>Awaran</v>
      </c>
      <c r="M7" s="2" t="str">
        <f>IFERROR(__xludf.DUMMYFUNCTION("""COMPUTED_VALUE"""),"29,510[14]")</f>
        <v>29,510[14]</v>
      </c>
      <c r="N7" s="3">
        <f>IFERROR(__xludf.DUMMYFUNCTION("""COMPUTED_VALUE"""),956011.0)</f>
        <v>956011</v>
      </c>
      <c r="O7" s="2">
        <f>IFERROR(__xludf.DUMMYFUNCTION("""COMPUTED_VALUE"""),4.0)</f>
        <v>4</v>
      </c>
      <c r="P7" s="2" t="str">
        <f>IFERROR(__xludf.DUMMYFUNCTION("""COMPUTED_VALUE"""),"Kalat")</f>
        <v>Kalat</v>
      </c>
    </row>
    <row r="8">
      <c r="B8" s="2">
        <f>IFERROR(__xludf.DUMMYFUNCTION("""COMPUTED_VALUE"""),4.0)</f>
        <v>4</v>
      </c>
      <c r="C8" s="2" t="str">
        <f>IFERROR(__xludf.DUMMYFUNCTION("""COMPUTED_VALUE"""),"Hyderabad")</f>
        <v>Hyderabad</v>
      </c>
      <c r="D8" s="2" t="str">
        <f>IFERROR(__xludf.DUMMYFUNCTION("""COMPUTED_VALUE"""),"Hyderabad")</f>
        <v>Hyderabad</v>
      </c>
      <c r="E8" s="3">
        <f>IFERROR(__xludf.DUMMYFUNCTION("""COMPUTED_VALUE"""),5519.0)</f>
        <v>5519</v>
      </c>
      <c r="F8" s="3">
        <f>IFERROR(__xludf.DUMMYFUNCTION("""COMPUTED_VALUE"""),2199463.0)</f>
        <v>2199463</v>
      </c>
      <c r="G8" s="2">
        <f>IFERROR(__xludf.DUMMYFUNCTION("""COMPUTED_VALUE"""),398.0)</f>
        <v>398</v>
      </c>
      <c r="H8" s="2" t="str">
        <f>IFERROR(__xludf.DUMMYFUNCTION("""COMPUTED_VALUE"""),"Hyderabad")</f>
        <v>Hyderabad</v>
      </c>
      <c r="J8" s="2">
        <f>IFERROR(__xludf.DUMMYFUNCTION("""COMPUTED_VALUE"""),2.0)</f>
        <v>2</v>
      </c>
      <c r="K8" s="2" t="str">
        <f>IFERROR(__xludf.DUMMYFUNCTION("""COMPUTED_VALUE"""),"Barkhan")</f>
        <v>Barkhan</v>
      </c>
      <c r="L8" s="2" t="str">
        <f>IFERROR(__xludf.DUMMYFUNCTION("""COMPUTED_VALUE"""),"Barkhan")</f>
        <v>Barkhan</v>
      </c>
      <c r="M8" s="3">
        <f>IFERROR(__xludf.DUMMYFUNCTION("""COMPUTED_VALUE"""),3514.0)</f>
        <v>3514</v>
      </c>
      <c r="N8" s="3">
        <f>IFERROR(__xludf.DUMMYFUNCTION("""COMPUTED_VALUE"""),171556.0)</f>
        <v>171556</v>
      </c>
      <c r="O8" s="2">
        <f>IFERROR(__xludf.DUMMYFUNCTION("""COMPUTED_VALUE"""),48.8)</f>
        <v>48.8</v>
      </c>
      <c r="P8" s="2" t="str">
        <f>IFERROR(__xludf.DUMMYFUNCTION("""COMPUTED_VALUE"""),"Loralai")</f>
        <v>Loralai</v>
      </c>
    </row>
    <row r="9">
      <c r="B9" s="2">
        <f>IFERROR(__xludf.DUMMYFUNCTION("""COMPUTED_VALUE"""),5.0)</f>
        <v>5</v>
      </c>
      <c r="C9" s="2" t="str">
        <f>IFERROR(__xludf.DUMMYFUNCTION("""COMPUTED_VALUE"""),"Jacobabad")</f>
        <v>Jacobabad</v>
      </c>
      <c r="D9" s="2" t="str">
        <f>IFERROR(__xludf.DUMMYFUNCTION("""COMPUTED_VALUE"""),"Jacobabad")</f>
        <v>Jacobabad</v>
      </c>
      <c r="E9" s="3">
        <f>IFERROR(__xludf.DUMMYFUNCTION("""COMPUTED_VALUE"""),5278.0)</f>
        <v>5278</v>
      </c>
      <c r="F9" s="3">
        <f>IFERROR(__xludf.DUMMYFUNCTION("""COMPUTED_VALUE"""),1006297.0)</f>
        <v>1006297</v>
      </c>
      <c r="G9" s="2">
        <f>IFERROR(__xludf.DUMMYFUNCTION("""COMPUTED_VALUE"""),191.0)</f>
        <v>191</v>
      </c>
      <c r="H9" s="2" t="str">
        <f>IFERROR(__xludf.DUMMYFUNCTION("""COMPUTED_VALUE"""),"Larkana")</f>
        <v>Larkana</v>
      </c>
      <c r="J9" s="2">
        <f>IFERROR(__xludf.DUMMYFUNCTION("""COMPUTED_VALUE"""),3.0)</f>
        <v>3</v>
      </c>
      <c r="K9" s="2" t="str">
        <f>IFERROR(__xludf.DUMMYFUNCTION("""COMPUTED_VALUE"""),"Chagai")</f>
        <v>Chagai</v>
      </c>
      <c r="L9" s="2" t="str">
        <f>IFERROR(__xludf.DUMMYFUNCTION("""COMPUTED_VALUE"""),"Dalbandin")</f>
        <v>Dalbandin</v>
      </c>
      <c r="M9" s="2" t="str">
        <f>IFERROR(__xludf.DUMMYFUNCTION("""COMPUTED_VALUE"""),"44,748[15]")</f>
        <v>44,748[15]</v>
      </c>
      <c r="N9" s="3">
        <f>IFERROR(__xludf.DUMMYFUNCTION("""COMPUTED_VALUE"""),226008.0)</f>
        <v>226008</v>
      </c>
      <c r="O9" s="2">
        <f>IFERROR(__xludf.DUMMYFUNCTION("""COMPUTED_VALUE"""),5.0)</f>
        <v>5</v>
      </c>
      <c r="P9" s="2" t="str">
        <f>IFERROR(__xludf.DUMMYFUNCTION("""COMPUTED_VALUE"""),"Rakhshan")</f>
        <v>Rakhshan</v>
      </c>
    </row>
    <row r="10">
      <c r="B10" s="2">
        <f>IFERROR(__xludf.DUMMYFUNCTION("""COMPUTED_VALUE"""),6.0)</f>
        <v>6</v>
      </c>
      <c r="C10" s="2" t="str">
        <f>IFERROR(__xludf.DUMMYFUNCTION("""COMPUTED_VALUE"""),"Jamshoro")</f>
        <v>Jamshoro</v>
      </c>
      <c r="D10" s="2" t="str">
        <f>IFERROR(__xludf.DUMMYFUNCTION("""COMPUTED_VALUE"""),"Jamshoro")</f>
        <v>Jamshoro</v>
      </c>
      <c r="E10" s="3">
        <f>IFERROR(__xludf.DUMMYFUNCTION("""COMPUTED_VALUE"""),11250.0)</f>
        <v>11250</v>
      </c>
      <c r="F10" s="3">
        <f>IFERROR(__xludf.DUMMYFUNCTION("""COMPUTED_VALUE"""),993142.0)</f>
        <v>993142</v>
      </c>
      <c r="G10" s="2">
        <f>IFERROR(__xludf.DUMMYFUNCTION("""COMPUTED_VALUE"""),88.0)</f>
        <v>88</v>
      </c>
      <c r="H10" s="2" t="str">
        <f>IFERROR(__xludf.DUMMYFUNCTION("""COMPUTED_VALUE"""),"Hyderabad")</f>
        <v>Hyderabad</v>
      </c>
      <c r="J10" s="2">
        <f>IFERROR(__xludf.DUMMYFUNCTION("""COMPUTED_VALUE"""),4.0)</f>
        <v>4</v>
      </c>
      <c r="K10" s="2" t="str">
        <f>IFERROR(__xludf.DUMMYFUNCTION("""COMPUTED_VALUE"""),"Chaman")</f>
        <v>Chaman</v>
      </c>
      <c r="L10" s="2" t="str">
        <f>IFERROR(__xludf.DUMMYFUNCTION("""COMPUTED_VALUE"""),"Chaman")</f>
        <v>Chaman</v>
      </c>
      <c r="M10" s="2"/>
      <c r="N10" s="2"/>
      <c r="O10" s="2"/>
      <c r="P10" s="2" t="str">
        <f>IFERROR(__xludf.DUMMYFUNCTION("""COMPUTED_VALUE"""),"Quetta")</f>
        <v>Quetta</v>
      </c>
    </row>
    <row r="11">
      <c r="B11" s="2">
        <f>IFERROR(__xludf.DUMMYFUNCTION("""COMPUTED_VALUE"""),7.0)</f>
        <v>7</v>
      </c>
      <c r="C11" s="2" t="str">
        <f>IFERROR(__xludf.DUMMYFUNCTION("""COMPUTED_VALUE"""),"Karachi Central")</f>
        <v>Karachi Central</v>
      </c>
      <c r="D11" s="2" t="str">
        <f>IFERROR(__xludf.DUMMYFUNCTION("""COMPUTED_VALUE"""),"North Nazimabad")</f>
        <v>North Nazimabad</v>
      </c>
      <c r="E11" s="2">
        <f>IFERROR(__xludf.DUMMYFUNCTION("""COMPUTED_VALUE"""),69.0)</f>
        <v>69</v>
      </c>
      <c r="F11" s="3">
        <f>IFERROR(__xludf.DUMMYFUNCTION("""COMPUTED_VALUE"""),2971626.0)</f>
        <v>2971626</v>
      </c>
      <c r="G11" s="3">
        <f>IFERROR(__xludf.DUMMYFUNCTION("""COMPUTED_VALUE"""),43067.0)</f>
        <v>43067</v>
      </c>
      <c r="H11" s="2" t="str">
        <f>IFERROR(__xludf.DUMMYFUNCTION("""COMPUTED_VALUE"""),"Karachi")</f>
        <v>Karachi</v>
      </c>
      <c r="J11" s="2">
        <f>IFERROR(__xludf.DUMMYFUNCTION("""COMPUTED_VALUE"""),5.0)</f>
        <v>5</v>
      </c>
      <c r="K11" s="2" t="str">
        <f>IFERROR(__xludf.DUMMYFUNCTION("""COMPUTED_VALUE"""),"Dera Bugti")</f>
        <v>Dera Bugti</v>
      </c>
      <c r="L11" s="2" t="str">
        <f>IFERROR(__xludf.DUMMYFUNCTION("""COMPUTED_VALUE"""),"Dera Bugti")</f>
        <v>Dera Bugti</v>
      </c>
      <c r="M11" s="3">
        <f>IFERROR(__xludf.DUMMYFUNCTION("""COMPUTED_VALUE"""),10160.0)</f>
        <v>10160</v>
      </c>
      <c r="N11" s="3">
        <f>IFERROR(__xludf.DUMMYFUNCTION("""COMPUTED_VALUE"""),1500603.0)</f>
        <v>1500603</v>
      </c>
      <c r="O11" s="2">
        <f>IFERROR(__xludf.DUMMYFUNCTION("""COMPUTED_VALUE"""),31.0)</f>
        <v>31</v>
      </c>
      <c r="P11" s="2" t="str">
        <f>IFERROR(__xludf.DUMMYFUNCTION("""COMPUTED_VALUE"""),"Sibi")</f>
        <v>Sibi</v>
      </c>
    </row>
    <row r="12">
      <c r="B12" s="2">
        <f>IFERROR(__xludf.DUMMYFUNCTION("""COMPUTED_VALUE"""),8.0)</f>
        <v>8</v>
      </c>
      <c r="C12" s="2" t="str">
        <f>IFERROR(__xludf.DUMMYFUNCTION("""COMPUTED_VALUE"""),"Karachi East")</f>
        <v>Karachi East</v>
      </c>
      <c r="D12" s="2" t="str">
        <f>IFERROR(__xludf.DUMMYFUNCTION("""COMPUTED_VALUE"""),"Gulshan e Iqbal")</f>
        <v>Gulshan e Iqbal</v>
      </c>
      <c r="E12" s="2">
        <f>IFERROR(__xludf.DUMMYFUNCTION("""COMPUTED_VALUE"""),165.0)</f>
        <v>165</v>
      </c>
      <c r="F12" s="3">
        <f>IFERROR(__xludf.DUMMYFUNCTION("""COMPUTED_VALUE"""),2907467.0)</f>
        <v>2907467</v>
      </c>
      <c r="G12" s="3">
        <f>IFERROR(__xludf.DUMMYFUNCTION("""COMPUTED_VALUE"""),17610.0)</f>
        <v>17610</v>
      </c>
      <c r="H12" s="2" t="str">
        <f>IFERROR(__xludf.DUMMYFUNCTION("""COMPUTED_VALUE"""),"Karachi")</f>
        <v>Karachi</v>
      </c>
      <c r="J12" s="2">
        <f>IFERROR(__xludf.DUMMYFUNCTION("""COMPUTED_VALUE"""),6.0)</f>
        <v>6</v>
      </c>
      <c r="K12" s="2" t="str">
        <f>IFERROR(__xludf.DUMMYFUNCTION("""COMPUTED_VALUE"""),"Duki")</f>
        <v>Duki</v>
      </c>
      <c r="L12" s="2" t="str">
        <f>IFERROR(__xludf.DUMMYFUNCTION("""COMPUTED_VALUE"""),"Duki")</f>
        <v>Duki</v>
      </c>
      <c r="M12" s="2"/>
      <c r="N12" s="3">
        <f>IFERROR(__xludf.DUMMYFUNCTION("""COMPUTED_VALUE"""),153000.0)</f>
        <v>153000</v>
      </c>
      <c r="O12" s="2"/>
      <c r="P12" s="2" t="str">
        <f>IFERROR(__xludf.DUMMYFUNCTION("""COMPUTED_VALUE"""),"Loralai")</f>
        <v>Loralai</v>
      </c>
    </row>
    <row r="13">
      <c r="B13" s="2">
        <f>IFERROR(__xludf.DUMMYFUNCTION("""COMPUTED_VALUE"""),9.0)</f>
        <v>9</v>
      </c>
      <c r="C13" s="2" t="str">
        <f>IFERROR(__xludf.DUMMYFUNCTION("""COMPUTED_VALUE"""),"Karachi South")</f>
        <v>Karachi South</v>
      </c>
      <c r="D13" s="2" t="str">
        <f>IFERROR(__xludf.DUMMYFUNCTION("""COMPUTED_VALUE"""),"Saddar Karachi")</f>
        <v>Saddar Karachi</v>
      </c>
      <c r="E13" s="2">
        <f>IFERROR(__xludf.DUMMYFUNCTION("""COMPUTED_VALUE"""),122.0)</f>
        <v>122</v>
      </c>
      <c r="F13" s="3">
        <f>IFERROR(__xludf.DUMMYFUNCTION("""COMPUTED_VALUE"""),1791751.0)</f>
        <v>1791751</v>
      </c>
      <c r="G13" s="3">
        <f>IFERROR(__xludf.DUMMYFUNCTION("""COMPUTED_VALUE"""),14686.0)</f>
        <v>14686</v>
      </c>
      <c r="H13" s="2" t="str">
        <f>IFERROR(__xludf.DUMMYFUNCTION("""COMPUTED_VALUE"""),"Karachi")</f>
        <v>Karachi</v>
      </c>
      <c r="J13" s="2">
        <f>IFERROR(__xludf.DUMMYFUNCTION("""COMPUTED_VALUE"""),7.0)</f>
        <v>7</v>
      </c>
      <c r="K13" s="2" t="str">
        <f>IFERROR(__xludf.DUMMYFUNCTION("""COMPUTED_VALUE"""),"Gwadar")</f>
        <v>Gwadar</v>
      </c>
      <c r="L13" s="2" t="str">
        <f>IFERROR(__xludf.DUMMYFUNCTION("""COMPUTED_VALUE"""),"Gwadar")</f>
        <v>Gwadar</v>
      </c>
      <c r="M13" s="3">
        <f>IFERROR(__xludf.DUMMYFUNCTION("""COMPUTED_VALUE"""),12637.0)</f>
        <v>12637</v>
      </c>
      <c r="N13" s="3">
        <f>IFERROR(__xludf.DUMMYFUNCTION("""COMPUTED_VALUE"""),4500514.0)</f>
        <v>4500514</v>
      </c>
      <c r="O13" s="2">
        <f>IFERROR(__xludf.DUMMYFUNCTION("""COMPUTED_VALUE"""),21.0)</f>
        <v>21</v>
      </c>
      <c r="P13" s="2" t="str">
        <f>IFERROR(__xludf.DUMMYFUNCTION("""COMPUTED_VALUE"""),"Makran")</f>
        <v>Makran</v>
      </c>
    </row>
    <row r="14">
      <c r="B14" s="2">
        <f>IFERROR(__xludf.DUMMYFUNCTION("""COMPUTED_VALUE"""),10.0)</f>
        <v>10</v>
      </c>
      <c r="C14" s="2" t="str">
        <f>IFERROR(__xludf.DUMMYFUNCTION("""COMPUTED_VALUE"""),"Karachi West")</f>
        <v>Karachi West</v>
      </c>
      <c r="D14" s="2" t="str">
        <f>IFERROR(__xludf.DUMMYFUNCTION("""COMPUTED_VALUE"""),"Orangi Town")</f>
        <v>Orangi Town</v>
      </c>
      <c r="E14" s="2">
        <f>IFERROR(__xludf.DUMMYFUNCTION("""COMPUTED_VALUE"""),929.0)</f>
        <v>929</v>
      </c>
      <c r="F14" s="3">
        <f>IFERROR(__xludf.DUMMYFUNCTION("""COMPUTED_VALUE"""),3914757.0)</f>
        <v>3914757</v>
      </c>
      <c r="G14" s="3">
        <f>IFERROR(__xludf.DUMMYFUNCTION("""COMPUTED_VALUE"""),4214.0)</f>
        <v>4214</v>
      </c>
      <c r="H14" s="2" t="str">
        <f>IFERROR(__xludf.DUMMYFUNCTION("""COMPUTED_VALUE"""),"Karachi")</f>
        <v>Karachi</v>
      </c>
      <c r="J14" s="2">
        <f>IFERROR(__xludf.DUMMYFUNCTION("""COMPUTED_VALUE"""),8.0)</f>
        <v>8</v>
      </c>
      <c r="K14" s="2" t="str">
        <f>IFERROR(__xludf.DUMMYFUNCTION("""COMPUTED_VALUE"""),"Harnai[16]")</f>
        <v>Harnai[16]</v>
      </c>
      <c r="L14" s="2" t="str">
        <f>IFERROR(__xludf.DUMMYFUNCTION("""COMPUTED_VALUE"""),"Harnai")</f>
        <v>Harnai</v>
      </c>
      <c r="M14" s="3">
        <f>IFERROR(__xludf.DUMMYFUNCTION("""COMPUTED_VALUE"""),4096.0)</f>
        <v>4096</v>
      </c>
      <c r="N14" s="3">
        <f>IFERROR(__xludf.DUMMYFUNCTION("""COMPUTED_VALUE"""),97017.0)</f>
        <v>97017</v>
      </c>
      <c r="O14" s="2">
        <f>IFERROR(__xludf.DUMMYFUNCTION("""COMPUTED_VALUE"""),24.0)</f>
        <v>24</v>
      </c>
      <c r="P14" s="2" t="str">
        <f>IFERROR(__xludf.DUMMYFUNCTION("""COMPUTED_VALUE"""),"Sibi")</f>
        <v>Sibi</v>
      </c>
    </row>
    <row r="15">
      <c r="B15" s="2">
        <f>IFERROR(__xludf.DUMMYFUNCTION("""COMPUTED_VALUE"""),11.0)</f>
        <v>11</v>
      </c>
      <c r="C15" s="2" t="str">
        <f>IFERROR(__xludf.DUMMYFUNCTION("""COMPUTED_VALUE"""),"Kashmore")</f>
        <v>Kashmore</v>
      </c>
      <c r="D15" s="2" t="str">
        <f>IFERROR(__xludf.DUMMYFUNCTION("""COMPUTED_VALUE"""),"Kandhkot")</f>
        <v>Kandhkot</v>
      </c>
      <c r="E15" s="3">
        <f>IFERROR(__xludf.DUMMYFUNCTION("""COMPUTED_VALUE"""),2592.0)</f>
        <v>2592</v>
      </c>
      <c r="F15" s="3">
        <f>IFERROR(__xludf.DUMMYFUNCTION("""COMPUTED_VALUE"""),1089169.0)</f>
        <v>1089169</v>
      </c>
      <c r="G15" s="2">
        <f>IFERROR(__xludf.DUMMYFUNCTION("""COMPUTED_VALUE"""),420.0)</f>
        <v>420</v>
      </c>
      <c r="H15" s="2" t="str">
        <f>IFERROR(__xludf.DUMMYFUNCTION("""COMPUTED_VALUE"""),"Larkana")</f>
        <v>Larkana</v>
      </c>
      <c r="J15" s="2">
        <f>IFERROR(__xludf.DUMMYFUNCTION("""COMPUTED_VALUE"""),9.0)</f>
        <v>9</v>
      </c>
      <c r="K15" s="2" t="str">
        <f>IFERROR(__xludf.DUMMYFUNCTION("""COMPUTED_VALUE"""),"Hub")</f>
        <v>Hub</v>
      </c>
      <c r="L15" s="2" t="str">
        <f>IFERROR(__xludf.DUMMYFUNCTION("""COMPUTED_VALUE"""),"Hub")</f>
        <v>Hub</v>
      </c>
      <c r="M15" s="3">
        <f>IFERROR(__xludf.DUMMYFUNCTION("""COMPUTED_VALUE"""),6716.0)</f>
        <v>6716</v>
      </c>
      <c r="N15" s="3">
        <f>IFERROR(__xludf.DUMMYFUNCTION("""COMPUTED_VALUE"""),339640.0)</f>
        <v>339640</v>
      </c>
      <c r="O15" s="2">
        <f>IFERROR(__xludf.DUMMYFUNCTION("""COMPUTED_VALUE"""),51.0)</f>
        <v>51</v>
      </c>
      <c r="P15" s="2" t="str">
        <f>IFERROR(__xludf.DUMMYFUNCTION("""COMPUTED_VALUE"""),"Kalat")</f>
        <v>Kalat</v>
      </c>
    </row>
    <row r="16">
      <c r="B16" s="2">
        <f>IFERROR(__xludf.DUMMYFUNCTION("""COMPUTED_VALUE"""),12.0)</f>
        <v>12</v>
      </c>
      <c r="C16" s="2" t="str">
        <f>IFERROR(__xludf.DUMMYFUNCTION("""COMPUTED_VALUE"""),"Khairpur")</f>
        <v>Khairpur</v>
      </c>
      <c r="D16" s="2" t="str">
        <f>IFERROR(__xludf.DUMMYFUNCTION("""COMPUTED_VALUE"""),"Khairpur")</f>
        <v>Khairpur</v>
      </c>
      <c r="E16" s="3">
        <f>IFERROR(__xludf.DUMMYFUNCTION("""COMPUTED_VALUE"""),15910.0)</f>
        <v>15910</v>
      </c>
      <c r="F16" s="3">
        <f>IFERROR(__xludf.DUMMYFUNCTION("""COMPUTED_VALUE"""),2404334.0)</f>
        <v>2404334</v>
      </c>
      <c r="G16" s="2">
        <f>IFERROR(__xludf.DUMMYFUNCTION("""COMPUTED_VALUE"""),151.0)</f>
        <v>151</v>
      </c>
      <c r="H16" s="2" t="str">
        <f>IFERROR(__xludf.DUMMYFUNCTION("""COMPUTED_VALUE"""),"Sukkur")</f>
        <v>Sukkur</v>
      </c>
      <c r="J16" s="2">
        <f>IFERROR(__xludf.DUMMYFUNCTION("""COMPUTED_VALUE"""),10.0)</f>
        <v>10</v>
      </c>
      <c r="K16" s="2" t="str">
        <f>IFERROR(__xludf.DUMMYFUNCTION("""COMPUTED_VALUE"""),"Jafarabad")</f>
        <v>Jafarabad</v>
      </c>
      <c r="L16" s="2" t="str">
        <f>IFERROR(__xludf.DUMMYFUNCTION("""COMPUTED_VALUE"""),"Dera Allahyar")</f>
        <v>Dera Allahyar</v>
      </c>
      <c r="M16" s="3">
        <f>IFERROR(__xludf.DUMMYFUNCTION("""COMPUTED_VALUE"""),2445.0)</f>
        <v>2445</v>
      </c>
      <c r="N16" s="3">
        <f>IFERROR(__xludf.DUMMYFUNCTION("""COMPUTED_VALUE"""),513813.0)</f>
        <v>513813</v>
      </c>
      <c r="O16" s="2">
        <f>IFERROR(__xludf.DUMMYFUNCTION("""COMPUTED_VALUE"""),210.0)</f>
        <v>210</v>
      </c>
      <c r="P16" s="2" t="str">
        <f>IFERROR(__xludf.DUMMYFUNCTION("""COMPUTED_VALUE"""),"Nasirabad")</f>
        <v>Nasirabad</v>
      </c>
    </row>
    <row r="17">
      <c r="B17" s="2">
        <f>IFERROR(__xludf.DUMMYFUNCTION("""COMPUTED_VALUE"""),13.0)</f>
        <v>13</v>
      </c>
      <c r="C17" s="2" t="str">
        <f>IFERROR(__xludf.DUMMYFUNCTION("""COMPUTED_VALUE"""),"Korangi")</f>
        <v>Korangi</v>
      </c>
      <c r="D17" s="2" t="str">
        <f>IFERROR(__xludf.DUMMYFUNCTION("""COMPUTED_VALUE"""),"Korangi")</f>
        <v>Korangi</v>
      </c>
      <c r="E17" s="2">
        <f>IFERROR(__xludf.DUMMYFUNCTION("""COMPUTED_VALUE"""),95.0)</f>
        <v>95</v>
      </c>
      <c r="F17" s="3">
        <f>IFERROR(__xludf.DUMMYFUNCTION("""COMPUTED_VALUE"""),2457019.0)</f>
        <v>2457019</v>
      </c>
      <c r="G17" s="3">
        <f>IFERROR(__xludf.DUMMYFUNCTION("""COMPUTED_VALUE"""),25918.0)</f>
        <v>25918</v>
      </c>
      <c r="H17" s="2" t="str">
        <f>IFERROR(__xludf.DUMMYFUNCTION("""COMPUTED_VALUE"""),"Karachi")</f>
        <v>Karachi</v>
      </c>
      <c r="J17" s="2">
        <f>IFERROR(__xludf.DUMMYFUNCTION("""COMPUTED_VALUE"""),11.0)</f>
        <v>11</v>
      </c>
      <c r="K17" s="2" t="str">
        <f>IFERROR(__xludf.DUMMYFUNCTION("""COMPUTED_VALUE"""),"Jhal Magsi")</f>
        <v>Jhal Magsi</v>
      </c>
      <c r="L17" s="2" t="str">
        <f>IFERROR(__xludf.DUMMYFUNCTION("""COMPUTED_VALUE"""),"Gandava")</f>
        <v>Gandava</v>
      </c>
      <c r="M17" s="3">
        <f>IFERROR(__xludf.DUMMYFUNCTION("""COMPUTED_VALUE"""),3615.0)</f>
        <v>3615</v>
      </c>
      <c r="N17" s="3">
        <f>IFERROR(__xludf.DUMMYFUNCTION("""COMPUTED_VALUE"""),149225.0)</f>
        <v>149225</v>
      </c>
      <c r="O17" s="2">
        <f>IFERROR(__xludf.DUMMYFUNCTION("""COMPUTED_VALUE"""),41.0)</f>
        <v>41</v>
      </c>
      <c r="P17" s="2" t="str">
        <f>IFERROR(__xludf.DUMMYFUNCTION("""COMPUTED_VALUE"""),"Nasirabad")</f>
        <v>Nasirabad</v>
      </c>
    </row>
    <row r="18">
      <c r="B18" s="2">
        <f>IFERROR(__xludf.DUMMYFUNCTION("""COMPUTED_VALUE"""),14.0)</f>
        <v>14</v>
      </c>
      <c r="C18" s="2" t="str">
        <f>IFERROR(__xludf.DUMMYFUNCTION("""COMPUTED_VALUE"""),"Keamari")</f>
        <v>Keamari</v>
      </c>
      <c r="D18" s="2" t="str">
        <f>IFERROR(__xludf.DUMMYFUNCTION("""COMPUTED_VALUE"""),"Moriro Mirbahar")</f>
        <v>Moriro Mirbahar</v>
      </c>
      <c r="E18" s="2" t="str">
        <f>IFERROR(__xludf.DUMMYFUNCTION("""COMPUTED_VALUE"""),"-")</f>
        <v>-</v>
      </c>
      <c r="F18" s="2" t="str">
        <f>IFERROR(__xludf.DUMMYFUNCTION("""COMPUTED_VALUE"""),"-")</f>
        <v>-</v>
      </c>
      <c r="G18" s="2" t="str">
        <f>IFERROR(__xludf.DUMMYFUNCTION("""COMPUTED_VALUE"""),"-")</f>
        <v>-</v>
      </c>
      <c r="H18" s="2" t="str">
        <f>IFERROR(__xludf.DUMMYFUNCTION("""COMPUTED_VALUE"""),"Karachi")</f>
        <v>Karachi</v>
      </c>
      <c r="J18" s="2">
        <f>IFERROR(__xludf.DUMMYFUNCTION("""COMPUTED_VALUE"""),12.0)</f>
        <v>12</v>
      </c>
      <c r="K18" s="2" t="str">
        <f>IFERROR(__xludf.DUMMYFUNCTION("""COMPUTED_VALUE"""),"Kachhi")</f>
        <v>Kachhi</v>
      </c>
      <c r="L18" s="2" t="str">
        <f>IFERROR(__xludf.DUMMYFUNCTION("""COMPUTED_VALUE"""),"Dhadar")</f>
        <v>Dhadar</v>
      </c>
      <c r="M18" s="3">
        <f>IFERROR(__xludf.DUMMYFUNCTION("""COMPUTED_VALUE"""),7499.0)</f>
        <v>7499</v>
      </c>
      <c r="N18" s="3">
        <f>IFERROR(__xludf.DUMMYFUNCTION("""COMPUTED_VALUE"""),237030.0)</f>
        <v>237030</v>
      </c>
      <c r="O18" s="2">
        <f>IFERROR(__xludf.DUMMYFUNCTION("""COMPUTED_VALUE"""),32.0)</f>
        <v>32</v>
      </c>
      <c r="P18" s="2" t="str">
        <f>IFERROR(__xludf.DUMMYFUNCTION("""COMPUTED_VALUE"""),"Nasirabad")</f>
        <v>Nasirabad</v>
      </c>
    </row>
    <row r="19">
      <c r="B19" s="2">
        <f>IFERROR(__xludf.DUMMYFUNCTION("""COMPUTED_VALUE"""),15.0)</f>
        <v>15</v>
      </c>
      <c r="C19" s="2" t="str">
        <f>IFERROR(__xludf.DUMMYFUNCTION("""COMPUTED_VALUE"""),"Larkana")</f>
        <v>Larkana</v>
      </c>
      <c r="D19" s="2" t="str">
        <f>IFERROR(__xludf.DUMMYFUNCTION("""COMPUTED_VALUE"""),"Larkana")</f>
        <v>Larkana</v>
      </c>
      <c r="E19" s="3">
        <f>IFERROR(__xludf.DUMMYFUNCTION("""COMPUTED_VALUE"""),1906.0)</f>
        <v>1906</v>
      </c>
      <c r="F19" s="3">
        <f>IFERROR(__xludf.DUMMYFUNCTION("""COMPUTED_VALUE"""),1524391.0)</f>
        <v>1524391</v>
      </c>
      <c r="G19" s="2">
        <f>IFERROR(__xludf.DUMMYFUNCTION("""COMPUTED_VALUE"""),205.0)</f>
        <v>205</v>
      </c>
      <c r="H19" s="2" t="str">
        <f>IFERROR(__xludf.DUMMYFUNCTION("""COMPUTED_VALUE"""),"Larkana")</f>
        <v>Larkana</v>
      </c>
      <c r="J19" s="2">
        <f>IFERROR(__xludf.DUMMYFUNCTION("""COMPUTED_VALUE"""),13.0)</f>
        <v>13</v>
      </c>
      <c r="K19" s="2" t="str">
        <f>IFERROR(__xludf.DUMMYFUNCTION("""COMPUTED_VALUE"""),"Kalat")</f>
        <v>Kalat</v>
      </c>
      <c r="L19" s="2" t="str">
        <f>IFERROR(__xludf.DUMMYFUNCTION("""COMPUTED_VALUE"""),"Kalat")</f>
        <v>Kalat</v>
      </c>
      <c r="M19" s="3">
        <f>IFERROR(__xludf.DUMMYFUNCTION("""COMPUTED_VALUE"""),6622.0)</f>
        <v>6622</v>
      </c>
      <c r="N19" s="3">
        <f>IFERROR(__xludf.DUMMYFUNCTION("""COMPUTED_VALUE"""),412232.0)</f>
        <v>412232</v>
      </c>
      <c r="O19" s="2">
        <f>IFERROR(__xludf.DUMMYFUNCTION("""COMPUTED_VALUE"""),62.0)</f>
        <v>62</v>
      </c>
      <c r="P19" s="2" t="str">
        <f>IFERROR(__xludf.DUMMYFUNCTION("""COMPUTED_VALUE"""),"Kalat")</f>
        <v>Kalat</v>
      </c>
    </row>
    <row r="20">
      <c r="B20" s="2">
        <f>IFERROR(__xludf.DUMMYFUNCTION("""COMPUTED_VALUE"""),16.0)</f>
        <v>16</v>
      </c>
      <c r="C20" s="2" t="str">
        <f>IFERROR(__xludf.DUMMYFUNCTION("""COMPUTED_VALUE"""),"Malir")</f>
        <v>Malir</v>
      </c>
      <c r="D20" s="2" t="str">
        <f>IFERROR(__xludf.DUMMYFUNCTION("""COMPUTED_VALUE"""),"Malir")</f>
        <v>Malir</v>
      </c>
      <c r="E20" s="3">
        <f>IFERROR(__xludf.DUMMYFUNCTION("""COMPUTED_VALUE"""),2268.0)</f>
        <v>2268</v>
      </c>
      <c r="F20" s="3">
        <f>IFERROR(__xludf.DUMMYFUNCTION("""COMPUTED_VALUE"""),2008901.0)</f>
        <v>2008901</v>
      </c>
      <c r="G20" s="2">
        <f>IFERROR(__xludf.DUMMYFUNCTION("""COMPUTED_VALUE"""),886.0)</f>
        <v>886</v>
      </c>
      <c r="H20" s="2" t="str">
        <f>IFERROR(__xludf.DUMMYFUNCTION("""COMPUTED_VALUE"""),"Karachi")</f>
        <v>Karachi</v>
      </c>
      <c r="J20" s="2">
        <f>IFERROR(__xludf.DUMMYFUNCTION("""COMPUTED_VALUE"""),14.0)</f>
        <v>14</v>
      </c>
      <c r="K20" s="2" t="str">
        <f>IFERROR(__xludf.DUMMYFUNCTION("""COMPUTED_VALUE"""),"Kech")</f>
        <v>Kech</v>
      </c>
      <c r="L20" s="2" t="str">
        <f>IFERROR(__xludf.DUMMYFUNCTION("""COMPUTED_VALUE"""),"Turbat")</f>
        <v>Turbat</v>
      </c>
      <c r="M20" s="3">
        <f>IFERROR(__xludf.DUMMYFUNCTION("""COMPUTED_VALUE"""),22539.0)</f>
        <v>22539</v>
      </c>
      <c r="N20" s="3">
        <f>IFERROR(__xludf.DUMMYFUNCTION("""COMPUTED_VALUE"""),909116.0)</f>
        <v>909116</v>
      </c>
      <c r="O20" s="2">
        <f>IFERROR(__xludf.DUMMYFUNCTION("""COMPUTED_VALUE"""),40.0)</f>
        <v>40</v>
      </c>
      <c r="P20" s="2" t="str">
        <f>IFERROR(__xludf.DUMMYFUNCTION("""COMPUTED_VALUE"""),"Makran")</f>
        <v>Makran</v>
      </c>
    </row>
    <row r="21">
      <c r="B21" s="2">
        <f>IFERROR(__xludf.DUMMYFUNCTION("""COMPUTED_VALUE"""),17.0)</f>
        <v>17</v>
      </c>
      <c r="C21" s="2" t="str">
        <f>IFERROR(__xludf.DUMMYFUNCTION("""COMPUTED_VALUE"""),"Matiari")</f>
        <v>Matiari</v>
      </c>
      <c r="D21" s="2" t="str">
        <f>IFERROR(__xludf.DUMMYFUNCTION("""COMPUTED_VALUE"""),"Matiari")</f>
        <v>Matiari</v>
      </c>
      <c r="E21" s="3">
        <f>IFERROR(__xludf.DUMMYFUNCTION("""COMPUTED_VALUE"""),1417.0)</f>
        <v>1417</v>
      </c>
      <c r="F21" s="3">
        <f>IFERROR(__xludf.DUMMYFUNCTION("""COMPUTED_VALUE"""),769349.0)</f>
        <v>769349</v>
      </c>
      <c r="G21" s="2">
        <f>IFERROR(__xludf.DUMMYFUNCTION("""COMPUTED_VALUE"""),543.0)</f>
        <v>543</v>
      </c>
      <c r="H21" s="2" t="str">
        <f>IFERROR(__xludf.DUMMYFUNCTION("""COMPUTED_VALUE"""),"Hyderabad")</f>
        <v>Hyderabad</v>
      </c>
      <c r="J21" s="2">
        <f>IFERROR(__xludf.DUMMYFUNCTION("""COMPUTED_VALUE"""),15.0)</f>
        <v>15</v>
      </c>
      <c r="K21" s="2" t="str">
        <f>IFERROR(__xludf.DUMMYFUNCTION("""COMPUTED_VALUE"""),"Kharan")</f>
        <v>Kharan</v>
      </c>
      <c r="L21" s="2" t="str">
        <f>IFERROR(__xludf.DUMMYFUNCTION("""COMPUTED_VALUE"""),"Kharan")</f>
        <v>Kharan</v>
      </c>
      <c r="M21" s="3">
        <f>IFERROR(__xludf.DUMMYFUNCTION("""COMPUTED_VALUE"""),8958.0)</f>
        <v>8958</v>
      </c>
      <c r="N21" s="3">
        <f>IFERROR(__xludf.DUMMYFUNCTION("""COMPUTED_VALUE"""),156152.0)</f>
        <v>156152</v>
      </c>
      <c r="O21" s="2">
        <f>IFERROR(__xludf.DUMMYFUNCTION("""COMPUTED_VALUE"""),17.0)</f>
        <v>17</v>
      </c>
      <c r="P21" s="2" t="str">
        <f>IFERROR(__xludf.DUMMYFUNCTION("""COMPUTED_VALUE"""),"Rakhshan")</f>
        <v>Rakhshan</v>
      </c>
    </row>
    <row r="22">
      <c r="B22" s="2">
        <f>IFERROR(__xludf.DUMMYFUNCTION("""COMPUTED_VALUE"""),18.0)</f>
        <v>18</v>
      </c>
      <c r="C22" s="2" t="str">
        <f>IFERROR(__xludf.DUMMYFUNCTION("""COMPUTED_VALUE"""),"Mirpur Khas")</f>
        <v>Mirpur Khas</v>
      </c>
      <c r="D22" s="2" t="str">
        <f>IFERROR(__xludf.DUMMYFUNCTION("""COMPUTED_VALUE"""),"Mirpur Khas")</f>
        <v>Mirpur Khas</v>
      </c>
      <c r="E22" s="3">
        <f>IFERROR(__xludf.DUMMYFUNCTION("""COMPUTED_VALUE"""),2925.0)</f>
        <v>2925</v>
      </c>
      <c r="F22" s="3">
        <f>IFERROR(__xludf.DUMMYFUNCTION("""COMPUTED_VALUE"""),1505876.0)</f>
        <v>1505876</v>
      </c>
      <c r="G22" s="2">
        <f>IFERROR(__xludf.DUMMYFUNCTION("""COMPUTED_VALUE"""),515.0)</f>
        <v>515</v>
      </c>
      <c r="H22" s="2" t="str">
        <f>IFERROR(__xludf.DUMMYFUNCTION("""COMPUTED_VALUE"""),"Mirpur Khas")</f>
        <v>Mirpur Khas</v>
      </c>
      <c r="J22" s="2">
        <f>IFERROR(__xludf.DUMMYFUNCTION("""COMPUTED_VALUE"""),16.0)</f>
        <v>16</v>
      </c>
      <c r="K22" s="2" t="str">
        <f>IFERROR(__xludf.DUMMYFUNCTION("""COMPUTED_VALUE"""),"Khuzdar")</f>
        <v>Khuzdar</v>
      </c>
      <c r="L22" s="2" t="str">
        <f>IFERROR(__xludf.DUMMYFUNCTION("""COMPUTED_VALUE"""),"Khuzdar")</f>
        <v>Khuzdar</v>
      </c>
      <c r="M22" s="3">
        <f>IFERROR(__xludf.DUMMYFUNCTION("""COMPUTED_VALUE"""),35380.0)</f>
        <v>35380</v>
      </c>
      <c r="N22" s="3">
        <f>IFERROR(__xludf.DUMMYFUNCTION("""COMPUTED_VALUE"""),802207.0)</f>
        <v>802207</v>
      </c>
      <c r="O22" s="2">
        <f>IFERROR(__xludf.DUMMYFUNCTION("""COMPUTED_VALUE"""),23.0)</f>
        <v>23</v>
      </c>
      <c r="P22" s="2" t="str">
        <f>IFERROR(__xludf.DUMMYFUNCTION("""COMPUTED_VALUE"""),"Kalat")</f>
        <v>Kalat</v>
      </c>
    </row>
    <row r="23">
      <c r="B23" s="2">
        <f>IFERROR(__xludf.DUMMYFUNCTION("""COMPUTED_VALUE"""),19.0)</f>
        <v>19</v>
      </c>
      <c r="C23" s="2" t="str">
        <f>IFERROR(__xludf.DUMMYFUNCTION("""COMPUTED_VALUE"""),"Naushahro Feroze")</f>
        <v>Naushahro Feroze</v>
      </c>
      <c r="D23" s="2" t="str">
        <f>IFERROR(__xludf.DUMMYFUNCTION("""COMPUTED_VALUE"""),"Naushahro Feroze")</f>
        <v>Naushahro Feroze</v>
      </c>
      <c r="E23" s="3">
        <f>IFERROR(__xludf.DUMMYFUNCTION("""COMPUTED_VALUE"""),2945.0)</f>
        <v>2945</v>
      </c>
      <c r="F23" s="3">
        <f>IFERROR(__xludf.DUMMYFUNCTION("""COMPUTED_VALUE"""),1612373.0)</f>
        <v>1612373</v>
      </c>
      <c r="G23" s="2">
        <f>IFERROR(__xludf.DUMMYFUNCTION("""COMPUTED_VALUE"""),548.0)</f>
        <v>548</v>
      </c>
      <c r="H23" s="2" t="str">
        <f>IFERROR(__xludf.DUMMYFUNCTION("""COMPUTED_VALUE"""),"Shaheed Benazir Abad")</f>
        <v>Shaheed Benazir Abad</v>
      </c>
      <c r="J23" s="2">
        <f>IFERROR(__xludf.DUMMYFUNCTION("""COMPUTED_VALUE"""),17.0)</f>
        <v>17</v>
      </c>
      <c r="K23" s="2" t="str">
        <f>IFERROR(__xludf.DUMMYFUNCTION("""COMPUTED_VALUE"""),"Kohlu")</f>
        <v>Kohlu</v>
      </c>
      <c r="L23" s="2" t="str">
        <f>IFERROR(__xludf.DUMMYFUNCTION("""COMPUTED_VALUE"""),"Kohlu")</f>
        <v>Kohlu</v>
      </c>
      <c r="M23" s="3">
        <f>IFERROR(__xludf.DUMMYFUNCTION("""COMPUTED_VALUE"""),7610.0)</f>
        <v>7610</v>
      </c>
      <c r="N23" s="3">
        <f>IFERROR(__xludf.DUMMYFUNCTION("""COMPUTED_VALUE"""),214350.0)</f>
        <v>214350</v>
      </c>
      <c r="O23" s="2">
        <f>IFERROR(__xludf.DUMMYFUNCTION("""COMPUTED_VALUE"""),28.0)</f>
        <v>28</v>
      </c>
      <c r="P23" s="2" t="str">
        <f>IFERROR(__xludf.DUMMYFUNCTION("""COMPUTED_VALUE"""),"Sibi")</f>
        <v>Sibi</v>
      </c>
    </row>
    <row r="24">
      <c r="B24" s="2">
        <f>IFERROR(__xludf.DUMMYFUNCTION("""COMPUTED_VALUE"""),20.0)</f>
        <v>20</v>
      </c>
      <c r="C24" s="2" t="str">
        <f>IFERROR(__xludf.DUMMYFUNCTION("""COMPUTED_VALUE"""),"Qambar Shahdadkot")</f>
        <v>Qambar Shahdadkot</v>
      </c>
      <c r="D24" s="2" t="str">
        <f>IFERROR(__xludf.DUMMYFUNCTION("""COMPUTED_VALUE"""),"Qambar")</f>
        <v>Qambar</v>
      </c>
      <c r="E24" s="3">
        <f>IFERROR(__xludf.DUMMYFUNCTION("""COMPUTED_VALUE"""),5599.0)</f>
        <v>5599</v>
      </c>
      <c r="F24" s="3">
        <f>IFERROR(__xludf.DUMMYFUNCTION("""COMPUTED_VALUE"""),1341042.0)</f>
        <v>1341042</v>
      </c>
      <c r="G24" s="2">
        <f>IFERROR(__xludf.DUMMYFUNCTION("""COMPUTED_VALUE"""),239.0)</f>
        <v>239</v>
      </c>
      <c r="H24" s="2" t="str">
        <f>IFERROR(__xludf.DUMMYFUNCTION("""COMPUTED_VALUE"""),"Larkana")</f>
        <v>Larkana</v>
      </c>
      <c r="J24" s="2">
        <f>IFERROR(__xludf.DUMMYFUNCTION("""COMPUTED_VALUE"""),18.0)</f>
        <v>18</v>
      </c>
      <c r="K24" s="2" t="str">
        <f>IFERROR(__xludf.DUMMYFUNCTION("""COMPUTED_VALUE"""),"Lasbela")</f>
        <v>Lasbela</v>
      </c>
      <c r="L24" s="2" t="str">
        <f>IFERROR(__xludf.DUMMYFUNCTION("""COMPUTED_VALUE"""),"Uthal")</f>
        <v>Uthal</v>
      </c>
      <c r="M24" s="3">
        <f>IFERROR(__xludf.DUMMYFUNCTION("""COMPUTED_VALUE"""),15153.0)</f>
        <v>15153</v>
      </c>
      <c r="N24" s="3">
        <f>IFERROR(__xludf.DUMMYFUNCTION("""COMPUTED_VALUE"""),574292.0)</f>
        <v>574292</v>
      </c>
      <c r="O24" s="2">
        <f>IFERROR(__xludf.DUMMYFUNCTION("""COMPUTED_VALUE"""),38.0)</f>
        <v>38</v>
      </c>
      <c r="P24" s="2" t="str">
        <f>IFERROR(__xludf.DUMMYFUNCTION("""COMPUTED_VALUE"""),"Kalat")</f>
        <v>Kalat</v>
      </c>
    </row>
    <row r="25">
      <c r="B25" s="2">
        <f>IFERROR(__xludf.DUMMYFUNCTION("""COMPUTED_VALUE"""),21.0)</f>
        <v>21</v>
      </c>
      <c r="C25" s="2" t="str">
        <f>IFERROR(__xludf.DUMMYFUNCTION("""COMPUTED_VALUE"""),"Sanghar")</f>
        <v>Sanghar</v>
      </c>
      <c r="D25" s="2" t="str">
        <f>IFERROR(__xludf.DUMMYFUNCTION("""COMPUTED_VALUE"""),"Sanghar")</f>
        <v>Sanghar</v>
      </c>
      <c r="E25" s="3">
        <f>IFERROR(__xludf.DUMMYFUNCTION("""COMPUTED_VALUE"""),10720.0)</f>
        <v>10720</v>
      </c>
      <c r="F25" s="3">
        <f>IFERROR(__xludf.DUMMYFUNCTION("""COMPUTED_VALUE"""),2057057.0)</f>
        <v>2057057</v>
      </c>
      <c r="G25" s="2">
        <f>IFERROR(__xludf.DUMMYFUNCTION("""COMPUTED_VALUE"""),192.0)</f>
        <v>192</v>
      </c>
      <c r="H25" s="2" t="str">
        <f>IFERROR(__xludf.DUMMYFUNCTION("""COMPUTED_VALUE"""),"Mirpur Khas")</f>
        <v>Mirpur Khas</v>
      </c>
      <c r="J25" s="2">
        <f>IFERROR(__xludf.DUMMYFUNCTION("""COMPUTED_VALUE"""),19.0)</f>
        <v>19</v>
      </c>
      <c r="K25" s="2" t="str">
        <f>IFERROR(__xludf.DUMMYFUNCTION("""COMPUTED_VALUE"""),"Loralai")</f>
        <v>Loralai</v>
      </c>
      <c r="L25" s="2" t="str">
        <f>IFERROR(__xludf.DUMMYFUNCTION("""COMPUTED_VALUE"""),"Loralai")</f>
        <v>Loralai</v>
      </c>
      <c r="M25" s="3">
        <f>IFERROR(__xludf.DUMMYFUNCTION("""COMPUTED_VALUE"""),9830.0)</f>
        <v>9830</v>
      </c>
      <c r="N25" s="3">
        <f>IFERROR(__xludf.DUMMYFUNCTION("""COMPUTED_VALUE"""),397400.0)</f>
        <v>397400</v>
      </c>
      <c r="O25" s="2">
        <f>IFERROR(__xludf.DUMMYFUNCTION("""COMPUTED_VALUE"""),40.0)</f>
        <v>40</v>
      </c>
      <c r="P25" s="2" t="str">
        <f>IFERROR(__xludf.DUMMYFUNCTION("""COMPUTED_VALUE"""),"Loralai")</f>
        <v>Loralai</v>
      </c>
    </row>
    <row r="26">
      <c r="B26" s="2">
        <f>IFERROR(__xludf.DUMMYFUNCTION("""COMPUTED_VALUE"""),22.0)</f>
        <v>22</v>
      </c>
      <c r="C26" s="2" t="str">
        <f>IFERROR(__xludf.DUMMYFUNCTION("""COMPUTED_VALUE"""),"Shaheed Benazirabad")</f>
        <v>Shaheed Benazirabad</v>
      </c>
      <c r="D26" s="2" t="str">
        <f>IFERROR(__xludf.DUMMYFUNCTION("""COMPUTED_VALUE"""),"Nawabshah")</f>
        <v>Nawabshah</v>
      </c>
      <c r="E26" s="3">
        <f>IFERROR(__xludf.DUMMYFUNCTION("""COMPUTED_VALUE"""),4502.0)</f>
        <v>4502</v>
      </c>
      <c r="F26" s="3">
        <f>IFERROR(__xludf.DUMMYFUNCTION("""COMPUTED_VALUE"""),1612847.0)</f>
        <v>1612847</v>
      </c>
      <c r="G26" s="2">
        <f>IFERROR(__xludf.DUMMYFUNCTION("""COMPUTED_VALUE"""),358.0)</f>
        <v>358</v>
      </c>
      <c r="H26" s="2" t="str">
        <f>IFERROR(__xludf.DUMMYFUNCTION("""COMPUTED_VALUE"""),"Shaheed Benazirabad")</f>
        <v>Shaheed Benazirabad</v>
      </c>
      <c r="J26" s="2">
        <f>IFERROR(__xludf.DUMMYFUNCTION("""COMPUTED_VALUE"""),20.0)</f>
        <v>20</v>
      </c>
      <c r="K26" s="2" t="str">
        <f>IFERROR(__xludf.DUMMYFUNCTION("""COMPUTED_VALUE"""),"Mastung")</f>
        <v>Mastung</v>
      </c>
      <c r="L26" s="2" t="str">
        <f>IFERROR(__xludf.DUMMYFUNCTION("""COMPUTED_VALUE"""),"Mastung")</f>
        <v>Mastung</v>
      </c>
      <c r="M26" s="3">
        <f>IFERROR(__xludf.DUMMYFUNCTION("""COMPUTED_VALUE"""),5896.0)</f>
        <v>5896</v>
      </c>
      <c r="N26" s="3">
        <f>IFERROR(__xludf.DUMMYFUNCTION("""COMPUTED_VALUE"""),266461.0)</f>
        <v>266461</v>
      </c>
      <c r="O26" s="2">
        <f>IFERROR(__xludf.DUMMYFUNCTION("""COMPUTED_VALUE"""),45.0)</f>
        <v>45</v>
      </c>
      <c r="P26" s="2" t="str">
        <f>IFERROR(__xludf.DUMMYFUNCTION("""COMPUTED_VALUE"""),"Kalat")</f>
        <v>Kalat</v>
      </c>
    </row>
    <row r="27">
      <c r="B27" s="2">
        <f>IFERROR(__xludf.DUMMYFUNCTION("""COMPUTED_VALUE"""),23.0)</f>
        <v>23</v>
      </c>
      <c r="C27" s="2" t="str">
        <f>IFERROR(__xludf.DUMMYFUNCTION("""COMPUTED_VALUE"""),"Shikarpur")</f>
        <v>Shikarpur</v>
      </c>
      <c r="D27" s="2" t="str">
        <f>IFERROR(__xludf.DUMMYFUNCTION("""COMPUTED_VALUE"""),"Shikarpur")</f>
        <v>Shikarpur</v>
      </c>
      <c r="E27" s="3">
        <f>IFERROR(__xludf.DUMMYFUNCTION("""COMPUTED_VALUE"""),2512.0)</f>
        <v>2512</v>
      </c>
      <c r="F27" s="3">
        <f>IFERROR(__xludf.DUMMYFUNCTION("""COMPUTED_VALUE"""),1231481.0)</f>
        <v>1231481</v>
      </c>
      <c r="G27" s="2">
        <f>IFERROR(__xludf.DUMMYFUNCTION("""COMPUTED_VALUE"""),490.0)</f>
        <v>490</v>
      </c>
      <c r="H27" s="2" t="str">
        <f>IFERROR(__xludf.DUMMYFUNCTION("""COMPUTED_VALUE"""),"Larkana")</f>
        <v>Larkana</v>
      </c>
      <c r="J27" s="2">
        <f>IFERROR(__xludf.DUMMYFUNCTION("""COMPUTED_VALUE"""),21.0)</f>
        <v>21</v>
      </c>
      <c r="K27" s="2" t="str">
        <f>IFERROR(__xludf.DUMMYFUNCTION("""COMPUTED_VALUE"""),"Musakhel")</f>
        <v>Musakhel</v>
      </c>
      <c r="L27" s="2" t="str">
        <f>IFERROR(__xludf.DUMMYFUNCTION("""COMPUTED_VALUE"""),"Musa Khel Bazar")</f>
        <v>Musa Khel Bazar</v>
      </c>
      <c r="M27" s="3">
        <f>IFERROR(__xludf.DUMMYFUNCTION("""COMPUTED_VALUE"""),5728.0)</f>
        <v>5728</v>
      </c>
      <c r="N27" s="3">
        <f>IFERROR(__xludf.DUMMYFUNCTION("""COMPUTED_VALUE"""),167017.0)</f>
        <v>167017</v>
      </c>
      <c r="O27" s="2">
        <f>IFERROR(__xludf.DUMMYFUNCTION("""COMPUTED_VALUE"""),29.0)</f>
        <v>29</v>
      </c>
      <c r="P27" s="2" t="str">
        <f>IFERROR(__xludf.DUMMYFUNCTION("""COMPUTED_VALUE"""),"Loralai")</f>
        <v>Loralai</v>
      </c>
    </row>
    <row r="28">
      <c r="B28" s="2">
        <f>IFERROR(__xludf.DUMMYFUNCTION("""COMPUTED_VALUE"""),24.0)</f>
        <v>24</v>
      </c>
      <c r="C28" s="2" t="str">
        <f>IFERROR(__xludf.DUMMYFUNCTION("""COMPUTED_VALUE"""),"Sujawal")</f>
        <v>Sujawal</v>
      </c>
      <c r="D28" s="2" t="str">
        <f>IFERROR(__xludf.DUMMYFUNCTION("""COMPUTED_VALUE"""),"Sujawal")</f>
        <v>Sujawal</v>
      </c>
      <c r="E28" s="2" t="str">
        <f>IFERROR(__xludf.DUMMYFUNCTION("""COMPUTED_VALUE"""),"8,699[19]")</f>
        <v>8,699[19]</v>
      </c>
      <c r="F28" s="3">
        <f>IFERROR(__xludf.DUMMYFUNCTION("""COMPUTED_VALUE"""),781967.0)</f>
        <v>781967</v>
      </c>
      <c r="G28" s="2">
        <f>IFERROR(__xludf.DUMMYFUNCTION("""COMPUTED_VALUE"""),106.0)</f>
        <v>106</v>
      </c>
      <c r="H28" s="2" t="str">
        <f>IFERROR(__xludf.DUMMYFUNCTION("""COMPUTED_VALUE"""),"Banbhore")</f>
        <v>Banbhore</v>
      </c>
      <c r="J28" s="2">
        <f>IFERROR(__xludf.DUMMYFUNCTION("""COMPUTED_VALUE"""),22.0)</f>
        <v>22</v>
      </c>
      <c r="K28" s="2" t="str">
        <f>IFERROR(__xludf.DUMMYFUNCTION("""COMPUTED_VALUE"""),"Nasirabad")</f>
        <v>Nasirabad</v>
      </c>
      <c r="L28" s="2" t="str">
        <f>IFERROR(__xludf.DUMMYFUNCTION("""COMPUTED_VALUE"""),"Dera Murad Jamali")</f>
        <v>Dera Murad Jamali</v>
      </c>
      <c r="M28" s="3">
        <f>IFERROR(__xludf.DUMMYFUNCTION("""COMPUTED_VALUE"""),3387.0)</f>
        <v>3387</v>
      </c>
      <c r="N28" s="3">
        <f>IFERROR(__xludf.DUMMYFUNCTION("""COMPUTED_VALUE"""),490538.0)</f>
        <v>490538</v>
      </c>
      <c r="O28" s="2">
        <f>IFERROR(__xludf.DUMMYFUNCTION("""COMPUTED_VALUE"""),145.0)</f>
        <v>145</v>
      </c>
      <c r="P28" s="2" t="str">
        <f>IFERROR(__xludf.DUMMYFUNCTION("""COMPUTED_VALUE"""),"Nasirabad")</f>
        <v>Nasirabad</v>
      </c>
    </row>
    <row r="29">
      <c r="B29" s="2">
        <f>IFERROR(__xludf.DUMMYFUNCTION("""COMPUTED_VALUE"""),25.0)</f>
        <v>25</v>
      </c>
      <c r="C29" s="2" t="str">
        <f>IFERROR(__xludf.DUMMYFUNCTION("""COMPUTED_VALUE"""),"Sukkur")</f>
        <v>Sukkur</v>
      </c>
      <c r="D29" s="2" t="str">
        <f>IFERROR(__xludf.DUMMYFUNCTION("""COMPUTED_VALUE"""),"Sukkur")</f>
        <v>Sukkur</v>
      </c>
      <c r="E29" s="3">
        <f>IFERROR(__xludf.DUMMYFUNCTION("""COMPUTED_VALUE"""),2512.0)</f>
        <v>2512</v>
      </c>
      <c r="F29" s="3">
        <f>IFERROR(__xludf.DUMMYFUNCTION("""COMPUTED_VALUE"""),1487903.0)</f>
        <v>1487903</v>
      </c>
      <c r="G29" s="2">
        <f>IFERROR(__xludf.DUMMYFUNCTION("""COMPUTED_VALUE"""),592.0)</f>
        <v>592</v>
      </c>
      <c r="H29" s="2" t="str">
        <f>IFERROR(__xludf.DUMMYFUNCTION("""COMPUTED_VALUE"""),"Sukkur")</f>
        <v>Sukkur</v>
      </c>
      <c r="J29" s="2">
        <f>IFERROR(__xludf.DUMMYFUNCTION("""COMPUTED_VALUE"""),23.0)</f>
        <v>23</v>
      </c>
      <c r="K29" s="2" t="str">
        <f>IFERROR(__xludf.DUMMYFUNCTION("""COMPUTED_VALUE"""),"Nushki[17]")</f>
        <v>Nushki[17]</v>
      </c>
      <c r="L29" s="2" t="str">
        <f>IFERROR(__xludf.DUMMYFUNCTION("""COMPUTED_VALUE"""),"Nushki")</f>
        <v>Nushki</v>
      </c>
      <c r="M29" s="3">
        <f>IFERROR(__xludf.DUMMYFUNCTION("""COMPUTED_VALUE"""),5797.0)</f>
        <v>5797</v>
      </c>
      <c r="N29" s="3">
        <f>IFERROR(__xludf.DUMMYFUNCTION("""COMPUTED_VALUE"""),178796.0)</f>
        <v>178796</v>
      </c>
      <c r="O29" s="2">
        <f>IFERROR(__xludf.DUMMYFUNCTION("""COMPUTED_VALUE"""),31.0)</f>
        <v>31</v>
      </c>
      <c r="P29" s="2" t="str">
        <f>IFERROR(__xludf.DUMMYFUNCTION("""COMPUTED_VALUE"""),"Rakhshan")</f>
        <v>Rakhshan</v>
      </c>
    </row>
    <row r="30">
      <c r="B30" s="2">
        <f>IFERROR(__xludf.DUMMYFUNCTION("""COMPUTED_VALUE"""),26.0)</f>
        <v>26</v>
      </c>
      <c r="C30" s="2" t="str">
        <f>IFERROR(__xludf.DUMMYFUNCTION("""COMPUTED_VALUE"""),"Tando Allahyar")</f>
        <v>Tando Allahyar</v>
      </c>
      <c r="D30" s="2" t="str">
        <f>IFERROR(__xludf.DUMMYFUNCTION("""COMPUTED_VALUE"""),"Tando Allahyar")</f>
        <v>Tando Allahyar</v>
      </c>
      <c r="E30" s="3">
        <f>IFERROR(__xludf.DUMMYFUNCTION("""COMPUTED_VALUE"""),5165.0)</f>
        <v>5165</v>
      </c>
      <c r="F30" s="3">
        <f>IFERROR(__xludf.DUMMYFUNCTION("""COMPUTED_VALUE"""),836887.0)</f>
        <v>836887</v>
      </c>
      <c r="G30" s="2">
        <f>IFERROR(__xludf.DUMMYFUNCTION("""COMPUTED_VALUE"""),162.0)</f>
        <v>162</v>
      </c>
      <c r="H30" s="2" t="str">
        <f>IFERROR(__xludf.DUMMYFUNCTION("""COMPUTED_VALUE"""),"Hyderabad")</f>
        <v>Hyderabad</v>
      </c>
      <c r="J30" s="2">
        <f>IFERROR(__xludf.DUMMYFUNCTION("""COMPUTED_VALUE"""),24.0)</f>
        <v>24</v>
      </c>
      <c r="K30" s="2" t="str">
        <f>IFERROR(__xludf.DUMMYFUNCTION("""COMPUTED_VALUE"""),"Panjgur")</f>
        <v>Panjgur</v>
      </c>
      <c r="L30" s="2" t="str">
        <f>IFERROR(__xludf.DUMMYFUNCTION("""COMPUTED_VALUE"""),"Panjgur")</f>
        <v>Panjgur</v>
      </c>
      <c r="M30" s="3">
        <f>IFERROR(__xludf.DUMMYFUNCTION("""COMPUTED_VALUE"""),16891.0)</f>
        <v>16891</v>
      </c>
      <c r="N30" s="3">
        <f>IFERROR(__xludf.DUMMYFUNCTION("""COMPUTED_VALUE"""),316385.0)</f>
        <v>316385</v>
      </c>
      <c r="O30" s="2">
        <f>IFERROR(__xludf.DUMMYFUNCTION("""COMPUTED_VALUE"""),19.0)</f>
        <v>19</v>
      </c>
      <c r="P30" s="2" t="str">
        <f>IFERROR(__xludf.DUMMYFUNCTION("""COMPUTED_VALUE"""),"Makran")</f>
        <v>Makran</v>
      </c>
    </row>
    <row r="31">
      <c r="B31" s="2">
        <f>IFERROR(__xludf.DUMMYFUNCTION("""COMPUTED_VALUE"""),27.0)</f>
        <v>27</v>
      </c>
      <c r="C31" s="2" t="str">
        <f>IFERROR(__xludf.DUMMYFUNCTION("""COMPUTED_VALUE"""),"Tando Muhammad Khan")</f>
        <v>Tando Muhammad Khan</v>
      </c>
      <c r="D31" s="2" t="str">
        <f>IFERROR(__xludf.DUMMYFUNCTION("""COMPUTED_VALUE"""),"Tando Muhammad Khan")</f>
        <v>Tando Muhammad Khan</v>
      </c>
      <c r="E31" s="3">
        <f>IFERROR(__xludf.DUMMYFUNCTION("""COMPUTED_VALUE"""),2310.0)</f>
        <v>2310</v>
      </c>
      <c r="F31" s="3">
        <f>IFERROR(__xludf.DUMMYFUNCTION("""COMPUTED_VALUE"""),677228.0)</f>
        <v>677228</v>
      </c>
      <c r="G31" s="2">
        <f>IFERROR(__xludf.DUMMYFUNCTION("""COMPUTED_VALUE"""),293.0)</f>
        <v>293</v>
      </c>
      <c r="H31" s="2" t="str">
        <f>IFERROR(__xludf.DUMMYFUNCTION("""COMPUTED_VALUE"""),"Hyderabad")</f>
        <v>Hyderabad</v>
      </c>
      <c r="J31" s="2">
        <f>IFERROR(__xludf.DUMMYFUNCTION("""COMPUTED_VALUE"""),25.0)</f>
        <v>25</v>
      </c>
      <c r="K31" s="2" t="str">
        <f>IFERROR(__xludf.DUMMYFUNCTION("""COMPUTED_VALUE"""),"Pishin")</f>
        <v>Pishin</v>
      </c>
      <c r="L31" s="2" t="str">
        <f>IFERROR(__xludf.DUMMYFUNCTION("""COMPUTED_VALUE"""),"Pishin")</f>
        <v>Pishin</v>
      </c>
      <c r="M31" s="3">
        <f>IFERROR(__xludf.DUMMYFUNCTION("""COMPUTED_VALUE"""),7819.0)</f>
        <v>7819</v>
      </c>
      <c r="N31" s="3">
        <f>IFERROR(__xludf.DUMMYFUNCTION("""COMPUTED_VALUE"""),736481.0)</f>
        <v>736481</v>
      </c>
      <c r="O31" s="2">
        <f>IFERROR(__xludf.DUMMYFUNCTION("""COMPUTED_VALUE"""),94.0)</f>
        <v>94</v>
      </c>
      <c r="P31" s="2" t="str">
        <f>IFERROR(__xludf.DUMMYFUNCTION("""COMPUTED_VALUE"""),"Quetta")</f>
        <v>Quetta</v>
      </c>
    </row>
    <row r="32">
      <c r="B32" s="2">
        <f>IFERROR(__xludf.DUMMYFUNCTION("""COMPUTED_VALUE"""),28.0)</f>
        <v>28</v>
      </c>
      <c r="C32" s="2" t="str">
        <f>IFERROR(__xludf.DUMMYFUNCTION("""COMPUTED_VALUE"""),"Tharparkar")</f>
        <v>Tharparkar</v>
      </c>
      <c r="D32" s="2" t="str">
        <f>IFERROR(__xludf.DUMMYFUNCTION("""COMPUTED_VALUE"""),"Mithi")</f>
        <v>Mithi</v>
      </c>
      <c r="E32" s="3">
        <f>IFERROR(__xludf.DUMMYFUNCTION("""COMPUTED_VALUE"""),19638.0)</f>
        <v>19638</v>
      </c>
      <c r="F32" s="3">
        <f>IFERROR(__xludf.DUMMYFUNCTION("""COMPUTED_VALUE"""),1649661.0)</f>
        <v>1649661</v>
      </c>
      <c r="G32" s="2">
        <f>IFERROR(__xludf.DUMMYFUNCTION("""COMPUTED_VALUE"""),84.0)</f>
        <v>84</v>
      </c>
      <c r="H32" s="2" t="str">
        <f>IFERROR(__xludf.DUMMYFUNCTION("""COMPUTED_VALUE"""),"Mirpur Khas")</f>
        <v>Mirpur Khas</v>
      </c>
      <c r="J32" s="2">
        <f>IFERROR(__xludf.DUMMYFUNCTION("""COMPUTED_VALUE"""),26.0)</f>
        <v>26</v>
      </c>
      <c r="K32" s="2" t="str">
        <f>IFERROR(__xludf.DUMMYFUNCTION("""COMPUTED_VALUE"""),"Quetta")</f>
        <v>Quetta</v>
      </c>
      <c r="L32" s="2" t="str">
        <f>IFERROR(__xludf.DUMMYFUNCTION("""COMPUTED_VALUE"""),"Quetta")</f>
        <v>Quetta</v>
      </c>
      <c r="M32" s="3">
        <f>IFERROR(__xludf.DUMMYFUNCTION("""COMPUTED_VALUE"""),2653.0)</f>
        <v>2653</v>
      </c>
      <c r="N32" s="3">
        <f>IFERROR(__xludf.DUMMYFUNCTION("""COMPUTED_VALUE"""),2275699.0)</f>
        <v>2275699</v>
      </c>
      <c r="O32" s="2">
        <f>IFERROR(__xludf.DUMMYFUNCTION("""COMPUTED_VALUE"""),858.0)</f>
        <v>858</v>
      </c>
      <c r="P32" s="2" t="str">
        <f>IFERROR(__xludf.DUMMYFUNCTION("""COMPUTED_VALUE"""),"Quetta")</f>
        <v>Quetta</v>
      </c>
    </row>
    <row r="33">
      <c r="B33" s="2">
        <f>IFERROR(__xludf.DUMMYFUNCTION("""COMPUTED_VALUE"""),29.0)</f>
        <v>29</v>
      </c>
      <c r="C33" s="2" t="str">
        <f>IFERROR(__xludf.DUMMYFUNCTION("""COMPUTED_VALUE"""),"Thatta")</f>
        <v>Thatta</v>
      </c>
      <c r="D33" s="2" t="str">
        <f>IFERROR(__xludf.DUMMYFUNCTION("""COMPUTED_VALUE"""),"Thatta")</f>
        <v>Thatta</v>
      </c>
      <c r="E33" s="2" t="str">
        <f>IFERROR(__xludf.DUMMYFUNCTION("""COMPUTED_VALUE"""),"7,705[6]")</f>
        <v>7,705[6]</v>
      </c>
      <c r="F33" s="3">
        <f>IFERROR(__xludf.DUMMYFUNCTION("""COMPUTED_VALUE"""),979817.0)</f>
        <v>979817</v>
      </c>
      <c r="G33" s="2">
        <f>IFERROR(__xludf.DUMMYFUNCTION("""COMPUTED_VALUE"""),98.0)</f>
        <v>98</v>
      </c>
      <c r="H33" s="2" t="str">
        <f>IFERROR(__xludf.DUMMYFUNCTION("""COMPUTED_VALUE"""),"Banbhore")</f>
        <v>Banbhore</v>
      </c>
      <c r="J33" s="2">
        <f>IFERROR(__xludf.DUMMYFUNCTION("""COMPUTED_VALUE"""),27.0)</f>
        <v>27</v>
      </c>
      <c r="K33" s="2" t="str">
        <f>IFERROR(__xludf.DUMMYFUNCTION("""COMPUTED_VALUE"""),"Qila Abdullah")</f>
        <v>Qila Abdullah</v>
      </c>
      <c r="L33" s="2" t="str">
        <f>IFERROR(__xludf.DUMMYFUNCTION("""COMPUTED_VALUE"""),"Jungle Pir Alizai")</f>
        <v>Jungle Pir Alizai</v>
      </c>
      <c r="M33" s="3">
        <f>IFERROR(__xludf.DUMMYFUNCTION("""COMPUTED_VALUE"""),3293.0)</f>
        <v>3293</v>
      </c>
      <c r="N33" s="3">
        <f>IFERROR(__xludf.DUMMYFUNCTION("""COMPUTED_VALUE"""),757578.0)</f>
        <v>757578</v>
      </c>
      <c r="O33" s="2">
        <f>IFERROR(__xludf.DUMMYFUNCTION("""COMPUTED_VALUE"""),230.0)</f>
        <v>230</v>
      </c>
      <c r="P33" s="2" t="str">
        <f>IFERROR(__xludf.DUMMYFUNCTION("""COMPUTED_VALUE"""),"Quetta")</f>
        <v>Quetta</v>
      </c>
    </row>
    <row r="34">
      <c r="B34" s="2">
        <f>IFERROR(__xludf.DUMMYFUNCTION("""COMPUTED_VALUE"""),30.0)</f>
        <v>30</v>
      </c>
      <c r="C34" s="2" t="str">
        <f>IFERROR(__xludf.DUMMYFUNCTION("""COMPUTED_VALUE"""),"Umerkot[20]")</f>
        <v>Umerkot[20]</v>
      </c>
      <c r="D34" s="2" t="str">
        <f>IFERROR(__xludf.DUMMYFUNCTION("""COMPUTED_VALUE"""),"Umerkot")</f>
        <v>Umerkot</v>
      </c>
      <c r="E34" s="2" t="str">
        <f>IFERROR(__xludf.DUMMYFUNCTION("""COMPUTED_VALUE"""),"5,608[6]")</f>
        <v>5,608[6]</v>
      </c>
      <c r="F34" s="3">
        <f>IFERROR(__xludf.DUMMYFUNCTION("""COMPUTED_VALUE"""),1073146.0)</f>
        <v>1073146</v>
      </c>
      <c r="G34" s="2">
        <f>IFERROR(__xludf.DUMMYFUNCTION("""COMPUTED_VALUE"""),191.0)</f>
        <v>191</v>
      </c>
      <c r="H34" s="2" t="str">
        <f>IFERROR(__xludf.DUMMYFUNCTION("""COMPUTED_VALUE"""),"Mirpur Khas")</f>
        <v>Mirpur Khas</v>
      </c>
      <c r="J34" s="2">
        <f>IFERROR(__xludf.DUMMYFUNCTION("""COMPUTED_VALUE"""),28.0)</f>
        <v>28</v>
      </c>
      <c r="K34" s="2" t="str">
        <f>IFERROR(__xludf.DUMMYFUNCTION("""COMPUTED_VALUE"""),"Qilla Saifullah")</f>
        <v>Qilla Saifullah</v>
      </c>
      <c r="L34" s="2" t="str">
        <f>IFERROR(__xludf.DUMMYFUNCTION("""COMPUTED_VALUE"""),"Qilla Saifullah")</f>
        <v>Qilla Saifullah</v>
      </c>
      <c r="M34" s="3">
        <f>IFERROR(__xludf.DUMMYFUNCTION("""COMPUTED_VALUE"""),6831.0)</f>
        <v>6831</v>
      </c>
      <c r="N34" s="3">
        <f>IFERROR(__xludf.DUMMYFUNCTION("""COMPUTED_VALUE"""),342814.0)</f>
        <v>342814</v>
      </c>
      <c r="O34" s="2">
        <f>IFERROR(__xludf.DUMMYFUNCTION("""COMPUTED_VALUE"""),50.0)</f>
        <v>50</v>
      </c>
      <c r="P34" s="2" t="str">
        <f>IFERROR(__xludf.DUMMYFUNCTION("""COMPUTED_VALUE"""),"Zhob")</f>
        <v>Zhob</v>
      </c>
    </row>
    <row r="35">
      <c r="J35" s="2">
        <f>IFERROR(__xludf.DUMMYFUNCTION("""COMPUTED_VALUE"""),29.0)</f>
        <v>29</v>
      </c>
      <c r="K35" s="2" t="str">
        <f>IFERROR(__xludf.DUMMYFUNCTION("""COMPUTED_VALUE"""),"Sherani")</f>
        <v>Sherani</v>
      </c>
      <c r="L35" s="2" t="str">
        <f>IFERROR(__xludf.DUMMYFUNCTION("""COMPUTED_VALUE"""),"Sherani")</f>
        <v>Sherani</v>
      </c>
      <c r="M35" s="3">
        <f>IFERROR(__xludf.DUMMYFUNCTION("""COMPUTED_VALUE"""),2800.0)</f>
        <v>2800</v>
      </c>
      <c r="N35" s="3">
        <f>IFERROR(__xludf.DUMMYFUNCTION("""COMPUTED_VALUE"""),153116.0)</f>
        <v>153116</v>
      </c>
      <c r="O35" s="2">
        <f>IFERROR(__xludf.DUMMYFUNCTION("""COMPUTED_VALUE"""),55.0)</f>
        <v>55</v>
      </c>
      <c r="P35" s="2" t="str">
        <f>IFERROR(__xludf.DUMMYFUNCTION("""COMPUTED_VALUE"""),"Zhob")</f>
        <v>Zhob</v>
      </c>
    </row>
    <row r="36">
      <c r="J36" s="2">
        <f>IFERROR(__xludf.DUMMYFUNCTION("""COMPUTED_VALUE"""),30.0)</f>
        <v>30</v>
      </c>
      <c r="K36" s="2" t="str">
        <f>IFERROR(__xludf.DUMMYFUNCTION("""COMPUTED_VALUE"""),"Sibi")</f>
        <v>Sibi</v>
      </c>
      <c r="L36" s="2" t="str">
        <f>IFERROR(__xludf.DUMMYFUNCTION("""COMPUTED_VALUE"""),"Sibi")</f>
        <v>Sibi</v>
      </c>
      <c r="M36" s="3">
        <f>IFERROR(__xludf.DUMMYFUNCTION("""COMPUTED_VALUE"""),7796.0)</f>
        <v>7796</v>
      </c>
      <c r="N36" s="3">
        <f>IFERROR(__xludf.DUMMYFUNCTION("""COMPUTED_VALUE"""),135572.0)</f>
        <v>135572</v>
      </c>
      <c r="O36" s="2">
        <f>IFERROR(__xludf.DUMMYFUNCTION("""COMPUTED_VALUE"""),17.0)</f>
        <v>17</v>
      </c>
      <c r="P36" s="2" t="str">
        <f>IFERROR(__xludf.DUMMYFUNCTION("""COMPUTED_VALUE"""),"Sibi")</f>
        <v>Sibi</v>
      </c>
    </row>
    <row r="37">
      <c r="J37" s="2">
        <f>IFERROR(__xludf.DUMMYFUNCTION("""COMPUTED_VALUE"""),31.0)</f>
        <v>31</v>
      </c>
      <c r="K37" s="2" t="str">
        <f>IFERROR(__xludf.DUMMYFUNCTION("""COMPUTED_VALUE"""),"Sohbatpur")</f>
        <v>Sohbatpur</v>
      </c>
      <c r="L37" s="2" t="str">
        <f>IFERROR(__xludf.DUMMYFUNCTION("""COMPUTED_VALUE"""),"Sohbatpur")</f>
        <v>Sohbatpur</v>
      </c>
      <c r="M37" s="3">
        <f>IFERROR(__xludf.DUMMYFUNCTION("""COMPUTED_VALUE"""),1412.0)</f>
        <v>1412</v>
      </c>
      <c r="N37" s="3">
        <f>IFERROR(__xludf.DUMMYFUNCTION("""COMPUTED_VALUE"""),200538.0)</f>
        <v>200538</v>
      </c>
      <c r="O37" s="2">
        <f>IFERROR(__xludf.DUMMYFUNCTION("""COMPUTED_VALUE"""),142.0)</f>
        <v>142</v>
      </c>
      <c r="P37" s="2" t="str">
        <f>IFERROR(__xludf.DUMMYFUNCTION("""COMPUTED_VALUE"""),"Nasirabad")</f>
        <v>Nasirabad</v>
      </c>
    </row>
    <row r="38">
      <c r="J38" s="2">
        <f>IFERROR(__xludf.DUMMYFUNCTION("""COMPUTED_VALUE"""),32.0)</f>
        <v>32</v>
      </c>
      <c r="K38" s="2" t="str">
        <f>IFERROR(__xludf.DUMMYFUNCTION("""COMPUTED_VALUE"""),"Surab")</f>
        <v>Surab</v>
      </c>
      <c r="L38" s="2" t="str">
        <f>IFERROR(__xludf.DUMMYFUNCTION("""COMPUTED_VALUE"""),"Surab")</f>
        <v>Surab</v>
      </c>
      <c r="M38" s="2" t="str">
        <f>IFERROR(__xludf.DUMMYFUNCTION("""COMPUTED_VALUE"""),"-")</f>
        <v>-</v>
      </c>
      <c r="N38" s="2" t="str">
        <f>IFERROR(__xludf.DUMMYFUNCTION("""COMPUTED_VALUE"""),"-")</f>
        <v>-</v>
      </c>
      <c r="O38" s="2" t="str">
        <f>IFERROR(__xludf.DUMMYFUNCTION("""COMPUTED_VALUE"""),"-")</f>
        <v>-</v>
      </c>
      <c r="P38" s="2" t="str">
        <f>IFERROR(__xludf.DUMMYFUNCTION("""COMPUTED_VALUE"""),"Kalat")</f>
        <v>Kalat</v>
      </c>
    </row>
    <row r="39">
      <c r="J39" s="2">
        <f>IFERROR(__xludf.DUMMYFUNCTION("""COMPUTED_VALUE"""),33.0)</f>
        <v>33</v>
      </c>
      <c r="K39" s="2" t="str">
        <f>IFERROR(__xludf.DUMMYFUNCTION("""COMPUTED_VALUE"""),"Washuk")</f>
        <v>Washuk</v>
      </c>
      <c r="L39" s="2" t="str">
        <f>IFERROR(__xludf.DUMMYFUNCTION("""COMPUTED_VALUE"""),"Washuk")</f>
        <v>Washuk</v>
      </c>
      <c r="M39" s="3">
        <f>IFERROR(__xludf.DUMMYFUNCTION("""COMPUTED_VALUE"""),29510.0)</f>
        <v>29510</v>
      </c>
      <c r="N39" s="3">
        <f>IFERROR(__xludf.DUMMYFUNCTION("""COMPUTED_VALUE"""),176206.0)</f>
        <v>176206</v>
      </c>
      <c r="O39" s="2">
        <f>IFERROR(__xludf.DUMMYFUNCTION("""COMPUTED_VALUE"""),6.0)</f>
        <v>6</v>
      </c>
      <c r="P39" s="2" t="str">
        <f>IFERROR(__xludf.DUMMYFUNCTION("""COMPUTED_VALUE"""),"Rakhshan")</f>
        <v>Rakhshan</v>
      </c>
    </row>
    <row r="40">
      <c r="J40" s="2">
        <f>IFERROR(__xludf.DUMMYFUNCTION("""COMPUTED_VALUE"""),34.0)</f>
        <v>34</v>
      </c>
      <c r="K40" s="2" t="str">
        <f>IFERROR(__xludf.DUMMYFUNCTION("""COMPUTED_VALUE"""),"Zhob")</f>
        <v>Zhob</v>
      </c>
      <c r="L40" s="2" t="str">
        <f>IFERROR(__xludf.DUMMYFUNCTION("""COMPUTED_VALUE"""),"Zhob")</f>
        <v>Zhob</v>
      </c>
      <c r="M40" s="3">
        <f>IFERROR(__xludf.DUMMYFUNCTION("""COMPUTED_VALUE"""),20297.0)</f>
        <v>20297</v>
      </c>
      <c r="N40" s="3">
        <f>IFERROR(__xludf.DUMMYFUNCTION("""COMPUTED_VALUE"""),310544.0)</f>
        <v>310544</v>
      </c>
      <c r="O40" s="2">
        <f>IFERROR(__xludf.DUMMYFUNCTION("""COMPUTED_VALUE"""),15.0)</f>
        <v>15</v>
      </c>
      <c r="P40" s="2" t="str">
        <f>IFERROR(__xludf.DUMMYFUNCTION("""COMPUTED_VALUE"""),"Zhob")</f>
        <v>Zhob</v>
      </c>
    </row>
    <row r="41">
      <c r="J41" s="2">
        <f>IFERROR(__xludf.DUMMYFUNCTION("""COMPUTED_VALUE"""),35.0)</f>
        <v>35</v>
      </c>
      <c r="K41" s="2" t="str">
        <f>IFERROR(__xludf.DUMMYFUNCTION("""COMPUTED_VALUE"""),"Ziarat")</f>
        <v>Ziarat</v>
      </c>
      <c r="L41" s="2" t="str">
        <f>IFERROR(__xludf.DUMMYFUNCTION("""COMPUTED_VALUE"""),"Ziarat")</f>
        <v>Ziarat</v>
      </c>
      <c r="M41" s="3">
        <f>IFERROR(__xludf.DUMMYFUNCTION("""COMPUTED_VALUE"""),1489.0)</f>
        <v>1489</v>
      </c>
      <c r="N41" s="3">
        <f>IFERROR(__xludf.DUMMYFUNCTION("""COMPUTED_VALUE"""),160422.0)</f>
        <v>160422</v>
      </c>
      <c r="O41" s="2">
        <f>IFERROR(__xludf.DUMMYFUNCTION("""COMPUTED_VALUE"""),108.0)</f>
        <v>108</v>
      </c>
      <c r="P41" s="2" t="str">
        <f>IFERROR(__xludf.DUMMYFUNCTION("""COMPUTED_VALUE"""),"Kalat")</f>
        <v>Kalat</v>
      </c>
    </row>
    <row r="42">
      <c r="J42" s="2">
        <f>IFERROR(__xludf.DUMMYFUNCTION("""COMPUTED_VALUE"""),36.0)</f>
        <v>36</v>
      </c>
      <c r="K42" s="2" t="str">
        <f>IFERROR(__xludf.DUMMYFUNCTION("""COMPUTED_VALUE"""),"Usta Muhammad")</f>
        <v>Usta Muhammad</v>
      </c>
      <c r="L42" s="2" t="str">
        <f>IFERROR(__xludf.DUMMYFUNCTION("""COMPUTED_VALUE"""),"Usta Muhammad")</f>
        <v>Usta Muhammad</v>
      </c>
      <c r="M42" s="2" t="str">
        <f>IFERROR(__xludf.DUMMYFUNCTION("""COMPUTED_VALUE"""),"N/A")</f>
        <v>N/A</v>
      </c>
      <c r="N42" s="2" t="str">
        <f>IFERROR(__xludf.DUMMYFUNCTION("""COMPUTED_VALUE"""),"N/A")</f>
        <v>N/A</v>
      </c>
      <c r="O42" s="2" t="str">
        <f>IFERROR(__xludf.DUMMYFUNCTION("""COMPUTED_VALUE"""),"N/A")</f>
        <v>N/A</v>
      </c>
      <c r="P42" s="2" t="str">
        <f>IFERROR(__xludf.DUMMYFUNCTION("""COMPUTED_VALUE"""),"Nasirabad")</f>
        <v>Nasirabad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6" t="s">
        <v>9</v>
      </c>
    </row>
    <row r="2">
      <c r="A2" s="2">
        <v>1.0</v>
      </c>
      <c r="B2" s="2" t="s">
        <v>10</v>
      </c>
      <c r="C2" s="2" t="s">
        <v>10</v>
      </c>
      <c r="D2" s="2" t="s">
        <v>11</v>
      </c>
      <c r="E2" s="3"/>
      <c r="F2" s="3">
        <v>956011.0</v>
      </c>
      <c r="G2" s="2">
        <v>4.0</v>
      </c>
      <c r="H2" s="2" t="s">
        <v>12</v>
      </c>
      <c r="I2" s="7" t="s">
        <v>13</v>
      </c>
    </row>
    <row r="3">
      <c r="A3" s="2">
        <v>2.0</v>
      </c>
      <c r="B3" s="2" t="s">
        <v>14</v>
      </c>
      <c r="C3" s="2" t="s">
        <v>14</v>
      </c>
      <c r="D3" s="3">
        <v>3514.0</v>
      </c>
      <c r="E3" s="3"/>
      <c r="F3" s="3">
        <v>171556.0</v>
      </c>
      <c r="G3" s="2">
        <v>48.8</v>
      </c>
      <c r="H3" s="2" t="s">
        <v>15</v>
      </c>
      <c r="I3" s="7" t="s">
        <v>13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3"/>
      <c r="F4" s="3">
        <v>226008.0</v>
      </c>
      <c r="G4" s="2">
        <v>5.0</v>
      </c>
      <c r="H4" s="2" t="s">
        <v>19</v>
      </c>
      <c r="I4" s="7" t="s">
        <v>13</v>
      </c>
    </row>
    <row r="5">
      <c r="A5" s="2">
        <v>4.0</v>
      </c>
      <c r="B5" s="2" t="s">
        <v>20</v>
      </c>
      <c r="C5" s="2" t="s">
        <v>20</v>
      </c>
      <c r="H5" s="2" t="s">
        <v>21</v>
      </c>
      <c r="I5" s="7" t="s">
        <v>13</v>
      </c>
    </row>
    <row r="6">
      <c r="A6" s="2">
        <v>5.0</v>
      </c>
      <c r="B6" s="2" t="s">
        <v>22</v>
      </c>
      <c r="C6" s="2" t="s">
        <v>22</v>
      </c>
      <c r="D6" s="3">
        <v>10160.0</v>
      </c>
      <c r="E6" s="3"/>
      <c r="F6" s="3">
        <v>1500603.0</v>
      </c>
      <c r="G6" s="2">
        <v>31.0</v>
      </c>
      <c r="H6" s="2" t="s">
        <v>23</v>
      </c>
      <c r="I6" s="7" t="s">
        <v>13</v>
      </c>
    </row>
    <row r="7">
      <c r="A7" s="2">
        <v>6.0</v>
      </c>
      <c r="B7" s="2" t="s">
        <v>24</v>
      </c>
      <c r="C7" s="2" t="s">
        <v>24</v>
      </c>
      <c r="E7" s="3"/>
      <c r="F7" s="3">
        <v>153000.0</v>
      </c>
      <c r="H7" s="2" t="s">
        <v>15</v>
      </c>
      <c r="I7" s="7" t="s">
        <v>13</v>
      </c>
    </row>
    <row r="8">
      <c r="A8" s="2">
        <v>7.0</v>
      </c>
      <c r="B8" s="2" t="s">
        <v>25</v>
      </c>
      <c r="C8" s="2" t="s">
        <v>25</v>
      </c>
      <c r="D8" s="3">
        <v>12637.0</v>
      </c>
      <c r="E8" s="3"/>
      <c r="F8" s="3">
        <v>4500514.0</v>
      </c>
      <c r="G8" s="2">
        <v>21.0</v>
      </c>
      <c r="H8" s="2" t="s">
        <v>26</v>
      </c>
      <c r="I8" s="7" t="s">
        <v>13</v>
      </c>
    </row>
    <row r="9">
      <c r="A9" s="2">
        <v>8.0</v>
      </c>
      <c r="B9" s="2" t="s">
        <v>27</v>
      </c>
      <c r="C9" s="2" t="s">
        <v>28</v>
      </c>
      <c r="D9" s="3">
        <v>4096.0</v>
      </c>
      <c r="E9" s="3"/>
      <c r="F9" s="3">
        <v>97017.0</v>
      </c>
      <c r="G9" s="2">
        <v>24.0</v>
      </c>
      <c r="H9" s="2" t="s">
        <v>23</v>
      </c>
      <c r="I9" s="7" t="s">
        <v>13</v>
      </c>
    </row>
    <row r="10">
      <c r="A10" s="2">
        <v>9.0</v>
      </c>
      <c r="B10" s="2" t="s">
        <v>29</v>
      </c>
      <c r="C10" s="2" t="s">
        <v>29</v>
      </c>
      <c r="D10" s="3">
        <v>6716.0</v>
      </c>
      <c r="E10" s="3"/>
      <c r="F10" s="3">
        <v>339640.0</v>
      </c>
      <c r="G10" s="2">
        <v>51.0</v>
      </c>
      <c r="H10" s="2" t="s">
        <v>12</v>
      </c>
      <c r="I10" s="7" t="s">
        <v>13</v>
      </c>
    </row>
    <row r="11">
      <c r="A11" s="2">
        <v>10.0</v>
      </c>
      <c r="B11" s="2" t="s">
        <v>30</v>
      </c>
      <c r="C11" s="2" t="s">
        <v>31</v>
      </c>
      <c r="D11" s="3">
        <v>2445.0</v>
      </c>
      <c r="E11" s="3"/>
      <c r="F11" s="3">
        <v>513813.0</v>
      </c>
      <c r="G11" s="2">
        <v>210.0</v>
      </c>
      <c r="H11" s="2" t="s">
        <v>32</v>
      </c>
      <c r="I11" s="7" t="s">
        <v>13</v>
      </c>
    </row>
    <row r="12">
      <c r="A12" s="2">
        <v>11.0</v>
      </c>
      <c r="B12" s="2" t="s">
        <v>33</v>
      </c>
      <c r="C12" s="2" t="s">
        <v>34</v>
      </c>
      <c r="D12" s="3">
        <v>3615.0</v>
      </c>
      <c r="E12" s="3"/>
      <c r="F12" s="3">
        <v>149225.0</v>
      </c>
      <c r="G12" s="2">
        <v>41.0</v>
      </c>
      <c r="H12" s="2" t="s">
        <v>32</v>
      </c>
      <c r="I12" s="7" t="s">
        <v>13</v>
      </c>
    </row>
    <row r="13">
      <c r="A13" s="2">
        <v>12.0</v>
      </c>
      <c r="B13" s="2" t="s">
        <v>35</v>
      </c>
      <c r="C13" s="2" t="s">
        <v>36</v>
      </c>
      <c r="D13" s="3">
        <v>7499.0</v>
      </c>
      <c r="E13" s="3"/>
      <c r="F13" s="3">
        <v>237030.0</v>
      </c>
      <c r="G13" s="2">
        <v>32.0</v>
      </c>
      <c r="H13" s="2" t="s">
        <v>32</v>
      </c>
      <c r="I13" s="7" t="s">
        <v>13</v>
      </c>
    </row>
    <row r="14">
      <c r="A14" s="2">
        <v>13.0</v>
      </c>
      <c r="B14" s="2" t="s">
        <v>12</v>
      </c>
      <c r="C14" s="2" t="s">
        <v>12</v>
      </c>
      <c r="D14" s="3">
        <v>6622.0</v>
      </c>
      <c r="E14" s="3"/>
      <c r="F14" s="3">
        <v>412232.0</v>
      </c>
      <c r="G14" s="2">
        <v>62.0</v>
      </c>
      <c r="H14" s="2" t="s">
        <v>12</v>
      </c>
      <c r="I14" s="7" t="s">
        <v>13</v>
      </c>
    </row>
    <row r="15">
      <c r="A15" s="2">
        <v>14.0</v>
      </c>
      <c r="B15" s="2" t="s">
        <v>37</v>
      </c>
      <c r="C15" s="2" t="s">
        <v>38</v>
      </c>
      <c r="D15" s="3">
        <v>22539.0</v>
      </c>
      <c r="E15" s="3"/>
      <c r="F15" s="3">
        <v>909116.0</v>
      </c>
      <c r="G15" s="2">
        <v>40.0</v>
      </c>
      <c r="H15" s="2" t="s">
        <v>26</v>
      </c>
      <c r="I15" s="7" t="s">
        <v>13</v>
      </c>
    </row>
    <row r="16">
      <c r="A16" s="2">
        <v>15.0</v>
      </c>
      <c r="B16" s="2" t="s">
        <v>39</v>
      </c>
      <c r="C16" s="2" t="s">
        <v>39</v>
      </c>
      <c r="D16" s="3">
        <v>8958.0</v>
      </c>
      <c r="E16" s="3"/>
      <c r="F16" s="3">
        <v>156152.0</v>
      </c>
      <c r="G16" s="2">
        <v>17.0</v>
      </c>
      <c r="H16" s="2" t="s">
        <v>19</v>
      </c>
      <c r="I16" s="7" t="s">
        <v>13</v>
      </c>
    </row>
    <row r="17">
      <c r="A17" s="2">
        <v>16.0</v>
      </c>
      <c r="B17" s="2" t="s">
        <v>40</v>
      </c>
      <c r="C17" s="2" t="s">
        <v>40</v>
      </c>
      <c r="D17" s="3">
        <v>35380.0</v>
      </c>
      <c r="E17" s="3"/>
      <c r="F17" s="3">
        <v>802207.0</v>
      </c>
      <c r="G17" s="2">
        <v>23.0</v>
      </c>
      <c r="H17" s="2" t="s">
        <v>12</v>
      </c>
      <c r="I17" s="7" t="s">
        <v>13</v>
      </c>
    </row>
    <row r="18">
      <c r="A18" s="2">
        <v>17.0</v>
      </c>
      <c r="B18" s="2" t="s">
        <v>41</v>
      </c>
      <c r="C18" s="2" t="s">
        <v>41</v>
      </c>
      <c r="D18" s="3">
        <v>7610.0</v>
      </c>
      <c r="E18" s="3"/>
      <c r="F18" s="3">
        <v>214350.0</v>
      </c>
      <c r="G18" s="2">
        <v>28.0</v>
      </c>
      <c r="H18" s="2" t="s">
        <v>23</v>
      </c>
      <c r="I18" s="7" t="s">
        <v>13</v>
      </c>
    </row>
    <row r="19">
      <c r="A19" s="2">
        <v>18.0</v>
      </c>
      <c r="B19" s="2" t="s">
        <v>42</v>
      </c>
      <c r="C19" s="2" t="s">
        <v>43</v>
      </c>
      <c r="D19" s="3">
        <v>15153.0</v>
      </c>
      <c r="E19" s="3"/>
      <c r="F19" s="3">
        <v>574292.0</v>
      </c>
      <c r="G19" s="2">
        <v>38.0</v>
      </c>
      <c r="H19" s="2" t="s">
        <v>12</v>
      </c>
      <c r="I19" s="7" t="s">
        <v>13</v>
      </c>
    </row>
    <row r="20">
      <c r="A20" s="2">
        <v>19.0</v>
      </c>
      <c r="B20" s="2" t="s">
        <v>15</v>
      </c>
      <c r="C20" s="2" t="s">
        <v>15</v>
      </c>
      <c r="D20" s="3">
        <v>9830.0</v>
      </c>
      <c r="E20" s="3"/>
      <c r="F20" s="3">
        <v>397400.0</v>
      </c>
      <c r="G20" s="2">
        <v>40.0</v>
      </c>
      <c r="H20" s="2" t="s">
        <v>15</v>
      </c>
      <c r="I20" s="7" t="s">
        <v>13</v>
      </c>
    </row>
    <row r="21">
      <c r="A21" s="2">
        <v>20.0</v>
      </c>
      <c r="B21" s="2" t="s">
        <v>44</v>
      </c>
      <c r="C21" s="2" t="s">
        <v>44</v>
      </c>
      <c r="D21" s="3">
        <v>5896.0</v>
      </c>
      <c r="E21" s="3"/>
      <c r="F21" s="3">
        <v>266461.0</v>
      </c>
      <c r="G21" s="2">
        <v>45.0</v>
      </c>
      <c r="H21" s="2" t="s">
        <v>12</v>
      </c>
      <c r="I21" s="7" t="s">
        <v>13</v>
      </c>
    </row>
    <row r="22">
      <c r="A22" s="2">
        <v>21.0</v>
      </c>
      <c r="B22" s="2" t="s">
        <v>45</v>
      </c>
      <c r="C22" s="2" t="s">
        <v>46</v>
      </c>
      <c r="D22" s="3">
        <v>5728.0</v>
      </c>
      <c r="E22" s="3"/>
      <c r="F22" s="3">
        <v>167017.0</v>
      </c>
      <c r="G22" s="2">
        <v>29.0</v>
      </c>
      <c r="H22" s="2" t="s">
        <v>15</v>
      </c>
      <c r="I22" s="7" t="s">
        <v>13</v>
      </c>
    </row>
    <row r="23">
      <c r="A23" s="2">
        <v>22.0</v>
      </c>
      <c r="B23" s="2" t="s">
        <v>32</v>
      </c>
      <c r="C23" s="2" t="s">
        <v>47</v>
      </c>
      <c r="D23" s="3">
        <v>3387.0</v>
      </c>
      <c r="E23" s="3"/>
      <c r="F23" s="3">
        <v>490538.0</v>
      </c>
      <c r="G23" s="2">
        <v>145.0</v>
      </c>
      <c r="H23" s="2" t="s">
        <v>32</v>
      </c>
      <c r="I23" s="7" t="s">
        <v>13</v>
      </c>
    </row>
    <row r="24">
      <c r="A24" s="2">
        <v>23.0</v>
      </c>
      <c r="B24" s="2" t="s">
        <v>48</v>
      </c>
      <c r="C24" s="2" t="s">
        <v>49</v>
      </c>
      <c r="D24" s="3">
        <v>5797.0</v>
      </c>
      <c r="E24" s="3"/>
      <c r="F24" s="3">
        <v>178796.0</v>
      </c>
      <c r="G24" s="2">
        <v>31.0</v>
      </c>
      <c r="H24" s="2" t="s">
        <v>19</v>
      </c>
      <c r="I24" s="7" t="s">
        <v>13</v>
      </c>
    </row>
    <row r="25">
      <c r="A25" s="2">
        <v>24.0</v>
      </c>
      <c r="B25" s="2" t="s">
        <v>50</v>
      </c>
      <c r="C25" s="2" t="s">
        <v>50</v>
      </c>
      <c r="D25" s="3">
        <v>16891.0</v>
      </c>
      <c r="E25" s="3"/>
      <c r="F25" s="3">
        <v>316385.0</v>
      </c>
      <c r="G25" s="2">
        <v>19.0</v>
      </c>
      <c r="H25" s="2" t="s">
        <v>26</v>
      </c>
      <c r="I25" s="7" t="s">
        <v>13</v>
      </c>
    </row>
    <row r="26">
      <c r="A26" s="2">
        <v>25.0</v>
      </c>
      <c r="B26" s="2" t="s">
        <v>51</v>
      </c>
      <c r="C26" s="2" t="s">
        <v>51</v>
      </c>
      <c r="D26" s="3">
        <v>7819.0</v>
      </c>
      <c r="E26" s="3"/>
      <c r="F26" s="3">
        <v>736481.0</v>
      </c>
      <c r="G26" s="2">
        <v>94.0</v>
      </c>
      <c r="H26" s="2" t="s">
        <v>21</v>
      </c>
      <c r="I26" s="7" t="s">
        <v>13</v>
      </c>
    </row>
    <row r="27">
      <c r="A27" s="2">
        <v>26.0</v>
      </c>
      <c r="B27" s="2" t="s">
        <v>21</v>
      </c>
      <c r="C27" s="2" t="s">
        <v>21</v>
      </c>
      <c r="D27" s="3">
        <v>2653.0</v>
      </c>
      <c r="E27" s="3"/>
      <c r="F27" s="3">
        <v>2275699.0</v>
      </c>
      <c r="G27" s="2">
        <v>858.0</v>
      </c>
      <c r="H27" s="2" t="s">
        <v>21</v>
      </c>
      <c r="I27" s="7" t="s">
        <v>13</v>
      </c>
    </row>
    <row r="28">
      <c r="A28" s="2">
        <v>27.0</v>
      </c>
      <c r="B28" s="2" t="s">
        <v>52</v>
      </c>
      <c r="C28" s="2" t="s">
        <v>53</v>
      </c>
      <c r="D28" s="3">
        <v>3293.0</v>
      </c>
      <c r="E28" s="3"/>
      <c r="F28" s="3">
        <v>757578.0</v>
      </c>
      <c r="G28" s="2">
        <v>230.0</v>
      </c>
      <c r="H28" s="2" t="s">
        <v>21</v>
      </c>
      <c r="I28" s="7" t="s">
        <v>13</v>
      </c>
    </row>
    <row r="29">
      <c r="A29" s="2">
        <v>28.0</v>
      </c>
      <c r="B29" s="2" t="s">
        <v>54</v>
      </c>
      <c r="C29" s="2" t="s">
        <v>54</v>
      </c>
      <c r="D29" s="3">
        <v>6831.0</v>
      </c>
      <c r="E29" s="3"/>
      <c r="F29" s="3">
        <v>342814.0</v>
      </c>
      <c r="G29" s="2">
        <v>50.0</v>
      </c>
      <c r="H29" s="2" t="s">
        <v>55</v>
      </c>
      <c r="I29" s="7" t="s">
        <v>13</v>
      </c>
    </row>
    <row r="30">
      <c r="A30" s="2">
        <v>29.0</v>
      </c>
      <c r="B30" s="2" t="s">
        <v>56</v>
      </c>
      <c r="C30" s="2" t="s">
        <v>56</v>
      </c>
      <c r="D30" s="3">
        <v>2800.0</v>
      </c>
      <c r="E30" s="3"/>
      <c r="F30" s="3">
        <v>153116.0</v>
      </c>
      <c r="G30" s="2">
        <v>55.0</v>
      </c>
      <c r="H30" s="2" t="s">
        <v>55</v>
      </c>
      <c r="I30" s="7" t="s">
        <v>13</v>
      </c>
    </row>
    <row r="31">
      <c r="A31" s="2">
        <v>30.0</v>
      </c>
      <c r="B31" s="2" t="s">
        <v>23</v>
      </c>
      <c r="C31" s="2" t="s">
        <v>23</v>
      </c>
      <c r="D31" s="3">
        <v>7796.0</v>
      </c>
      <c r="E31" s="3"/>
      <c r="F31" s="3">
        <v>135572.0</v>
      </c>
      <c r="G31" s="2">
        <v>17.0</v>
      </c>
      <c r="H31" s="2" t="s">
        <v>23</v>
      </c>
      <c r="I31" s="7" t="s">
        <v>13</v>
      </c>
    </row>
    <row r="32">
      <c r="A32" s="2">
        <v>31.0</v>
      </c>
      <c r="B32" s="2" t="s">
        <v>57</v>
      </c>
      <c r="C32" s="2" t="s">
        <v>57</v>
      </c>
      <c r="D32" s="3">
        <v>1412.0</v>
      </c>
      <c r="E32" s="3"/>
      <c r="F32" s="3">
        <v>200538.0</v>
      </c>
      <c r="G32" s="2">
        <v>142.0</v>
      </c>
      <c r="H32" s="2" t="s">
        <v>32</v>
      </c>
      <c r="I32" s="7" t="s">
        <v>13</v>
      </c>
    </row>
    <row r="33">
      <c r="A33" s="2">
        <v>32.0</v>
      </c>
      <c r="B33" s="2" t="s">
        <v>58</v>
      </c>
      <c r="C33" s="2" t="s">
        <v>58</v>
      </c>
      <c r="D33" s="2" t="s">
        <v>59</v>
      </c>
      <c r="F33" s="2" t="s">
        <v>59</v>
      </c>
      <c r="G33" s="2" t="s">
        <v>59</v>
      </c>
      <c r="H33" s="2" t="s">
        <v>12</v>
      </c>
      <c r="I33" s="7" t="s">
        <v>13</v>
      </c>
    </row>
    <row r="34">
      <c r="A34" s="2">
        <v>33.0</v>
      </c>
      <c r="B34" s="2" t="s">
        <v>60</v>
      </c>
      <c r="C34" s="2" t="s">
        <v>60</v>
      </c>
      <c r="D34" s="3">
        <v>29510.0</v>
      </c>
      <c r="E34" s="3"/>
      <c r="F34" s="3">
        <v>176206.0</v>
      </c>
      <c r="G34" s="2">
        <v>6.0</v>
      </c>
      <c r="H34" s="2" t="s">
        <v>19</v>
      </c>
      <c r="I34" s="7" t="s">
        <v>13</v>
      </c>
    </row>
    <row r="35">
      <c r="A35" s="2">
        <v>34.0</v>
      </c>
      <c r="B35" s="2" t="s">
        <v>55</v>
      </c>
      <c r="C35" s="2" t="s">
        <v>55</v>
      </c>
      <c r="D35" s="3">
        <v>20297.0</v>
      </c>
      <c r="E35" s="3"/>
      <c r="F35" s="3">
        <v>310544.0</v>
      </c>
      <c r="G35" s="2">
        <v>15.0</v>
      </c>
      <c r="H35" s="2" t="s">
        <v>55</v>
      </c>
      <c r="I35" s="7" t="s">
        <v>13</v>
      </c>
    </row>
    <row r="36">
      <c r="A36" s="2">
        <v>35.0</v>
      </c>
      <c r="B36" s="2" t="s">
        <v>61</v>
      </c>
      <c r="C36" s="2" t="s">
        <v>61</v>
      </c>
      <c r="D36" s="3">
        <v>1489.0</v>
      </c>
      <c r="E36" s="3"/>
      <c r="F36" s="3">
        <v>160422.0</v>
      </c>
      <c r="G36" s="2">
        <v>108.0</v>
      </c>
      <c r="H36" s="2" t="s">
        <v>12</v>
      </c>
      <c r="I36" s="7" t="s">
        <v>13</v>
      </c>
    </row>
    <row r="37">
      <c r="A37" s="2">
        <v>36.0</v>
      </c>
      <c r="B37" s="2" t="s">
        <v>62</v>
      </c>
      <c r="C37" s="2" t="s">
        <v>62</v>
      </c>
      <c r="D37" s="2" t="s">
        <v>63</v>
      </c>
      <c r="F37" s="2" t="s">
        <v>63</v>
      </c>
      <c r="G37" s="2" t="s">
        <v>63</v>
      </c>
      <c r="H37" s="2" t="s">
        <v>32</v>
      </c>
      <c r="I37" s="7" t="s">
        <v>13</v>
      </c>
    </row>
    <row r="38">
      <c r="A38" s="2">
        <v>1.0</v>
      </c>
      <c r="B38" s="2" t="s">
        <v>64</v>
      </c>
      <c r="C38" s="2" t="s">
        <v>64</v>
      </c>
      <c r="D38" s="3">
        <v>1642.0</v>
      </c>
      <c r="E38" s="3">
        <v>453957.0</v>
      </c>
      <c r="F38" s="3">
        <v>650370.0</v>
      </c>
      <c r="G38" s="2">
        <v>394.0</v>
      </c>
      <c r="H38" s="2" t="s">
        <v>64</v>
      </c>
      <c r="I38" s="7" t="s">
        <v>65</v>
      </c>
    </row>
    <row r="39">
      <c r="A39" s="2">
        <v>2.0</v>
      </c>
      <c r="B39" s="2" t="s">
        <v>66</v>
      </c>
      <c r="C39" s="2" t="s">
        <v>66</v>
      </c>
      <c r="D39" s="2">
        <v>854.0</v>
      </c>
      <c r="E39" s="3">
        <v>166064.0</v>
      </c>
      <c r="F39" s="3">
        <v>230529.0</v>
      </c>
      <c r="G39" s="2">
        <v>270.0</v>
      </c>
      <c r="H39" s="2" t="s">
        <v>64</v>
      </c>
      <c r="I39" s="7" t="s">
        <v>65</v>
      </c>
    </row>
    <row r="40">
      <c r="A40" s="2">
        <v>3.0</v>
      </c>
      <c r="B40" s="2" t="s">
        <v>67</v>
      </c>
      <c r="C40" s="2" t="s">
        <v>68</v>
      </c>
      <c r="D40" s="3">
        <v>3621.0</v>
      </c>
      <c r="E40" s="3">
        <v>125712.0</v>
      </c>
      <c r="F40" s="3">
        <v>191251.0</v>
      </c>
      <c r="G40" s="2">
        <v>53.0</v>
      </c>
      <c r="H40" s="2" t="s">
        <v>64</v>
      </c>
      <c r="I40" s="7" t="s">
        <v>65</v>
      </c>
    </row>
    <row r="41">
      <c r="A41" s="2">
        <v>4.0</v>
      </c>
      <c r="B41" s="2" t="s">
        <v>69</v>
      </c>
      <c r="C41" s="2" t="s">
        <v>69</v>
      </c>
      <c r="D41" s="3">
        <v>1010.0</v>
      </c>
      <c r="E41" s="3">
        <v>333482.0</v>
      </c>
      <c r="F41" s="3">
        <v>456200.0</v>
      </c>
      <c r="G41" s="2">
        <v>452.0</v>
      </c>
      <c r="H41" s="2" t="s">
        <v>69</v>
      </c>
      <c r="I41" s="7" t="s">
        <v>65</v>
      </c>
    </row>
    <row r="42">
      <c r="A42" s="2">
        <v>5.0</v>
      </c>
      <c r="B42" s="2" t="s">
        <v>70</v>
      </c>
      <c r="C42" s="2" t="s">
        <v>70</v>
      </c>
      <c r="D42" s="3">
        <v>1516.0</v>
      </c>
      <c r="E42" s="3">
        <v>301633.0</v>
      </c>
      <c r="F42" s="3">
        <v>420624.0</v>
      </c>
      <c r="G42" s="2">
        <v>297.0</v>
      </c>
      <c r="H42" s="2" t="s">
        <v>69</v>
      </c>
      <c r="I42" s="7" t="s">
        <v>65</v>
      </c>
    </row>
    <row r="43">
      <c r="A43" s="2">
        <v>6.0</v>
      </c>
      <c r="B43" s="2" t="s">
        <v>71</v>
      </c>
      <c r="C43" s="2" t="s">
        <v>71</v>
      </c>
      <c r="D43" s="3">
        <v>1862.0</v>
      </c>
      <c r="E43" s="3">
        <v>563134.0</v>
      </c>
      <c r="F43" s="3">
        <v>774194.0</v>
      </c>
      <c r="G43" s="2">
        <v>416.0</v>
      </c>
      <c r="H43" s="2" t="s">
        <v>69</v>
      </c>
      <c r="I43" s="7" t="s">
        <v>65</v>
      </c>
    </row>
    <row r="44">
      <c r="A44" s="2">
        <v>7.0</v>
      </c>
      <c r="B44" s="2" t="s">
        <v>72</v>
      </c>
      <c r="C44" s="2" t="s">
        <v>73</v>
      </c>
      <c r="D44" s="2">
        <v>855.0</v>
      </c>
      <c r="E44" s="3">
        <v>411035.0</v>
      </c>
      <c r="F44" s="3">
        <v>500571.0</v>
      </c>
      <c r="G44" s="2">
        <v>585.0</v>
      </c>
      <c r="H44" s="2" t="s">
        <v>72</v>
      </c>
      <c r="I44" s="7" t="s">
        <v>65</v>
      </c>
    </row>
    <row r="45">
      <c r="A45" s="2">
        <v>8.0</v>
      </c>
      <c r="B45" s="2" t="s">
        <v>74</v>
      </c>
      <c r="C45" s="2" t="s">
        <v>74</v>
      </c>
      <c r="D45" s="2">
        <v>770.0</v>
      </c>
      <c r="E45" s="3">
        <v>281721.0</v>
      </c>
      <c r="F45" s="3">
        <v>371919.0</v>
      </c>
      <c r="G45" s="2">
        <v>483.0</v>
      </c>
      <c r="H45" s="2" t="s">
        <v>72</v>
      </c>
      <c r="I45" s="7" t="s">
        <v>65</v>
      </c>
    </row>
    <row r="46">
      <c r="A46" s="2">
        <v>9.0</v>
      </c>
      <c r="B46" s="2" t="s">
        <v>75</v>
      </c>
      <c r="C46" s="2" t="s">
        <v>76</v>
      </c>
      <c r="D46" s="2">
        <v>598.0</v>
      </c>
      <c r="E46" s="3">
        <v>111694.0</v>
      </c>
      <c r="F46" s="3">
        <v>152124.0</v>
      </c>
      <c r="G46" s="2">
        <v>254.0</v>
      </c>
      <c r="H46" s="2" t="s">
        <v>72</v>
      </c>
      <c r="I46" s="7" t="s">
        <v>65</v>
      </c>
    </row>
    <row r="47">
      <c r="A47" s="2">
        <v>10.0</v>
      </c>
      <c r="B47" s="2" t="s">
        <v>77</v>
      </c>
      <c r="C47" s="2" t="s">
        <v>78</v>
      </c>
      <c r="D47" s="2">
        <v>569.0</v>
      </c>
      <c r="E47" s="3">
        <v>224091.0</v>
      </c>
      <c r="F47" s="3">
        <v>297584.0</v>
      </c>
      <c r="G47" s="2">
        <v>523.0</v>
      </c>
      <c r="H47" s="2" t="s">
        <v>72</v>
      </c>
      <c r="I47" s="7" t="s">
        <v>65</v>
      </c>
    </row>
    <row r="48">
      <c r="A48" s="2">
        <v>1.0</v>
      </c>
      <c r="B48" s="2" t="s">
        <v>79</v>
      </c>
      <c r="C48" s="2" t="s">
        <v>80</v>
      </c>
      <c r="D48" s="3">
        <v>6400.0</v>
      </c>
      <c r="E48" s="3">
        <v>88366.0</v>
      </c>
      <c r="H48" s="2" t="s">
        <v>81</v>
      </c>
      <c r="I48" s="7" t="s">
        <v>82</v>
      </c>
    </row>
    <row r="49">
      <c r="A49" s="2">
        <v>2.0</v>
      </c>
      <c r="B49" s="2" t="s">
        <v>83</v>
      </c>
      <c r="C49" s="2" t="s">
        <v>83</v>
      </c>
      <c r="D49" s="3">
        <v>15000.0</v>
      </c>
      <c r="E49" s="3">
        <v>214848.0</v>
      </c>
      <c r="H49" s="2" t="s">
        <v>81</v>
      </c>
      <c r="I49" s="7" t="s">
        <v>82</v>
      </c>
    </row>
    <row r="50">
      <c r="A50" s="2">
        <v>3.0</v>
      </c>
      <c r="B50" s="2" t="s">
        <v>84</v>
      </c>
      <c r="C50" s="2" t="s">
        <v>85</v>
      </c>
      <c r="D50" s="3">
        <v>8657.0</v>
      </c>
      <c r="E50" s="3">
        <v>71666.0</v>
      </c>
      <c r="H50" s="2" t="s">
        <v>86</v>
      </c>
      <c r="I50" s="7" t="s">
        <v>82</v>
      </c>
    </row>
    <row r="51">
      <c r="A51" s="2">
        <v>4.0</v>
      </c>
      <c r="B51" s="2" t="s">
        <v>86</v>
      </c>
      <c r="C51" s="2" t="s">
        <v>87</v>
      </c>
      <c r="D51" s="3">
        <v>10936.0</v>
      </c>
      <c r="E51" s="3">
        <v>131925.0</v>
      </c>
      <c r="H51" s="2" t="s">
        <v>86</v>
      </c>
      <c r="I51" s="7" t="s">
        <v>82</v>
      </c>
    </row>
    <row r="52">
      <c r="A52" s="2">
        <v>5.0</v>
      </c>
      <c r="B52" s="2" t="s">
        <v>88</v>
      </c>
      <c r="C52" s="2" t="s">
        <v>89</v>
      </c>
      <c r="D52" s="3">
        <v>9635.0</v>
      </c>
      <c r="E52" s="3">
        <v>120218.0</v>
      </c>
      <c r="H52" s="2" t="s">
        <v>90</v>
      </c>
      <c r="I52" s="7" t="s">
        <v>82</v>
      </c>
    </row>
    <row r="53">
      <c r="A53" s="2">
        <v>6.0</v>
      </c>
      <c r="B53" s="2" t="s">
        <v>90</v>
      </c>
      <c r="C53" s="2" t="s">
        <v>90</v>
      </c>
      <c r="D53" s="3">
        <v>38000.0</v>
      </c>
      <c r="E53" s="3">
        <v>243324.0</v>
      </c>
      <c r="H53" s="2" t="s">
        <v>90</v>
      </c>
      <c r="I53" s="7" t="s">
        <v>82</v>
      </c>
    </row>
    <row r="54">
      <c r="A54" s="2">
        <v>7.0</v>
      </c>
      <c r="B54" s="2" t="s">
        <v>91</v>
      </c>
      <c r="C54" s="2" t="s">
        <v>92</v>
      </c>
      <c r="D54" s="3">
        <v>17145.0</v>
      </c>
      <c r="E54" s="3">
        <v>80355.0</v>
      </c>
      <c r="H54" s="2" t="s">
        <v>90</v>
      </c>
      <c r="I54" s="7" t="s">
        <v>82</v>
      </c>
    </row>
    <row r="55">
      <c r="A55" s="2">
        <v>8.0</v>
      </c>
      <c r="B55" s="2" t="s">
        <v>93</v>
      </c>
      <c r="C55" s="2" t="s">
        <v>94</v>
      </c>
      <c r="E55" s="2" t="s">
        <v>95</v>
      </c>
      <c r="H55" s="2" t="s">
        <v>81</v>
      </c>
      <c r="I55" s="7" t="s">
        <v>82</v>
      </c>
    </row>
    <row r="56">
      <c r="A56" s="2">
        <v>9.0</v>
      </c>
      <c r="B56" s="2" t="s">
        <v>96</v>
      </c>
      <c r="C56" s="2" t="s">
        <v>96</v>
      </c>
      <c r="D56" s="3">
        <v>8500.0</v>
      </c>
      <c r="E56" s="3">
        <v>109000.0</v>
      </c>
      <c r="H56" s="2" t="s">
        <v>81</v>
      </c>
      <c r="I56" s="7" t="s">
        <v>82</v>
      </c>
    </row>
    <row r="57">
      <c r="A57" s="2">
        <v>10.0</v>
      </c>
      <c r="B57" s="2" t="s">
        <v>97</v>
      </c>
      <c r="C57" s="2" t="s">
        <v>98</v>
      </c>
      <c r="D57" s="3">
        <v>15567.0</v>
      </c>
      <c r="E57" s="3">
        <v>89420.0</v>
      </c>
      <c r="H57" s="2" t="s">
        <v>90</v>
      </c>
      <c r="I57" s="7" t="s">
        <v>82</v>
      </c>
    </row>
    <row r="58">
      <c r="A58" s="2">
        <v>11.0</v>
      </c>
      <c r="B58" s="2" t="s">
        <v>99</v>
      </c>
      <c r="C58" s="2" t="s">
        <v>100</v>
      </c>
      <c r="H58" s="2" t="s">
        <v>90</v>
      </c>
      <c r="I58" s="7" t="s">
        <v>82</v>
      </c>
    </row>
    <row r="59">
      <c r="A59" s="2">
        <v>12.0</v>
      </c>
      <c r="B59" s="2" t="s">
        <v>101</v>
      </c>
      <c r="C59" s="2" t="s">
        <v>101</v>
      </c>
      <c r="H59" s="2" t="s">
        <v>86</v>
      </c>
      <c r="I59" s="7" t="s">
        <v>82</v>
      </c>
    </row>
    <row r="60">
      <c r="A60" s="2">
        <v>13.0</v>
      </c>
      <c r="B60" s="2" t="s">
        <v>102</v>
      </c>
      <c r="C60" s="2" t="s">
        <v>102</v>
      </c>
      <c r="H60" s="2" t="s">
        <v>86</v>
      </c>
      <c r="I60" s="7" t="s">
        <v>82</v>
      </c>
    </row>
    <row r="61">
      <c r="A61" s="2">
        <v>14.0</v>
      </c>
      <c r="B61" s="2" t="s">
        <v>103</v>
      </c>
      <c r="C61" s="2" t="s">
        <v>104</v>
      </c>
      <c r="H61" s="2" t="s">
        <v>81</v>
      </c>
      <c r="I61" s="7" t="s">
        <v>82</v>
      </c>
    </row>
    <row r="62">
      <c r="A62" s="2">
        <v>1.0</v>
      </c>
      <c r="B62" s="2" t="s">
        <v>105</v>
      </c>
      <c r="C62" s="2" t="s">
        <v>105</v>
      </c>
      <c r="D62" s="3">
        <v>1967.0</v>
      </c>
      <c r="F62" s="3">
        <v>1332912.0</v>
      </c>
      <c r="G62" s="2">
        <v>785.0</v>
      </c>
      <c r="H62" s="2" t="s">
        <v>106</v>
      </c>
      <c r="I62" s="7" t="s">
        <v>107</v>
      </c>
    </row>
    <row r="63">
      <c r="A63" s="2">
        <v>2.0</v>
      </c>
      <c r="B63" s="2" t="s">
        <v>108</v>
      </c>
      <c r="C63" s="2" t="s">
        <v>109</v>
      </c>
      <c r="D63" s="2" t="s">
        <v>63</v>
      </c>
      <c r="F63" s="2" t="s">
        <v>63</v>
      </c>
      <c r="G63" s="2" t="s">
        <v>63</v>
      </c>
      <c r="H63" s="2" t="s">
        <v>106</v>
      </c>
      <c r="I63" s="7" t="s">
        <v>107</v>
      </c>
    </row>
    <row r="64">
      <c r="A64" s="2">
        <v>3.0</v>
      </c>
      <c r="B64" s="2" t="s">
        <v>110</v>
      </c>
      <c r="C64" s="2" t="s">
        <v>111</v>
      </c>
      <c r="D64" s="3">
        <v>1290.0</v>
      </c>
      <c r="F64" s="3">
        <v>1093684.0</v>
      </c>
      <c r="G64" s="2">
        <v>848.0</v>
      </c>
      <c r="H64" s="2" t="s">
        <v>112</v>
      </c>
      <c r="I64" s="7" t="s">
        <v>107</v>
      </c>
    </row>
    <row r="65">
      <c r="A65" s="2">
        <v>4.0</v>
      </c>
      <c r="B65" s="2" t="s">
        <v>113</v>
      </c>
      <c r="C65" s="2" t="s">
        <v>113</v>
      </c>
      <c r="D65" s="3">
        <v>1227.0</v>
      </c>
      <c r="F65" s="3">
        <v>1167892.0</v>
      </c>
      <c r="G65" s="2">
        <v>952.0</v>
      </c>
      <c r="H65" s="2" t="s">
        <v>113</v>
      </c>
      <c r="I65" s="7" t="s">
        <v>107</v>
      </c>
    </row>
    <row r="66">
      <c r="A66" s="2">
        <v>5.0</v>
      </c>
      <c r="B66" s="2" t="s">
        <v>114</v>
      </c>
      <c r="C66" s="2" t="s">
        <v>114</v>
      </c>
      <c r="D66" s="3">
        <v>1301.0</v>
      </c>
      <c r="F66" s="3">
        <v>476612.0</v>
      </c>
      <c r="G66" s="2">
        <v>366.0</v>
      </c>
      <c r="H66" s="2" t="s">
        <v>106</v>
      </c>
      <c r="I66" s="7" t="s">
        <v>107</v>
      </c>
    </row>
    <row r="67">
      <c r="A67" s="2">
        <v>6.0</v>
      </c>
      <c r="B67" s="2" t="s">
        <v>115</v>
      </c>
      <c r="C67" s="2" t="s">
        <v>116</v>
      </c>
      <c r="D67" s="3">
        <v>1865.0</v>
      </c>
      <c r="F67" s="3">
        <v>897319.0</v>
      </c>
      <c r="G67" s="2">
        <v>481.0</v>
      </c>
      <c r="H67" s="2" t="s">
        <v>112</v>
      </c>
      <c r="I67" s="7" t="s">
        <v>107</v>
      </c>
    </row>
    <row r="68">
      <c r="A68" s="2">
        <v>7.0</v>
      </c>
      <c r="B68" s="2" t="s">
        <v>117</v>
      </c>
      <c r="C68" s="2" t="s">
        <v>117</v>
      </c>
      <c r="D68" s="2">
        <v>996.0</v>
      </c>
      <c r="F68" s="3">
        <v>1616198.0</v>
      </c>
      <c r="G68" s="3">
        <v>1623.0</v>
      </c>
      <c r="H68" s="2" t="s">
        <v>118</v>
      </c>
      <c r="I68" s="7" t="s">
        <v>107</v>
      </c>
    </row>
    <row r="69">
      <c r="A69" s="2">
        <v>8.0</v>
      </c>
      <c r="B69" s="2" t="s">
        <v>119</v>
      </c>
      <c r="C69" s="2" t="s">
        <v>120</v>
      </c>
      <c r="H69" s="2" t="s">
        <v>112</v>
      </c>
      <c r="I69" s="7" t="s">
        <v>107</v>
      </c>
    </row>
    <row r="70">
      <c r="A70" s="2">
        <v>9.0</v>
      </c>
      <c r="B70" s="2" t="s">
        <v>121</v>
      </c>
      <c r="C70" s="2" t="s">
        <v>121</v>
      </c>
      <c r="D70" s="3">
        <v>9334.0</v>
      </c>
      <c r="F70" s="3">
        <v>1627132.0</v>
      </c>
      <c r="G70" s="2">
        <v>222.0</v>
      </c>
      <c r="H70" s="2" t="s">
        <v>121</v>
      </c>
      <c r="I70" s="7" t="s">
        <v>107</v>
      </c>
    </row>
    <row r="71">
      <c r="A71" s="2">
        <v>10.0</v>
      </c>
      <c r="B71" s="2" t="s">
        <v>122</v>
      </c>
      <c r="C71" s="2" t="s">
        <v>122</v>
      </c>
      <c r="D71" s="3">
        <v>1097.0</v>
      </c>
      <c r="F71" s="3">
        <v>518798.0</v>
      </c>
      <c r="G71" s="2">
        <v>473.0</v>
      </c>
      <c r="H71" s="2" t="s">
        <v>123</v>
      </c>
      <c r="I71" s="7" t="s">
        <v>107</v>
      </c>
    </row>
    <row r="72">
      <c r="A72" s="2">
        <v>11.0</v>
      </c>
      <c r="B72" s="2" t="s">
        <v>124</v>
      </c>
      <c r="C72" s="2" t="s">
        <v>124</v>
      </c>
      <c r="D72" s="3">
        <v>1725.0</v>
      </c>
      <c r="F72" s="3">
        <v>1003031.0</v>
      </c>
      <c r="G72" s="2">
        <v>581.0</v>
      </c>
      <c r="H72" s="2" t="s">
        <v>106</v>
      </c>
      <c r="I72" s="7" t="s">
        <v>107</v>
      </c>
    </row>
    <row r="73">
      <c r="A73" s="2">
        <v>12.0</v>
      </c>
      <c r="B73" s="2" t="s">
        <v>125</v>
      </c>
      <c r="C73" s="2" t="s">
        <v>125</v>
      </c>
      <c r="D73" s="3">
        <v>3372.0</v>
      </c>
      <c r="F73" s="3">
        <v>706299.0</v>
      </c>
      <c r="G73" s="2">
        <v>209.0</v>
      </c>
      <c r="H73" s="2" t="s">
        <v>123</v>
      </c>
      <c r="I73" s="7" t="s">
        <v>107</v>
      </c>
    </row>
    <row r="74">
      <c r="A74" s="2">
        <v>13.0</v>
      </c>
      <c r="B74" s="2" t="s">
        <v>126</v>
      </c>
      <c r="C74" s="2" t="s">
        <v>127</v>
      </c>
      <c r="D74" s="3">
        <v>2576.0</v>
      </c>
      <c r="F74" s="3">
        <v>986973.0</v>
      </c>
      <c r="G74" s="2">
        <v>383.0</v>
      </c>
      <c r="H74" s="2" t="s">
        <v>118</v>
      </c>
      <c r="I74" s="7" t="s">
        <v>107</v>
      </c>
    </row>
    <row r="75">
      <c r="A75" s="2">
        <v>14.0</v>
      </c>
      <c r="B75" s="2" t="s">
        <v>123</v>
      </c>
      <c r="C75" s="2" t="s">
        <v>123</v>
      </c>
      <c r="D75" s="3">
        <v>2545.0</v>
      </c>
      <c r="F75" s="3">
        <v>993874.0</v>
      </c>
      <c r="G75" s="2">
        <v>390.0</v>
      </c>
      <c r="H75" s="2" t="s">
        <v>123</v>
      </c>
      <c r="I75" s="7" t="s">
        <v>107</v>
      </c>
    </row>
    <row r="76">
      <c r="A76" s="2">
        <v>15.0</v>
      </c>
      <c r="B76" s="2" t="s">
        <v>128</v>
      </c>
      <c r="C76" s="2" t="s">
        <v>129</v>
      </c>
      <c r="D76" s="3">
        <v>3380.0</v>
      </c>
      <c r="F76" s="3">
        <v>619553.0</v>
      </c>
      <c r="G76" s="2">
        <v>201.0</v>
      </c>
      <c r="H76" s="2" t="s">
        <v>123</v>
      </c>
      <c r="I76" s="7" t="s">
        <v>107</v>
      </c>
    </row>
    <row r="77">
      <c r="A77" s="2">
        <v>16.0</v>
      </c>
      <c r="B77" s="2" t="s">
        <v>130</v>
      </c>
      <c r="C77" s="2" t="s">
        <v>131</v>
      </c>
      <c r="D77" s="2" t="s">
        <v>59</v>
      </c>
      <c r="F77" s="2" t="s">
        <v>59</v>
      </c>
      <c r="G77" s="2" t="s">
        <v>59</v>
      </c>
      <c r="H77" s="2" t="s">
        <v>106</v>
      </c>
      <c r="I77" s="7" t="s">
        <v>107</v>
      </c>
    </row>
    <row r="78">
      <c r="A78" s="2">
        <v>17.0</v>
      </c>
      <c r="B78" s="2" t="s">
        <v>132</v>
      </c>
      <c r="C78" s="2" t="s">
        <v>132</v>
      </c>
      <c r="D78" s="3">
        <v>3164.0</v>
      </c>
      <c r="F78" s="3">
        <v>876182.0</v>
      </c>
      <c r="G78" s="2">
        <v>277.0</v>
      </c>
      <c r="H78" s="2" t="s">
        <v>113</v>
      </c>
      <c r="I78" s="7" t="s">
        <v>107</v>
      </c>
    </row>
    <row r="79">
      <c r="A79" s="2">
        <v>18.0</v>
      </c>
      <c r="B79" s="2" t="s">
        <v>133</v>
      </c>
      <c r="C79" s="2" t="s">
        <v>134</v>
      </c>
      <c r="D79" s="3">
        <v>1582.0</v>
      </c>
      <c r="F79" s="3">
        <v>1435917.0</v>
      </c>
      <c r="G79" s="2">
        <v>908.0</v>
      </c>
      <c r="H79" s="2" t="s">
        <v>112</v>
      </c>
      <c r="I79" s="7" t="s">
        <v>107</v>
      </c>
    </row>
    <row r="80">
      <c r="A80" s="2">
        <v>19.0</v>
      </c>
      <c r="B80" s="2" t="s">
        <v>135</v>
      </c>
      <c r="C80" s="2" t="s">
        <v>136</v>
      </c>
      <c r="D80" s="3">
        <v>7492.0</v>
      </c>
      <c r="F80" s="2" t="s">
        <v>137</v>
      </c>
      <c r="G80" s="2">
        <v>105.0</v>
      </c>
      <c r="H80" s="2" t="s">
        <v>106</v>
      </c>
      <c r="I80" s="7" t="s">
        <v>107</v>
      </c>
    </row>
    <row r="81">
      <c r="A81" s="2">
        <v>20.0</v>
      </c>
      <c r="B81" s="2" t="s">
        <v>138</v>
      </c>
      <c r="C81" s="2" t="s">
        <v>139</v>
      </c>
      <c r="D81" s="3">
        <v>7492.0</v>
      </c>
      <c r="F81" s="2" t="s">
        <v>137</v>
      </c>
      <c r="G81" s="2">
        <v>105.0</v>
      </c>
      <c r="H81" s="2" t="s">
        <v>112</v>
      </c>
      <c r="I81" s="7" t="s">
        <v>107</v>
      </c>
    </row>
    <row r="82">
      <c r="A82" s="2">
        <v>21.0</v>
      </c>
      <c r="B82" s="2" t="s">
        <v>112</v>
      </c>
      <c r="C82" s="2" t="s">
        <v>140</v>
      </c>
      <c r="D82" s="2">
        <v>952.0</v>
      </c>
      <c r="F82" s="3">
        <v>720295.0</v>
      </c>
      <c r="G82" s="2">
        <v>757.0</v>
      </c>
      <c r="H82" s="2" t="s">
        <v>112</v>
      </c>
      <c r="I82" s="7" t="s">
        <v>107</v>
      </c>
    </row>
    <row r="83">
      <c r="A83" s="2">
        <v>22.0</v>
      </c>
      <c r="B83" s="2" t="s">
        <v>141</v>
      </c>
      <c r="C83" s="2" t="s">
        <v>141</v>
      </c>
      <c r="D83" s="3">
        <v>4579.0</v>
      </c>
      <c r="F83" s="3">
        <v>1556460.0</v>
      </c>
      <c r="G83" s="2">
        <v>340.0</v>
      </c>
      <c r="H83" s="2" t="s">
        <v>106</v>
      </c>
      <c r="I83" s="7" t="s">
        <v>107</v>
      </c>
    </row>
    <row r="84">
      <c r="A84" s="2">
        <v>23.0</v>
      </c>
      <c r="B84" s="2" t="s">
        <v>142</v>
      </c>
      <c r="C84" s="2" t="s">
        <v>142</v>
      </c>
      <c r="D84" s="3">
        <v>1632.0</v>
      </c>
      <c r="F84" s="3">
        <v>2373061.0</v>
      </c>
      <c r="G84" s="3">
        <v>1454.0</v>
      </c>
      <c r="H84" s="2" t="s">
        <v>142</v>
      </c>
      <c r="I84" s="7" t="s">
        <v>107</v>
      </c>
    </row>
    <row r="85">
      <c r="A85" s="2">
        <v>24.0</v>
      </c>
      <c r="B85" s="2" t="s">
        <v>143</v>
      </c>
      <c r="C85" s="2" t="s">
        <v>144</v>
      </c>
      <c r="D85" s="3">
        <v>2296.0</v>
      </c>
      <c r="F85" s="3">
        <v>466984.0</v>
      </c>
      <c r="G85" s="2">
        <v>203.0</v>
      </c>
      <c r="H85" s="2" t="s">
        <v>118</v>
      </c>
      <c r="I85" s="7" t="s">
        <v>107</v>
      </c>
    </row>
    <row r="86">
      <c r="A86" s="2">
        <v>25.0</v>
      </c>
      <c r="B86" s="2" t="s">
        <v>145</v>
      </c>
      <c r="C86" s="2" t="s">
        <v>146</v>
      </c>
      <c r="D86" s="3">
        <v>4707.0</v>
      </c>
      <c r="F86" s="3">
        <v>543254.0</v>
      </c>
      <c r="G86" s="2">
        <v>115.0</v>
      </c>
      <c r="H86" s="2" t="s">
        <v>113</v>
      </c>
      <c r="I86" s="7" t="s">
        <v>107</v>
      </c>
    </row>
    <row r="87">
      <c r="A87" s="2">
        <v>26.0</v>
      </c>
      <c r="B87" s="2" t="s">
        <v>147</v>
      </c>
      <c r="C87" s="2" t="s">
        <v>147</v>
      </c>
      <c r="D87" s="3">
        <v>1748.0</v>
      </c>
      <c r="F87" s="3">
        <v>1518540.0</v>
      </c>
      <c r="G87" s="2">
        <v>869.0</v>
      </c>
      <c r="H87" s="2" t="s">
        <v>118</v>
      </c>
      <c r="I87" s="7" t="s">
        <v>107</v>
      </c>
    </row>
    <row r="88">
      <c r="A88" s="2">
        <v>27.0</v>
      </c>
      <c r="B88" s="2" t="s">
        <v>148</v>
      </c>
      <c r="C88" s="2" t="s">
        <v>149</v>
      </c>
      <c r="D88" s="3">
        <v>1538.0</v>
      </c>
      <c r="F88" s="3">
        <v>254356.0</v>
      </c>
      <c r="G88" s="2">
        <v>165.0</v>
      </c>
      <c r="H88" s="2" t="s">
        <v>123</v>
      </c>
      <c r="I88" s="7" t="s">
        <v>107</v>
      </c>
    </row>
    <row r="89">
      <c r="A89" s="2">
        <v>28.0</v>
      </c>
      <c r="B89" s="2" t="s">
        <v>118</v>
      </c>
      <c r="C89" s="2" t="s">
        <v>118</v>
      </c>
      <c r="D89" s="3">
        <v>1257.0</v>
      </c>
      <c r="F89" s="3">
        <v>4269079.0</v>
      </c>
      <c r="G89" s="3">
        <v>3396.0</v>
      </c>
      <c r="H89" s="2" t="s">
        <v>118</v>
      </c>
      <c r="I89" s="7" t="s">
        <v>107</v>
      </c>
    </row>
    <row r="90">
      <c r="A90" s="2">
        <v>29.0</v>
      </c>
      <c r="B90" s="2" t="s">
        <v>150</v>
      </c>
      <c r="C90" s="2" t="s">
        <v>151</v>
      </c>
      <c r="D90" s="3">
        <v>1586.0</v>
      </c>
      <c r="F90" s="3">
        <v>757810.0</v>
      </c>
      <c r="G90" s="2">
        <v>478.0</v>
      </c>
      <c r="H90" s="2" t="s">
        <v>112</v>
      </c>
      <c r="I90" s="7" t="s">
        <v>107</v>
      </c>
    </row>
    <row r="91">
      <c r="A91" s="2">
        <v>30.0</v>
      </c>
      <c r="B91" s="2" t="s">
        <v>152</v>
      </c>
      <c r="C91" s="2" t="s">
        <v>153</v>
      </c>
      <c r="H91" s="2" t="s">
        <v>121</v>
      </c>
      <c r="I91" s="7" t="s">
        <v>107</v>
      </c>
    </row>
    <row r="92">
      <c r="A92" s="2">
        <v>31.0</v>
      </c>
      <c r="B92" s="2" t="s">
        <v>154</v>
      </c>
      <c r="C92" s="2" t="s">
        <v>155</v>
      </c>
      <c r="H92" s="2" t="s">
        <v>121</v>
      </c>
      <c r="I92" s="7" t="s">
        <v>107</v>
      </c>
    </row>
    <row r="93">
      <c r="A93" s="2">
        <v>32.0</v>
      </c>
      <c r="B93" s="2" t="s">
        <v>156</v>
      </c>
      <c r="C93" s="2" t="s">
        <v>156</v>
      </c>
      <c r="D93" s="3">
        <v>1543.0</v>
      </c>
      <c r="F93" s="3">
        <v>1624616.0</v>
      </c>
      <c r="G93" s="3">
        <v>1053.0</v>
      </c>
      <c r="H93" s="2" t="s">
        <v>142</v>
      </c>
      <c r="I93" s="7" t="s">
        <v>107</v>
      </c>
    </row>
    <row r="94">
      <c r="A94" s="2">
        <v>33.0</v>
      </c>
      <c r="B94" s="2" t="s">
        <v>157</v>
      </c>
      <c r="C94" s="2" t="s">
        <v>158</v>
      </c>
      <c r="D94" s="3">
        <v>5337.0</v>
      </c>
      <c r="F94" s="3">
        <v>2309570.0</v>
      </c>
      <c r="G94" s="2">
        <v>433.0</v>
      </c>
      <c r="H94" s="2" t="s">
        <v>112</v>
      </c>
      <c r="I94" s="7" t="s">
        <v>107</v>
      </c>
    </row>
    <row r="95">
      <c r="A95" s="2">
        <v>34.0</v>
      </c>
      <c r="B95" s="2" t="s">
        <v>159</v>
      </c>
      <c r="C95" s="2" t="s">
        <v>159</v>
      </c>
      <c r="D95" s="3">
        <v>1679.0</v>
      </c>
      <c r="F95" s="3">
        <v>391885.0</v>
      </c>
      <c r="G95" s="2">
        <v>233.0</v>
      </c>
      <c r="H95" s="2" t="s">
        <v>121</v>
      </c>
      <c r="I95" s="7" t="s">
        <v>107</v>
      </c>
    </row>
    <row r="96">
      <c r="A96" s="2">
        <v>35.0</v>
      </c>
      <c r="B96" s="2" t="s">
        <v>160</v>
      </c>
      <c r="C96" s="2" t="s">
        <v>161</v>
      </c>
      <c r="D96" s="2">
        <v>497.0</v>
      </c>
      <c r="F96" s="3">
        <v>171395.0</v>
      </c>
      <c r="G96" s="2">
        <v>345.0</v>
      </c>
      <c r="H96" s="2" t="s">
        <v>106</v>
      </c>
      <c r="I96" s="7" t="s">
        <v>107</v>
      </c>
    </row>
    <row r="97">
      <c r="A97" s="2">
        <v>36.0</v>
      </c>
      <c r="B97" s="2" t="s">
        <v>162</v>
      </c>
      <c r="C97" s="2" t="s">
        <v>163</v>
      </c>
      <c r="D97" s="3">
        <v>3699.0</v>
      </c>
      <c r="F97" s="3">
        <v>946421.0</v>
      </c>
      <c r="G97" s="2">
        <v>256.0</v>
      </c>
      <c r="H97" s="2" t="s">
        <v>112</v>
      </c>
      <c r="I97" s="7" t="s">
        <v>107</v>
      </c>
    </row>
    <row r="98">
      <c r="A98" s="2">
        <v>37.0</v>
      </c>
      <c r="B98" s="2" t="s">
        <v>164</v>
      </c>
      <c r="C98" s="2" t="s">
        <v>165</v>
      </c>
      <c r="D98" s="3">
        <v>7492.0</v>
      </c>
      <c r="F98" s="2" t="s">
        <v>137</v>
      </c>
      <c r="G98" s="2">
        <v>105.0</v>
      </c>
      <c r="H98" s="2" t="s">
        <v>106</v>
      </c>
      <c r="I98" s="7" t="s">
        <v>107</v>
      </c>
    </row>
    <row r="99">
      <c r="A99" s="2">
        <v>38.0</v>
      </c>
      <c r="B99" s="2" t="s">
        <v>166</v>
      </c>
      <c r="C99" s="2" t="s">
        <v>167</v>
      </c>
      <c r="D99" s="2" t="s">
        <v>59</v>
      </c>
      <c r="F99" s="2" t="s">
        <v>59</v>
      </c>
      <c r="G99" s="2" t="s">
        <v>59</v>
      </c>
      <c r="H99" s="2" t="s">
        <v>112</v>
      </c>
      <c r="I99" s="7" t="s">
        <v>107</v>
      </c>
    </row>
    <row r="100">
      <c r="A100" s="2">
        <v>1.0</v>
      </c>
      <c r="B100" s="2" t="s">
        <v>168</v>
      </c>
      <c r="C100" s="2" t="s">
        <v>168</v>
      </c>
      <c r="D100" s="3">
        <v>6858.0</v>
      </c>
      <c r="F100" s="3">
        <v>1883556.0</v>
      </c>
      <c r="G100" s="2">
        <v>275.0</v>
      </c>
      <c r="H100" s="2" t="s">
        <v>169</v>
      </c>
      <c r="I100" s="7" t="s">
        <v>170</v>
      </c>
    </row>
    <row r="101">
      <c r="A101" s="2">
        <v>2.0</v>
      </c>
      <c r="B101" s="2" t="s">
        <v>171</v>
      </c>
      <c r="C101" s="2" t="s">
        <v>171</v>
      </c>
      <c r="D101" s="3">
        <v>8878.0</v>
      </c>
      <c r="F101" s="3">
        <v>2981919.0</v>
      </c>
      <c r="G101" s="2">
        <v>336.0</v>
      </c>
      <c r="H101" s="2" t="s">
        <v>172</v>
      </c>
      <c r="I101" s="7" t="s">
        <v>170</v>
      </c>
    </row>
    <row r="102">
      <c r="A102" s="2">
        <v>3.0</v>
      </c>
      <c r="B102" s="2" t="s">
        <v>172</v>
      </c>
      <c r="C102" s="2" t="s">
        <v>172</v>
      </c>
      <c r="D102" s="3">
        <v>24830.0</v>
      </c>
      <c r="F102" s="3">
        <v>3668106.0</v>
      </c>
      <c r="G102" s="2">
        <v>148.0</v>
      </c>
      <c r="H102" s="2" t="s">
        <v>172</v>
      </c>
      <c r="I102" s="7" t="s">
        <v>170</v>
      </c>
    </row>
    <row r="103">
      <c r="A103" s="2">
        <v>4.0</v>
      </c>
      <c r="B103" s="2" t="s">
        <v>173</v>
      </c>
      <c r="C103" s="2" t="s">
        <v>173</v>
      </c>
      <c r="D103" s="3">
        <v>8153.0</v>
      </c>
      <c r="F103" s="3">
        <v>1650518.0</v>
      </c>
      <c r="G103" s="2">
        <v>202.0</v>
      </c>
      <c r="H103" s="2" t="s">
        <v>174</v>
      </c>
      <c r="I103" s="7" t="s">
        <v>170</v>
      </c>
    </row>
    <row r="104">
      <c r="A104" s="2">
        <v>5.0</v>
      </c>
      <c r="B104" s="2" t="s">
        <v>175</v>
      </c>
      <c r="C104" s="2" t="s">
        <v>175</v>
      </c>
      <c r="D104" s="3">
        <v>6524.0</v>
      </c>
      <c r="F104" s="3">
        <v>1495982.0</v>
      </c>
      <c r="G104" s="2">
        <v>229.0</v>
      </c>
      <c r="H104" s="2" t="s">
        <v>169</v>
      </c>
      <c r="I104" s="7" t="s">
        <v>170</v>
      </c>
    </row>
    <row r="105">
      <c r="A105" s="2">
        <v>6.0</v>
      </c>
      <c r="B105" s="2" t="s">
        <v>176</v>
      </c>
      <c r="C105" s="2" t="s">
        <v>176</v>
      </c>
      <c r="D105" s="3">
        <v>2643.0</v>
      </c>
      <c r="F105" s="3">
        <v>1369740.0</v>
      </c>
      <c r="G105" s="2">
        <v>518.0</v>
      </c>
      <c r="H105" s="2" t="s">
        <v>177</v>
      </c>
      <c r="I105" s="7" t="s">
        <v>170</v>
      </c>
    </row>
    <row r="106">
      <c r="A106" s="2">
        <v>7.0</v>
      </c>
      <c r="B106" s="2" t="s">
        <v>178</v>
      </c>
      <c r="C106" s="2" t="s">
        <v>178</v>
      </c>
      <c r="D106" s="3">
        <v>11922.0</v>
      </c>
      <c r="F106" s="3">
        <v>2872201.0</v>
      </c>
      <c r="G106" s="2">
        <v>241.0</v>
      </c>
      <c r="H106" s="2" t="s">
        <v>178</v>
      </c>
      <c r="I106" s="7" t="s">
        <v>170</v>
      </c>
    </row>
    <row r="107">
      <c r="A107" s="2">
        <v>8.0</v>
      </c>
      <c r="B107" s="2" t="s">
        <v>177</v>
      </c>
      <c r="C107" s="2" t="s">
        <v>177</v>
      </c>
      <c r="D107" s="3">
        <v>5856.0</v>
      </c>
      <c r="F107" s="3">
        <v>7873910.0</v>
      </c>
      <c r="G107" s="3">
        <v>1345.0</v>
      </c>
      <c r="H107" s="2" t="s">
        <v>177</v>
      </c>
      <c r="I107" s="7" t="s">
        <v>170</v>
      </c>
    </row>
    <row r="108">
      <c r="A108" s="2">
        <v>9.0</v>
      </c>
      <c r="B108" s="2" t="s">
        <v>179</v>
      </c>
      <c r="C108" s="2" t="s">
        <v>179</v>
      </c>
      <c r="D108" s="3">
        <v>3622.0</v>
      </c>
      <c r="F108" s="3">
        <v>5014196.0</v>
      </c>
      <c r="G108" s="3">
        <v>1384.0</v>
      </c>
      <c r="H108" s="2" t="s">
        <v>179</v>
      </c>
      <c r="I108" s="7" t="s">
        <v>170</v>
      </c>
    </row>
    <row r="109">
      <c r="A109" s="2">
        <v>10.0</v>
      </c>
      <c r="B109" s="2" t="s">
        <v>180</v>
      </c>
      <c r="C109" s="2" t="s">
        <v>180</v>
      </c>
      <c r="D109" s="3">
        <v>3192.0</v>
      </c>
      <c r="F109" s="3">
        <v>2756110.0</v>
      </c>
      <c r="G109" s="2">
        <v>863.0</v>
      </c>
      <c r="H109" s="2" t="s">
        <v>180</v>
      </c>
      <c r="I109" s="7" t="s">
        <v>170</v>
      </c>
    </row>
    <row r="110">
      <c r="A110" s="2">
        <v>11.0</v>
      </c>
      <c r="B110" s="2" t="s">
        <v>181</v>
      </c>
      <c r="C110" s="2" t="s">
        <v>181</v>
      </c>
      <c r="D110" s="3">
        <v>2367.0</v>
      </c>
      <c r="F110" s="3">
        <v>1156957.0</v>
      </c>
      <c r="G110" s="2">
        <v>489.0</v>
      </c>
      <c r="H110" s="2" t="s">
        <v>180</v>
      </c>
      <c r="I110" s="7" t="s">
        <v>170</v>
      </c>
    </row>
    <row r="111">
      <c r="A111" s="2">
        <v>12.0</v>
      </c>
      <c r="B111" s="2" t="s">
        <v>182</v>
      </c>
      <c r="C111" s="2" t="s">
        <v>182</v>
      </c>
      <c r="D111" s="2" t="s">
        <v>63</v>
      </c>
      <c r="F111" s="2" t="s">
        <v>63</v>
      </c>
      <c r="G111" s="2" t="s">
        <v>63</v>
      </c>
      <c r="H111" s="2" t="s">
        <v>178</v>
      </c>
      <c r="I111" s="7" t="s">
        <v>170</v>
      </c>
    </row>
    <row r="112">
      <c r="A112" s="2">
        <v>13.0</v>
      </c>
      <c r="B112" s="2" t="s">
        <v>183</v>
      </c>
      <c r="C112" s="2" t="s">
        <v>183</v>
      </c>
      <c r="D112" s="3">
        <v>8809.0</v>
      </c>
      <c r="F112" s="3">
        <v>2743416.0</v>
      </c>
      <c r="G112" s="2">
        <v>311.0</v>
      </c>
      <c r="H112" s="2" t="s">
        <v>177</v>
      </c>
      <c r="I112" s="7" t="s">
        <v>170</v>
      </c>
    </row>
    <row r="113">
      <c r="A113" s="2">
        <v>14.0</v>
      </c>
      <c r="B113" s="2" t="s">
        <v>184</v>
      </c>
      <c r="C113" s="2" t="s">
        <v>184</v>
      </c>
      <c r="D113" s="3">
        <v>3587.0</v>
      </c>
      <c r="F113" s="3">
        <v>1222650.0</v>
      </c>
      <c r="G113" s="2">
        <v>341.0</v>
      </c>
      <c r="H113" s="2" t="s">
        <v>169</v>
      </c>
      <c r="I113" s="7" t="s">
        <v>170</v>
      </c>
    </row>
    <row r="114">
      <c r="A114" s="2">
        <v>15.0</v>
      </c>
      <c r="B114" s="2" t="s">
        <v>185</v>
      </c>
      <c r="C114" s="2" t="s">
        <v>185</v>
      </c>
      <c r="D114" s="3">
        <v>4796.0</v>
      </c>
      <c r="F114" s="3">
        <v>3454996.0</v>
      </c>
      <c r="G114" s="2">
        <v>720.0</v>
      </c>
      <c r="H114" s="2" t="s">
        <v>186</v>
      </c>
      <c r="I114" s="7" t="s">
        <v>170</v>
      </c>
    </row>
    <row r="115">
      <c r="A115" s="2">
        <v>16.0</v>
      </c>
      <c r="B115" s="2" t="s">
        <v>187</v>
      </c>
      <c r="C115" s="2" t="s">
        <v>187</v>
      </c>
      <c r="D115" s="3">
        <v>4349.0</v>
      </c>
      <c r="F115" s="3">
        <v>2921986.0</v>
      </c>
      <c r="G115" s="2">
        <v>672.0</v>
      </c>
      <c r="H115" s="2" t="s">
        <v>188</v>
      </c>
      <c r="I115" s="7" t="s">
        <v>170</v>
      </c>
    </row>
    <row r="116">
      <c r="A116" s="2">
        <v>17.0</v>
      </c>
      <c r="B116" s="2" t="s">
        <v>189</v>
      </c>
      <c r="C116" s="2" t="s">
        <v>190</v>
      </c>
      <c r="D116" s="3">
        <v>6511.0</v>
      </c>
      <c r="F116" s="3">
        <v>1281299.0</v>
      </c>
      <c r="G116" s="2">
        <v>197.0</v>
      </c>
      <c r="H116" s="2" t="s">
        <v>191</v>
      </c>
      <c r="I116" s="7" t="s">
        <v>170</v>
      </c>
    </row>
    <row r="117">
      <c r="A117" s="2">
        <v>18.0</v>
      </c>
      <c r="B117" s="2" t="s">
        <v>186</v>
      </c>
      <c r="C117" s="2" t="s">
        <v>186</v>
      </c>
      <c r="D117" s="3">
        <v>1772.0</v>
      </c>
      <c r="F117" s="3">
        <v>1.1126285E7</v>
      </c>
      <c r="G117" s="3">
        <v>6279.0</v>
      </c>
      <c r="H117" s="2" t="s">
        <v>186</v>
      </c>
      <c r="I117" s="7" t="s">
        <v>170</v>
      </c>
    </row>
    <row r="118">
      <c r="A118" s="2">
        <v>19.0</v>
      </c>
      <c r="B118" s="2" t="s">
        <v>192</v>
      </c>
      <c r="C118" s="2" t="s">
        <v>192</v>
      </c>
      <c r="D118" s="3">
        <v>6291.0</v>
      </c>
      <c r="F118" s="3">
        <v>1824230.0</v>
      </c>
      <c r="G118" s="2">
        <v>290.0</v>
      </c>
      <c r="H118" s="2" t="s">
        <v>178</v>
      </c>
      <c r="I118" s="7" t="s">
        <v>170</v>
      </c>
    </row>
    <row r="119">
      <c r="A119" s="2">
        <v>20.0</v>
      </c>
      <c r="B119" s="2" t="s">
        <v>193</v>
      </c>
      <c r="C119" s="2" t="s">
        <v>193</v>
      </c>
      <c r="D119" s="3">
        <v>2778.0</v>
      </c>
      <c r="F119" s="3">
        <v>1700620.0</v>
      </c>
      <c r="G119" s="2">
        <v>612.0</v>
      </c>
      <c r="H119" s="2" t="s">
        <v>188</v>
      </c>
      <c r="I119" s="7" t="s">
        <v>170</v>
      </c>
    </row>
    <row r="120">
      <c r="A120" s="2">
        <v>21.0</v>
      </c>
      <c r="B120" s="2" t="s">
        <v>194</v>
      </c>
      <c r="C120" s="2" t="s">
        <v>194</v>
      </c>
      <c r="D120" s="3">
        <v>2673.0</v>
      </c>
      <c r="F120" s="3">
        <v>1593292.0</v>
      </c>
      <c r="G120" s="2">
        <v>596.0</v>
      </c>
      <c r="H120" s="2" t="s">
        <v>180</v>
      </c>
      <c r="I120" s="7" t="s">
        <v>170</v>
      </c>
    </row>
    <row r="121">
      <c r="A121" s="2">
        <v>22.0</v>
      </c>
      <c r="B121" s="2" t="s">
        <v>174</v>
      </c>
      <c r="C121" s="2" t="s">
        <v>174</v>
      </c>
      <c r="D121" s="3">
        <v>5840.0</v>
      </c>
      <c r="F121" s="3">
        <v>1546094.0</v>
      </c>
      <c r="G121" s="2">
        <v>265.0</v>
      </c>
      <c r="H121" s="2" t="s">
        <v>174</v>
      </c>
      <c r="I121" s="7" t="s">
        <v>170</v>
      </c>
    </row>
    <row r="122">
      <c r="A122" s="2">
        <v>23.0</v>
      </c>
      <c r="B122" s="2" t="s">
        <v>188</v>
      </c>
      <c r="C122" s="2" t="s">
        <v>188</v>
      </c>
      <c r="D122" s="3">
        <v>3720.0</v>
      </c>
      <c r="F122" s="3">
        <v>4745109.0</v>
      </c>
      <c r="G122" s="3">
        <v>1275.0</v>
      </c>
      <c r="H122" s="2" t="s">
        <v>188</v>
      </c>
      <c r="I122" s="7" t="s">
        <v>170</v>
      </c>
    </row>
    <row r="123">
      <c r="A123" s="2">
        <v>24.0</v>
      </c>
      <c r="B123" s="2" t="s">
        <v>195</v>
      </c>
      <c r="C123" s="2" t="s">
        <v>195</v>
      </c>
      <c r="D123" s="3">
        <v>8249.0</v>
      </c>
      <c r="F123" s="3">
        <v>4322009.0</v>
      </c>
      <c r="G123" s="2">
        <v>524.0</v>
      </c>
      <c r="H123" s="2" t="s">
        <v>178</v>
      </c>
      <c r="I123" s="7" t="s">
        <v>170</v>
      </c>
    </row>
    <row r="124">
      <c r="A124" s="2">
        <v>25.0</v>
      </c>
      <c r="B124" s="2" t="s">
        <v>196</v>
      </c>
      <c r="C124" s="2" t="s">
        <v>196</v>
      </c>
      <c r="D124" s="3">
        <v>2337.0</v>
      </c>
      <c r="F124" s="3">
        <v>1709757.0</v>
      </c>
      <c r="G124" s="2">
        <v>732.0</v>
      </c>
      <c r="H124" s="2" t="s">
        <v>179</v>
      </c>
      <c r="I124" s="7" t="s">
        <v>170</v>
      </c>
    </row>
    <row r="125">
      <c r="A125" s="2">
        <v>26.0</v>
      </c>
      <c r="B125" s="2" t="s">
        <v>197</v>
      </c>
      <c r="C125" s="2" t="s">
        <v>198</v>
      </c>
      <c r="D125" s="3">
        <v>2960.0</v>
      </c>
      <c r="F125" s="3">
        <v>1356374.0</v>
      </c>
      <c r="G125" s="2">
        <v>458.0</v>
      </c>
      <c r="H125" s="2" t="s">
        <v>186</v>
      </c>
      <c r="I125" s="7" t="s">
        <v>170</v>
      </c>
    </row>
    <row r="126">
      <c r="A126" s="2">
        <v>27.0</v>
      </c>
      <c r="B126" s="2" t="s">
        <v>199</v>
      </c>
      <c r="C126" s="2" t="s">
        <v>199</v>
      </c>
      <c r="D126" s="3">
        <v>4377.0</v>
      </c>
      <c r="F126" s="3">
        <v>3039139.0</v>
      </c>
      <c r="G126" s="2">
        <v>694.0</v>
      </c>
      <c r="H126" s="2" t="s">
        <v>200</v>
      </c>
      <c r="I126" s="7" t="s">
        <v>170</v>
      </c>
    </row>
    <row r="127">
      <c r="A127" s="2">
        <v>28.0</v>
      </c>
      <c r="B127" s="2" t="s">
        <v>201</v>
      </c>
      <c r="C127" s="2" t="s">
        <v>201</v>
      </c>
      <c r="D127" s="3">
        <v>2724.0</v>
      </c>
      <c r="F127" s="3">
        <v>1823687.0</v>
      </c>
      <c r="G127" s="2">
        <v>669.0</v>
      </c>
      <c r="H127" s="2" t="s">
        <v>200</v>
      </c>
      <c r="I127" s="7" t="s">
        <v>170</v>
      </c>
    </row>
    <row r="128">
      <c r="A128" s="2">
        <v>29.0</v>
      </c>
      <c r="B128" s="2" t="s">
        <v>202</v>
      </c>
      <c r="C128" s="2" t="s">
        <v>202</v>
      </c>
      <c r="D128" s="3">
        <v>11880.0</v>
      </c>
      <c r="F128" s="3">
        <v>4814006.0</v>
      </c>
      <c r="G128" s="2">
        <v>405.0</v>
      </c>
      <c r="H128" s="2" t="s">
        <v>172</v>
      </c>
      <c r="I128" s="7" t="s">
        <v>170</v>
      </c>
    </row>
    <row r="129">
      <c r="A129" s="2">
        <v>30.0</v>
      </c>
      <c r="B129" s="2" t="s">
        <v>203</v>
      </c>
      <c r="C129" s="2" t="s">
        <v>203</v>
      </c>
      <c r="D129" s="3">
        <v>12319.0</v>
      </c>
      <c r="F129" s="3">
        <v>1995958.0</v>
      </c>
      <c r="G129" s="2">
        <v>162.0</v>
      </c>
      <c r="H129" s="2" t="s">
        <v>178</v>
      </c>
      <c r="I129" s="7" t="s">
        <v>170</v>
      </c>
    </row>
    <row r="130">
      <c r="A130" s="2">
        <v>31.0</v>
      </c>
      <c r="B130" s="2" t="s">
        <v>169</v>
      </c>
      <c r="C130" s="2" t="s">
        <v>169</v>
      </c>
      <c r="D130" s="3">
        <v>5286.0</v>
      </c>
      <c r="F130" s="3">
        <v>5405633.0</v>
      </c>
      <c r="G130" s="3">
        <v>1322.0</v>
      </c>
      <c r="H130" s="2" t="s">
        <v>169</v>
      </c>
      <c r="I130" s="7" t="s">
        <v>170</v>
      </c>
    </row>
    <row r="131">
      <c r="A131" s="2">
        <v>32.0</v>
      </c>
      <c r="B131" s="2" t="s">
        <v>200</v>
      </c>
      <c r="C131" s="2" t="s">
        <v>200</v>
      </c>
      <c r="D131" s="3">
        <v>3201.0</v>
      </c>
      <c r="F131" s="3">
        <v>2517560.0</v>
      </c>
      <c r="G131" s="2">
        <v>786.0</v>
      </c>
      <c r="H131" s="2" t="s">
        <v>200</v>
      </c>
      <c r="I131" s="7" t="s">
        <v>170</v>
      </c>
    </row>
    <row r="132">
      <c r="A132" s="2">
        <v>33.0</v>
      </c>
      <c r="B132" s="2" t="s">
        <v>191</v>
      </c>
      <c r="C132" s="2" t="s">
        <v>191</v>
      </c>
      <c r="D132" s="3">
        <v>5854.0</v>
      </c>
      <c r="F132" s="3">
        <v>3703588.0</v>
      </c>
      <c r="G132" s="2">
        <v>633.0</v>
      </c>
      <c r="H132" s="2" t="s">
        <v>191</v>
      </c>
      <c r="I132" s="7" t="s">
        <v>170</v>
      </c>
    </row>
    <row r="133">
      <c r="A133" s="2">
        <v>34.0</v>
      </c>
      <c r="B133" s="2" t="s">
        <v>204</v>
      </c>
      <c r="C133" s="2" t="s">
        <v>204</v>
      </c>
      <c r="D133" s="3">
        <v>3030.0</v>
      </c>
      <c r="F133" s="3">
        <v>3460426.0</v>
      </c>
      <c r="G133" s="3">
        <v>1142.0</v>
      </c>
      <c r="H133" s="2" t="s">
        <v>186</v>
      </c>
      <c r="I133" s="7" t="s">
        <v>170</v>
      </c>
    </row>
    <row r="134">
      <c r="A134" s="2">
        <v>35.0</v>
      </c>
      <c r="B134" s="2" t="s">
        <v>205</v>
      </c>
      <c r="C134" s="2" t="s">
        <v>205</v>
      </c>
      <c r="D134" s="3">
        <v>3016.0</v>
      </c>
      <c r="F134" s="3">
        <v>3893672.0</v>
      </c>
      <c r="G134" s="3">
        <v>1291.0</v>
      </c>
      <c r="H134" s="2" t="s">
        <v>179</v>
      </c>
      <c r="I134" s="7" t="s">
        <v>170</v>
      </c>
    </row>
    <row r="135">
      <c r="A135" s="2">
        <v>36.0</v>
      </c>
      <c r="B135" s="2" t="s">
        <v>206</v>
      </c>
      <c r="C135" s="2" t="s">
        <v>206</v>
      </c>
      <c r="D135" s="3">
        <v>3252.0</v>
      </c>
      <c r="F135" s="3">
        <v>2190015.0</v>
      </c>
      <c r="G135" s="2">
        <v>673.0</v>
      </c>
      <c r="H135" s="2" t="s">
        <v>177</v>
      </c>
      <c r="I135" s="7" t="s">
        <v>170</v>
      </c>
    </row>
    <row r="136">
      <c r="A136" s="2">
        <v>37.0</v>
      </c>
      <c r="B136" s="2" t="s">
        <v>207</v>
      </c>
      <c r="C136" s="2" t="s">
        <v>207</v>
      </c>
      <c r="D136" s="3">
        <v>4364.0</v>
      </c>
      <c r="F136" s="3">
        <v>2897446.0</v>
      </c>
      <c r="G136" s="2">
        <v>664.0</v>
      </c>
      <c r="H136" s="2" t="s">
        <v>188</v>
      </c>
      <c r="I136" s="7" t="s">
        <v>170</v>
      </c>
    </row>
    <row r="137">
      <c r="A137" s="2">
        <v>38.0</v>
      </c>
      <c r="B137" s="2" t="s">
        <v>208</v>
      </c>
      <c r="C137" s="2" t="s">
        <v>208</v>
      </c>
      <c r="D137" s="2">
        <v>2999.0</v>
      </c>
      <c r="F137" s="3">
        <v>527756.0</v>
      </c>
      <c r="G137" s="2">
        <v>180.0</v>
      </c>
      <c r="H137" s="2" t="s">
        <v>169</v>
      </c>
      <c r="I137" s="7" t="s">
        <v>170</v>
      </c>
    </row>
    <row r="138">
      <c r="A138" s="2">
        <v>39.0</v>
      </c>
      <c r="B138" s="2" t="s">
        <v>209</v>
      </c>
      <c r="C138" s="2" t="s">
        <v>209</v>
      </c>
      <c r="D138" s="2" t="s">
        <v>63</v>
      </c>
      <c r="F138" s="2" t="s">
        <v>63</v>
      </c>
      <c r="G138" s="2" t="s">
        <v>63</v>
      </c>
      <c r="H138" s="2" t="s">
        <v>169</v>
      </c>
      <c r="I138" s="7" t="s">
        <v>170</v>
      </c>
    </row>
    <row r="139">
      <c r="A139" s="2">
        <v>40.0</v>
      </c>
      <c r="B139" s="2" t="s">
        <v>210</v>
      </c>
      <c r="C139" s="2" t="s">
        <v>210</v>
      </c>
      <c r="D139" s="2" t="s">
        <v>63</v>
      </c>
      <c r="F139" s="2" t="s">
        <v>63</v>
      </c>
      <c r="G139" s="2" t="s">
        <v>63</v>
      </c>
      <c r="H139" s="2" t="s">
        <v>178</v>
      </c>
      <c r="I139" s="7" t="s">
        <v>170</v>
      </c>
    </row>
    <row r="140">
      <c r="A140" s="2">
        <v>41.0</v>
      </c>
      <c r="B140" s="2" t="s">
        <v>211</v>
      </c>
      <c r="C140" s="2" t="s">
        <v>211</v>
      </c>
      <c r="D140" s="2" t="s">
        <v>63</v>
      </c>
      <c r="F140" s="2" t="s">
        <v>63</v>
      </c>
      <c r="G140" s="2" t="s">
        <v>63</v>
      </c>
      <c r="H140" s="2" t="s">
        <v>178</v>
      </c>
      <c r="I140" s="7" t="s">
        <v>170</v>
      </c>
    </row>
    <row r="141">
      <c r="A141" s="2">
        <v>42.0</v>
      </c>
      <c r="B141" s="2" t="s">
        <v>212</v>
      </c>
      <c r="C141" s="2" t="s">
        <v>212</v>
      </c>
      <c r="D141" s="2" t="s">
        <v>63</v>
      </c>
      <c r="F141" s="2" t="s">
        <v>63</v>
      </c>
      <c r="G141" s="2" t="s">
        <v>63</v>
      </c>
      <c r="H141" s="2" t="s">
        <v>180</v>
      </c>
      <c r="I141" s="7" t="s">
        <v>170</v>
      </c>
    </row>
    <row r="142">
      <c r="A142" s="2">
        <v>1.0</v>
      </c>
      <c r="B142" s="2" t="s">
        <v>213</v>
      </c>
      <c r="C142" s="2" t="s">
        <v>213</v>
      </c>
      <c r="D142" s="3">
        <v>6726.0</v>
      </c>
      <c r="F142" s="3">
        <v>1804516.0</v>
      </c>
      <c r="G142" s="2">
        <v>268.0</v>
      </c>
      <c r="H142" s="2" t="s">
        <v>214</v>
      </c>
      <c r="I142" s="7" t="s">
        <v>215</v>
      </c>
    </row>
    <row r="143">
      <c r="A143" s="2">
        <v>2.0</v>
      </c>
      <c r="B143" s="2" t="s">
        <v>216</v>
      </c>
      <c r="C143" s="2" t="s">
        <v>216</v>
      </c>
      <c r="D143" s="3">
        <v>7866.0</v>
      </c>
      <c r="F143" s="3">
        <v>1550266.0</v>
      </c>
      <c r="G143" s="2">
        <v>197.0</v>
      </c>
      <c r="H143" s="2" t="s">
        <v>217</v>
      </c>
      <c r="I143" s="7" t="s">
        <v>215</v>
      </c>
    </row>
    <row r="144">
      <c r="A144" s="2">
        <v>3.0</v>
      </c>
      <c r="B144" s="2" t="s">
        <v>218</v>
      </c>
      <c r="C144" s="2" t="s">
        <v>219</v>
      </c>
      <c r="D144" s="3">
        <v>6083.0</v>
      </c>
      <c r="F144" s="3">
        <v>1646318.0</v>
      </c>
      <c r="G144" s="2">
        <v>270.0</v>
      </c>
      <c r="H144" s="2" t="s">
        <v>220</v>
      </c>
      <c r="I144" s="7" t="s">
        <v>215</v>
      </c>
    </row>
    <row r="145">
      <c r="A145" s="2">
        <v>4.0</v>
      </c>
      <c r="B145" s="2" t="s">
        <v>217</v>
      </c>
      <c r="C145" s="2" t="s">
        <v>217</v>
      </c>
      <c r="D145" s="3">
        <v>5519.0</v>
      </c>
      <c r="F145" s="3">
        <v>2199463.0</v>
      </c>
      <c r="G145" s="2">
        <v>398.0</v>
      </c>
      <c r="H145" s="2" t="s">
        <v>217</v>
      </c>
      <c r="I145" s="7" t="s">
        <v>215</v>
      </c>
    </row>
    <row r="146">
      <c r="A146" s="2">
        <v>5.0</v>
      </c>
      <c r="B146" s="2" t="s">
        <v>221</v>
      </c>
      <c r="C146" s="2" t="s">
        <v>221</v>
      </c>
      <c r="D146" s="3">
        <v>5278.0</v>
      </c>
      <c r="F146" s="3">
        <v>1006297.0</v>
      </c>
      <c r="G146" s="2">
        <v>191.0</v>
      </c>
      <c r="H146" s="2" t="s">
        <v>222</v>
      </c>
      <c r="I146" s="7" t="s">
        <v>215</v>
      </c>
    </row>
    <row r="147">
      <c r="A147" s="2">
        <v>6.0</v>
      </c>
      <c r="B147" s="2" t="s">
        <v>223</v>
      </c>
      <c r="C147" s="2" t="s">
        <v>223</v>
      </c>
      <c r="D147" s="3">
        <v>11250.0</v>
      </c>
      <c r="F147" s="3">
        <v>993142.0</v>
      </c>
      <c r="G147" s="2">
        <v>88.0</v>
      </c>
      <c r="H147" s="2" t="s">
        <v>217</v>
      </c>
      <c r="I147" s="7" t="s">
        <v>215</v>
      </c>
    </row>
    <row r="148">
      <c r="A148" s="2">
        <v>7.0</v>
      </c>
      <c r="B148" s="2" t="s">
        <v>224</v>
      </c>
      <c r="C148" s="2" t="s">
        <v>225</v>
      </c>
      <c r="D148" s="2">
        <v>69.0</v>
      </c>
      <c r="F148" s="3">
        <v>2971626.0</v>
      </c>
      <c r="G148" s="3">
        <v>43067.0</v>
      </c>
      <c r="H148" s="2" t="s">
        <v>226</v>
      </c>
      <c r="I148" s="7" t="s">
        <v>215</v>
      </c>
    </row>
    <row r="149">
      <c r="A149" s="2">
        <v>8.0</v>
      </c>
      <c r="B149" s="2" t="s">
        <v>227</v>
      </c>
      <c r="C149" s="2" t="s">
        <v>228</v>
      </c>
      <c r="D149" s="2">
        <v>165.0</v>
      </c>
      <c r="F149" s="3">
        <v>2907467.0</v>
      </c>
      <c r="G149" s="3">
        <v>17610.0</v>
      </c>
      <c r="H149" s="2" t="s">
        <v>226</v>
      </c>
      <c r="I149" s="7" t="s">
        <v>215</v>
      </c>
    </row>
    <row r="150">
      <c r="A150" s="2">
        <v>9.0</v>
      </c>
      <c r="B150" s="2" t="s">
        <v>229</v>
      </c>
      <c r="C150" s="2" t="s">
        <v>230</v>
      </c>
      <c r="D150" s="2">
        <v>122.0</v>
      </c>
      <c r="F150" s="3">
        <v>1791751.0</v>
      </c>
      <c r="G150" s="3">
        <v>14686.0</v>
      </c>
      <c r="H150" s="2" t="s">
        <v>226</v>
      </c>
      <c r="I150" s="7" t="s">
        <v>215</v>
      </c>
    </row>
    <row r="151">
      <c r="A151" s="2">
        <v>10.0</v>
      </c>
      <c r="B151" s="2" t="s">
        <v>231</v>
      </c>
      <c r="C151" s="2" t="s">
        <v>232</v>
      </c>
      <c r="D151" s="2">
        <v>929.0</v>
      </c>
      <c r="F151" s="3">
        <v>3914757.0</v>
      </c>
      <c r="G151" s="3">
        <v>4214.0</v>
      </c>
      <c r="H151" s="2" t="s">
        <v>226</v>
      </c>
      <c r="I151" s="7" t="s">
        <v>215</v>
      </c>
    </row>
    <row r="152">
      <c r="A152" s="2">
        <v>11.0</v>
      </c>
      <c r="B152" s="2" t="s">
        <v>233</v>
      </c>
      <c r="C152" s="2" t="s">
        <v>234</v>
      </c>
      <c r="D152" s="3">
        <v>2592.0</v>
      </c>
      <c r="F152" s="3">
        <v>1089169.0</v>
      </c>
      <c r="G152" s="2">
        <v>420.0</v>
      </c>
      <c r="H152" s="2" t="s">
        <v>222</v>
      </c>
      <c r="I152" s="7" t="s">
        <v>215</v>
      </c>
    </row>
    <row r="153">
      <c r="A153" s="2">
        <v>12.0</v>
      </c>
      <c r="B153" s="2" t="s">
        <v>235</v>
      </c>
      <c r="C153" s="2" t="s">
        <v>235</v>
      </c>
      <c r="D153" s="3">
        <v>15910.0</v>
      </c>
      <c r="F153" s="3">
        <v>2404334.0</v>
      </c>
      <c r="G153" s="2">
        <v>151.0</v>
      </c>
      <c r="H153" s="2" t="s">
        <v>220</v>
      </c>
      <c r="I153" s="7" t="s">
        <v>215</v>
      </c>
    </row>
    <row r="154">
      <c r="A154" s="2">
        <v>13.0</v>
      </c>
      <c r="B154" s="2" t="s">
        <v>236</v>
      </c>
      <c r="C154" s="2" t="s">
        <v>236</v>
      </c>
      <c r="D154" s="2">
        <v>95.0</v>
      </c>
      <c r="F154" s="3">
        <v>2457019.0</v>
      </c>
      <c r="G154" s="3">
        <v>25918.0</v>
      </c>
      <c r="H154" s="2" t="s">
        <v>226</v>
      </c>
      <c r="I154" s="7" t="s">
        <v>215</v>
      </c>
    </row>
    <row r="155">
      <c r="A155" s="2">
        <v>14.0</v>
      </c>
      <c r="B155" s="2" t="s">
        <v>237</v>
      </c>
      <c r="C155" s="2" t="s">
        <v>238</v>
      </c>
      <c r="D155" s="2" t="s">
        <v>59</v>
      </c>
      <c r="F155" s="2" t="s">
        <v>59</v>
      </c>
      <c r="G155" s="2" t="s">
        <v>59</v>
      </c>
      <c r="H155" s="2" t="s">
        <v>226</v>
      </c>
      <c r="I155" s="7" t="s">
        <v>215</v>
      </c>
    </row>
    <row r="156">
      <c r="A156" s="2">
        <v>15.0</v>
      </c>
      <c r="B156" s="2" t="s">
        <v>222</v>
      </c>
      <c r="C156" s="2" t="s">
        <v>222</v>
      </c>
      <c r="D156" s="3">
        <v>1906.0</v>
      </c>
      <c r="F156" s="3">
        <v>1524391.0</v>
      </c>
      <c r="G156" s="2">
        <v>205.0</v>
      </c>
      <c r="H156" s="2" t="s">
        <v>222</v>
      </c>
      <c r="I156" s="7" t="s">
        <v>215</v>
      </c>
    </row>
    <row r="157">
      <c r="A157" s="2">
        <v>16.0</v>
      </c>
      <c r="B157" s="2" t="s">
        <v>239</v>
      </c>
      <c r="C157" s="2" t="s">
        <v>239</v>
      </c>
      <c r="D157" s="3">
        <v>2268.0</v>
      </c>
      <c r="F157" s="3">
        <v>2008901.0</v>
      </c>
      <c r="G157" s="2">
        <v>886.0</v>
      </c>
      <c r="H157" s="2" t="s">
        <v>226</v>
      </c>
      <c r="I157" s="7" t="s">
        <v>215</v>
      </c>
    </row>
    <row r="158">
      <c r="A158" s="2">
        <v>17.0</v>
      </c>
      <c r="B158" s="2" t="s">
        <v>240</v>
      </c>
      <c r="C158" s="2" t="s">
        <v>240</v>
      </c>
      <c r="D158" s="3">
        <v>1417.0</v>
      </c>
      <c r="F158" s="3">
        <v>769349.0</v>
      </c>
      <c r="G158" s="2">
        <v>543.0</v>
      </c>
      <c r="H158" s="2" t="s">
        <v>217</v>
      </c>
      <c r="I158" s="7" t="s">
        <v>215</v>
      </c>
    </row>
    <row r="159">
      <c r="A159" s="2">
        <v>18.0</v>
      </c>
      <c r="B159" s="2" t="s">
        <v>241</v>
      </c>
      <c r="C159" s="2" t="s">
        <v>241</v>
      </c>
      <c r="D159" s="3">
        <v>2925.0</v>
      </c>
      <c r="F159" s="3">
        <v>1505876.0</v>
      </c>
      <c r="G159" s="2">
        <v>515.0</v>
      </c>
      <c r="H159" s="2" t="s">
        <v>241</v>
      </c>
      <c r="I159" s="7" t="s">
        <v>215</v>
      </c>
    </row>
    <row r="160">
      <c r="A160" s="2">
        <v>19.0</v>
      </c>
      <c r="B160" s="2" t="s">
        <v>242</v>
      </c>
      <c r="C160" s="2" t="s">
        <v>242</v>
      </c>
      <c r="D160" s="3">
        <v>2945.0</v>
      </c>
      <c r="F160" s="3">
        <v>1612373.0</v>
      </c>
      <c r="G160" s="2">
        <v>548.0</v>
      </c>
      <c r="H160" s="2" t="s">
        <v>243</v>
      </c>
      <c r="I160" s="7" t="s">
        <v>215</v>
      </c>
    </row>
    <row r="161">
      <c r="A161" s="2">
        <v>20.0</v>
      </c>
      <c r="B161" s="2" t="s">
        <v>244</v>
      </c>
      <c r="C161" s="2" t="s">
        <v>245</v>
      </c>
      <c r="D161" s="3">
        <v>5599.0</v>
      </c>
      <c r="F161" s="3">
        <v>1341042.0</v>
      </c>
      <c r="G161" s="2">
        <v>239.0</v>
      </c>
      <c r="H161" s="2" t="s">
        <v>222</v>
      </c>
      <c r="I161" s="7" t="s">
        <v>215</v>
      </c>
    </row>
    <row r="162">
      <c r="A162" s="2">
        <v>21.0</v>
      </c>
      <c r="B162" s="2" t="s">
        <v>246</v>
      </c>
      <c r="C162" s="2" t="s">
        <v>246</v>
      </c>
      <c r="D162" s="3">
        <v>10720.0</v>
      </c>
      <c r="F162" s="3">
        <v>2057057.0</v>
      </c>
      <c r="G162" s="2">
        <v>192.0</v>
      </c>
      <c r="H162" s="2" t="s">
        <v>241</v>
      </c>
      <c r="I162" s="7" t="s">
        <v>215</v>
      </c>
    </row>
    <row r="163">
      <c r="A163" s="2">
        <v>22.0</v>
      </c>
      <c r="B163" s="2" t="s">
        <v>247</v>
      </c>
      <c r="C163" s="2" t="s">
        <v>248</v>
      </c>
      <c r="D163" s="3">
        <v>4502.0</v>
      </c>
      <c r="F163" s="3">
        <v>1612847.0</v>
      </c>
      <c r="G163" s="2">
        <v>358.0</v>
      </c>
      <c r="H163" s="2" t="s">
        <v>247</v>
      </c>
      <c r="I163" s="7" t="s">
        <v>215</v>
      </c>
    </row>
    <row r="164">
      <c r="A164" s="2">
        <v>23.0</v>
      </c>
      <c r="B164" s="2" t="s">
        <v>249</v>
      </c>
      <c r="C164" s="2" t="s">
        <v>249</v>
      </c>
      <c r="D164" s="3">
        <v>2512.0</v>
      </c>
      <c r="F164" s="3">
        <v>1231481.0</v>
      </c>
      <c r="G164" s="2">
        <v>490.0</v>
      </c>
      <c r="H164" s="2" t="s">
        <v>222</v>
      </c>
      <c r="I164" s="7" t="s">
        <v>215</v>
      </c>
    </row>
    <row r="165">
      <c r="A165" s="2">
        <v>24.0</v>
      </c>
      <c r="B165" s="2" t="s">
        <v>250</v>
      </c>
      <c r="C165" s="2" t="s">
        <v>250</v>
      </c>
      <c r="D165" s="2" t="s">
        <v>251</v>
      </c>
      <c r="F165" s="3">
        <v>781967.0</v>
      </c>
      <c r="G165" s="2">
        <v>106.0</v>
      </c>
      <c r="H165" s="2" t="s">
        <v>214</v>
      </c>
      <c r="I165" s="7" t="s">
        <v>215</v>
      </c>
    </row>
    <row r="166">
      <c r="A166" s="2">
        <v>25.0</v>
      </c>
      <c r="B166" s="2" t="s">
        <v>220</v>
      </c>
      <c r="C166" s="2" t="s">
        <v>220</v>
      </c>
      <c r="D166" s="3">
        <v>2512.0</v>
      </c>
      <c r="F166" s="3">
        <v>1487903.0</v>
      </c>
      <c r="G166" s="2">
        <v>592.0</v>
      </c>
      <c r="H166" s="2" t="s">
        <v>220</v>
      </c>
      <c r="I166" s="7" t="s">
        <v>215</v>
      </c>
    </row>
    <row r="167">
      <c r="A167" s="2">
        <v>26.0</v>
      </c>
      <c r="B167" s="2" t="s">
        <v>252</v>
      </c>
      <c r="C167" s="2" t="s">
        <v>252</v>
      </c>
      <c r="D167" s="3">
        <v>5165.0</v>
      </c>
      <c r="F167" s="3">
        <v>836887.0</v>
      </c>
      <c r="G167" s="2">
        <v>162.0</v>
      </c>
      <c r="H167" s="2" t="s">
        <v>217</v>
      </c>
      <c r="I167" s="7" t="s">
        <v>215</v>
      </c>
    </row>
    <row r="168">
      <c r="A168" s="2">
        <v>27.0</v>
      </c>
      <c r="B168" s="2" t="s">
        <v>253</v>
      </c>
      <c r="C168" s="2" t="s">
        <v>253</v>
      </c>
      <c r="D168" s="3">
        <v>2310.0</v>
      </c>
      <c r="F168" s="3">
        <v>677228.0</v>
      </c>
      <c r="G168" s="2">
        <v>293.0</v>
      </c>
      <c r="H168" s="2" t="s">
        <v>217</v>
      </c>
      <c r="I168" s="7" t="s">
        <v>215</v>
      </c>
    </row>
    <row r="169">
      <c r="A169" s="2">
        <v>28.0</v>
      </c>
      <c r="B169" s="2" t="s">
        <v>254</v>
      </c>
      <c r="C169" s="2" t="s">
        <v>255</v>
      </c>
      <c r="D169" s="3">
        <v>19638.0</v>
      </c>
      <c r="F169" s="3">
        <v>1649661.0</v>
      </c>
      <c r="G169" s="2">
        <v>84.0</v>
      </c>
      <c r="H169" s="2" t="s">
        <v>241</v>
      </c>
      <c r="I169" s="7" t="s">
        <v>215</v>
      </c>
    </row>
    <row r="170">
      <c r="A170" s="2">
        <v>29.0</v>
      </c>
      <c r="B170" s="2" t="s">
        <v>256</v>
      </c>
      <c r="C170" s="2" t="s">
        <v>256</v>
      </c>
      <c r="D170" s="2" t="s">
        <v>257</v>
      </c>
      <c r="F170" s="3">
        <v>979817.0</v>
      </c>
      <c r="G170" s="2">
        <v>98.0</v>
      </c>
      <c r="H170" s="2" t="s">
        <v>214</v>
      </c>
      <c r="I170" s="7" t="s">
        <v>215</v>
      </c>
    </row>
    <row r="171">
      <c r="A171" s="2">
        <v>30.0</v>
      </c>
      <c r="B171" s="2" t="s">
        <v>258</v>
      </c>
      <c r="C171" s="2" t="s">
        <v>259</v>
      </c>
      <c r="D171" s="2" t="s">
        <v>260</v>
      </c>
      <c r="F171" s="3">
        <v>1073146.0</v>
      </c>
      <c r="G171" s="2">
        <v>191.0</v>
      </c>
      <c r="H171" s="2" t="s">
        <v>241</v>
      </c>
      <c r="I171" s="7" t="s">
        <v>215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8" t="s">
        <v>261</v>
      </c>
      <c r="C4" s="9">
        <v>1.0</v>
      </c>
      <c r="D4" s="8" t="s">
        <v>262</v>
      </c>
    </row>
    <row r="5">
      <c r="B5" s="8"/>
      <c r="C5" s="9">
        <v>2.0</v>
      </c>
      <c r="D5" s="8" t="s">
        <v>263</v>
      </c>
    </row>
    <row r="6">
      <c r="B6" s="8"/>
      <c r="C6" s="9">
        <v>3.0</v>
      </c>
      <c r="D6" s="8" t="s">
        <v>264</v>
      </c>
    </row>
    <row r="7">
      <c r="B7" s="8"/>
      <c r="C7" s="9">
        <v>4.0</v>
      </c>
      <c r="D7" s="8" t="s">
        <v>265</v>
      </c>
    </row>
    <row r="8">
      <c r="B8" s="8"/>
      <c r="C8" s="9">
        <v>5.0</v>
      </c>
      <c r="D8" s="8" t="s">
        <v>266</v>
      </c>
    </row>
    <row r="9">
      <c r="B9" s="8"/>
      <c r="C9" s="9">
        <v>6.0</v>
      </c>
      <c r="D9" s="8" t="s">
        <v>267</v>
      </c>
    </row>
    <row r="10">
      <c r="B10" s="8"/>
      <c r="C10" s="9">
        <v>7.0</v>
      </c>
      <c r="D10" s="8" t="s">
        <v>268</v>
      </c>
    </row>
    <row r="11">
      <c r="B11" s="8"/>
      <c r="C11" s="9">
        <v>8.0</v>
      </c>
      <c r="D11" s="8" t="s">
        <v>269</v>
      </c>
    </row>
    <row r="12">
      <c r="B12" s="8"/>
      <c r="C12" s="9">
        <v>9.0</v>
      </c>
      <c r="D12" s="8" t="s">
        <v>270</v>
      </c>
    </row>
    <row r="13">
      <c r="B13" s="8"/>
      <c r="C13" s="9">
        <v>10.0</v>
      </c>
      <c r="D13" s="8" t="s">
        <v>271</v>
      </c>
    </row>
  </sheetData>
  <drawing r:id="rId1"/>
</worksheet>
</file>